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fileSharing readOnlyRecommended="1"/>
  <workbookPr filterPrivacy="1" codeName="ThisWorkbook" defaultThemeVersion="124226"/>
  <xr:revisionPtr revIDLastSave="0" documentId="13_ncr:1_{88EB6CEE-E32A-45DD-BF9E-890DECD0A30B}" xr6:coauthVersionLast="45" xr6:coauthVersionMax="45" xr10:uidLastSave="{00000000-0000-0000-0000-000000000000}"/>
  <bookViews>
    <workbookView xWindow="-120" yWindow="-120" windowWidth="23280" windowHeight="12600" tabRatio="915" activeTab="1" xr2:uid="{00000000-000D-0000-FFFF-FFFF00000000}"/>
  </bookViews>
  <sheets>
    <sheet name="Exhibit &amp; Schedules===&gt;" sheetId="1" r:id="rId1"/>
    <sheet name="Index" sheetId="80" r:id="rId2"/>
    <sheet name="Sch M-1.1-G" sheetId="82" r:id="rId3"/>
    <sheet name="Sch M-1.2-G" sheetId="81" r:id="rId4"/>
    <sheet name="Sch M-1.3 Pg.1" sheetId="5" r:id="rId5"/>
    <sheet name="Sch M-1.3 Pg. 2-11" sheetId="6" r:id="rId6"/>
    <sheet name="Revenue Summary B" sheetId="7" r:id="rId7"/>
    <sheet name="Exh P11-Gas Supply Exp" sheetId="26" r:id="rId8"/>
    <sheet name="Recon to Sch C" sheetId="92" r:id="rId9"/>
    <sheet name="Data ==&gt;" sheetId="91" r:id="rId10"/>
    <sheet name="12-MO Billed Summary ALL" sheetId="32" r:id="rId11"/>
    <sheet name="SBR" sheetId="31" r:id="rId12"/>
    <sheet name="Mar20-Aug20 Billed-RETAIL" sheetId="33" r:id="rId13"/>
    <sheet name="SBR Mar20 - Aug20" sheetId="60" r:id="rId14"/>
    <sheet name="Sep20-Feb21 Transport Forecast" sheetId="87" r:id="rId15"/>
    <sheet name="Mar20-Aug20 Transport Actuals" sheetId="34" r:id="rId16"/>
    <sheet name="Data-Retail" sheetId="38" r:id="rId17"/>
    <sheet name="Data-Transport" sheetId="40" r:id="rId18"/>
    <sheet name="Data-Cashout" sheetId="41" r:id="rId19"/>
    <sheet name="Forecasted Customer Cts" sheetId="66" r:id="rId20"/>
    <sheet name="Forecasted Calendar Month Usage" sheetId="67" r:id="rId21"/>
    <sheet name="Fin Forecast" sheetId="85" r:id="rId22"/>
    <sheet name="Data LGE SC Mill Creek" sheetId="42" r:id="rId23"/>
    <sheet name="Rate Categories" sheetId="44" r:id="rId24"/>
    <sheet name="Retail Rates" sheetId="43" r:id="rId25"/>
    <sheet name="GSC-DSM-GLT Factors" sheetId="45" r:id="rId26"/>
    <sheet name="Sales by Rates===&gt;" sheetId="46" r:id="rId27"/>
    <sheet name="Bruise Report-Tariff" sheetId="47" r:id="rId28"/>
    <sheet name="Bruise Report-Cashouts" sheetId="48" r:id="rId29"/>
  </sheets>
  <externalReferences>
    <externalReference r:id="rId30"/>
    <externalReference r:id="rId31"/>
  </externalReferences>
  <definedNames>
    <definedName name="_xlnm._FilterDatabase" localSheetId="10" hidden="1">'12-MO Billed Summary ALL'!$A$8:$BD$22</definedName>
    <definedName name="_xlnm._FilterDatabase" localSheetId="28" hidden="1">'Bruise Report-Cashouts'!$A$4:$D$39</definedName>
    <definedName name="_xlnm._FilterDatabase" localSheetId="27" hidden="1">'Bruise Report-Tariff'!$A$4:$D$4</definedName>
    <definedName name="_xlnm._FilterDatabase" localSheetId="22" hidden="1">'Data LGE SC Mill Creek'!$A$3:$AH$34</definedName>
    <definedName name="_xlnm._FilterDatabase" localSheetId="18" hidden="1">'Data-Cashout'!$A$2:$AI$571</definedName>
    <definedName name="_xlnm._FilterDatabase" localSheetId="16" hidden="1">'Data-Retail'!$A$2:$V$673</definedName>
    <definedName name="_xlnm._FilterDatabase" localSheetId="17" hidden="1">'Data-Transport'!$A$3:$AL$2905</definedName>
    <definedName name="_xlnm._FilterDatabase" localSheetId="21" hidden="1">'Fin Forecast'!$A$3:$V$520</definedName>
    <definedName name="_xlnm._FilterDatabase" localSheetId="20" hidden="1">'Forecasted Calendar Month Usage'!$A$4:$CA$34</definedName>
    <definedName name="_xlnm._FilterDatabase" localSheetId="19" hidden="1">'Forecasted Customer Cts'!$A$4:$CA$36</definedName>
    <definedName name="_xlnm._FilterDatabase" localSheetId="12" hidden="1">'Mar20-Aug20 Billed-RETAIL'!$A$7:$BR$7</definedName>
    <definedName name="_xlnm._FilterDatabase" localSheetId="15" hidden="1">'Mar20-Aug20 Transport Actuals'!$B$6:$X$6</definedName>
    <definedName name="_xlnm._FilterDatabase" localSheetId="23" hidden="1">'Rate Categories'!$A$1:$J$33</definedName>
    <definedName name="_xlnm._FilterDatabase" localSheetId="24" hidden="1">'Retail Rates'!$A$6:$AA$40</definedName>
    <definedName name="_xlnm._FilterDatabase" localSheetId="13" hidden="1">'SBR Mar20 - Aug20'!$A$2:$AI$291</definedName>
    <definedName name="BNE_MESSAGES_HIDDEN" localSheetId="13" hidden="1">#REF!</definedName>
    <definedName name="BNE_MESSAGES_HIDDEN" localSheetId="5" hidden="1">#REF!</definedName>
    <definedName name="BNE_MESSAGES_HIDDEN" hidden="1">#REF!</definedName>
    <definedName name="DolUnitFactor">[1]ListsValues!$M$29</definedName>
    <definedName name="L_SBR_Rate_Category">[2]SBR!$C$3:$C$935</definedName>
    <definedName name="L_SBR_RateClass">[2]SBR!$E$3:$E$935</definedName>
    <definedName name="L_SBR_Revenue_Month">[2]SBR!$B$3:$B$935</definedName>
    <definedName name="L_SBR_Revenue_Total">[2]SBR!$F$3:$F$935</definedName>
    <definedName name="_xlnm.Print_Area" localSheetId="28">'Bruise Report-Cashouts'!$A$1:$D$65</definedName>
    <definedName name="_xlnm.Print_Area" localSheetId="27">'Bruise Report-Tariff'!$A$1:$D$26</definedName>
    <definedName name="_xlnm.Print_Area" localSheetId="16">'Data-Retail'!$W$3:$X$35</definedName>
    <definedName name="_xlnm.Print_Area" localSheetId="17">'Data-Transport'!$A$9:$H$1044</definedName>
    <definedName name="_xlnm.Print_Area" localSheetId="6">'Revenue Summary B'!$A$1:$K$50</definedName>
    <definedName name="_xlnm.Print_Area" localSheetId="11">SBR!$A$59:$AT$85</definedName>
    <definedName name="_xlnm.Print_Area" localSheetId="2">'Sch M-1.1-G'!$A$1:$B$43</definedName>
    <definedName name="_xlnm.Print_Area" localSheetId="3">'Sch M-1.2-G'!$A$1:$I$33</definedName>
    <definedName name="_xlnm.Print_Area" localSheetId="5">'Sch M-1.3 Pg. 2-11'!$C$1:$J$393</definedName>
    <definedName name="_xlnm.Print_Area" localSheetId="4">'Sch M-1.3 Pg.1'!$A$1:$H$42</definedName>
    <definedName name="_xlnm.Print_Titles" localSheetId="6">'Revenue Summary B'!$B:$B</definedName>
    <definedName name="_xlnm.Print_Titles" localSheetId="5">'Sch M-1.3 Pg. 2-11'!$1:$5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47" i="32" l="1"/>
  <c r="W47" i="32"/>
  <c r="C17" i="92"/>
  <c r="F89" i="31" l="1"/>
  <c r="F94" i="31"/>
  <c r="T47" i="32"/>
  <c r="S47" i="32"/>
  <c r="AS42" i="31" l="1"/>
  <c r="AR94" i="31" l="1"/>
  <c r="F44" i="31"/>
  <c r="F42" i="31"/>
  <c r="AP7" i="33"/>
  <c r="I12" i="26" l="1"/>
  <c r="A1" i="5" l="1"/>
  <c r="AG94" i="31" l="1"/>
  <c r="AK94" i="31"/>
  <c r="AF157" i="33" l="1"/>
  <c r="H532" i="40" l="1"/>
  <c r="AG157" i="33" l="1"/>
  <c r="F675" i="38"/>
  <c r="BG216" i="85"/>
  <c r="BG249" i="85"/>
  <c r="BG182" i="85"/>
  <c r="BG181" i="85"/>
  <c r="BG80" i="85"/>
  <c r="BG79" i="85"/>
  <c r="BE107" i="33" l="1"/>
  <c r="S42" i="87" l="1"/>
  <c r="S43" i="87"/>
  <c r="S44" i="87"/>
  <c r="S46" i="87"/>
  <c r="S41" i="87"/>
  <c r="R44" i="87"/>
  <c r="R45" i="87"/>
  <c r="R46" i="87"/>
  <c r="R41" i="87"/>
  <c r="Q44" i="87"/>
  <c r="Q41" i="87"/>
  <c r="S35" i="87"/>
  <c r="S36" i="87"/>
  <c r="S37" i="87"/>
  <c r="S39" i="87"/>
  <c r="S34" i="87"/>
  <c r="R37" i="87"/>
  <c r="R38" i="87"/>
  <c r="R39" i="87"/>
  <c r="R34" i="87"/>
  <c r="Q37" i="87"/>
  <c r="Q34" i="87"/>
  <c r="S28" i="87"/>
  <c r="S29" i="87"/>
  <c r="S30" i="87"/>
  <c r="S32" i="87"/>
  <c r="S27" i="87"/>
  <c r="R30" i="87"/>
  <c r="R31" i="87"/>
  <c r="R32" i="87"/>
  <c r="R27" i="87"/>
  <c r="Q30" i="87"/>
  <c r="Q27" i="87"/>
  <c r="S21" i="87"/>
  <c r="S22" i="87"/>
  <c r="S23" i="87"/>
  <c r="S25" i="87"/>
  <c r="S20" i="87"/>
  <c r="R23" i="87"/>
  <c r="R24" i="87"/>
  <c r="R25" i="87"/>
  <c r="R20" i="87"/>
  <c r="Q23" i="87"/>
  <c r="Q20" i="87"/>
  <c r="S14" i="87"/>
  <c r="S15" i="87"/>
  <c r="S16" i="87"/>
  <c r="S18" i="87"/>
  <c r="S13" i="87"/>
  <c r="R16" i="87"/>
  <c r="R17" i="87"/>
  <c r="R18" i="87"/>
  <c r="R13" i="87"/>
  <c r="Q16" i="87"/>
  <c r="Q13" i="87"/>
  <c r="I46" i="87"/>
  <c r="I45" i="87"/>
  <c r="I44" i="87"/>
  <c r="I43" i="87"/>
  <c r="I42" i="87"/>
  <c r="I41" i="87"/>
  <c r="I39" i="87"/>
  <c r="I38" i="87"/>
  <c r="I37" i="87"/>
  <c r="I36" i="87"/>
  <c r="I35" i="87"/>
  <c r="I34" i="87"/>
  <c r="J28" i="87"/>
  <c r="I32" i="87"/>
  <c r="I31" i="87"/>
  <c r="I30" i="87"/>
  <c r="I29" i="87"/>
  <c r="J29" i="87" s="1"/>
  <c r="I27" i="87"/>
  <c r="I25" i="87"/>
  <c r="I24" i="87"/>
  <c r="I23" i="87"/>
  <c r="I22" i="87"/>
  <c r="J22" i="87" s="1"/>
  <c r="I20" i="87"/>
  <c r="I18" i="87"/>
  <c r="I17" i="87"/>
  <c r="I16" i="87"/>
  <c r="I13" i="87"/>
  <c r="S7" i="87"/>
  <c r="S8" i="87"/>
  <c r="S9" i="87"/>
  <c r="S11" i="87"/>
  <c r="S6" i="87"/>
  <c r="R9" i="87"/>
  <c r="R10" i="87"/>
  <c r="R11" i="87"/>
  <c r="R6" i="87"/>
  <c r="Q9" i="87"/>
  <c r="Q6" i="87"/>
  <c r="I11" i="87"/>
  <c r="I10" i="87"/>
  <c r="I9" i="87"/>
  <c r="J7" i="87"/>
  <c r="I6" i="87"/>
  <c r="AP89" i="31" l="1"/>
  <c r="AQ89" i="31"/>
  <c r="O143" i="33"/>
  <c r="O134" i="33"/>
  <c r="O125" i="33"/>
  <c r="O116" i="33"/>
  <c r="O107" i="33"/>
  <c r="L110" i="33"/>
  <c r="L109" i="33"/>
  <c r="L119" i="33"/>
  <c r="L118" i="33"/>
  <c r="L128" i="33"/>
  <c r="L127" i="33"/>
  <c r="L137" i="33"/>
  <c r="L136" i="33"/>
  <c r="BF110" i="33"/>
  <c r="BF104" i="33"/>
  <c r="BF105" i="33"/>
  <c r="BF106" i="33"/>
  <c r="BF107" i="33"/>
  <c r="BF108" i="33"/>
  <c r="BF109" i="33"/>
  <c r="BF103" i="33"/>
  <c r="BF119" i="33"/>
  <c r="BF113" i="33"/>
  <c r="BF114" i="33"/>
  <c r="BF115" i="33"/>
  <c r="BF116" i="33"/>
  <c r="BF117" i="33"/>
  <c r="BF118" i="33"/>
  <c r="BF112" i="33"/>
  <c r="BF128" i="33"/>
  <c r="BF122" i="33"/>
  <c r="BF123" i="33"/>
  <c r="BF124" i="33"/>
  <c r="BF125" i="33"/>
  <c r="BF126" i="33"/>
  <c r="BF127" i="33"/>
  <c r="BF121" i="33"/>
  <c r="BF137" i="33"/>
  <c r="BF131" i="33"/>
  <c r="BF132" i="33"/>
  <c r="BF133" i="33"/>
  <c r="BF134" i="33"/>
  <c r="BF135" i="33"/>
  <c r="BF136" i="33"/>
  <c r="BF130" i="33"/>
  <c r="BF146" i="33"/>
  <c r="BF140" i="33"/>
  <c r="BF141" i="33"/>
  <c r="BF142" i="33"/>
  <c r="BF143" i="33"/>
  <c r="BF144" i="33"/>
  <c r="BF145" i="33"/>
  <c r="BF139" i="33"/>
  <c r="L145" i="33"/>
  <c r="L146" i="33"/>
  <c r="O152" i="33"/>
  <c r="L154" i="33"/>
  <c r="BF149" i="33"/>
  <c r="BF150" i="33"/>
  <c r="BF151" i="33"/>
  <c r="BF152" i="33"/>
  <c r="BF153" i="33"/>
  <c r="BF148" i="33"/>
  <c r="BF154" i="33"/>
  <c r="L155" i="33"/>
  <c r="BF155" i="33"/>
  <c r="M151" i="33"/>
  <c r="J150" i="33"/>
  <c r="M152" i="33"/>
  <c r="M153" i="33"/>
  <c r="M135" i="33"/>
  <c r="M144" i="33"/>
  <c r="M143" i="33"/>
  <c r="M142" i="33"/>
  <c r="M134" i="33"/>
  <c r="M133" i="33"/>
  <c r="M126" i="33"/>
  <c r="M124" i="33"/>
  <c r="M125" i="33"/>
  <c r="O117" i="33"/>
  <c r="M117" i="33"/>
  <c r="AC117" i="33" s="1"/>
  <c r="M116" i="33"/>
  <c r="M115" i="33"/>
  <c r="O108" i="33"/>
  <c r="M108" i="33"/>
  <c r="M107" i="33"/>
  <c r="M106" i="33"/>
  <c r="Y153" i="33"/>
  <c r="Y155" i="33"/>
  <c r="X153" i="33"/>
  <c r="X155" i="33"/>
  <c r="W153" i="33"/>
  <c r="W155" i="33"/>
  <c r="Y144" i="33"/>
  <c r="Y146" i="33"/>
  <c r="X144" i="33"/>
  <c r="X146" i="33"/>
  <c r="W144" i="33"/>
  <c r="W146" i="33"/>
  <c r="Y135" i="33"/>
  <c r="Y137" i="33"/>
  <c r="X135" i="33"/>
  <c r="X137" i="33"/>
  <c r="W135" i="33"/>
  <c r="AC135" i="33" s="1"/>
  <c r="W137" i="33"/>
  <c r="Y126" i="33"/>
  <c r="Y128" i="33"/>
  <c r="X126" i="33"/>
  <c r="X128" i="33"/>
  <c r="W126" i="33"/>
  <c r="W128" i="33"/>
  <c r="Y117" i="33"/>
  <c r="Y119" i="33"/>
  <c r="X117" i="33"/>
  <c r="X119" i="33"/>
  <c r="W117" i="33"/>
  <c r="W119" i="33"/>
  <c r="Y108" i="33"/>
  <c r="Y110" i="33"/>
  <c r="X108" i="33"/>
  <c r="X110" i="33"/>
  <c r="W108" i="33"/>
  <c r="AC108" i="33" s="1"/>
  <c r="W110" i="33"/>
  <c r="Y101" i="33"/>
  <c r="X101" i="33"/>
  <c r="W101" i="33"/>
  <c r="Y85" i="33"/>
  <c r="X85" i="33"/>
  <c r="W85" i="33"/>
  <c r="Y69" i="33"/>
  <c r="X69" i="33"/>
  <c r="W69" i="33"/>
  <c r="Y53" i="33"/>
  <c r="X53" i="33"/>
  <c r="W53" i="33"/>
  <c r="Y37" i="33"/>
  <c r="X37" i="33"/>
  <c r="W37" i="33"/>
  <c r="AC153" i="33" l="1"/>
  <c r="AC144" i="33"/>
  <c r="AC126" i="33"/>
  <c r="Y21" i="33"/>
  <c r="X21" i="33"/>
  <c r="W21" i="33"/>
  <c r="AK42" i="31" l="1"/>
  <c r="AJ42" i="31"/>
  <c r="AI42" i="31"/>
  <c r="AH42" i="31"/>
  <c r="AG42" i="31"/>
  <c r="AF42" i="31"/>
  <c r="I12" i="33" l="1"/>
  <c r="I9" i="33" l="1"/>
  <c r="U291" i="60" l="1"/>
  <c r="L291" i="60"/>
  <c r="U290" i="60"/>
  <c r="L290" i="60"/>
  <c r="AG289" i="60"/>
  <c r="AF289" i="60"/>
  <c r="AE289" i="60"/>
  <c r="AD289" i="60"/>
  <c r="AC289" i="60"/>
  <c r="AB289" i="60"/>
  <c r="AA289" i="60"/>
  <c r="Z289" i="60"/>
  <c r="Y289" i="60"/>
  <c r="X289" i="60"/>
  <c r="W289" i="60"/>
  <c r="V289" i="60"/>
  <c r="T289" i="60"/>
  <c r="S289" i="60"/>
  <c r="R289" i="60"/>
  <c r="Q289" i="60"/>
  <c r="P289" i="60"/>
  <c r="O289" i="60"/>
  <c r="N289" i="60"/>
  <c r="M289" i="60"/>
  <c r="K289" i="60"/>
  <c r="J289" i="60"/>
  <c r="I289" i="60"/>
  <c r="H289" i="60"/>
  <c r="G289" i="60"/>
  <c r="F289" i="60"/>
  <c r="E289" i="60"/>
  <c r="D289" i="60"/>
  <c r="U288" i="60"/>
  <c r="U289" i="60" s="1"/>
  <c r="L288" i="60"/>
  <c r="L289" i="60" s="1"/>
  <c r="U287" i="60"/>
  <c r="L287" i="60"/>
  <c r="U286" i="60"/>
  <c r="L286" i="60"/>
  <c r="U285" i="60"/>
  <c r="L285" i="60"/>
  <c r="U284" i="60"/>
  <c r="L284" i="60"/>
  <c r="U283" i="60"/>
  <c r="L283" i="60"/>
  <c r="U282" i="60"/>
  <c r="L282" i="60"/>
  <c r="U281" i="60"/>
  <c r="L281" i="60"/>
  <c r="U280" i="60"/>
  <c r="L280" i="60"/>
  <c r="U279" i="60"/>
  <c r="L279" i="60"/>
  <c r="U278" i="60"/>
  <c r="L278" i="60"/>
  <c r="U277" i="60"/>
  <c r="L277" i="60"/>
  <c r="U276" i="60"/>
  <c r="L276" i="60"/>
  <c r="U275" i="60"/>
  <c r="L275" i="60"/>
  <c r="U274" i="60"/>
  <c r="L274" i="60"/>
  <c r="U273" i="60"/>
  <c r="L273" i="60"/>
  <c r="U272" i="60"/>
  <c r="L272" i="60"/>
  <c r="U271" i="60"/>
  <c r="L271" i="60"/>
  <c r="U270" i="60"/>
  <c r="L270" i="60"/>
  <c r="U269" i="60"/>
  <c r="L269" i="60"/>
  <c r="U268" i="60"/>
  <c r="L268" i="60"/>
  <c r="U267" i="60"/>
  <c r="L267" i="60"/>
  <c r="U266" i="60"/>
  <c r="L266" i="60"/>
  <c r="AH265" i="60"/>
  <c r="AG265" i="60"/>
  <c r="AF265" i="60"/>
  <c r="AE265" i="60"/>
  <c r="AD265" i="60"/>
  <c r="AC265" i="60"/>
  <c r="AB265" i="60"/>
  <c r="AA265" i="60"/>
  <c r="Z265" i="60"/>
  <c r="Y265" i="60"/>
  <c r="W265" i="60"/>
  <c r="V265" i="60"/>
  <c r="K265" i="60"/>
  <c r="J265" i="60"/>
  <c r="I265" i="60"/>
  <c r="H265" i="60"/>
  <c r="G265" i="60"/>
  <c r="F265" i="60"/>
  <c r="E265" i="60"/>
  <c r="D265" i="60"/>
  <c r="U264" i="60"/>
  <c r="U265" i="60" s="1"/>
  <c r="L264" i="60"/>
  <c r="L265" i="60" s="1"/>
  <c r="U263" i="60"/>
  <c r="L263" i="60"/>
  <c r="U262" i="60"/>
  <c r="L262" i="60"/>
  <c r="U261" i="60"/>
  <c r="L261" i="60"/>
  <c r="U260" i="60"/>
  <c r="L260" i="60"/>
  <c r="U259" i="60"/>
  <c r="L259" i="60"/>
  <c r="U258" i="60"/>
  <c r="L258" i="60"/>
  <c r="U257" i="60"/>
  <c r="L257" i="60"/>
  <c r="U256" i="60"/>
  <c r="L256" i="60"/>
  <c r="U255" i="60"/>
  <c r="L255" i="60"/>
  <c r="U254" i="60"/>
  <c r="L254" i="60"/>
  <c r="U253" i="60"/>
  <c r="L253" i="60"/>
  <c r="U252" i="60"/>
  <c r="L252" i="60"/>
  <c r="U251" i="60"/>
  <c r="L251" i="60"/>
  <c r="U250" i="60"/>
  <c r="L250" i="60"/>
  <c r="U249" i="60"/>
  <c r="L249" i="60"/>
  <c r="U248" i="60"/>
  <c r="L248" i="60"/>
  <c r="U247" i="60"/>
  <c r="L247" i="60"/>
  <c r="U246" i="60"/>
  <c r="L246" i="60"/>
  <c r="U245" i="60"/>
  <c r="L245" i="60"/>
  <c r="U244" i="60"/>
  <c r="L244" i="60"/>
  <c r="N33" i="66" l="1"/>
  <c r="I20" i="34" l="1"/>
  <c r="H534" i="40" l="1"/>
  <c r="G675" i="38" l="1"/>
  <c r="I532" i="40"/>
  <c r="J532" i="40"/>
  <c r="K532" i="40"/>
  <c r="L532" i="40"/>
  <c r="M532" i="40"/>
  <c r="N532" i="40"/>
  <c r="O532" i="40"/>
  <c r="P532" i="40"/>
  <c r="Q532" i="40"/>
  <c r="R532" i="40"/>
  <c r="S532" i="40"/>
  <c r="T532" i="40"/>
  <c r="U532" i="40"/>
  <c r="V532" i="40"/>
  <c r="W532" i="40"/>
  <c r="X532" i="40"/>
  <c r="Y532" i="40"/>
  <c r="Z532" i="40"/>
  <c r="AA532" i="40"/>
  <c r="AB532" i="40"/>
  <c r="AC532" i="40"/>
  <c r="AD532" i="40"/>
  <c r="AE532" i="40"/>
  <c r="AF532" i="40"/>
  <c r="AG532" i="40"/>
  <c r="AH532" i="40"/>
  <c r="AI532" i="40"/>
  <c r="AJ532" i="40"/>
  <c r="AK532" i="40"/>
  <c r="AL532" i="40"/>
  <c r="G532" i="40"/>
  <c r="H675" i="38" l="1"/>
  <c r="I675" i="38"/>
  <c r="J675" i="38"/>
  <c r="K675" i="38"/>
  <c r="L675" i="38"/>
  <c r="M675" i="38"/>
  <c r="N675" i="38"/>
  <c r="O675" i="38"/>
  <c r="P675" i="38"/>
  <c r="Q675" i="38"/>
  <c r="R675" i="38"/>
  <c r="S675" i="38"/>
  <c r="T675" i="38"/>
  <c r="U675" i="38"/>
  <c r="V675" i="38"/>
  <c r="P22" i="45" l="1"/>
  <c r="N22" i="45"/>
  <c r="L22" i="45"/>
  <c r="J22" i="45"/>
  <c r="H22" i="45"/>
  <c r="BJ106" i="33" l="1"/>
  <c r="BE155" i="33"/>
  <c r="BG155" i="33"/>
  <c r="BH155" i="33"/>
  <c r="BI155" i="33"/>
  <c r="BJ155" i="33"/>
  <c r="BK155" i="33"/>
  <c r="BL155" i="33"/>
  <c r="BD155" i="33"/>
  <c r="BE146" i="33"/>
  <c r="BG146" i="33"/>
  <c r="BH146" i="33"/>
  <c r="BI146" i="33"/>
  <c r="BJ146" i="33"/>
  <c r="BK146" i="33"/>
  <c r="BL146" i="33"/>
  <c r="BD146" i="33"/>
  <c r="BE137" i="33"/>
  <c r="BG137" i="33"/>
  <c r="BH137" i="33"/>
  <c r="BI137" i="33"/>
  <c r="BJ137" i="33"/>
  <c r="BK137" i="33"/>
  <c r="BL137" i="33"/>
  <c r="BD137" i="33"/>
  <c r="BE128" i="33"/>
  <c r="BG128" i="33"/>
  <c r="BH128" i="33"/>
  <c r="BI128" i="33"/>
  <c r="BJ128" i="33"/>
  <c r="BK128" i="33"/>
  <c r="BL128" i="33"/>
  <c r="BD128" i="33"/>
  <c r="BE110" i="33"/>
  <c r="BG110" i="33"/>
  <c r="BH110" i="33"/>
  <c r="BI110" i="33"/>
  <c r="BJ110" i="33"/>
  <c r="BK110" i="33"/>
  <c r="BL110" i="33"/>
  <c r="BD110" i="33"/>
  <c r="BD103" i="33"/>
  <c r="BG119" i="33"/>
  <c r="BH119" i="33"/>
  <c r="BI119" i="33"/>
  <c r="BJ119" i="33"/>
  <c r="BK119" i="33"/>
  <c r="BL119" i="33"/>
  <c r="BE119" i="33"/>
  <c r="P15" i="45" l="1"/>
  <c r="N15" i="45"/>
  <c r="L15" i="45"/>
  <c r="J15" i="45"/>
  <c r="H15" i="45"/>
  <c r="N20" i="43" l="1"/>
  <c r="I261" i="34" l="1"/>
  <c r="AV42" i="31"/>
  <c r="AU42" i="31"/>
  <c r="AT42" i="31"/>
  <c r="AR42" i="31"/>
  <c r="D307" i="34"/>
  <c r="I307" i="34"/>
  <c r="J307" i="34"/>
  <c r="K307" i="34"/>
  <c r="L307" i="34"/>
  <c r="M307" i="34"/>
  <c r="N307" i="34"/>
  <c r="D277" i="34"/>
  <c r="E277" i="34"/>
  <c r="I277" i="34"/>
  <c r="J277" i="34"/>
  <c r="K277" i="34"/>
  <c r="L277" i="34"/>
  <c r="M277" i="34"/>
  <c r="N277" i="34"/>
  <c r="D255" i="34"/>
  <c r="E255" i="34"/>
  <c r="I255" i="34"/>
  <c r="J255" i="34"/>
  <c r="K255" i="34"/>
  <c r="L255" i="34"/>
  <c r="M255" i="34"/>
  <c r="N255" i="34"/>
  <c r="D324" i="34"/>
  <c r="I324" i="34"/>
  <c r="P324" i="34" s="1"/>
  <c r="D350" i="34"/>
  <c r="E350" i="34"/>
  <c r="I350" i="34"/>
  <c r="P350" i="34" s="1"/>
  <c r="P307" i="34" l="1"/>
  <c r="P277" i="34"/>
  <c r="P255" i="34"/>
  <c r="AR87" i="31" l="1"/>
  <c r="J228" i="34" l="1"/>
  <c r="K228" i="34"/>
  <c r="L228" i="34"/>
  <c r="M228" i="34"/>
  <c r="N228" i="34"/>
  <c r="O228" i="34"/>
  <c r="I228" i="34"/>
  <c r="N26" i="34"/>
  <c r="N12" i="34" l="1"/>
  <c r="O212" i="34" l="1"/>
  <c r="O211" i="34"/>
  <c r="AF94" i="31" l="1"/>
  <c r="L51" i="87" l="1"/>
  <c r="K51" i="87"/>
  <c r="K49" i="87"/>
  <c r="M49" i="87"/>
  <c r="AN38" i="32"/>
  <c r="I202" i="6" l="1"/>
  <c r="I200" i="6"/>
  <c r="P247" i="34" l="1"/>
  <c r="J212" i="34"/>
  <c r="K212" i="34"/>
  <c r="L212" i="34"/>
  <c r="M212" i="34"/>
  <c r="N212" i="34"/>
  <c r="J211" i="34"/>
  <c r="K211" i="34"/>
  <c r="L211" i="34"/>
  <c r="M211" i="34"/>
  <c r="N211" i="34"/>
  <c r="I212" i="34"/>
  <c r="I211" i="34"/>
  <c r="P203" i="34"/>
  <c r="P188" i="34"/>
  <c r="P176" i="34"/>
  <c r="P178" i="34"/>
  <c r="P180" i="34"/>
  <c r="P104" i="34"/>
  <c r="P106" i="34"/>
  <c r="P108" i="34"/>
  <c r="I259" i="34" l="1"/>
  <c r="K20" i="43" l="1"/>
  <c r="Q11" i="87" l="1"/>
  <c r="Q46" i="87"/>
  <c r="Q39" i="87"/>
  <c r="Q32" i="87"/>
  <c r="Q25" i="87"/>
  <c r="Q18" i="87"/>
  <c r="BF5" i="31"/>
  <c r="D39" i="31" l="1"/>
  <c r="D38" i="31"/>
  <c r="D34" i="31"/>
  <c r="D35" i="31"/>
  <c r="D36" i="31"/>
  <c r="D37" i="31"/>
  <c r="N309" i="34" l="1"/>
  <c r="P16" i="45" l="1"/>
  <c r="N16" i="45"/>
  <c r="L16" i="45"/>
  <c r="J16" i="45"/>
  <c r="H16" i="45"/>
  <c r="U4" i="31" l="1"/>
  <c r="I4" i="31"/>
  <c r="V4" i="31" s="1"/>
  <c r="U243" i="60" l="1"/>
  <c r="L243" i="60"/>
  <c r="U241" i="60"/>
  <c r="L241" i="60"/>
  <c r="AG240" i="60"/>
  <c r="AF240" i="60"/>
  <c r="AE240" i="60"/>
  <c r="AD240" i="60"/>
  <c r="AC240" i="60"/>
  <c r="AB240" i="60"/>
  <c r="AA240" i="60"/>
  <c r="Z240" i="60"/>
  <c r="Y240" i="60"/>
  <c r="X240" i="60"/>
  <c r="W240" i="60"/>
  <c r="V240" i="60"/>
  <c r="T240" i="60"/>
  <c r="S240" i="60"/>
  <c r="R240" i="60"/>
  <c r="Q240" i="60"/>
  <c r="P240" i="60"/>
  <c r="O240" i="60"/>
  <c r="N240" i="60"/>
  <c r="M240" i="60"/>
  <c r="K240" i="60"/>
  <c r="J240" i="60"/>
  <c r="I240" i="60"/>
  <c r="H240" i="60"/>
  <c r="G240" i="60"/>
  <c r="F240" i="60"/>
  <c r="E240" i="60"/>
  <c r="D240" i="60"/>
  <c r="U239" i="60"/>
  <c r="U240" i="60" s="1"/>
  <c r="L239" i="60"/>
  <c r="L240" i="60" s="1"/>
  <c r="U238" i="60"/>
  <c r="L238" i="60"/>
  <c r="U237" i="60"/>
  <c r="L237" i="60"/>
  <c r="U236" i="60"/>
  <c r="L236" i="60"/>
  <c r="U235" i="60"/>
  <c r="L235" i="60"/>
  <c r="U234" i="60"/>
  <c r="L234" i="60"/>
  <c r="U233" i="60"/>
  <c r="L233" i="60"/>
  <c r="U232" i="60"/>
  <c r="L232" i="60"/>
  <c r="U231" i="60"/>
  <c r="L231" i="60"/>
  <c r="U230" i="60"/>
  <c r="L230" i="60"/>
  <c r="U229" i="60"/>
  <c r="L229" i="60"/>
  <c r="U228" i="60"/>
  <c r="L228" i="60"/>
  <c r="U227" i="60"/>
  <c r="L227" i="60"/>
  <c r="U226" i="60"/>
  <c r="L226" i="60"/>
  <c r="U225" i="60"/>
  <c r="L225" i="60"/>
  <c r="U224" i="60"/>
  <c r="L224" i="60"/>
  <c r="U223" i="60"/>
  <c r="L223" i="60"/>
  <c r="U222" i="60"/>
  <c r="L222" i="60"/>
  <c r="U221" i="60"/>
  <c r="L221" i="60"/>
  <c r="U220" i="60"/>
  <c r="L220" i="60"/>
  <c r="U219" i="60"/>
  <c r="L219" i="60"/>
  <c r="U218" i="60"/>
  <c r="L218" i="60"/>
  <c r="U217" i="60"/>
  <c r="L217" i="60"/>
  <c r="AH216" i="60"/>
  <c r="AG216" i="60"/>
  <c r="AF216" i="60"/>
  <c r="AE216" i="60"/>
  <c r="AD216" i="60"/>
  <c r="AC216" i="60"/>
  <c r="AB216" i="60"/>
  <c r="AA216" i="60"/>
  <c r="Z216" i="60"/>
  <c r="Y216" i="60"/>
  <c r="W216" i="60"/>
  <c r="V216" i="60"/>
  <c r="K216" i="60"/>
  <c r="J216" i="60"/>
  <c r="I216" i="60"/>
  <c r="H216" i="60"/>
  <c r="G216" i="60"/>
  <c r="F216" i="60"/>
  <c r="E216" i="60"/>
  <c r="D216" i="60"/>
  <c r="U215" i="60"/>
  <c r="U216" i="60" s="1"/>
  <c r="L215" i="60"/>
  <c r="L216" i="60" s="1"/>
  <c r="U214" i="60"/>
  <c r="L214" i="60"/>
  <c r="U213" i="60"/>
  <c r="L213" i="60"/>
  <c r="U212" i="60"/>
  <c r="L212" i="60"/>
  <c r="U211" i="60"/>
  <c r="L211" i="60"/>
  <c r="U210" i="60"/>
  <c r="L210" i="60"/>
  <c r="U209" i="60"/>
  <c r="L209" i="60"/>
  <c r="U208" i="60"/>
  <c r="L208" i="60"/>
  <c r="U207" i="60"/>
  <c r="L207" i="60"/>
  <c r="U206" i="60"/>
  <c r="L206" i="60"/>
  <c r="U203" i="60"/>
  <c r="L203" i="60"/>
  <c r="U202" i="60"/>
  <c r="L202" i="60"/>
  <c r="U197" i="60"/>
  <c r="L197" i="60"/>
  <c r="U196" i="60"/>
  <c r="L196" i="60"/>
  <c r="U195" i="60"/>
  <c r="L195" i="60"/>
  <c r="I49" i="87" l="1"/>
  <c r="BL140" i="33" l="1"/>
  <c r="BL141" i="33"/>
  <c r="BL142" i="33"/>
  <c r="BL143" i="33"/>
  <c r="BL144" i="33"/>
  <c r="BL145" i="33"/>
  <c r="BK140" i="33"/>
  <c r="BK141" i="33"/>
  <c r="BK142" i="33"/>
  <c r="BK143" i="33"/>
  <c r="BK144" i="33"/>
  <c r="BK145" i="33"/>
  <c r="BJ140" i="33"/>
  <c r="BJ141" i="33"/>
  <c r="BJ142" i="33"/>
  <c r="BJ143" i="33"/>
  <c r="BJ144" i="33"/>
  <c r="BJ145" i="33"/>
  <c r="BI140" i="33"/>
  <c r="BI141" i="33"/>
  <c r="BI142" i="33"/>
  <c r="BI143" i="33"/>
  <c r="BI144" i="33"/>
  <c r="BI145" i="33"/>
  <c r="BH140" i="33"/>
  <c r="BH141" i="33"/>
  <c r="BH142" i="33"/>
  <c r="BH143" i="33"/>
  <c r="BH144" i="33"/>
  <c r="BH145" i="33"/>
  <c r="BG140" i="33"/>
  <c r="BG141" i="33"/>
  <c r="BG142" i="33"/>
  <c r="BG143" i="33"/>
  <c r="BG144" i="33"/>
  <c r="BG145" i="33"/>
  <c r="BE140" i="33"/>
  <c r="BE141" i="33"/>
  <c r="BE142" i="33"/>
  <c r="BE143" i="33"/>
  <c r="BE144" i="33"/>
  <c r="BE145" i="33"/>
  <c r="BD140" i="33"/>
  <c r="BD141" i="33"/>
  <c r="BD142" i="33"/>
  <c r="BD143" i="33"/>
  <c r="BD144" i="33"/>
  <c r="BD145" i="33"/>
  <c r="BE139" i="33"/>
  <c r="BG139" i="33"/>
  <c r="BH139" i="33"/>
  <c r="BI139" i="33"/>
  <c r="BJ139" i="33"/>
  <c r="BK139" i="33"/>
  <c r="BL139" i="33"/>
  <c r="BD139" i="33"/>
  <c r="BL131" i="33"/>
  <c r="BL132" i="33"/>
  <c r="BL133" i="33"/>
  <c r="BL134" i="33"/>
  <c r="BL135" i="33"/>
  <c r="BL136" i="33"/>
  <c r="BK131" i="33"/>
  <c r="BK132" i="33"/>
  <c r="BK133" i="33"/>
  <c r="BK134" i="33"/>
  <c r="BK135" i="33"/>
  <c r="BK136" i="33"/>
  <c r="BJ131" i="33"/>
  <c r="BJ132" i="33"/>
  <c r="BJ133" i="33"/>
  <c r="BJ134" i="33"/>
  <c r="BJ135" i="33"/>
  <c r="BJ136" i="33"/>
  <c r="BI131" i="33"/>
  <c r="BI132" i="33"/>
  <c r="BI133" i="33"/>
  <c r="BI134" i="33"/>
  <c r="BI135" i="33"/>
  <c r="BI136" i="33"/>
  <c r="BH131" i="33"/>
  <c r="BH132" i="33"/>
  <c r="BH133" i="33"/>
  <c r="BH134" i="33"/>
  <c r="BH135" i="33"/>
  <c r="BH136" i="33"/>
  <c r="BG131" i="33"/>
  <c r="BG132" i="33"/>
  <c r="BG133" i="33"/>
  <c r="BG134" i="33"/>
  <c r="BG135" i="33"/>
  <c r="BG136" i="33"/>
  <c r="BE131" i="33"/>
  <c r="BE132" i="33"/>
  <c r="BE133" i="33"/>
  <c r="BE134" i="33"/>
  <c r="BE135" i="33"/>
  <c r="BE136" i="33"/>
  <c r="BD131" i="33"/>
  <c r="BD132" i="33"/>
  <c r="BD133" i="33"/>
  <c r="BD134" i="33"/>
  <c r="BD135" i="33"/>
  <c r="BD136" i="33"/>
  <c r="BE130" i="33"/>
  <c r="BG130" i="33"/>
  <c r="BH130" i="33"/>
  <c r="BI130" i="33"/>
  <c r="BJ130" i="33"/>
  <c r="BK130" i="33"/>
  <c r="BL130" i="33"/>
  <c r="BD130" i="33"/>
  <c r="BL122" i="33"/>
  <c r="BL123" i="33"/>
  <c r="BL124" i="33"/>
  <c r="BL125" i="33"/>
  <c r="BL126" i="33"/>
  <c r="BL127" i="33"/>
  <c r="BK122" i="33"/>
  <c r="BK123" i="33"/>
  <c r="BK124" i="33"/>
  <c r="BK125" i="33"/>
  <c r="BK126" i="33"/>
  <c r="BK127" i="33"/>
  <c r="BJ122" i="33"/>
  <c r="BJ123" i="33"/>
  <c r="BJ124" i="33"/>
  <c r="BJ125" i="33"/>
  <c r="BJ126" i="33"/>
  <c r="BJ127" i="33"/>
  <c r="BI122" i="33"/>
  <c r="BI123" i="33"/>
  <c r="BI124" i="33"/>
  <c r="BI125" i="33"/>
  <c r="BI126" i="33"/>
  <c r="BI127" i="33"/>
  <c r="BH122" i="33"/>
  <c r="BH123" i="33"/>
  <c r="BH124" i="33"/>
  <c r="BH125" i="33"/>
  <c r="BH126" i="33"/>
  <c r="BH127" i="33"/>
  <c r="BG122" i="33"/>
  <c r="BG123" i="33"/>
  <c r="BG124" i="33"/>
  <c r="BG125" i="33"/>
  <c r="BG126" i="33"/>
  <c r="BG127" i="33"/>
  <c r="BE122" i="33"/>
  <c r="BE123" i="33"/>
  <c r="BE124" i="33"/>
  <c r="BE125" i="33"/>
  <c r="BE126" i="33"/>
  <c r="BE127" i="33"/>
  <c r="BD122" i="33"/>
  <c r="BD123" i="33"/>
  <c r="BD124" i="33"/>
  <c r="BD125" i="33"/>
  <c r="BD126" i="33"/>
  <c r="BD127" i="33"/>
  <c r="BE121" i="33"/>
  <c r="BG121" i="33"/>
  <c r="BH121" i="33"/>
  <c r="BI121" i="33"/>
  <c r="BJ121" i="33"/>
  <c r="BK121" i="33"/>
  <c r="BL121" i="33"/>
  <c r="BD121" i="33"/>
  <c r="BL113" i="33"/>
  <c r="BL114" i="33"/>
  <c r="BL115" i="33"/>
  <c r="BL116" i="33"/>
  <c r="BL117" i="33"/>
  <c r="BL118" i="33"/>
  <c r="BK113" i="33"/>
  <c r="BK114" i="33"/>
  <c r="BK115" i="33"/>
  <c r="BK116" i="33"/>
  <c r="BK117" i="33"/>
  <c r="BK118" i="33"/>
  <c r="BJ113" i="33"/>
  <c r="BJ114" i="33"/>
  <c r="BJ115" i="33"/>
  <c r="BJ116" i="33"/>
  <c r="BJ117" i="33"/>
  <c r="BJ118" i="33"/>
  <c r="BI113" i="33"/>
  <c r="BI114" i="33"/>
  <c r="BI115" i="33"/>
  <c r="BI116" i="33"/>
  <c r="BI117" i="33"/>
  <c r="BI118" i="33"/>
  <c r="BH113" i="33"/>
  <c r="BH114" i="33"/>
  <c r="BH115" i="33"/>
  <c r="BH116" i="33"/>
  <c r="BH117" i="33"/>
  <c r="BH118" i="33"/>
  <c r="BG113" i="33"/>
  <c r="BG114" i="33"/>
  <c r="BG115" i="33"/>
  <c r="BG116" i="33"/>
  <c r="BG117" i="33"/>
  <c r="BG118" i="33"/>
  <c r="BE113" i="33"/>
  <c r="BE114" i="33"/>
  <c r="BE115" i="33"/>
  <c r="BE116" i="33"/>
  <c r="BE117" i="33"/>
  <c r="BE118" i="33"/>
  <c r="BD113" i="33"/>
  <c r="BD114" i="33"/>
  <c r="BD115" i="33"/>
  <c r="BD116" i="33"/>
  <c r="BD117" i="33"/>
  <c r="BD118" i="33"/>
  <c r="BD119" i="33"/>
  <c r="BE112" i="33"/>
  <c r="BG112" i="33"/>
  <c r="BH112" i="33"/>
  <c r="BI112" i="33"/>
  <c r="BJ112" i="33"/>
  <c r="BK112" i="33"/>
  <c r="BL112" i="33"/>
  <c r="BD112" i="33"/>
  <c r="BB134" i="33" l="1"/>
  <c r="BB136" i="33"/>
  <c r="K104" i="33"/>
  <c r="J104" i="33" s="1"/>
  <c r="BL104" i="33"/>
  <c r="BL105" i="33"/>
  <c r="BL106" i="33"/>
  <c r="BL107" i="33"/>
  <c r="BL108" i="33"/>
  <c r="BL109" i="33"/>
  <c r="BK104" i="33"/>
  <c r="BK105" i="33"/>
  <c r="BK106" i="33"/>
  <c r="BK107" i="33"/>
  <c r="BK108" i="33"/>
  <c r="BK109" i="33"/>
  <c r="BJ104" i="33"/>
  <c r="BJ105" i="33"/>
  <c r="BJ107" i="33"/>
  <c r="BJ108" i="33"/>
  <c r="BJ109" i="33"/>
  <c r="BI104" i="33"/>
  <c r="BI105" i="33"/>
  <c r="BI106" i="33"/>
  <c r="BI107" i="33"/>
  <c r="BI108" i="33"/>
  <c r="BI109" i="33"/>
  <c r="BH104" i="33"/>
  <c r="BH105" i="33"/>
  <c r="BH106" i="33"/>
  <c r="BH107" i="33"/>
  <c r="BH108" i="33"/>
  <c r="BH109" i="33"/>
  <c r="BG104" i="33"/>
  <c r="BG105" i="33"/>
  <c r="BG106" i="33"/>
  <c r="BG107" i="33"/>
  <c r="BG108" i="33"/>
  <c r="BG109" i="33"/>
  <c r="BE104" i="33"/>
  <c r="BE105" i="33"/>
  <c r="BE106" i="33"/>
  <c r="BE108" i="33"/>
  <c r="BE109" i="33"/>
  <c r="BD104" i="33"/>
  <c r="BD105" i="33"/>
  <c r="BD106" i="33"/>
  <c r="BD107" i="33"/>
  <c r="BD108" i="33"/>
  <c r="BD109" i="33"/>
  <c r="BG103" i="33"/>
  <c r="BH103" i="33"/>
  <c r="BI103" i="33"/>
  <c r="BJ103" i="33"/>
  <c r="BK103" i="33"/>
  <c r="BL103" i="33"/>
  <c r="BE103" i="33"/>
  <c r="BL149" i="33"/>
  <c r="BL150" i="33"/>
  <c r="BL151" i="33"/>
  <c r="BL152" i="33"/>
  <c r="BL153" i="33"/>
  <c r="BL154" i="33"/>
  <c r="BK149" i="33"/>
  <c r="BK150" i="33"/>
  <c r="BK151" i="33"/>
  <c r="BK152" i="33"/>
  <c r="BK153" i="33"/>
  <c r="BK154" i="33"/>
  <c r="BJ149" i="33"/>
  <c r="BJ150" i="33"/>
  <c r="BJ151" i="33"/>
  <c r="BJ152" i="33"/>
  <c r="BJ153" i="33"/>
  <c r="BJ154" i="33"/>
  <c r="BI149" i="33"/>
  <c r="BI150" i="33"/>
  <c r="BI151" i="33"/>
  <c r="BI152" i="33"/>
  <c r="BI153" i="33"/>
  <c r="BI154" i="33"/>
  <c r="BH149" i="33"/>
  <c r="BH150" i="33"/>
  <c r="BH151" i="33"/>
  <c r="BH152" i="33"/>
  <c r="BH153" i="33"/>
  <c r="BH154" i="33"/>
  <c r="BG149" i="33"/>
  <c r="BG150" i="33"/>
  <c r="BG151" i="33"/>
  <c r="BG152" i="33"/>
  <c r="BG153" i="33"/>
  <c r="BG154" i="33"/>
  <c r="BE149" i="33"/>
  <c r="BE150" i="33"/>
  <c r="BE151" i="33"/>
  <c r="BE152" i="33"/>
  <c r="BE153" i="33"/>
  <c r="BE154" i="33"/>
  <c r="BD149" i="33"/>
  <c r="BD150" i="33"/>
  <c r="BD151" i="33"/>
  <c r="BD152" i="33"/>
  <c r="BD153" i="33"/>
  <c r="BD154" i="33"/>
  <c r="BE148" i="33"/>
  <c r="BG148" i="33"/>
  <c r="BH148" i="33"/>
  <c r="BI148" i="33"/>
  <c r="BJ148" i="33"/>
  <c r="BK148" i="33"/>
  <c r="BL148" i="33"/>
  <c r="BD148" i="33"/>
  <c r="L153" i="33"/>
  <c r="I105" i="33"/>
  <c r="H105" i="33" s="1"/>
  <c r="J149" i="33"/>
  <c r="J154" i="33"/>
  <c r="J155" i="33"/>
  <c r="J148" i="33"/>
  <c r="J140" i="33"/>
  <c r="J141" i="33"/>
  <c r="J145" i="33"/>
  <c r="J146" i="33"/>
  <c r="J139" i="33"/>
  <c r="K132" i="33"/>
  <c r="K131" i="33"/>
  <c r="J131" i="33"/>
  <c r="J132" i="33"/>
  <c r="J136" i="33"/>
  <c r="J137" i="33"/>
  <c r="J130" i="33"/>
  <c r="J122" i="33"/>
  <c r="J123" i="33"/>
  <c r="J127" i="33"/>
  <c r="J128" i="33"/>
  <c r="J121" i="33"/>
  <c r="K123" i="33"/>
  <c r="K122" i="33"/>
  <c r="K114" i="33"/>
  <c r="J114" i="33" s="1"/>
  <c r="K113" i="33"/>
  <c r="J113" i="33" s="1"/>
  <c r="J118" i="33"/>
  <c r="J119" i="33"/>
  <c r="J112" i="33"/>
  <c r="K105" i="33"/>
  <c r="J105" i="33" s="1"/>
  <c r="J109" i="33"/>
  <c r="J110" i="33"/>
  <c r="J103" i="33"/>
  <c r="I150" i="33"/>
  <c r="H150" i="33" s="1"/>
  <c r="I149" i="33"/>
  <c r="H149" i="33" s="1"/>
  <c r="H151" i="33"/>
  <c r="H152" i="33"/>
  <c r="H153" i="33"/>
  <c r="H154" i="33"/>
  <c r="H155" i="33"/>
  <c r="H148" i="33"/>
  <c r="I141" i="33"/>
  <c r="H141" i="33" s="1"/>
  <c r="I140" i="33"/>
  <c r="H140" i="33" s="1"/>
  <c r="H142" i="33"/>
  <c r="H143" i="33"/>
  <c r="H144" i="33"/>
  <c r="H145" i="33"/>
  <c r="H146" i="33"/>
  <c r="H139" i="33"/>
  <c r="I132" i="33"/>
  <c r="H132" i="33" s="1"/>
  <c r="I131" i="33"/>
  <c r="H131" i="33" s="1"/>
  <c r="H133" i="33"/>
  <c r="H134" i="33"/>
  <c r="H135" i="33"/>
  <c r="H136" i="33"/>
  <c r="H137" i="33"/>
  <c r="H130" i="33"/>
  <c r="I123" i="33"/>
  <c r="H123" i="33" s="1"/>
  <c r="I122" i="33"/>
  <c r="H122" i="33" s="1"/>
  <c r="H124" i="33"/>
  <c r="H125" i="33"/>
  <c r="H126" i="33"/>
  <c r="H127" i="33"/>
  <c r="H128" i="33"/>
  <c r="H121" i="33"/>
  <c r="H115" i="33"/>
  <c r="H116" i="33"/>
  <c r="H117" i="33"/>
  <c r="H118" i="33"/>
  <c r="H119" i="33"/>
  <c r="I114" i="33"/>
  <c r="H114" i="33" s="1"/>
  <c r="I113" i="33"/>
  <c r="H113" i="33" s="1"/>
  <c r="H112" i="33"/>
  <c r="H106" i="33"/>
  <c r="H107" i="33"/>
  <c r="H108" i="33"/>
  <c r="H109" i="33"/>
  <c r="H110" i="33"/>
  <c r="I104" i="33"/>
  <c r="H104" i="33" s="1"/>
  <c r="H103" i="33"/>
  <c r="BG42" i="87"/>
  <c r="BG43" i="87"/>
  <c r="BG44" i="87"/>
  <c r="BG45" i="87"/>
  <c r="BG46" i="87"/>
  <c r="BF42" i="87"/>
  <c r="BF43" i="87"/>
  <c r="BF44" i="87"/>
  <c r="BF45" i="87"/>
  <c r="BF46" i="87"/>
  <c r="BE42" i="87"/>
  <c r="BE43" i="87"/>
  <c r="BE44" i="87"/>
  <c r="BE45" i="87"/>
  <c r="BE46" i="87"/>
  <c r="BD42" i="87"/>
  <c r="BD43" i="87"/>
  <c r="BD44" i="87"/>
  <c r="BD45" i="87"/>
  <c r="BD46" i="87"/>
  <c r="BC42" i="87"/>
  <c r="BC43" i="87"/>
  <c r="BC44" i="87"/>
  <c r="BC45" i="87"/>
  <c r="BC46" i="87"/>
  <c r="BB42" i="87"/>
  <c r="BB43" i="87"/>
  <c r="BB44" i="87"/>
  <c r="BB45" i="87"/>
  <c r="BB46" i="87"/>
  <c r="BA42" i="87"/>
  <c r="BA43" i="87"/>
  <c r="BA44" i="87"/>
  <c r="BA45" i="87"/>
  <c r="BA46" i="87"/>
  <c r="AZ42" i="87"/>
  <c r="AZ43" i="87"/>
  <c r="AZ44" i="87"/>
  <c r="AZ45" i="87"/>
  <c r="AZ46" i="87"/>
  <c r="AY42" i="87"/>
  <c r="AY43" i="87"/>
  <c r="AY44" i="87"/>
  <c r="AY45" i="87"/>
  <c r="AY46" i="87"/>
  <c r="AX42" i="87"/>
  <c r="AX43" i="87"/>
  <c r="AX44" i="87"/>
  <c r="AX45" i="87"/>
  <c r="AX46" i="87"/>
  <c r="BC41" i="87"/>
  <c r="BD41" i="87"/>
  <c r="BE41" i="87"/>
  <c r="BF41" i="87"/>
  <c r="BG41" i="87"/>
  <c r="BB41" i="87"/>
  <c r="BA41" i="87"/>
  <c r="AZ41" i="87"/>
  <c r="AY41" i="87"/>
  <c r="AX41" i="87"/>
  <c r="BE35" i="87"/>
  <c r="BE36" i="87"/>
  <c r="BE37" i="87"/>
  <c r="BE38" i="87"/>
  <c r="BE39" i="87"/>
  <c r="BE34" i="87"/>
  <c r="BD35" i="87"/>
  <c r="BD36" i="87"/>
  <c r="BD37" i="87"/>
  <c r="BD38" i="87"/>
  <c r="BD39" i="87"/>
  <c r="BD34" i="87"/>
  <c r="BC35" i="87"/>
  <c r="BC36" i="87"/>
  <c r="BC37" i="87"/>
  <c r="BC38" i="87"/>
  <c r="BC39" i="87"/>
  <c r="BC34" i="87"/>
  <c r="BB35" i="87"/>
  <c r="BB36" i="87"/>
  <c r="BB37" i="87"/>
  <c r="BB38" i="87"/>
  <c r="BB39" i="87"/>
  <c r="BB34" i="87"/>
  <c r="BA35" i="87"/>
  <c r="BA36" i="87"/>
  <c r="BA37" i="87"/>
  <c r="BA38" i="87"/>
  <c r="BA39" i="87"/>
  <c r="BA34" i="87"/>
  <c r="AZ35" i="87"/>
  <c r="AZ36" i="87"/>
  <c r="AZ37" i="87"/>
  <c r="AZ38" i="87"/>
  <c r="AZ39" i="87"/>
  <c r="AZ34" i="87"/>
  <c r="AY35" i="87"/>
  <c r="AY36" i="87"/>
  <c r="AY37" i="87"/>
  <c r="AY38" i="87"/>
  <c r="AY39" i="87"/>
  <c r="AY34" i="87"/>
  <c r="AX35" i="87"/>
  <c r="AX36" i="87"/>
  <c r="AX37" i="87"/>
  <c r="AX38" i="87"/>
  <c r="AX39" i="87"/>
  <c r="AX34" i="87"/>
  <c r="BE28" i="87"/>
  <c r="BE29" i="87"/>
  <c r="BE30" i="87"/>
  <c r="BE31" i="87"/>
  <c r="BE32" i="87"/>
  <c r="BE27" i="87"/>
  <c r="BD28" i="87"/>
  <c r="BD29" i="87"/>
  <c r="BD30" i="87"/>
  <c r="BD31" i="87"/>
  <c r="BD32" i="87"/>
  <c r="BD27" i="87"/>
  <c r="BC28" i="87"/>
  <c r="BC29" i="87"/>
  <c r="BC30" i="87"/>
  <c r="BC31" i="87"/>
  <c r="BC32" i="87"/>
  <c r="BC27" i="87"/>
  <c r="BB28" i="87"/>
  <c r="BB29" i="87"/>
  <c r="BB30" i="87"/>
  <c r="BB31" i="87"/>
  <c r="BB32" i="87"/>
  <c r="BB27" i="87"/>
  <c r="BA28" i="87"/>
  <c r="BA29" i="87"/>
  <c r="BA30" i="87"/>
  <c r="BA31" i="87"/>
  <c r="BA32" i="87"/>
  <c r="BA27" i="87"/>
  <c r="AZ28" i="87"/>
  <c r="AZ29" i="87"/>
  <c r="AZ30" i="87"/>
  <c r="AZ31" i="87"/>
  <c r="AZ32" i="87"/>
  <c r="AZ27" i="87"/>
  <c r="AY28" i="87"/>
  <c r="AY29" i="87"/>
  <c r="AY30" i="87"/>
  <c r="AY31" i="87"/>
  <c r="AY32" i="87"/>
  <c r="AY27" i="87"/>
  <c r="AX28" i="87"/>
  <c r="AX29" i="87"/>
  <c r="AX30" i="87"/>
  <c r="AX31" i="87"/>
  <c r="AX32" i="87"/>
  <c r="AX27" i="87"/>
  <c r="BE21" i="87"/>
  <c r="BE22" i="87"/>
  <c r="BE23" i="87"/>
  <c r="BE24" i="87"/>
  <c r="BE25" i="87"/>
  <c r="BE20" i="87"/>
  <c r="BD21" i="87"/>
  <c r="BD22" i="87"/>
  <c r="BD23" i="87"/>
  <c r="BD24" i="87"/>
  <c r="BD25" i="87"/>
  <c r="BD20" i="87"/>
  <c r="BC21" i="87"/>
  <c r="BC22" i="87"/>
  <c r="BC23" i="87"/>
  <c r="BC24" i="87"/>
  <c r="BC25" i="87"/>
  <c r="BC20" i="87"/>
  <c r="BB21" i="87"/>
  <c r="BB22" i="87"/>
  <c r="BB23" i="87"/>
  <c r="BB24" i="87"/>
  <c r="BB25" i="87"/>
  <c r="BB20" i="87"/>
  <c r="BA21" i="87"/>
  <c r="BA22" i="87"/>
  <c r="BA23" i="87"/>
  <c r="BA24" i="87"/>
  <c r="BA25" i="87"/>
  <c r="BA20" i="87"/>
  <c r="AZ21" i="87"/>
  <c r="AZ22" i="87"/>
  <c r="AZ23" i="87"/>
  <c r="AZ24" i="87"/>
  <c r="AZ25" i="87"/>
  <c r="AZ20" i="87"/>
  <c r="AY21" i="87"/>
  <c r="AY22" i="87"/>
  <c r="AY23" i="87"/>
  <c r="AY24" i="87"/>
  <c r="AY25" i="87"/>
  <c r="AY20" i="87"/>
  <c r="AX21" i="87"/>
  <c r="AX22" i="87"/>
  <c r="AX23" i="87"/>
  <c r="AX24" i="87"/>
  <c r="AX25" i="87"/>
  <c r="AX20" i="87"/>
  <c r="BE14" i="87"/>
  <c r="BE15" i="87"/>
  <c r="BE16" i="87"/>
  <c r="BE17" i="87"/>
  <c r="BE18" i="87"/>
  <c r="BE13" i="87"/>
  <c r="BB14" i="87"/>
  <c r="BB15" i="87"/>
  <c r="BB16" i="87"/>
  <c r="BB17" i="87"/>
  <c r="BB18" i="87"/>
  <c r="BB13" i="87"/>
  <c r="BA14" i="87"/>
  <c r="BA15" i="87"/>
  <c r="BA16" i="87"/>
  <c r="BA17" i="87"/>
  <c r="BA18" i="87"/>
  <c r="BA13" i="87"/>
  <c r="AZ14" i="87"/>
  <c r="AZ15" i="87"/>
  <c r="AZ16" i="87"/>
  <c r="AZ17" i="87"/>
  <c r="AZ18" i="87"/>
  <c r="AZ13" i="87"/>
  <c r="AY14" i="87"/>
  <c r="AY15" i="87"/>
  <c r="AY16" i="87"/>
  <c r="AY17" i="87"/>
  <c r="AY18" i="87"/>
  <c r="AY13" i="87"/>
  <c r="AX14" i="87"/>
  <c r="AX15" i="87"/>
  <c r="AX16" i="87"/>
  <c r="AX17" i="87"/>
  <c r="AX18" i="87"/>
  <c r="AX13" i="87"/>
  <c r="BE7" i="87"/>
  <c r="BE8" i="87"/>
  <c r="BE9" i="87"/>
  <c r="BE10" i="87"/>
  <c r="BE11" i="87"/>
  <c r="BD7" i="87"/>
  <c r="BD8" i="87"/>
  <c r="BD9" i="87"/>
  <c r="BD10" i="87"/>
  <c r="BD11" i="87"/>
  <c r="BD6" i="87"/>
  <c r="BC7" i="87"/>
  <c r="BC8" i="87"/>
  <c r="BC9" i="87"/>
  <c r="BC10" i="87"/>
  <c r="BC11" i="87"/>
  <c r="BC6" i="87"/>
  <c r="BB7" i="87"/>
  <c r="BB8" i="87"/>
  <c r="BB9" i="87"/>
  <c r="BB10" i="87"/>
  <c r="BB11" i="87"/>
  <c r="BB6" i="87"/>
  <c r="BA7" i="87"/>
  <c r="BA8" i="87"/>
  <c r="BA9" i="87"/>
  <c r="BA10" i="87"/>
  <c r="BA11" i="87"/>
  <c r="BA6" i="87"/>
  <c r="AZ7" i="87"/>
  <c r="AZ8" i="87"/>
  <c r="AZ9" i="87"/>
  <c r="AZ10" i="87"/>
  <c r="AZ11" i="87"/>
  <c r="AY7" i="87"/>
  <c r="AY8" i="87"/>
  <c r="AY9" i="87"/>
  <c r="AY10" i="87"/>
  <c r="AY11" i="87"/>
  <c r="AX9" i="87"/>
  <c r="AX10" i="87"/>
  <c r="AX11" i="87"/>
  <c r="AX8" i="87"/>
  <c r="AX7" i="87"/>
  <c r="BE6" i="87"/>
  <c r="AZ6" i="87"/>
  <c r="AY6" i="87"/>
  <c r="AX6" i="87"/>
  <c r="H8" i="87" l="1"/>
  <c r="K498" i="34" l="1"/>
  <c r="L498" i="34"/>
  <c r="M498" i="34"/>
  <c r="N498" i="34"/>
  <c r="O498" i="34"/>
  <c r="H41" i="87" l="1"/>
  <c r="H34" i="87"/>
  <c r="H27" i="87"/>
  <c r="H20" i="87"/>
  <c r="H13" i="87" l="1"/>
  <c r="H6" i="87"/>
  <c r="H49" i="87" s="1"/>
  <c r="J281" i="34" l="1"/>
  <c r="K281" i="34"/>
  <c r="L281" i="34"/>
  <c r="M281" i="34"/>
  <c r="N281" i="34"/>
  <c r="I281" i="34"/>
  <c r="I127" i="34"/>
  <c r="I169" i="34"/>
  <c r="E281" i="34"/>
  <c r="D281" i="34"/>
  <c r="P281" i="34" l="1"/>
  <c r="AH29" i="32" s="1"/>
  <c r="K268" i="34"/>
  <c r="AG63" i="31" s="1"/>
  <c r="M319" i="34"/>
  <c r="N319" i="34"/>
  <c r="O319" i="34"/>
  <c r="K319" i="34"/>
  <c r="L319" i="34"/>
  <c r="J319" i="34"/>
  <c r="K59" i="34" l="1"/>
  <c r="L59" i="34"/>
  <c r="M59" i="34"/>
  <c r="N59" i="34"/>
  <c r="J59" i="34"/>
  <c r="I59" i="34" l="1"/>
  <c r="P59" i="34" s="1"/>
  <c r="F13" i="43" l="1"/>
  <c r="F12" i="43"/>
  <c r="F11" i="43"/>
  <c r="F10" i="43"/>
  <c r="F9" i="43"/>
  <c r="E13" i="43"/>
  <c r="E12" i="43"/>
  <c r="E11" i="43"/>
  <c r="E10" i="43"/>
  <c r="E9" i="43"/>
  <c r="I52" i="6" s="1"/>
  <c r="E8" i="43"/>
  <c r="E7" i="43"/>
  <c r="D580" i="34" l="1"/>
  <c r="J498" i="34"/>
  <c r="I498" i="34"/>
  <c r="I499" i="34" s="1"/>
  <c r="J154" i="34"/>
  <c r="K154" i="34"/>
  <c r="L154" i="34"/>
  <c r="M154" i="34"/>
  <c r="N154" i="34"/>
  <c r="J153" i="34"/>
  <c r="K153" i="34"/>
  <c r="L153" i="34"/>
  <c r="M153" i="34"/>
  <c r="N153" i="34"/>
  <c r="J152" i="34"/>
  <c r="K152" i="34"/>
  <c r="L152" i="34"/>
  <c r="M152" i="34"/>
  <c r="N152" i="34"/>
  <c r="J151" i="34"/>
  <c r="K151" i="34"/>
  <c r="L151" i="34"/>
  <c r="M151" i="34"/>
  <c r="N151" i="34"/>
  <c r="J150" i="34"/>
  <c r="K150" i="34"/>
  <c r="L150" i="34"/>
  <c r="M150" i="34"/>
  <c r="N150" i="34"/>
  <c r="J149" i="34"/>
  <c r="K149" i="34"/>
  <c r="L149" i="34"/>
  <c r="M149" i="34"/>
  <c r="N149" i="34"/>
  <c r="J146" i="34"/>
  <c r="K146" i="34"/>
  <c r="L146" i="34"/>
  <c r="M146" i="34"/>
  <c r="N146" i="34"/>
  <c r="M145" i="34"/>
  <c r="N145" i="34"/>
  <c r="J145" i="34"/>
  <c r="K145" i="34"/>
  <c r="L145" i="34"/>
  <c r="J144" i="34"/>
  <c r="K144" i="34"/>
  <c r="L144" i="34"/>
  <c r="M144" i="34"/>
  <c r="N144" i="34"/>
  <c r="J141" i="34"/>
  <c r="K141" i="34"/>
  <c r="L141" i="34"/>
  <c r="M141" i="34"/>
  <c r="N141" i="34"/>
  <c r="O141" i="34"/>
  <c r="J139" i="34"/>
  <c r="K139" i="34"/>
  <c r="L139" i="34"/>
  <c r="M139" i="34"/>
  <c r="N139" i="34"/>
  <c r="O139" i="34"/>
  <c r="J138" i="34"/>
  <c r="AF75" i="31" s="1"/>
  <c r="K138" i="34"/>
  <c r="AG75" i="31" s="1"/>
  <c r="L138" i="34"/>
  <c r="AH75" i="31" s="1"/>
  <c r="M138" i="34"/>
  <c r="AI75" i="31" s="1"/>
  <c r="N138" i="34"/>
  <c r="AJ75" i="31" s="1"/>
  <c r="I154" i="34"/>
  <c r="I153" i="34"/>
  <c r="I152" i="34"/>
  <c r="I151" i="34"/>
  <c r="I150" i="34"/>
  <c r="I149" i="34"/>
  <c r="I146" i="34"/>
  <c r="I145" i="34"/>
  <c r="I144" i="34"/>
  <c r="I138" i="34"/>
  <c r="I141" i="34"/>
  <c r="I139" i="34"/>
  <c r="E137" i="34"/>
  <c r="E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D154" i="34"/>
  <c r="D153" i="34"/>
  <c r="D152" i="34"/>
  <c r="D151" i="34"/>
  <c r="D150" i="34"/>
  <c r="D149" i="34"/>
  <c r="D148" i="34"/>
  <c r="D147" i="34"/>
  <c r="D146" i="34"/>
  <c r="D145" i="34"/>
  <c r="D144" i="34"/>
  <c r="D143" i="34"/>
  <c r="D142" i="34"/>
  <c r="D141" i="34"/>
  <c r="D140" i="34"/>
  <c r="D139" i="34"/>
  <c r="D138" i="34"/>
  <c r="D137" i="34"/>
  <c r="O303" i="34"/>
  <c r="O302" i="34"/>
  <c r="O301" i="34"/>
  <c r="J312" i="34"/>
  <c r="K312" i="34"/>
  <c r="L312" i="34"/>
  <c r="M312" i="34"/>
  <c r="N312" i="34"/>
  <c r="J311" i="34"/>
  <c r="K311" i="34"/>
  <c r="L311" i="34"/>
  <c r="M311" i="34"/>
  <c r="N311" i="34"/>
  <c r="J310" i="34"/>
  <c r="K310" i="34"/>
  <c r="L310" i="34"/>
  <c r="M310" i="34"/>
  <c r="N310" i="34"/>
  <c r="J309" i="34"/>
  <c r="K309" i="34"/>
  <c r="L309" i="34"/>
  <c r="M309" i="34"/>
  <c r="J306" i="34"/>
  <c r="K306" i="34"/>
  <c r="L306" i="34"/>
  <c r="M306" i="34"/>
  <c r="N306" i="34"/>
  <c r="J303" i="34"/>
  <c r="K303" i="34"/>
  <c r="L303" i="34"/>
  <c r="M303" i="34"/>
  <c r="N303" i="34"/>
  <c r="J302" i="34"/>
  <c r="K302" i="34"/>
  <c r="L302" i="34"/>
  <c r="M302" i="34"/>
  <c r="N302" i="34"/>
  <c r="J301" i="34"/>
  <c r="K301" i="34"/>
  <c r="L301" i="34"/>
  <c r="M301" i="34"/>
  <c r="N301" i="34"/>
  <c r="J299" i="34"/>
  <c r="AF67" i="31" s="1"/>
  <c r="K299" i="34"/>
  <c r="AG67" i="31" s="1"/>
  <c r="L299" i="34"/>
  <c r="AH67" i="31" s="1"/>
  <c r="M299" i="34"/>
  <c r="AI67" i="31" s="1"/>
  <c r="N299" i="34"/>
  <c r="AJ67" i="31" s="1"/>
  <c r="I312" i="34"/>
  <c r="I309" i="34"/>
  <c r="I310" i="34"/>
  <c r="I311" i="34"/>
  <c r="I306" i="34"/>
  <c r="I303" i="34"/>
  <c r="I299" i="34"/>
  <c r="I302" i="34"/>
  <c r="I301" i="34"/>
  <c r="D298" i="34"/>
  <c r="D299" i="34"/>
  <c r="D300" i="34"/>
  <c r="D301" i="34"/>
  <c r="D302" i="34"/>
  <c r="D303" i="34"/>
  <c r="D304" i="34"/>
  <c r="D305" i="34"/>
  <c r="D306" i="34"/>
  <c r="D308" i="34"/>
  <c r="D309" i="34"/>
  <c r="D310" i="34"/>
  <c r="D311" i="34"/>
  <c r="D312" i="34"/>
  <c r="D314" i="34"/>
  <c r="M262" i="34"/>
  <c r="N262" i="34"/>
  <c r="M261" i="34"/>
  <c r="N261" i="34"/>
  <c r="M260" i="34"/>
  <c r="N260" i="34"/>
  <c r="M259" i="34"/>
  <c r="N259" i="34"/>
  <c r="X62" i="31"/>
  <c r="Y62" i="31"/>
  <c r="M254" i="34"/>
  <c r="N254" i="34"/>
  <c r="M248" i="34"/>
  <c r="N248" i="34"/>
  <c r="O248" i="34"/>
  <c r="M246" i="34"/>
  <c r="AI62" i="31" s="1"/>
  <c r="N246" i="34"/>
  <c r="AJ62" i="31" s="1"/>
  <c r="K246" i="34"/>
  <c r="AG62" i="31" s="1"/>
  <c r="L246" i="34"/>
  <c r="AH62" i="31" s="1"/>
  <c r="K248" i="34"/>
  <c r="L248" i="34"/>
  <c r="J262" i="34"/>
  <c r="K262" i="34"/>
  <c r="L262" i="34"/>
  <c r="J261" i="34"/>
  <c r="K261" i="34"/>
  <c r="L261" i="34"/>
  <c r="J260" i="34"/>
  <c r="K260" i="34"/>
  <c r="L260" i="34"/>
  <c r="J259" i="34"/>
  <c r="K259" i="34"/>
  <c r="L259" i="34"/>
  <c r="U62" i="31"/>
  <c r="V62" i="31"/>
  <c r="W62" i="31"/>
  <c r="J254" i="34"/>
  <c r="K254" i="34"/>
  <c r="L254" i="34"/>
  <c r="J248" i="34"/>
  <c r="J246" i="34"/>
  <c r="AF62" i="31" s="1"/>
  <c r="I262" i="34"/>
  <c r="I260" i="34"/>
  <c r="I254" i="34"/>
  <c r="I246" i="34"/>
  <c r="I248" i="34"/>
  <c r="E244" i="34"/>
  <c r="E245" i="34"/>
  <c r="E246" i="34"/>
  <c r="E247" i="34"/>
  <c r="E248" i="34"/>
  <c r="E249" i="34"/>
  <c r="E250" i="34"/>
  <c r="E251" i="34"/>
  <c r="E252" i="34"/>
  <c r="E253" i="34"/>
  <c r="E254" i="34"/>
  <c r="E256" i="34"/>
  <c r="E257" i="34"/>
  <c r="E258" i="34"/>
  <c r="E259" i="34"/>
  <c r="E260" i="34"/>
  <c r="E261" i="34"/>
  <c r="E262" i="34"/>
  <c r="E243" i="34"/>
  <c r="E265" i="34"/>
  <c r="D243" i="34"/>
  <c r="D262" i="34"/>
  <c r="D261" i="34"/>
  <c r="D260" i="34"/>
  <c r="D259" i="34"/>
  <c r="D258" i="34"/>
  <c r="D257" i="34"/>
  <c r="D256" i="34"/>
  <c r="D254" i="34"/>
  <c r="D253" i="34"/>
  <c r="D252" i="34"/>
  <c r="D251" i="34"/>
  <c r="D250" i="34"/>
  <c r="D249" i="34"/>
  <c r="D248" i="34"/>
  <c r="D247" i="34"/>
  <c r="D246" i="34"/>
  <c r="D245" i="34"/>
  <c r="D244" i="34"/>
  <c r="D265" i="34"/>
  <c r="I316" i="34"/>
  <c r="I342" i="34"/>
  <c r="E345" i="34"/>
  <c r="D345" i="34"/>
  <c r="I319" i="34"/>
  <c r="D319" i="34"/>
  <c r="V63" i="31"/>
  <c r="W63" i="31"/>
  <c r="X63" i="31"/>
  <c r="Y63" i="31"/>
  <c r="U63" i="31"/>
  <c r="J81" i="34"/>
  <c r="P145" i="34" l="1"/>
  <c r="P260" i="34"/>
  <c r="P310" i="34"/>
  <c r="N308" i="34"/>
  <c r="N313" i="34" s="1"/>
  <c r="AW67" i="31" s="1"/>
  <c r="P153" i="34"/>
  <c r="P311" i="34"/>
  <c r="AL36" i="32" s="1"/>
  <c r="P144" i="34"/>
  <c r="P152" i="34"/>
  <c r="P299" i="34"/>
  <c r="P309" i="34"/>
  <c r="P146" i="34"/>
  <c r="P40" i="32" s="1"/>
  <c r="P154" i="34"/>
  <c r="P259" i="34"/>
  <c r="W70" i="31"/>
  <c r="P312" i="34"/>
  <c r="P149" i="34"/>
  <c r="P261" i="34"/>
  <c r="AL28" i="32" s="1"/>
  <c r="I244" i="34"/>
  <c r="P246" i="34"/>
  <c r="P254" i="34"/>
  <c r="V70" i="31"/>
  <c r="Y70" i="31"/>
  <c r="P306" i="34"/>
  <c r="P150" i="34"/>
  <c r="P262" i="34"/>
  <c r="I340" i="34"/>
  <c r="I341" i="34" s="1"/>
  <c r="T62" i="31"/>
  <c r="U70" i="31"/>
  <c r="X70" i="31"/>
  <c r="P138" i="34"/>
  <c r="P151" i="34"/>
  <c r="K308" i="34"/>
  <c r="K313" i="34" s="1"/>
  <c r="AT67" i="31" s="1"/>
  <c r="J137" i="34"/>
  <c r="I75" i="31" s="1"/>
  <c r="L137" i="34"/>
  <c r="K75" i="31" s="1"/>
  <c r="K137" i="34"/>
  <c r="J75" i="31" s="1"/>
  <c r="M137" i="34"/>
  <c r="L75" i="31" s="1"/>
  <c r="J147" i="34"/>
  <c r="J148" i="34" s="1"/>
  <c r="N147" i="34"/>
  <c r="N148" i="34" s="1"/>
  <c r="N155" i="34" s="1"/>
  <c r="AW75" i="31" s="1"/>
  <c r="M147" i="34"/>
  <c r="M148" i="34" s="1"/>
  <c r="M155" i="34" s="1"/>
  <c r="AV75" i="31" s="1"/>
  <c r="L147" i="34"/>
  <c r="L148" i="34" s="1"/>
  <c r="L155" i="34" s="1"/>
  <c r="AU75" i="31" s="1"/>
  <c r="K147" i="34"/>
  <c r="K148" i="34" s="1"/>
  <c r="K155" i="34" s="1"/>
  <c r="AT75" i="31" s="1"/>
  <c r="I137" i="34"/>
  <c r="H75" i="31" s="1"/>
  <c r="N137" i="34"/>
  <c r="M75" i="31" s="1"/>
  <c r="I147" i="34"/>
  <c r="M308" i="34"/>
  <c r="M313" i="34" s="1"/>
  <c r="AV67" i="31" s="1"/>
  <c r="L308" i="34"/>
  <c r="L313" i="34" s="1"/>
  <c r="AU67" i="31" s="1"/>
  <c r="M298" i="34"/>
  <c r="L67" i="31" s="1"/>
  <c r="L298" i="34"/>
  <c r="K67" i="31" s="1"/>
  <c r="K298" i="34"/>
  <c r="J67" i="31" s="1"/>
  <c r="J308" i="34"/>
  <c r="J313" i="34" s="1"/>
  <c r="AS67" i="31" s="1"/>
  <c r="J298" i="34"/>
  <c r="I67" i="31" s="1"/>
  <c r="N298" i="34"/>
  <c r="M67" i="31" s="1"/>
  <c r="I308" i="34"/>
  <c r="I298" i="34"/>
  <c r="K243" i="34"/>
  <c r="I243" i="34"/>
  <c r="L243" i="34"/>
  <c r="N243" i="34"/>
  <c r="M243" i="34"/>
  <c r="J243" i="34"/>
  <c r="I62" i="31" s="1"/>
  <c r="J244" i="34"/>
  <c r="E271" i="34"/>
  <c r="D271" i="34"/>
  <c r="I245" i="34" l="1"/>
  <c r="C75" i="31"/>
  <c r="AF40" i="32"/>
  <c r="AB29" i="32"/>
  <c r="T63" i="31"/>
  <c r="I313" i="34"/>
  <c r="AR67" i="31" s="1"/>
  <c r="P308" i="34"/>
  <c r="H62" i="31"/>
  <c r="P243" i="34"/>
  <c r="P137" i="34"/>
  <c r="H67" i="31"/>
  <c r="P298" i="34"/>
  <c r="I148" i="34"/>
  <c r="P147" i="34"/>
  <c r="L244" i="34"/>
  <c r="K62" i="31"/>
  <c r="K244" i="34"/>
  <c r="J62" i="31"/>
  <c r="M244" i="34"/>
  <c r="M245" i="34" s="1"/>
  <c r="L62" i="31"/>
  <c r="N244" i="34"/>
  <c r="M62" i="31"/>
  <c r="J155" i="34"/>
  <c r="AS75" i="31" s="1"/>
  <c r="J245" i="34"/>
  <c r="U194" i="60"/>
  <c r="L194" i="60"/>
  <c r="U193" i="60"/>
  <c r="L193" i="60"/>
  <c r="AG192" i="60"/>
  <c r="AF192" i="60"/>
  <c r="AE192" i="60"/>
  <c r="AD192" i="60"/>
  <c r="AC192" i="60"/>
  <c r="AB192" i="60"/>
  <c r="AA192" i="60"/>
  <c r="Z192" i="60"/>
  <c r="Y192" i="60"/>
  <c r="X192" i="60"/>
  <c r="W192" i="60"/>
  <c r="V192" i="60"/>
  <c r="T192" i="60"/>
  <c r="S192" i="60"/>
  <c r="R192" i="60"/>
  <c r="Q192" i="60"/>
  <c r="P192" i="60"/>
  <c r="O192" i="60"/>
  <c r="N192" i="60"/>
  <c r="M192" i="60"/>
  <c r="K192" i="60"/>
  <c r="J192" i="60"/>
  <c r="I192" i="60"/>
  <c r="H192" i="60"/>
  <c r="G192" i="60"/>
  <c r="F192" i="60"/>
  <c r="E192" i="60"/>
  <c r="D192" i="60"/>
  <c r="U191" i="60"/>
  <c r="U192" i="60" s="1"/>
  <c r="L191" i="60"/>
  <c r="L192" i="60" s="1"/>
  <c r="U190" i="60"/>
  <c r="L190" i="60"/>
  <c r="U189" i="60"/>
  <c r="L189" i="60"/>
  <c r="U188" i="60"/>
  <c r="L188" i="60"/>
  <c r="U187" i="60"/>
  <c r="L187" i="60"/>
  <c r="U186" i="60"/>
  <c r="L186" i="60"/>
  <c r="U185" i="60"/>
  <c r="L185" i="60"/>
  <c r="U184" i="60"/>
  <c r="L184" i="60"/>
  <c r="U183" i="60"/>
  <c r="L183" i="60"/>
  <c r="U182" i="60"/>
  <c r="L182" i="60"/>
  <c r="U181" i="60"/>
  <c r="L181" i="60"/>
  <c r="U180" i="60"/>
  <c r="L180" i="60"/>
  <c r="U179" i="60"/>
  <c r="L179" i="60"/>
  <c r="U178" i="60"/>
  <c r="L178" i="60"/>
  <c r="U177" i="60"/>
  <c r="L177" i="60"/>
  <c r="U176" i="60"/>
  <c r="L176" i="60"/>
  <c r="U175" i="60"/>
  <c r="L175" i="60"/>
  <c r="U174" i="60"/>
  <c r="L174" i="60"/>
  <c r="U173" i="60"/>
  <c r="L173" i="60"/>
  <c r="U172" i="60"/>
  <c r="L172" i="60"/>
  <c r="U171" i="60"/>
  <c r="L171" i="60"/>
  <c r="U170" i="60"/>
  <c r="L170" i="60"/>
  <c r="U169" i="60"/>
  <c r="L169" i="60"/>
  <c r="AH168" i="60"/>
  <c r="AG168" i="60"/>
  <c r="AF168" i="60"/>
  <c r="AE168" i="60"/>
  <c r="AD168" i="60"/>
  <c r="AC168" i="60"/>
  <c r="AB168" i="60"/>
  <c r="AA168" i="60"/>
  <c r="Z168" i="60"/>
  <c r="Y168" i="60"/>
  <c r="W168" i="60"/>
  <c r="V168" i="60"/>
  <c r="K168" i="60"/>
  <c r="J168" i="60"/>
  <c r="I168" i="60"/>
  <c r="H168" i="60"/>
  <c r="G168" i="60"/>
  <c r="F168" i="60"/>
  <c r="E168" i="60"/>
  <c r="D168" i="60"/>
  <c r="U167" i="60"/>
  <c r="U168" i="60" s="1"/>
  <c r="L167" i="60"/>
  <c r="L168" i="60" s="1"/>
  <c r="U166" i="60"/>
  <c r="L166" i="60"/>
  <c r="U165" i="60"/>
  <c r="L165" i="60"/>
  <c r="U164" i="60"/>
  <c r="L164" i="60"/>
  <c r="U163" i="60"/>
  <c r="L163" i="60"/>
  <c r="U162" i="60"/>
  <c r="L162" i="60"/>
  <c r="U161" i="60"/>
  <c r="L161" i="60"/>
  <c r="U160" i="60"/>
  <c r="L160" i="60"/>
  <c r="U159" i="60"/>
  <c r="L159" i="60"/>
  <c r="U158" i="60"/>
  <c r="L158" i="60"/>
  <c r="U155" i="60"/>
  <c r="L155" i="60"/>
  <c r="U154" i="60"/>
  <c r="L154" i="60"/>
  <c r="U153" i="60"/>
  <c r="L153" i="60"/>
  <c r="U152" i="60"/>
  <c r="L152" i="60"/>
  <c r="U151" i="60"/>
  <c r="L151" i="60"/>
  <c r="U150" i="60"/>
  <c r="L150" i="60"/>
  <c r="U149" i="60"/>
  <c r="L149" i="60"/>
  <c r="U148" i="60"/>
  <c r="L148" i="60"/>
  <c r="U147" i="60"/>
  <c r="L147" i="60"/>
  <c r="L245" i="34" l="1"/>
  <c r="K245" i="34"/>
  <c r="N245" i="34"/>
  <c r="P244" i="34"/>
  <c r="P313" i="34"/>
  <c r="AY53" i="87" s="1"/>
  <c r="T70" i="31"/>
  <c r="I155" i="34"/>
  <c r="P148" i="34"/>
  <c r="U146" i="60"/>
  <c r="L146" i="60"/>
  <c r="U145" i="60"/>
  <c r="L145" i="60"/>
  <c r="AG144" i="60"/>
  <c r="AF144" i="60"/>
  <c r="AE144" i="60"/>
  <c r="AD144" i="60"/>
  <c r="AC144" i="60"/>
  <c r="AB144" i="60"/>
  <c r="AA144" i="60"/>
  <c r="Z144" i="60"/>
  <c r="Y144" i="60"/>
  <c r="X144" i="60"/>
  <c r="W144" i="60"/>
  <c r="V144" i="60"/>
  <c r="T144" i="60"/>
  <c r="S144" i="60"/>
  <c r="R144" i="60"/>
  <c r="Q144" i="60"/>
  <c r="P144" i="60"/>
  <c r="O144" i="60"/>
  <c r="N144" i="60"/>
  <c r="M144" i="60"/>
  <c r="K144" i="60"/>
  <c r="J144" i="60"/>
  <c r="I144" i="60"/>
  <c r="H144" i="60"/>
  <c r="G144" i="60"/>
  <c r="F144" i="60"/>
  <c r="E144" i="60"/>
  <c r="D144" i="60"/>
  <c r="U143" i="60"/>
  <c r="U144" i="60" s="1"/>
  <c r="L143" i="60"/>
  <c r="L144" i="60" s="1"/>
  <c r="U142" i="60"/>
  <c r="L142" i="60"/>
  <c r="U141" i="60"/>
  <c r="L141" i="60"/>
  <c r="U140" i="60"/>
  <c r="L140" i="60"/>
  <c r="U139" i="60"/>
  <c r="L139" i="60"/>
  <c r="U138" i="60"/>
  <c r="L138" i="60"/>
  <c r="U137" i="60"/>
  <c r="L137" i="60"/>
  <c r="U136" i="60"/>
  <c r="L136" i="60"/>
  <c r="U135" i="60"/>
  <c r="L135" i="60"/>
  <c r="U134" i="60"/>
  <c r="L134" i="60"/>
  <c r="U133" i="60"/>
  <c r="L133" i="60"/>
  <c r="U132" i="60"/>
  <c r="L132" i="60"/>
  <c r="U131" i="60"/>
  <c r="L131" i="60"/>
  <c r="U130" i="60"/>
  <c r="L130" i="60"/>
  <c r="U129" i="60"/>
  <c r="L129" i="60"/>
  <c r="U128" i="60"/>
  <c r="L128" i="60"/>
  <c r="U127" i="60"/>
  <c r="L127" i="60"/>
  <c r="U126" i="60"/>
  <c r="L126" i="60"/>
  <c r="U125" i="60"/>
  <c r="L125" i="60"/>
  <c r="U124" i="60"/>
  <c r="L124" i="60"/>
  <c r="U123" i="60"/>
  <c r="L123" i="60"/>
  <c r="U122" i="60"/>
  <c r="L122" i="60"/>
  <c r="U121" i="60"/>
  <c r="L121" i="60"/>
  <c r="AH120" i="60"/>
  <c r="AG120" i="60"/>
  <c r="AF120" i="60"/>
  <c r="AE120" i="60"/>
  <c r="AD120" i="60"/>
  <c r="AC120" i="60"/>
  <c r="AB120" i="60"/>
  <c r="AA120" i="60"/>
  <c r="Z120" i="60"/>
  <c r="Y120" i="60"/>
  <c r="W120" i="60"/>
  <c r="V120" i="60"/>
  <c r="K120" i="60"/>
  <c r="J120" i="60"/>
  <c r="I120" i="60"/>
  <c r="H120" i="60"/>
  <c r="G120" i="60"/>
  <c r="F120" i="60"/>
  <c r="E120" i="60"/>
  <c r="D120" i="60"/>
  <c r="U119" i="60"/>
  <c r="U120" i="60" s="1"/>
  <c r="L119" i="60"/>
  <c r="L120" i="60" s="1"/>
  <c r="U118" i="60"/>
  <c r="L118" i="60"/>
  <c r="U117" i="60"/>
  <c r="L117" i="60"/>
  <c r="U116" i="60"/>
  <c r="L116" i="60"/>
  <c r="U115" i="60"/>
  <c r="L115" i="60"/>
  <c r="U114" i="60"/>
  <c r="L114" i="60"/>
  <c r="U113" i="60"/>
  <c r="L113" i="60"/>
  <c r="U112" i="60"/>
  <c r="L112" i="60"/>
  <c r="U111" i="60"/>
  <c r="L111" i="60"/>
  <c r="U110" i="60"/>
  <c r="L110" i="60"/>
  <c r="U107" i="60"/>
  <c r="L107" i="60"/>
  <c r="U106" i="60"/>
  <c r="L106" i="60"/>
  <c r="U105" i="60"/>
  <c r="L105" i="60"/>
  <c r="U104" i="60"/>
  <c r="L104" i="60"/>
  <c r="U103" i="60"/>
  <c r="L103" i="60"/>
  <c r="U102" i="60"/>
  <c r="L102" i="60"/>
  <c r="U101" i="60"/>
  <c r="L101" i="60"/>
  <c r="U100" i="60"/>
  <c r="L100" i="60"/>
  <c r="U99" i="60"/>
  <c r="L99" i="60"/>
  <c r="AR75" i="31" l="1"/>
  <c r="P245" i="34"/>
  <c r="P155" i="34"/>
  <c r="J124" i="34"/>
  <c r="K124" i="34"/>
  <c r="L124" i="34"/>
  <c r="M124" i="34"/>
  <c r="N124" i="34"/>
  <c r="J123" i="34"/>
  <c r="K123" i="34"/>
  <c r="L123" i="34"/>
  <c r="M123" i="34"/>
  <c r="N123" i="34"/>
  <c r="J82" i="34"/>
  <c r="K82" i="34"/>
  <c r="L82" i="34"/>
  <c r="M82" i="34"/>
  <c r="N82" i="34"/>
  <c r="K81" i="34"/>
  <c r="L81" i="34"/>
  <c r="M81" i="34"/>
  <c r="N81" i="34"/>
  <c r="J58" i="34"/>
  <c r="K58" i="34"/>
  <c r="L58" i="34"/>
  <c r="M58" i="34"/>
  <c r="N58" i="34"/>
  <c r="J53" i="34"/>
  <c r="K53" i="34"/>
  <c r="L53" i="34"/>
  <c r="M53" i="34"/>
  <c r="N53" i="34"/>
  <c r="O53" i="34"/>
  <c r="J20" i="34"/>
  <c r="K20" i="34"/>
  <c r="L20" i="34"/>
  <c r="M20" i="34"/>
  <c r="N20" i="34"/>
  <c r="J19" i="34"/>
  <c r="K19" i="34"/>
  <c r="L19" i="34"/>
  <c r="M19" i="34"/>
  <c r="N19" i="34"/>
  <c r="J16" i="34"/>
  <c r="K16" i="34"/>
  <c r="L16" i="34"/>
  <c r="M16" i="34"/>
  <c r="N16" i="34"/>
  <c r="O16" i="34"/>
  <c r="AG98" i="60" l="1"/>
  <c r="AF98" i="60"/>
  <c r="AE98" i="60"/>
  <c r="AD98" i="60"/>
  <c r="AC98" i="60"/>
  <c r="AB98" i="60"/>
  <c r="AA98" i="60"/>
  <c r="Z98" i="60"/>
  <c r="Y98" i="60"/>
  <c r="W98" i="60"/>
  <c r="V98" i="60"/>
  <c r="T98" i="60"/>
  <c r="S98" i="60"/>
  <c r="R98" i="60"/>
  <c r="Q98" i="60"/>
  <c r="P98" i="60"/>
  <c r="O98" i="60"/>
  <c r="N98" i="60"/>
  <c r="M98" i="60"/>
  <c r="K98" i="60"/>
  <c r="J98" i="60"/>
  <c r="I98" i="60"/>
  <c r="H98" i="60"/>
  <c r="G98" i="60"/>
  <c r="F98" i="60"/>
  <c r="E98" i="60"/>
  <c r="D98" i="60"/>
  <c r="U97" i="60"/>
  <c r="U98" i="60" s="1"/>
  <c r="L97" i="60"/>
  <c r="L98" i="60" s="1"/>
  <c r="U96" i="60"/>
  <c r="L96" i="60"/>
  <c r="AG95" i="60"/>
  <c r="AF95" i="60"/>
  <c r="AE95" i="60"/>
  <c r="AD95" i="60"/>
  <c r="AC95" i="60"/>
  <c r="AB95" i="60"/>
  <c r="AA95" i="60"/>
  <c r="Z95" i="60"/>
  <c r="Y95" i="60"/>
  <c r="X95" i="60"/>
  <c r="W95" i="60"/>
  <c r="V95" i="60"/>
  <c r="T95" i="60"/>
  <c r="S95" i="60"/>
  <c r="R95" i="60"/>
  <c r="Q95" i="60"/>
  <c r="P95" i="60"/>
  <c r="O95" i="60"/>
  <c r="N95" i="60"/>
  <c r="M95" i="60"/>
  <c r="K95" i="60"/>
  <c r="J95" i="60"/>
  <c r="I95" i="60"/>
  <c r="H95" i="60"/>
  <c r="G95" i="60"/>
  <c r="F95" i="60"/>
  <c r="E95" i="60"/>
  <c r="D95" i="60"/>
  <c r="U94" i="60"/>
  <c r="U95" i="60" s="1"/>
  <c r="L94" i="60"/>
  <c r="L95" i="60" s="1"/>
  <c r="U93" i="60"/>
  <c r="L93" i="60"/>
  <c r="U92" i="60"/>
  <c r="L92" i="60"/>
  <c r="U91" i="60"/>
  <c r="L91" i="60"/>
  <c r="U90" i="60"/>
  <c r="L90" i="60"/>
  <c r="U89" i="60"/>
  <c r="L89" i="60"/>
  <c r="U88" i="60"/>
  <c r="L88" i="60"/>
  <c r="U87" i="60"/>
  <c r="L87" i="60"/>
  <c r="U86" i="60"/>
  <c r="L86" i="60"/>
  <c r="U85" i="60"/>
  <c r="L85" i="60"/>
  <c r="U84" i="60"/>
  <c r="L84" i="60"/>
  <c r="U83" i="60"/>
  <c r="L83" i="60"/>
  <c r="U82" i="60"/>
  <c r="L82" i="60"/>
  <c r="U81" i="60"/>
  <c r="L81" i="60"/>
  <c r="U80" i="60"/>
  <c r="L80" i="60"/>
  <c r="U79" i="60"/>
  <c r="L79" i="60"/>
  <c r="U78" i="60"/>
  <c r="L78" i="60"/>
  <c r="U77" i="60"/>
  <c r="L77" i="60"/>
  <c r="U76" i="60"/>
  <c r="L76" i="60"/>
  <c r="U75" i="60"/>
  <c r="L75" i="60"/>
  <c r="U74" i="60"/>
  <c r="L74" i="60"/>
  <c r="U73" i="60"/>
  <c r="L73" i="60"/>
  <c r="U72" i="60"/>
  <c r="L72" i="60"/>
  <c r="AH71" i="60"/>
  <c r="AG71" i="60"/>
  <c r="AF71" i="60"/>
  <c r="AE71" i="60"/>
  <c r="AD71" i="60"/>
  <c r="AC71" i="60"/>
  <c r="AB71" i="60"/>
  <c r="AA71" i="60"/>
  <c r="Z71" i="60"/>
  <c r="Y71" i="60"/>
  <c r="W71" i="60"/>
  <c r="V71" i="60"/>
  <c r="K71" i="60"/>
  <c r="J71" i="60"/>
  <c r="I71" i="60"/>
  <c r="H71" i="60"/>
  <c r="G71" i="60"/>
  <c r="F71" i="60"/>
  <c r="E71" i="60"/>
  <c r="D71" i="60"/>
  <c r="U70" i="60"/>
  <c r="U71" i="60" s="1"/>
  <c r="L70" i="60"/>
  <c r="L71" i="60" s="1"/>
  <c r="U69" i="60"/>
  <c r="L69" i="60"/>
  <c r="U68" i="60"/>
  <c r="L68" i="60"/>
  <c r="U67" i="60"/>
  <c r="L67" i="60"/>
  <c r="U66" i="60"/>
  <c r="L66" i="60"/>
  <c r="U65" i="60"/>
  <c r="L65" i="60"/>
  <c r="U64" i="60"/>
  <c r="L64" i="60"/>
  <c r="U63" i="60"/>
  <c r="L63" i="60"/>
  <c r="U62" i="60"/>
  <c r="L62" i="60"/>
  <c r="U61" i="60"/>
  <c r="L61" i="60"/>
  <c r="U60" i="60"/>
  <c r="L60" i="60"/>
  <c r="U59" i="60"/>
  <c r="L59" i="60"/>
  <c r="U58" i="60"/>
  <c r="L58" i="60"/>
  <c r="U57" i="60"/>
  <c r="L57" i="60"/>
  <c r="U56" i="60"/>
  <c r="L56" i="60"/>
  <c r="U55" i="60"/>
  <c r="L55" i="60"/>
  <c r="U54" i="60"/>
  <c r="L54" i="60"/>
  <c r="U53" i="60"/>
  <c r="L53" i="60"/>
  <c r="U52" i="60"/>
  <c r="L52" i="60"/>
  <c r="E493" i="34" l="1"/>
  <c r="E494" i="34"/>
  <c r="E495" i="34"/>
  <c r="E496" i="34"/>
  <c r="E497" i="34"/>
  <c r="E498" i="34"/>
  <c r="E499" i="34"/>
  <c r="E500" i="34"/>
  <c r="E501" i="34"/>
  <c r="E502" i="34"/>
  <c r="E504" i="34"/>
  <c r="E505" i="34"/>
  <c r="E506" i="34"/>
  <c r="E507" i="34"/>
  <c r="E508" i="34"/>
  <c r="E509" i="34"/>
  <c r="E510" i="34"/>
  <c r="E511" i="34"/>
  <c r="E512" i="34"/>
  <c r="E513" i="34"/>
  <c r="E514" i="34"/>
  <c r="E492" i="34"/>
  <c r="E482" i="34"/>
  <c r="I344" i="34"/>
  <c r="E472" i="34"/>
  <c r="E473" i="34"/>
  <c r="E474" i="34"/>
  <c r="E475" i="34"/>
  <c r="E476" i="34"/>
  <c r="E477" i="34"/>
  <c r="E478" i="34"/>
  <c r="E479" i="34"/>
  <c r="E480" i="34"/>
  <c r="E481" i="34"/>
  <c r="E461" i="34"/>
  <c r="E462" i="34"/>
  <c r="E463" i="34"/>
  <c r="E464" i="34"/>
  <c r="E465" i="34"/>
  <c r="E466" i="34"/>
  <c r="E467" i="34"/>
  <c r="E468" i="34"/>
  <c r="E469" i="34"/>
  <c r="E470" i="34"/>
  <c r="E460" i="34"/>
  <c r="E450" i="34"/>
  <c r="G11" i="87" l="1"/>
  <c r="G10" i="87"/>
  <c r="G8" i="87"/>
  <c r="I8" i="87" s="1"/>
  <c r="J8" i="87" s="1"/>
  <c r="G7" i="87"/>
  <c r="G23" i="87"/>
  <c r="G16" i="87"/>
  <c r="G9" i="87"/>
  <c r="R43" i="67" l="1"/>
  <c r="S43" i="67"/>
  <c r="R42" i="67"/>
  <c r="S42" i="67"/>
  <c r="R41" i="67"/>
  <c r="S41" i="67"/>
  <c r="R40" i="67"/>
  <c r="R46" i="67" s="1"/>
  <c r="S40" i="67"/>
  <c r="S46" i="67" s="1"/>
  <c r="R39" i="67"/>
  <c r="S39" i="67"/>
  <c r="R38" i="67"/>
  <c r="S38" i="67"/>
  <c r="R37" i="67"/>
  <c r="S37" i="67"/>
  <c r="R36" i="67"/>
  <c r="S36" i="67"/>
  <c r="R35" i="67"/>
  <c r="S35" i="67"/>
  <c r="R34" i="67"/>
  <c r="S34" i="67"/>
  <c r="R33" i="67"/>
  <c r="S33" i="67"/>
  <c r="I37" i="67"/>
  <c r="R40" i="66"/>
  <c r="S40" i="66"/>
  <c r="R39" i="66"/>
  <c r="S39" i="66"/>
  <c r="R38" i="66"/>
  <c r="S38" i="66"/>
  <c r="R37" i="66"/>
  <c r="S37" i="66"/>
  <c r="R36" i="66"/>
  <c r="S36" i="66"/>
  <c r="R35" i="66"/>
  <c r="S35" i="66"/>
  <c r="R34" i="66"/>
  <c r="S34" i="66"/>
  <c r="R33" i="66"/>
  <c r="S33" i="66"/>
  <c r="R32" i="66"/>
  <c r="S32" i="66"/>
  <c r="R31" i="66"/>
  <c r="S31" i="66"/>
  <c r="S45" i="67" l="1"/>
  <c r="S47" i="67"/>
  <c r="R45" i="67"/>
  <c r="R47" i="67"/>
  <c r="H33" i="66"/>
  <c r="H32" i="66"/>
  <c r="G31" i="66"/>
  <c r="F40" i="66"/>
  <c r="F39" i="66"/>
  <c r="F38" i="66"/>
  <c r="F37" i="66"/>
  <c r="F36" i="66"/>
  <c r="F35" i="66"/>
  <c r="F34" i="66"/>
  <c r="F33" i="66"/>
  <c r="F32" i="66"/>
  <c r="F31" i="66"/>
  <c r="G38" i="67"/>
  <c r="G37" i="67"/>
  <c r="G36" i="67"/>
  <c r="G35" i="67"/>
  <c r="G34" i="67"/>
  <c r="G33" i="67"/>
  <c r="F33" i="67"/>
  <c r="F43" i="67"/>
  <c r="F42" i="67"/>
  <c r="F41" i="67"/>
  <c r="F40" i="67"/>
  <c r="F39" i="67"/>
  <c r="F38" i="67"/>
  <c r="F37" i="67"/>
  <c r="F36" i="67"/>
  <c r="F35" i="67"/>
  <c r="F34" i="67"/>
  <c r="I412" i="34"/>
  <c r="I430" i="34"/>
  <c r="I368" i="34"/>
  <c r="I363" i="34"/>
  <c r="I276" i="34"/>
  <c r="I270" i="34"/>
  <c r="I327" i="34"/>
  <c r="I166" i="34"/>
  <c r="P166" i="34" s="1"/>
  <c r="I165" i="34"/>
  <c r="P165" i="34" s="1"/>
  <c r="E166" i="34"/>
  <c r="E165" i="34"/>
  <c r="D166" i="34"/>
  <c r="D165" i="34"/>
  <c r="E160" i="34"/>
  <c r="D160" i="34"/>
  <c r="I158" i="34"/>
  <c r="I124" i="34"/>
  <c r="P124" i="34" s="1"/>
  <c r="I123" i="34"/>
  <c r="P123" i="34" s="1"/>
  <c r="E124" i="34"/>
  <c r="E123" i="34"/>
  <c r="D124" i="34"/>
  <c r="D123" i="34"/>
  <c r="E118" i="34"/>
  <c r="D118" i="34"/>
  <c r="E120" i="34"/>
  <c r="D120" i="34"/>
  <c r="I82" i="34"/>
  <c r="P82" i="34" s="1"/>
  <c r="I81" i="34"/>
  <c r="P81" i="34" s="1"/>
  <c r="E82" i="34"/>
  <c r="E81" i="34"/>
  <c r="D82" i="34"/>
  <c r="D81" i="34"/>
  <c r="E78" i="34"/>
  <c r="D78" i="34"/>
  <c r="E76" i="34"/>
  <c r="D76" i="34"/>
  <c r="I62" i="34"/>
  <c r="I58" i="34"/>
  <c r="P58" i="34" s="1"/>
  <c r="AB40" i="32" s="1"/>
  <c r="E59" i="34"/>
  <c r="D59" i="34"/>
  <c r="E58" i="34"/>
  <c r="D58" i="34"/>
  <c r="P20" i="34"/>
  <c r="I53" i="34"/>
  <c r="E53" i="34"/>
  <c r="D53" i="34"/>
  <c r="I44" i="34"/>
  <c r="I74" i="34"/>
  <c r="I80" i="34"/>
  <c r="I86" i="34"/>
  <c r="I12" i="34"/>
  <c r="E20" i="34"/>
  <c r="D20" i="34"/>
  <c r="I16" i="34"/>
  <c r="O36" i="43"/>
  <c r="O37" i="43"/>
  <c r="I19" i="34"/>
  <c r="P19" i="34" s="1"/>
  <c r="E19" i="34"/>
  <c r="D19" i="34"/>
  <c r="I13" i="34"/>
  <c r="I14" i="34"/>
  <c r="E14" i="34"/>
  <c r="D14" i="34"/>
  <c r="I25" i="34"/>
  <c r="I24" i="34"/>
  <c r="I164" i="34"/>
  <c r="I132" i="34"/>
  <c r="I131" i="34"/>
  <c r="I130" i="34"/>
  <c r="I129" i="34"/>
  <c r="I128" i="34"/>
  <c r="I116" i="34"/>
  <c r="I119" i="34"/>
  <c r="I117" i="34"/>
  <c r="I27" i="34"/>
  <c r="I26" i="34"/>
  <c r="I36" i="34"/>
  <c r="I68" i="34"/>
  <c r="I67" i="34"/>
  <c r="I66" i="34"/>
  <c r="I65" i="34"/>
  <c r="I64" i="34"/>
  <c r="I63" i="34"/>
  <c r="I107" i="34"/>
  <c r="I102" i="34"/>
  <c r="I101" i="34"/>
  <c r="I100" i="34"/>
  <c r="I99" i="34"/>
  <c r="I90" i="34"/>
  <c r="I89" i="34"/>
  <c r="I88" i="34"/>
  <c r="I87" i="34"/>
  <c r="I85" i="34"/>
  <c r="I51" i="34"/>
  <c r="I18" i="34"/>
  <c r="I122" i="34"/>
  <c r="I57" i="34"/>
  <c r="I28" i="34"/>
  <c r="I23" i="34"/>
  <c r="J12" i="34"/>
  <c r="AF72" i="31" s="1"/>
  <c r="P41" i="32" l="1"/>
  <c r="AB41" i="32"/>
  <c r="AF41" i="32"/>
  <c r="I11" i="34"/>
  <c r="I125" i="34"/>
  <c r="I103" i="34"/>
  <c r="I115" i="34"/>
  <c r="O6" i="87"/>
  <c r="V6" i="87" s="1"/>
  <c r="C13" i="87"/>
  <c r="C14" i="87" s="1"/>
  <c r="C15" i="87" s="1"/>
  <c r="C16" i="87" s="1"/>
  <c r="C17" i="87" s="1"/>
  <c r="C18" i="87" s="1"/>
  <c r="C11" i="87"/>
  <c r="C10" i="87"/>
  <c r="C9" i="87"/>
  <c r="C8" i="87"/>
  <c r="C7" i="87"/>
  <c r="AR82" i="31" l="1"/>
  <c r="I126" i="34"/>
  <c r="C20" i="87"/>
  <c r="C23" i="87" s="1"/>
  <c r="I133" i="34" l="1"/>
  <c r="AR73" i="31" s="1"/>
  <c r="C27" i="87"/>
  <c r="C34" i="87" s="1"/>
  <c r="C22" i="87"/>
  <c r="C25" i="87"/>
  <c r="C24" i="87"/>
  <c r="C21" i="87"/>
  <c r="C30" i="87" l="1"/>
  <c r="C31" i="87"/>
  <c r="C29" i="87"/>
  <c r="C28" i="87"/>
  <c r="C32" i="87"/>
  <c r="C37" i="87"/>
  <c r="C38" i="87"/>
  <c r="C41" i="87"/>
  <c r="C36" i="87"/>
  <c r="C39" i="87"/>
  <c r="C35" i="87"/>
  <c r="C46" i="87" l="1"/>
  <c r="C42" i="87"/>
  <c r="C43" i="87"/>
  <c r="C45" i="87"/>
  <c r="C44" i="87"/>
  <c r="E27" i="43" l="1"/>
  <c r="K22" i="43"/>
  <c r="J22" i="43"/>
  <c r="L22" i="43" s="1"/>
  <c r="N40" i="43"/>
  <c r="N37" i="43"/>
  <c r="N36" i="43"/>
  <c r="N34" i="43"/>
  <c r="Q42" i="87" l="1"/>
  <c r="Q35" i="87"/>
  <c r="Q28" i="87"/>
  <c r="Q21" i="87"/>
  <c r="Q14" i="87"/>
  <c r="Q7" i="87"/>
  <c r="O466" i="34"/>
  <c r="M466" i="34"/>
  <c r="N466" i="34"/>
  <c r="L466" i="34"/>
  <c r="R42" i="87"/>
  <c r="R35" i="87"/>
  <c r="R28" i="87"/>
  <c r="R21" i="87"/>
  <c r="R14" i="87"/>
  <c r="R7" i="87"/>
  <c r="K466" i="34"/>
  <c r="I466" i="34"/>
  <c r="J466" i="34"/>
  <c r="I467" i="34"/>
  <c r="O34" i="43"/>
  <c r="P21" i="45" l="1"/>
  <c r="P20" i="45"/>
  <c r="P19" i="45"/>
  <c r="P18" i="45"/>
  <c r="P17" i="45"/>
  <c r="N21" i="45"/>
  <c r="N20" i="45"/>
  <c r="N19" i="45"/>
  <c r="N18" i="45"/>
  <c r="N17" i="45"/>
  <c r="L21" i="45"/>
  <c r="L20" i="45"/>
  <c r="L19" i="45"/>
  <c r="L18" i="45"/>
  <c r="L17" i="45"/>
  <c r="J21" i="45"/>
  <c r="J20" i="45"/>
  <c r="J19" i="45"/>
  <c r="J18" i="45"/>
  <c r="J17" i="45"/>
  <c r="H17" i="45"/>
  <c r="H19" i="45"/>
  <c r="H20" i="45"/>
  <c r="H18" i="45"/>
  <c r="H21" i="45"/>
  <c r="I15" i="34" l="1"/>
  <c r="I21" i="34" s="1"/>
  <c r="K12" i="34"/>
  <c r="AG72" i="31" s="1"/>
  <c r="N5" i="34"/>
  <c r="M5" i="34"/>
  <c r="L5" i="34"/>
  <c r="K5" i="34"/>
  <c r="J5" i="34"/>
  <c r="J468" i="34" s="1"/>
  <c r="I5" i="34"/>
  <c r="I468" i="34" s="1"/>
  <c r="I22" i="34" l="1"/>
  <c r="L242" i="60"/>
  <c r="I29" i="34" l="1"/>
  <c r="AR72" i="31" s="1"/>
  <c r="F25" i="43"/>
  <c r="I345" i="34" s="1"/>
  <c r="F24" i="43"/>
  <c r="E25" i="43"/>
  <c r="E24" i="43"/>
  <c r="F22" i="43"/>
  <c r="E22" i="43"/>
  <c r="J570" i="34" l="1"/>
  <c r="M570" i="34"/>
  <c r="I570" i="34"/>
  <c r="K570" i="34"/>
  <c r="L570" i="34"/>
  <c r="N570" i="34"/>
  <c r="I497" i="34"/>
  <c r="L497" i="34"/>
  <c r="M497" i="34"/>
  <c r="N497" i="34"/>
  <c r="N465" i="34"/>
  <c r="O465" i="34"/>
  <c r="M465" i="34"/>
  <c r="O497" i="34"/>
  <c r="L465" i="34"/>
  <c r="K497" i="34"/>
  <c r="J497" i="34"/>
  <c r="I465" i="34"/>
  <c r="J465" i="34"/>
  <c r="I527" i="34"/>
  <c r="K465" i="34"/>
  <c r="E42" i="31"/>
  <c r="A40" i="5" l="1"/>
  <c r="A39" i="5"/>
  <c r="A38" i="5"/>
  <c r="A37" i="5"/>
  <c r="C18" i="92" l="1"/>
  <c r="J10" i="92" l="1"/>
  <c r="K10" i="92"/>
  <c r="M10" i="92"/>
  <c r="L10" i="92"/>
  <c r="C16" i="92" l="1"/>
  <c r="C15" i="92"/>
  <c r="C14" i="92"/>
  <c r="C9" i="92" l="1"/>
  <c r="C8" i="92"/>
  <c r="C7" i="92"/>
  <c r="C6" i="92"/>
  <c r="C10" i="92" l="1"/>
  <c r="E10" i="92" s="1"/>
  <c r="E11" i="92" s="1"/>
  <c r="B40" i="5" l="1"/>
  <c r="H40" i="5" s="1"/>
  <c r="B39" i="5"/>
  <c r="H39" i="5" s="1"/>
  <c r="B38" i="5"/>
  <c r="H38" i="5" s="1"/>
  <c r="C4" i="6" l="1"/>
  <c r="C3" i="6"/>
  <c r="C2" i="6"/>
  <c r="C1" i="6"/>
  <c r="A4" i="5"/>
  <c r="A3" i="5"/>
  <c r="A2" i="5"/>
  <c r="A4" i="81"/>
  <c r="A3" i="81"/>
  <c r="A2" i="81"/>
  <c r="A1" i="81"/>
  <c r="A4" i="82"/>
  <c r="A3" i="82"/>
  <c r="A2" i="82"/>
  <c r="A1" i="82"/>
  <c r="N42" i="7" l="1"/>
  <c r="O42" i="7" s="1"/>
  <c r="B37" i="5" l="1"/>
  <c r="F84" i="31" l="1"/>
  <c r="BF59" i="31"/>
  <c r="AZ158" i="33" l="1"/>
  <c r="I165" i="6" l="1"/>
  <c r="BC171" i="33"/>
  <c r="BC170" i="33"/>
  <c r="BC169" i="33"/>
  <c r="BC168" i="33"/>
  <c r="BC167" i="33"/>
  <c r="BC166" i="33"/>
  <c r="BC165" i="33"/>
  <c r="BC164" i="33"/>
  <c r="BC163" i="33"/>
  <c r="BC162" i="33"/>
  <c r="BC161" i="33"/>
  <c r="BC160" i="33"/>
  <c r="BC159" i="33"/>
  <c r="BC158" i="33"/>
  <c r="AM37" i="32" l="1"/>
  <c r="AM35" i="32"/>
  <c r="AM34" i="32"/>
  <c r="AM33" i="32"/>
  <c r="AM32" i="32"/>
  <c r="AM31" i="32"/>
  <c r="AM27" i="32"/>
  <c r="AM26" i="32"/>
  <c r="AA10" i="87"/>
  <c r="AO10" i="87" s="1"/>
  <c r="AP45" i="87" l="1"/>
  <c r="AP42" i="87"/>
  <c r="AP41" i="87"/>
  <c r="BG39" i="87"/>
  <c r="AP39" i="87" s="1"/>
  <c r="BF39" i="87"/>
  <c r="BG38" i="87"/>
  <c r="AP38" i="87" s="1"/>
  <c r="BF38" i="87"/>
  <c r="BG37" i="87"/>
  <c r="AP37" i="87" s="1"/>
  <c r="BF37" i="87"/>
  <c r="BG36" i="87"/>
  <c r="AP36" i="87" s="1"/>
  <c r="BF36" i="87"/>
  <c r="BG35" i="87"/>
  <c r="AP35" i="87" s="1"/>
  <c r="BF35" i="87"/>
  <c r="BG34" i="87"/>
  <c r="AP34" i="87" s="1"/>
  <c r="BF34" i="87"/>
  <c r="BG32" i="87"/>
  <c r="AP32" i="87" s="1"/>
  <c r="BF32" i="87"/>
  <c r="BG31" i="87"/>
  <c r="AP31" i="87" s="1"/>
  <c r="BF31" i="87"/>
  <c r="BG30" i="87"/>
  <c r="AP30" i="87" s="1"/>
  <c r="BF30" i="87"/>
  <c r="BG29" i="87"/>
  <c r="AP29" i="87" s="1"/>
  <c r="BF29" i="87"/>
  <c r="BG28" i="87"/>
  <c r="AP28" i="87" s="1"/>
  <c r="BF28" i="87"/>
  <c r="BG27" i="87"/>
  <c r="AP27" i="87" s="1"/>
  <c r="BF27" i="87"/>
  <c r="AP46" i="87"/>
  <c r="AP44" i="87"/>
  <c r="AP43" i="87"/>
  <c r="BG25" i="87"/>
  <c r="AP25" i="87" s="1"/>
  <c r="BF25" i="87"/>
  <c r="BG24" i="87"/>
  <c r="AP24" i="87" s="1"/>
  <c r="BF24" i="87"/>
  <c r="BG23" i="87"/>
  <c r="AP23" i="87" s="1"/>
  <c r="BF23" i="87"/>
  <c r="BG22" i="87"/>
  <c r="AP22" i="87" s="1"/>
  <c r="BF22" i="87"/>
  <c r="BG21" i="87"/>
  <c r="AP21" i="87" s="1"/>
  <c r="BF21" i="87"/>
  <c r="BG20" i="87"/>
  <c r="AP20" i="87" s="1"/>
  <c r="BF20" i="87"/>
  <c r="BG18" i="87"/>
  <c r="AP18" i="87" s="1"/>
  <c r="BF18" i="87"/>
  <c r="BD18" i="87"/>
  <c r="BC18" i="87"/>
  <c r="BG17" i="87"/>
  <c r="AP17" i="87" s="1"/>
  <c r="BF17" i="87"/>
  <c r="BD17" i="87"/>
  <c r="BC17" i="87"/>
  <c r="BG16" i="87"/>
  <c r="AP16" i="87" s="1"/>
  <c r="BF16" i="87"/>
  <c r="BD16" i="87"/>
  <c r="BC16" i="87"/>
  <c r="BG15" i="87"/>
  <c r="AP15" i="87" s="1"/>
  <c r="BF15" i="87"/>
  <c r="BD15" i="87"/>
  <c r="BC15" i="87"/>
  <c r="BG14" i="87"/>
  <c r="AP14" i="87" s="1"/>
  <c r="BF14" i="87"/>
  <c r="BD14" i="87"/>
  <c r="BC14" i="87"/>
  <c r="BG13" i="87"/>
  <c r="AP13" i="87" s="1"/>
  <c r="BF13" i="87"/>
  <c r="BD13" i="87"/>
  <c r="BC13" i="87"/>
  <c r="BG11" i="87"/>
  <c r="AP11" i="87" s="1"/>
  <c r="BF11" i="87"/>
  <c r="BG10" i="87"/>
  <c r="AP10" i="87" s="1"/>
  <c r="BF10" i="87"/>
  <c r="AT10" i="87" s="1"/>
  <c r="AS10" i="87"/>
  <c r="AR10" i="87"/>
  <c r="AQ10" i="87"/>
  <c r="BG9" i="87"/>
  <c r="AP9" i="87" s="1"/>
  <c r="BF9" i="87"/>
  <c r="BG8" i="87"/>
  <c r="AP8" i="87" s="1"/>
  <c r="BF8" i="87"/>
  <c r="BG7" i="87"/>
  <c r="AP7" i="87" s="1"/>
  <c r="BF7" i="87"/>
  <c r="BG6" i="87"/>
  <c r="AP6" i="87" s="1"/>
  <c r="BF6" i="87"/>
  <c r="AU155" i="33"/>
  <c r="AZ155" i="33"/>
  <c r="AU154" i="33"/>
  <c r="AZ154" i="33"/>
  <c r="AU153" i="33"/>
  <c r="AZ153" i="33"/>
  <c r="AU152" i="33"/>
  <c r="AZ152" i="33"/>
  <c r="AU151" i="33"/>
  <c r="AZ151" i="33"/>
  <c r="AU150" i="33"/>
  <c r="AZ150" i="33"/>
  <c r="AU149" i="33"/>
  <c r="AZ149" i="33"/>
  <c r="AU148" i="33"/>
  <c r="AZ148" i="33"/>
  <c r="AU146" i="33"/>
  <c r="AZ146" i="33"/>
  <c r="AU145" i="33"/>
  <c r="AZ145" i="33"/>
  <c r="AU144" i="33"/>
  <c r="AZ144" i="33"/>
  <c r="AU143" i="33"/>
  <c r="AZ143" i="33"/>
  <c r="AU142" i="33"/>
  <c r="AZ142" i="33"/>
  <c r="AU141" i="33"/>
  <c r="AZ141" i="33"/>
  <c r="AU140" i="33"/>
  <c r="AZ140" i="33"/>
  <c r="AU139" i="33"/>
  <c r="AZ139" i="33"/>
  <c r="AU137" i="33"/>
  <c r="AZ137" i="33"/>
  <c r="AU136" i="33"/>
  <c r="AZ136" i="33"/>
  <c r="AU135" i="33"/>
  <c r="AZ135" i="33"/>
  <c r="AU134" i="33"/>
  <c r="AZ134" i="33"/>
  <c r="AU133" i="33"/>
  <c r="AZ133" i="33"/>
  <c r="AU132" i="33"/>
  <c r="AZ132" i="33"/>
  <c r="AU131" i="33"/>
  <c r="AZ131" i="33"/>
  <c r="AU130" i="33"/>
  <c r="AZ130" i="33"/>
  <c r="AU128" i="33"/>
  <c r="AZ128" i="33"/>
  <c r="AU127" i="33"/>
  <c r="AZ127" i="33"/>
  <c r="AU126" i="33"/>
  <c r="AZ126" i="33"/>
  <c r="AU125" i="33"/>
  <c r="AZ125" i="33"/>
  <c r="AU124" i="33"/>
  <c r="AZ124" i="33"/>
  <c r="AU123" i="33"/>
  <c r="AZ123" i="33"/>
  <c r="AU122" i="33"/>
  <c r="AZ122" i="33"/>
  <c r="AU121" i="33"/>
  <c r="AZ121" i="33"/>
  <c r="AY119" i="33"/>
  <c r="AY118" i="33"/>
  <c r="AY117" i="33"/>
  <c r="AY116" i="33"/>
  <c r="AY115" i="33"/>
  <c r="AY114" i="33"/>
  <c r="AY113" i="33"/>
  <c r="AU119" i="33"/>
  <c r="AU118" i="33"/>
  <c r="AU117" i="33"/>
  <c r="AU116" i="33"/>
  <c r="AU115" i="33"/>
  <c r="AU114" i="33"/>
  <c r="AU113" i="33"/>
  <c r="AU112" i="33"/>
  <c r="AZ119" i="33"/>
  <c r="AZ118" i="33"/>
  <c r="AZ117" i="33"/>
  <c r="AZ116" i="33"/>
  <c r="AZ115" i="33"/>
  <c r="AZ114" i="33"/>
  <c r="AZ113" i="33"/>
  <c r="AZ112" i="33"/>
  <c r="AY112" i="33"/>
  <c r="AU110" i="33"/>
  <c r="AZ108" i="33"/>
  <c r="AU106" i="33"/>
  <c r="AZ104" i="33"/>
  <c r="AZ103" i="33"/>
  <c r="AU103" i="33"/>
  <c r="AP49" i="87" l="1"/>
  <c r="AV43" i="87"/>
  <c r="BB154" i="33"/>
  <c r="AV7" i="87"/>
  <c r="AV9" i="87"/>
  <c r="AV10" i="87"/>
  <c r="AW10" i="87" s="1"/>
  <c r="AV20" i="87"/>
  <c r="AV23" i="87"/>
  <c r="AV24" i="87"/>
  <c r="AV25" i="87"/>
  <c r="BB126" i="33"/>
  <c r="BB132" i="33"/>
  <c r="BB141" i="33"/>
  <c r="BB145" i="33"/>
  <c r="AV6" i="87"/>
  <c r="AV11" i="87"/>
  <c r="AV21" i="87"/>
  <c r="AV15" i="87"/>
  <c r="AV22" i="87"/>
  <c r="AV30" i="87"/>
  <c r="BB113" i="33"/>
  <c r="BB117" i="33"/>
  <c r="AV16" i="87"/>
  <c r="AV18" i="87"/>
  <c r="AZ105" i="33"/>
  <c r="BB103" i="33"/>
  <c r="BB106" i="33"/>
  <c r="BB109" i="33"/>
  <c r="AZ110" i="33"/>
  <c r="AU108" i="33"/>
  <c r="AU104" i="33"/>
  <c r="BB108" i="33"/>
  <c r="AV36" i="87"/>
  <c r="BB104" i="33"/>
  <c r="BB105" i="33"/>
  <c r="AU105" i="33"/>
  <c r="AZ106" i="33"/>
  <c r="AU109" i="33"/>
  <c r="BB110" i="33"/>
  <c r="BB150" i="33"/>
  <c r="AV14" i="87"/>
  <c r="AZ109" i="33"/>
  <c r="BB112" i="33"/>
  <c r="AV8" i="87"/>
  <c r="AV13" i="87"/>
  <c r="AV17" i="87"/>
  <c r="BB125" i="33"/>
  <c r="BB144" i="33"/>
  <c r="BB114" i="33"/>
  <c r="BB116" i="33"/>
  <c r="AV27" i="87"/>
  <c r="AV29" i="87"/>
  <c r="AV31" i="87"/>
  <c r="AW31" i="87" s="1"/>
  <c r="AV32" i="87"/>
  <c r="AW32" i="87" s="1"/>
  <c r="AV35" i="87"/>
  <c r="AV37" i="87"/>
  <c r="AV38" i="87"/>
  <c r="AW38" i="87" s="1"/>
  <c r="AV39" i="87"/>
  <c r="AW39" i="87" s="1"/>
  <c r="AV42" i="87"/>
  <c r="AV44" i="87"/>
  <c r="AV45" i="87"/>
  <c r="AW45" i="87" s="1"/>
  <c r="AV46" i="87"/>
  <c r="AW46" i="87" s="1"/>
  <c r="BB140" i="33"/>
  <c r="BB142" i="33"/>
  <c r="BB143" i="33"/>
  <c r="BB146" i="33"/>
  <c r="BB118" i="33"/>
  <c r="AZ107" i="33"/>
  <c r="BB107" i="33"/>
  <c r="AU107" i="33"/>
  <c r="BB115" i="33"/>
  <c r="BB119" i="33"/>
  <c r="BB122" i="33"/>
  <c r="BB123" i="33"/>
  <c r="BB124" i="33"/>
  <c r="BB127" i="33"/>
  <c r="BB128" i="33"/>
  <c r="BB131" i="33"/>
  <c r="BB133" i="33"/>
  <c r="BB135" i="33"/>
  <c r="BB137" i="33"/>
  <c r="BB149" i="33"/>
  <c r="BB151" i="33"/>
  <c r="BB152" i="33"/>
  <c r="BB153" i="33"/>
  <c r="BB155" i="33"/>
  <c r="AP48" i="87"/>
  <c r="AV28" i="87"/>
  <c r="AV41" i="87"/>
  <c r="AV34" i="87"/>
  <c r="BB148" i="33"/>
  <c r="BB139" i="33"/>
  <c r="BB130" i="33"/>
  <c r="BB121" i="33"/>
  <c r="J54" i="87"/>
  <c r="J53" i="87"/>
  <c r="J52" i="87"/>
  <c r="J49" i="87"/>
  <c r="H54" i="87"/>
  <c r="H53" i="87"/>
  <c r="H52" i="87"/>
  <c r="AX89" i="31" l="1"/>
  <c r="AZ89" i="31"/>
  <c r="BC44" i="31"/>
  <c r="AZ44" i="31"/>
  <c r="AY89" i="31"/>
  <c r="AX44" i="31"/>
  <c r="BB89" i="31"/>
  <c r="BA44" i="31"/>
  <c r="BC89" i="31"/>
  <c r="BB44" i="31"/>
  <c r="BA89" i="31"/>
  <c r="AY44" i="31"/>
  <c r="N9" i="87"/>
  <c r="AX94" i="31" l="1"/>
  <c r="E154" i="33"/>
  <c r="G153" i="33"/>
  <c r="D153" i="33"/>
  <c r="E152" i="33"/>
  <c r="E151" i="33"/>
  <c r="E150" i="33"/>
  <c r="E149" i="33"/>
  <c r="E148" i="33"/>
  <c r="E145" i="33"/>
  <c r="G144" i="33"/>
  <c r="D144" i="33"/>
  <c r="E143" i="33"/>
  <c r="E142" i="33"/>
  <c r="E141" i="33"/>
  <c r="E140" i="33"/>
  <c r="E139" i="33"/>
  <c r="E136" i="33"/>
  <c r="G135" i="33"/>
  <c r="D135" i="33"/>
  <c r="E134" i="33"/>
  <c r="E133" i="33"/>
  <c r="E132" i="33"/>
  <c r="E131" i="33"/>
  <c r="E130" i="33"/>
  <c r="E127" i="33"/>
  <c r="G126" i="33"/>
  <c r="D126" i="33"/>
  <c r="E125" i="33"/>
  <c r="E124" i="33"/>
  <c r="E123" i="33"/>
  <c r="E122" i="33"/>
  <c r="E121" i="33"/>
  <c r="E118" i="33"/>
  <c r="G117" i="33"/>
  <c r="D117" i="33"/>
  <c r="E116" i="33"/>
  <c r="E115" i="33"/>
  <c r="E114" i="33"/>
  <c r="E113" i="33"/>
  <c r="E112" i="33"/>
  <c r="AY110" i="33"/>
  <c r="AX110" i="33"/>
  <c r="AW110" i="33"/>
  <c r="AV110" i="33"/>
  <c r="U110" i="33"/>
  <c r="AD110" i="33" s="1"/>
  <c r="AS110" i="33" s="1"/>
  <c r="S110" i="33"/>
  <c r="AB110" i="33" s="1"/>
  <c r="AQ110" i="33" s="1"/>
  <c r="R110" i="33"/>
  <c r="U108" i="33"/>
  <c r="AD108" i="33" s="1"/>
  <c r="AS108" i="33" s="1"/>
  <c r="S108" i="33"/>
  <c r="AB108" i="33" s="1"/>
  <c r="AQ108" i="33" s="1"/>
  <c r="R108" i="33"/>
  <c r="G108" i="33"/>
  <c r="D108" i="33"/>
  <c r="G124" i="33" l="1"/>
  <c r="Y124" i="33"/>
  <c r="X124" i="33"/>
  <c r="W124" i="33"/>
  <c r="AC124" i="33" s="1"/>
  <c r="G131" i="33"/>
  <c r="Y131" i="33"/>
  <c r="D136" i="33"/>
  <c r="X136" i="33"/>
  <c r="G151" i="33"/>
  <c r="Y151" i="33"/>
  <c r="X151" i="33"/>
  <c r="W151" i="33"/>
  <c r="AC151" i="33" s="1"/>
  <c r="G125" i="33"/>
  <c r="Y125" i="33"/>
  <c r="AE125" i="33" s="1"/>
  <c r="X125" i="33"/>
  <c r="W125" i="33"/>
  <c r="AC125" i="33" s="1"/>
  <c r="G132" i="33"/>
  <c r="Y132" i="33"/>
  <c r="G139" i="33"/>
  <c r="Y139" i="33"/>
  <c r="X139" i="33"/>
  <c r="D152" i="33"/>
  <c r="Y152" i="33"/>
  <c r="AE152" i="33" s="1"/>
  <c r="X152" i="33"/>
  <c r="W152" i="33"/>
  <c r="AC152" i="33" s="1"/>
  <c r="D113" i="33"/>
  <c r="Y113" i="33"/>
  <c r="G118" i="33"/>
  <c r="X118" i="33"/>
  <c r="D133" i="33"/>
  <c r="Y133" i="33"/>
  <c r="X133" i="33"/>
  <c r="W133" i="33"/>
  <c r="AC133" i="33" s="1"/>
  <c r="G140" i="33"/>
  <c r="Y140" i="33"/>
  <c r="G145" i="33"/>
  <c r="X145" i="33"/>
  <c r="G112" i="33"/>
  <c r="Y112" i="33"/>
  <c r="X112" i="33"/>
  <c r="G114" i="33"/>
  <c r="Y114" i="33"/>
  <c r="D134" i="33"/>
  <c r="Y134" i="33"/>
  <c r="AE134" i="33" s="1"/>
  <c r="X134" i="33"/>
  <c r="W134" i="33"/>
  <c r="AC134" i="33" s="1"/>
  <c r="D141" i="33"/>
  <c r="Y141" i="33"/>
  <c r="D148" i="33"/>
  <c r="Y148" i="33"/>
  <c r="X148" i="33"/>
  <c r="G115" i="33"/>
  <c r="Y115" i="33"/>
  <c r="X115" i="33"/>
  <c r="W115" i="33"/>
  <c r="AC115" i="33" s="1"/>
  <c r="D122" i="33"/>
  <c r="Y122" i="33"/>
  <c r="G127" i="33"/>
  <c r="X127" i="33"/>
  <c r="G142" i="33"/>
  <c r="Y142" i="33"/>
  <c r="X142" i="33"/>
  <c r="W142" i="33"/>
  <c r="AC142" i="33" s="1"/>
  <c r="D149" i="33"/>
  <c r="Y149" i="33"/>
  <c r="G154" i="33"/>
  <c r="X154" i="33"/>
  <c r="G121" i="33"/>
  <c r="Y121" i="33"/>
  <c r="X121" i="33"/>
  <c r="G116" i="33"/>
  <c r="Y116" i="33"/>
  <c r="AE116" i="33" s="1"/>
  <c r="W116" i="33"/>
  <c r="AC116" i="33" s="1"/>
  <c r="X116" i="33"/>
  <c r="G123" i="33"/>
  <c r="Y123" i="33"/>
  <c r="D130" i="33"/>
  <c r="Y130" i="33"/>
  <c r="X130" i="33"/>
  <c r="G143" i="33"/>
  <c r="Y143" i="33"/>
  <c r="AE143" i="33" s="1"/>
  <c r="X143" i="33"/>
  <c r="W143" i="33"/>
  <c r="AC143" i="33" s="1"/>
  <c r="D150" i="33"/>
  <c r="Y150" i="33"/>
  <c r="AA108" i="33"/>
  <c r="AP108" i="33" s="1"/>
  <c r="D140" i="33"/>
  <c r="D114" i="33"/>
  <c r="D121" i="33"/>
  <c r="D115" i="33"/>
  <c r="AA110" i="33"/>
  <c r="AP110" i="33" s="1"/>
  <c r="D125" i="33"/>
  <c r="G134" i="33"/>
  <c r="D142" i="33"/>
  <c r="G148" i="33"/>
  <c r="G150" i="33"/>
  <c r="G152" i="33"/>
  <c r="D131" i="33"/>
  <c r="G149" i="33"/>
  <c r="D151" i="33"/>
  <c r="D154" i="33"/>
  <c r="G130" i="33"/>
  <c r="D123" i="33"/>
  <c r="D145" i="33"/>
  <c r="D139" i="33"/>
  <c r="G141" i="33"/>
  <c r="D143" i="33"/>
  <c r="D132" i="33"/>
  <c r="G133" i="33"/>
  <c r="G136" i="33"/>
  <c r="G122" i="33"/>
  <c r="D124" i="33"/>
  <c r="D127" i="33"/>
  <c r="D112" i="33"/>
  <c r="D116" i="33"/>
  <c r="D118" i="33"/>
  <c r="G113" i="33"/>
  <c r="Y10" i="87" l="1"/>
  <c r="AM10" i="87" s="1"/>
  <c r="P10" i="87"/>
  <c r="O10" i="87"/>
  <c r="V10" i="87" s="1"/>
  <c r="AJ10" i="87" s="1"/>
  <c r="N10" i="87"/>
  <c r="J21" i="87"/>
  <c r="J14" i="87"/>
  <c r="J50" i="87" l="1"/>
  <c r="I54" i="87"/>
  <c r="H43" i="87"/>
  <c r="G43" i="87"/>
  <c r="H42" i="87"/>
  <c r="G42" i="87"/>
  <c r="G46" i="87"/>
  <c r="G45" i="87"/>
  <c r="G44" i="87"/>
  <c r="H36" i="87"/>
  <c r="G36" i="87"/>
  <c r="H35" i="87"/>
  <c r="G35" i="87"/>
  <c r="G39" i="87"/>
  <c r="G38" i="87"/>
  <c r="G37" i="87"/>
  <c r="G32" i="87"/>
  <c r="G31" i="87"/>
  <c r="G30" i="87"/>
  <c r="H29" i="87"/>
  <c r="G29" i="87"/>
  <c r="H28" i="87"/>
  <c r="G28" i="87"/>
  <c r="H22" i="87"/>
  <c r="G22" i="87"/>
  <c r="H21" i="87"/>
  <c r="G21" i="87"/>
  <c r="I21" i="87" s="1"/>
  <c r="AN89" i="31" s="1"/>
  <c r="G25" i="87"/>
  <c r="G24" i="87"/>
  <c r="G18" i="87"/>
  <c r="G17" i="87"/>
  <c r="H15" i="87"/>
  <c r="G15" i="87"/>
  <c r="I15" i="87" s="1"/>
  <c r="J15" i="87" s="1"/>
  <c r="H14" i="87"/>
  <c r="G14" i="87"/>
  <c r="H7" i="87"/>
  <c r="I7" i="87" s="1"/>
  <c r="E46" i="87"/>
  <c r="E45" i="87"/>
  <c r="E44" i="87"/>
  <c r="E43" i="87"/>
  <c r="E42" i="87"/>
  <c r="E41" i="87"/>
  <c r="E39" i="87"/>
  <c r="E38" i="87"/>
  <c r="E37" i="87"/>
  <c r="E36" i="87"/>
  <c r="E35" i="87"/>
  <c r="E34" i="87"/>
  <c r="E32" i="87"/>
  <c r="E31" i="87"/>
  <c r="E30" i="87"/>
  <c r="E29" i="87"/>
  <c r="E28" i="87"/>
  <c r="E27" i="87"/>
  <c r="E25" i="87"/>
  <c r="E24" i="87"/>
  <c r="E23" i="87"/>
  <c r="E22" i="87"/>
  <c r="E21" i="87"/>
  <c r="E20" i="87"/>
  <c r="E18" i="87"/>
  <c r="E17" i="87"/>
  <c r="E16" i="87"/>
  <c r="E15" i="87"/>
  <c r="E14" i="87"/>
  <c r="E13" i="87"/>
  <c r="E10" i="87"/>
  <c r="I14" i="87" l="1"/>
  <c r="AM89" i="31" s="1"/>
  <c r="I28" i="87"/>
  <c r="AO89" i="31" s="1"/>
  <c r="G54" i="87"/>
  <c r="G49" i="87"/>
  <c r="I53" i="87"/>
  <c r="G53" i="87"/>
  <c r="U10" i="87"/>
  <c r="AI10" i="87" s="1"/>
  <c r="W10" i="87"/>
  <c r="AK10" i="87" s="1"/>
  <c r="H50" i="87"/>
  <c r="G51" i="87"/>
  <c r="H51" i="87"/>
  <c r="G50" i="87"/>
  <c r="G52" i="87"/>
  <c r="I52" i="87"/>
  <c r="P46" i="87"/>
  <c r="O46" i="87"/>
  <c r="N46" i="87"/>
  <c r="P45" i="87"/>
  <c r="O45" i="87"/>
  <c r="N45" i="87"/>
  <c r="P44" i="87"/>
  <c r="O44" i="87"/>
  <c r="N44" i="87"/>
  <c r="P43" i="87"/>
  <c r="W43" i="87" s="1"/>
  <c r="O43" i="87"/>
  <c r="M43" i="87" s="1"/>
  <c r="N43" i="87"/>
  <c r="P42" i="87"/>
  <c r="W42" i="87" s="1"/>
  <c r="O42" i="87"/>
  <c r="N42" i="87"/>
  <c r="L41" i="87"/>
  <c r="P41" i="87"/>
  <c r="W41" i="87" s="1"/>
  <c r="O41" i="87"/>
  <c r="N41" i="87"/>
  <c r="P39" i="87"/>
  <c r="O39" i="87"/>
  <c r="N39" i="87"/>
  <c r="P38" i="87"/>
  <c r="O38" i="87"/>
  <c r="N38" i="87"/>
  <c r="P37" i="87"/>
  <c r="O37" i="87"/>
  <c r="N37" i="87"/>
  <c r="P36" i="87"/>
  <c r="W36" i="87" s="1"/>
  <c r="O36" i="87"/>
  <c r="M36" i="87" s="1"/>
  <c r="N36" i="87"/>
  <c r="P35" i="87"/>
  <c r="W35" i="87" s="1"/>
  <c r="O35" i="87"/>
  <c r="N35" i="87"/>
  <c r="L34" i="87"/>
  <c r="P34" i="87"/>
  <c r="W34" i="87" s="1"/>
  <c r="O34" i="87"/>
  <c r="N34" i="87"/>
  <c r="P32" i="87"/>
  <c r="O32" i="87"/>
  <c r="N32" i="87"/>
  <c r="P31" i="87"/>
  <c r="O31" i="87"/>
  <c r="N31" i="87"/>
  <c r="P30" i="87"/>
  <c r="O30" i="87"/>
  <c r="N30" i="87"/>
  <c r="P29" i="87"/>
  <c r="W29" i="87" s="1"/>
  <c r="O29" i="87"/>
  <c r="M29" i="87" s="1"/>
  <c r="N29" i="87"/>
  <c r="P28" i="87"/>
  <c r="W28" i="87" s="1"/>
  <c r="O28" i="87"/>
  <c r="N28" i="87"/>
  <c r="L27" i="87"/>
  <c r="P27" i="87"/>
  <c r="W27" i="87" s="1"/>
  <c r="O27" i="87"/>
  <c r="N27" i="87"/>
  <c r="P25" i="87"/>
  <c r="O25" i="87"/>
  <c r="N25" i="87"/>
  <c r="P24" i="87"/>
  <c r="O24" i="87"/>
  <c r="N24" i="87"/>
  <c r="P23" i="87"/>
  <c r="O23" i="87"/>
  <c r="N23" i="87"/>
  <c r="P22" i="87"/>
  <c r="W22" i="87" s="1"/>
  <c r="AK22" i="87" s="1"/>
  <c r="O22" i="87"/>
  <c r="M22" i="87" s="1"/>
  <c r="N22" i="87"/>
  <c r="P21" i="87"/>
  <c r="W21" i="87" s="1"/>
  <c r="O21" i="87"/>
  <c r="N21" i="87"/>
  <c r="L20" i="87"/>
  <c r="P20" i="87"/>
  <c r="W20" i="87" s="1"/>
  <c r="O20" i="87"/>
  <c r="N20" i="87"/>
  <c r="P18" i="87"/>
  <c r="O18" i="87"/>
  <c r="N18" i="87"/>
  <c r="P17" i="87"/>
  <c r="O17" i="87"/>
  <c r="N17" i="87"/>
  <c r="P16" i="87"/>
  <c r="O16" i="87"/>
  <c r="N16" i="87"/>
  <c r="P15" i="87"/>
  <c r="O15" i="87"/>
  <c r="M15" i="87" s="1"/>
  <c r="N15" i="87"/>
  <c r="P14" i="87"/>
  <c r="W14" i="87" s="1"/>
  <c r="O14" i="87"/>
  <c r="N14" i="87"/>
  <c r="L13" i="87"/>
  <c r="P13" i="87"/>
  <c r="W13" i="87" s="1"/>
  <c r="O13" i="87"/>
  <c r="N13" i="87"/>
  <c r="Q43" i="67"/>
  <c r="P43" i="67"/>
  <c r="O43" i="67"/>
  <c r="N43" i="67"/>
  <c r="M43" i="67"/>
  <c r="L43" i="67"/>
  <c r="K43" i="67"/>
  <c r="J43" i="67"/>
  <c r="I43" i="67"/>
  <c r="H43" i="67"/>
  <c r="G43" i="67"/>
  <c r="Q42" i="67"/>
  <c r="P42" i="67"/>
  <c r="O42" i="67"/>
  <c r="N42" i="67"/>
  <c r="M42" i="67"/>
  <c r="L42" i="67"/>
  <c r="K42" i="67"/>
  <c r="J42" i="67"/>
  <c r="I42" i="67"/>
  <c r="H42" i="67"/>
  <c r="G42" i="67"/>
  <c r="Q41" i="67"/>
  <c r="P41" i="67"/>
  <c r="O41" i="67"/>
  <c r="N41" i="67"/>
  <c r="M41" i="67"/>
  <c r="L41" i="67"/>
  <c r="K41" i="67"/>
  <c r="J41" i="67"/>
  <c r="I41" i="67"/>
  <c r="H41" i="67"/>
  <c r="G41" i="67"/>
  <c r="Q40" i="67"/>
  <c r="Q46" i="67" s="1"/>
  <c r="P40" i="67"/>
  <c r="P46" i="67" s="1"/>
  <c r="O40" i="67"/>
  <c r="O46" i="67" s="1"/>
  <c r="N40" i="67"/>
  <c r="N46" i="67" s="1"/>
  <c r="M40" i="67"/>
  <c r="L40" i="67"/>
  <c r="K40" i="67"/>
  <c r="J40" i="67"/>
  <c r="I40" i="67"/>
  <c r="H40" i="67"/>
  <c r="G40" i="67"/>
  <c r="Q39" i="67"/>
  <c r="P39" i="67"/>
  <c r="O39" i="67"/>
  <c r="N39" i="67"/>
  <c r="M39" i="67"/>
  <c r="L39" i="67"/>
  <c r="K39" i="67"/>
  <c r="J39" i="67"/>
  <c r="I39" i="67"/>
  <c r="H39" i="67"/>
  <c r="G39" i="67"/>
  <c r="Q38" i="67"/>
  <c r="P38" i="67"/>
  <c r="O38" i="67"/>
  <c r="N38" i="67"/>
  <c r="M38" i="67"/>
  <c r="L38" i="67"/>
  <c r="K38" i="67"/>
  <c r="J38" i="67"/>
  <c r="I38" i="67"/>
  <c r="H38" i="67"/>
  <c r="Q37" i="67"/>
  <c r="P37" i="67"/>
  <c r="O37" i="67"/>
  <c r="N37" i="67"/>
  <c r="M37" i="67"/>
  <c r="L37" i="67"/>
  <c r="K37" i="67"/>
  <c r="J37" i="67"/>
  <c r="H37" i="67"/>
  <c r="Q36" i="67"/>
  <c r="P36" i="67"/>
  <c r="O36" i="67"/>
  <c r="N36" i="67"/>
  <c r="M36" i="67"/>
  <c r="L36" i="67"/>
  <c r="K36" i="67"/>
  <c r="J36" i="67"/>
  <c r="I36" i="67"/>
  <c r="H36" i="67"/>
  <c r="Q35" i="67"/>
  <c r="P35" i="67"/>
  <c r="O35" i="67"/>
  <c r="N35" i="67"/>
  <c r="M35" i="67"/>
  <c r="L35" i="67"/>
  <c r="K35" i="67"/>
  <c r="J35" i="67"/>
  <c r="I35" i="67"/>
  <c r="H35" i="67"/>
  <c r="Q34" i="67"/>
  <c r="P34" i="67"/>
  <c r="O34" i="67"/>
  <c r="N34" i="67"/>
  <c r="M34" i="67"/>
  <c r="L34" i="67"/>
  <c r="K34" i="67"/>
  <c r="J34" i="67"/>
  <c r="I34" i="67"/>
  <c r="H34" i="67"/>
  <c r="Q33" i="67"/>
  <c r="P33" i="67"/>
  <c r="O33" i="67"/>
  <c r="N33" i="67"/>
  <c r="M33" i="67"/>
  <c r="L33" i="67"/>
  <c r="K33" i="67"/>
  <c r="J33" i="67"/>
  <c r="I33" i="67"/>
  <c r="H33" i="67"/>
  <c r="E89" i="31" l="1"/>
  <c r="V15" i="87"/>
  <c r="AA62" i="31"/>
  <c r="AA70" i="31" s="1"/>
  <c r="V22" i="87"/>
  <c r="AB62" i="31"/>
  <c r="AB70" i="31" s="1"/>
  <c r="V29" i="87"/>
  <c r="AC62" i="31"/>
  <c r="AC70" i="31" s="1"/>
  <c r="V36" i="87"/>
  <c r="AD62" i="31"/>
  <c r="AD70" i="31" s="1"/>
  <c r="V43" i="87"/>
  <c r="AE62" i="31"/>
  <c r="AE70" i="31" s="1"/>
  <c r="N47" i="67"/>
  <c r="O45" i="67"/>
  <c r="Q47" i="67"/>
  <c r="P47" i="67"/>
  <c r="P45" i="67"/>
  <c r="N45" i="67"/>
  <c r="Q45" i="67"/>
  <c r="O47" i="67"/>
  <c r="I50" i="87"/>
  <c r="I51" i="87"/>
  <c r="Q40" i="66"/>
  <c r="P40" i="66"/>
  <c r="O40" i="66"/>
  <c r="N40" i="66"/>
  <c r="M40" i="66"/>
  <c r="L40" i="66"/>
  <c r="K40" i="66"/>
  <c r="J40" i="66"/>
  <c r="I40" i="66"/>
  <c r="H40" i="66"/>
  <c r="G40" i="66"/>
  <c r="Q39" i="66"/>
  <c r="P39" i="66"/>
  <c r="O39" i="66"/>
  <c r="N39" i="66"/>
  <c r="M39" i="66"/>
  <c r="L39" i="66"/>
  <c r="K39" i="66"/>
  <c r="J39" i="66"/>
  <c r="I39" i="66"/>
  <c r="H39" i="66"/>
  <c r="G39" i="66"/>
  <c r="Q38" i="66"/>
  <c r="P38" i="66"/>
  <c r="O38" i="66"/>
  <c r="N38" i="66"/>
  <c r="M38" i="66"/>
  <c r="L38" i="66"/>
  <c r="K38" i="66"/>
  <c r="J38" i="66"/>
  <c r="I38" i="66"/>
  <c r="H38" i="66"/>
  <c r="G38" i="66"/>
  <c r="Q37" i="66"/>
  <c r="P37" i="66"/>
  <c r="O37" i="66"/>
  <c r="N37" i="66"/>
  <c r="M37" i="66"/>
  <c r="L37" i="66"/>
  <c r="K37" i="66"/>
  <c r="J37" i="66"/>
  <c r="I37" i="66"/>
  <c r="H37" i="66"/>
  <c r="G37" i="66"/>
  <c r="Q36" i="66"/>
  <c r="P36" i="66"/>
  <c r="O36" i="66"/>
  <c r="N36" i="66"/>
  <c r="M36" i="66"/>
  <c r="L36" i="66"/>
  <c r="K36" i="66"/>
  <c r="J36" i="66"/>
  <c r="I36" i="66"/>
  <c r="H36" i="66"/>
  <c r="G36" i="66"/>
  <c r="Q35" i="66"/>
  <c r="P35" i="66"/>
  <c r="O35" i="66"/>
  <c r="N35" i="66"/>
  <c r="M35" i="66"/>
  <c r="L35" i="66"/>
  <c r="K35" i="66"/>
  <c r="J35" i="66"/>
  <c r="I35" i="66"/>
  <c r="H35" i="66"/>
  <c r="G35" i="66"/>
  <c r="Q34" i="66"/>
  <c r="P34" i="66"/>
  <c r="O34" i="66"/>
  <c r="N34" i="66"/>
  <c r="M34" i="66"/>
  <c r="L34" i="66"/>
  <c r="K34" i="66"/>
  <c r="J34" i="66"/>
  <c r="I34" i="66"/>
  <c r="H34" i="66"/>
  <c r="G34" i="66"/>
  <c r="Q33" i="66"/>
  <c r="P33" i="66"/>
  <c r="O33" i="66"/>
  <c r="M33" i="66"/>
  <c r="L33" i="66"/>
  <c r="K33" i="66"/>
  <c r="J33" i="66"/>
  <c r="I33" i="66"/>
  <c r="G33" i="66"/>
  <c r="Q32" i="66"/>
  <c r="P32" i="66"/>
  <c r="O32" i="66"/>
  <c r="N32" i="66"/>
  <c r="M32" i="66"/>
  <c r="L32" i="66"/>
  <c r="K32" i="66"/>
  <c r="J32" i="66"/>
  <c r="I32" i="66"/>
  <c r="G32" i="66"/>
  <c r="Q31" i="66"/>
  <c r="P31" i="66"/>
  <c r="O31" i="66"/>
  <c r="N31" i="66"/>
  <c r="M31" i="66"/>
  <c r="L31" i="66"/>
  <c r="K31" i="66"/>
  <c r="J31" i="66"/>
  <c r="I31" i="66"/>
  <c r="H31" i="66"/>
  <c r="N42" i="66" l="1"/>
  <c r="J51" i="87"/>
  <c r="I269" i="6"/>
  <c r="J269" i="6" s="1"/>
  <c r="AZ171" i="33"/>
  <c r="AZ170" i="33"/>
  <c r="AZ169" i="33"/>
  <c r="AZ168" i="33"/>
  <c r="AZ167" i="33"/>
  <c r="AZ166" i="33"/>
  <c r="AZ165" i="33"/>
  <c r="AZ164" i="33"/>
  <c r="AZ163" i="33"/>
  <c r="AZ162" i="33"/>
  <c r="AZ161" i="33"/>
  <c r="AZ160" i="33"/>
  <c r="AZ159" i="33"/>
  <c r="P594" i="34"/>
  <c r="P403" i="34"/>
  <c r="D593" i="34"/>
  <c r="H72" i="6"/>
  <c r="G71" i="6"/>
  <c r="G171" i="33" l="1"/>
  <c r="G170" i="33"/>
  <c r="G169" i="33"/>
  <c r="G168" i="33"/>
  <c r="G167" i="33"/>
  <c r="G166" i="33"/>
  <c r="G165" i="33"/>
  <c r="G164" i="33"/>
  <c r="G163" i="33"/>
  <c r="G162" i="33"/>
  <c r="G161" i="33"/>
  <c r="G160" i="33"/>
  <c r="G159" i="33"/>
  <c r="G158" i="33"/>
  <c r="J30" i="7" l="1"/>
  <c r="J14" i="7"/>
  <c r="I30" i="7"/>
  <c r="I29" i="7"/>
  <c r="I14" i="7"/>
  <c r="H30" i="7"/>
  <c r="H29" i="7"/>
  <c r="H25" i="7"/>
  <c r="H26" i="7" s="1"/>
  <c r="H22" i="7"/>
  <c r="H14" i="7"/>
  <c r="G30" i="7"/>
  <c r="G29" i="7"/>
  <c r="G14" i="7"/>
  <c r="E30" i="7"/>
  <c r="E14" i="7"/>
  <c r="D45" i="7" l="1"/>
  <c r="BC94" i="31"/>
  <c r="BB94" i="31"/>
  <c r="BA94" i="31"/>
  <c r="AZ94" i="31"/>
  <c r="AY94" i="31"/>
  <c r="AV94" i="31"/>
  <c r="AQ94" i="31" l="1"/>
  <c r="AP94" i="31"/>
  <c r="AO94" i="31"/>
  <c r="AN94" i="31"/>
  <c r="AM94" i="31"/>
  <c r="AL94" i="31"/>
  <c r="AJ94" i="31"/>
  <c r="AI94" i="31"/>
  <c r="AH94" i="31"/>
  <c r="BJ59" i="31" l="1"/>
  <c r="AW94" i="31" l="1"/>
  <c r="J212" i="6" l="1"/>
  <c r="I217" i="6" l="1"/>
  <c r="I201" i="6"/>
  <c r="I198" i="6"/>
  <c r="I297" i="6"/>
  <c r="J297" i="6" s="1"/>
  <c r="G283" i="6"/>
  <c r="G282" i="6"/>
  <c r="F281" i="6"/>
  <c r="F279" i="6"/>
  <c r="I281" i="6"/>
  <c r="I279" i="6"/>
  <c r="I179" i="6"/>
  <c r="J179" i="6" s="1"/>
  <c r="I163" i="6"/>
  <c r="I85" i="6"/>
  <c r="J85" i="6" s="1"/>
  <c r="I105" i="6"/>
  <c r="I104" i="6"/>
  <c r="I135" i="6" l="1"/>
  <c r="I119" i="6"/>
  <c r="I118" i="6"/>
  <c r="I116" i="6"/>
  <c r="I69" i="6"/>
  <c r="I68" i="6"/>
  <c r="F69" i="6"/>
  <c r="F68" i="6"/>
  <c r="I66" i="6"/>
  <c r="F66" i="6"/>
  <c r="J68" i="6" l="1"/>
  <c r="J69" i="6"/>
  <c r="I381" i="6" l="1"/>
  <c r="I379" i="6"/>
  <c r="I349" i="6"/>
  <c r="I348" i="6"/>
  <c r="I347" i="6"/>
  <c r="I318" i="6"/>
  <c r="I317" i="6"/>
  <c r="J350" i="6"/>
  <c r="I316" i="6"/>
  <c r="I268" i="6"/>
  <c r="I239" i="6"/>
  <c r="I238" i="6"/>
  <c r="I237" i="6"/>
  <c r="I155" i="6"/>
  <c r="I154" i="6"/>
  <c r="I53" i="6"/>
  <c r="D2" i="43"/>
  <c r="E2" i="43" s="1"/>
  <c r="F2" i="43" s="1"/>
  <c r="G2" i="43" s="1"/>
  <c r="H2" i="43" s="1"/>
  <c r="I2" i="43" s="1"/>
  <c r="J2" i="43" s="1"/>
  <c r="K2" i="43" s="1"/>
  <c r="L2" i="43" s="1"/>
  <c r="M2" i="43" s="1"/>
  <c r="N2" i="43" s="1"/>
  <c r="O2" i="43" s="1"/>
  <c r="P2" i="43" s="1"/>
  <c r="J281" i="6" l="1"/>
  <c r="N45" i="7" s="1"/>
  <c r="BK50" i="31"/>
  <c r="BH50" i="31"/>
  <c r="BG50" i="31"/>
  <c r="BF50" i="31"/>
  <c r="I22" i="6" l="1"/>
  <c r="I385" i="6" l="1"/>
  <c r="J382" i="6"/>
  <c r="BJ50" i="31" l="1"/>
  <c r="AU94" i="31" l="1"/>
  <c r="E68" i="31" l="1"/>
  <c r="AT94" i="31"/>
  <c r="AS94" i="31" l="1"/>
  <c r="BI50" i="31" l="1"/>
  <c r="E81" i="31" l="1"/>
  <c r="S81" i="31"/>
  <c r="R81" i="31"/>
  <c r="Q81" i="31"/>
  <c r="P81" i="31"/>
  <c r="O193" i="34" l="1"/>
  <c r="N193" i="34"/>
  <c r="M193" i="34"/>
  <c r="L193" i="34"/>
  <c r="K193" i="34"/>
  <c r="J193" i="34"/>
  <c r="O192" i="34"/>
  <c r="N192" i="34"/>
  <c r="M192" i="34"/>
  <c r="L192" i="34"/>
  <c r="K192" i="34"/>
  <c r="J192" i="34"/>
  <c r="I193" i="34"/>
  <c r="I192" i="34"/>
  <c r="O626" i="34" l="1"/>
  <c r="N626" i="34"/>
  <c r="M626" i="34"/>
  <c r="L626" i="34"/>
  <c r="K626" i="34"/>
  <c r="J626" i="34"/>
  <c r="O625" i="34"/>
  <c r="N625" i="34"/>
  <c r="M625" i="34"/>
  <c r="L625" i="34"/>
  <c r="K625" i="34"/>
  <c r="J625" i="34"/>
  <c r="O609" i="34"/>
  <c r="N609" i="34"/>
  <c r="M609" i="34"/>
  <c r="L609" i="34"/>
  <c r="K609" i="34"/>
  <c r="J609" i="34"/>
  <c r="O586" i="34"/>
  <c r="N586" i="34"/>
  <c r="M586" i="34"/>
  <c r="L586" i="34"/>
  <c r="K586" i="34"/>
  <c r="J586" i="34"/>
  <c r="O585" i="34"/>
  <c r="N585" i="34"/>
  <c r="M585" i="34"/>
  <c r="L585" i="34"/>
  <c r="K585" i="34"/>
  <c r="J585" i="34"/>
  <c r="O570" i="34"/>
  <c r="O551" i="34"/>
  <c r="N551" i="34"/>
  <c r="M551" i="34"/>
  <c r="L551" i="34"/>
  <c r="K551" i="34"/>
  <c r="J551" i="34"/>
  <c r="O527" i="34"/>
  <c r="N527" i="34"/>
  <c r="M527" i="34"/>
  <c r="L527" i="34"/>
  <c r="K527" i="34"/>
  <c r="J527" i="34"/>
  <c r="D629" i="34"/>
  <c r="D614" i="34"/>
  <c r="D589" i="34"/>
  <c r="D607" i="34"/>
  <c r="E575" i="34"/>
  <c r="D575" i="34"/>
  <c r="I626" i="34" l="1"/>
  <c r="I625" i="34"/>
  <c r="I609" i="34"/>
  <c r="I586" i="34"/>
  <c r="I585" i="34"/>
  <c r="D633" i="34"/>
  <c r="D619" i="34"/>
  <c r="E580" i="34"/>
  <c r="E579" i="34"/>
  <c r="E578" i="34"/>
  <c r="E577" i="34"/>
  <c r="E576" i="34"/>
  <c r="E574" i="34"/>
  <c r="E573" i="34"/>
  <c r="E572" i="34"/>
  <c r="E571" i="34"/>
  <c r="E570" i="34"/>
  <c r="E569" i="34"/>
  <c r="E568" i="34"/>
  <c r="E567" i="34"/>
  <c r="E566" i="34"/>
  <c r="E565" i="34"/>
  <c r="E561" i="34"/>
  <c r="E560" i="34"/>
  <c r="E559" i="34"/>
  <c r="E558" i="34"/>
  <c r="E557" i="34"/>
  <c r="E556" i="34"/>
  <c r="E555" i="34"/>
  <c r="E553" i="34"/>
  <c r="E552" i="34"/>
  <c r="E551" i="34"/>
  <c r="E550" i="34"/>
  <c r="E549" i="34"/>
  <c r="E548" i="34"/>
  <c r="E547" i="34"/>
  <c r="E546" i="34"/>
  <c r="I551" i="34"/>
  <c r="E537" i="34" l="1"/>
  <c r="E536" i="34"/>
  <c r="E535" i="34"/>
  <c r="E534" i="34"/>
  <c r="E533" i="34"/>
  <c r="E532" i="34"/>
  <c r="E531" i="34"/>
  <c r="E529" i="34"/>
  <c r="E528" i="34"/>
  <c r="E527" i="34"/>
  <c r="E526" i="34"/>
  <c r="E525" i="34"/>
  <c r="E524" i="34"/>
  <c r="E523" i="34"/>
  <c r="E522" i="34"/>
  <c r="D632" i="34" l="1"/>
  <c r="D631" i="34"/>
  <c r="D630" i="34"/>
  <c r="D628" i="34"/>
  <c r="D627" i="34"/>
  <c r="D626" i="34"/>
  <c r="D625" i="34"/>
  <c r="D624" i="34"/>
  <c r="D623" i="34"/>
  <c r="D622" i="34"/>
  <c r="D618" i="34"/>
  <c r="D617" i="34"/>
  <c r="D616" i="34"/>
  <c r="D615" i="34"/>
  <c r="D613" i="34"/>
  <c r="D612" i="34"/>
  <c r="D611" i="34"/>
  <c r="D610" i="34"/>
  <c r="D609" i="34"/>
  <c r="D608" i="34"/>
  <c r="D606" i="34"/>
  <c r="D605" i="34"/>
  <c r="D604" i="34"/>
  <c r="D603" i="34"/>
  <c r="D592" i="34"/>
  <c r="D591" i="34"/>
  <c r="D590" i="34"/>
  <c r="D588" i="34"/>
  <c r="D587" i="34"/>
  <c r="D586" i="34"/>
  <c r="D585" i="34"/>
  <c r="D584" i="34"/>
  <c r="D583" i="34"/>
  <c r="D582" i="34"/>
  <c r="D579" i="34"/>
  <c r="D578" i="34"/>
  <c r="D577" i="34"/>
  <c r="D576" i="34"/>
  <c r="D574" i="34"/>
  <c r="D573" i="34"/>
  <c r="D572" i="34"/>
  <c r="D571" i="34"/>
  <c r="D570" i="34"/>
  <c r="D569" i="34"/>
  <c r="D568" i="34"/>
  <c r="D567" i="34"/>
  <c r="D566" i="34"/>
  <c r="D565" i="34"/>
  <c r="D561" i="34"/>
  <c r="D560" i="34"/>
  <c r="D559" i="34"/>
  <c r="D558" i="34"/>
  <c r="D557" i="34"/>
  <c r="D556" i="34"/>
  <c r="D555" i="34"/>
  <c r="D553" i="34"/>
  <c r="D552" i="34"/>
  <c r="D551" i="34"/>
  <c r="D550" i="34"/>
  <c r="D549" i="34"/>
  <c r="D548" i="34"/>
  <c r="D547" i="34"/>
  <c r="D546" i="34"/>
  <c r="D537" i="34"/>
  <c r="D536" i="34"/>
  <c r="D535" i="34"/>
  <c r="D534" i="34"/>
  <c r="D533" i="34"/>
  <c r="D532" i="34"/>
  <c r="D531" i="34"/>
  <c r="D529" i="34"/>
  <c r="D528" i="34"/>
  <c r="D527" i="34"/>
  <c r="D526" i="34"/>
  <c r="D525" i="34"/>
  <c r="D524" i="34"/>
  <c r="D523" i="34"/>
  <c r="D522" i="34"/>
  <c r="E443" i="34" l="1"/>
  <c r="D443" i="34"/>
  <c r="E442" i="34"/>
  <c r="D442" i="34"/>
  <c r="E441" i="34"/>
  <c r="D441" i="34"/>
  <c r="O430" i="34"/>
  <c r="N430" i="34"/>
  <c r="M430" i="34"/>
  <c r="L430" i="34"/>
  <c r="K430" i="34"/>
  <c r="J430" i="34"/>
  <c r="E429" i="34"/>
  <c r="D429" i="34"/>
  <c r="E428" i="34"/>
  <c r="D428" i="34"/>
  <c r="E393" i="34"/>
  <c r="D393" i="34"/>
  <c r="O412" i="34"/>
  <c r="N412" i="34"/>
  <c r="M412" i="34"/>
  <c r="L412" i="34"/>
  <c r="K412" i="34"/>
  <c r="J412" i="34"/>
  <c r="O394" i="34"/>
  <c r="N394" i="34"/>
  <c r="M394" i="34"/>
  <c r="L394" i="34"/>
  <c r="K394" i="34"/>
  <c r="J394" i="34"/>
  <c r="I394" i="34"/>
  <c r="E411" i="34" l="1"/>
  <c r="D411" i="34"/>
  <c r="E410" i="34"/>
  <c r="D410" i="34"/>
  <c r="E409" i="34"/>
  <c r="D409" i="34"/>
  <c r="E392" i="34" l="1"/>
  <c r="D392" i="34"/>
  <c r="B2" i="45"/>
  <c r="C2" i="45" s="1"/>
  <c r="D2" i="45" s="1"/>
  <c r="E2" i="45" s="1"/>
  <c r="F2" i="45" s="1"/>
  <c r="G2" i="45" s="1"/>
  <c r="H2" i="45" s="1"/>
  <c r="I2" i="45" s="1"/>
  <c r="J2" i="45" s="1"/>
  <c r="K2" i="45" s="1"/>
  <c r="L2" i="45" s="1"/>
  <c r="M2" i="45" s="1"/>
  <c r="N2" i="45" s="1"/>
  <c r="O2" i="45" s="1"/>
  <c r="P2" i="45" s="1"/>
  <c r="I375" i="34" l="1"/>
  <c r="I374" i="34"/>
  <c r="I373" i="34"/>
  <c r="I372" i="34"/>
  <c r="I371" i="34"/>
  <c r="I358" i="34"/>
  <c r="I357" i="34"/>
  <c r="I356" i="34"/>
  <c r="I355" i="34"/>
  <c r="I354" i="34"/>
  <c r="I349" i="34"/>
  <c r="I329" i="34"/>
  <c r="I328" i="34"/>
  <c r="I326" i="34"/>
  <c r="I323" i="34"/>
  <c r="I293" i="34"/>
  <c r="I292" i="34"/>
  <c r="I291" i="34"/>
  <c r="I284" i="34"/>
  <c r="I283" i="34"/>
  <c r="I282" i="34"/>
  <c r="I174" i="34"/>
  <c r="I173" i="34"/>
  <c r="I172" i="34"/>
  <c r="I171" i="34"/>
  <c r="I170" i="34"/>
  <c r="I39" i="34"/>
  <c r="I38" i="34"/>
  <c r="I37" i="34"/>
  <c r="I285" i="34"/>
  <c r="I40" i="34" l="1"/>
  <c r="U101" i="33" l="1"/>
  <c r="AD101" i="33" s="1"/>
  <c r="AS101" i="33" s="1"/>
  <c r="S101" i="33"/>
  <c r="AB101" i="33" s="1"/>
  <c r="AQ101" i="33" s="1"/>
  <c r="R101" i="33"/>
  <c r="U85" i="33"/>
  <c r="S85" i="33"/>
  <c r="AB85" i="33" s="1"/>
  <c r="AQ85" i="33" s="1"/>
  <c r="R85" i="33"/>
  <c r="U69" i="33"/>
  <c r="S69" i="33"/>
  <c r="AB69" i="33" s="1"/>
  <c r="AQ69" i="33" s="1"/>
  <c r="R69" i="33"/>
  <c r="U53" i="33"/>
  <c r="S53" i="33"/>
  <c r="AB53" i="33" s="1"/>
  <c r="AQ53" i="33" s="1"/>
  <c r="R53" i="33"/>
  <c r="U37" i="33"/>
  <c r="AD37" i="33" s="1"/>
  <c r="AS37" i="33" s="1"/>
  <c r="S37" i="33"/>
  <c r="AB37" i="33" s="1"/>
  <c r="AQ37" i="33" s="1"/>
  <c r="R37" i="33"/>
  <c r="E449" i="34"/>
  <c r="D450" i="34"/>
  <c r="E438" i="34"/>
  <c r="E437" i="34"/>
  <c r="D438" i="34"/>
  <c r="E420" i="34"/>
  <c r="D420" i="34"/>
  <c r="E402" i="34"/>
  <c r="D402" i="34"/>
  <c r="E421" i="34"/>
  <c r="E419" i="34"/>
  <c r="E401" i="34"/>
  <c r="O366" i="34"/>
  <c r="N366" i="34"/>
  <c r="M366" i="34"/>
  <c r="L366" i="34"/>
  <c r="K366" i="34"/>
  <c r="J366" i="34"/>
  <c r="O365" i="34"/>
  <c r="N365" i="34"/>
  <c r="M365" i="34"/>
  <c r="L365" i="34"/>
  <c r="K365" i="34"/>
  <c r="J365" i="34"/>
  <c r="O344" i="34"/>
  <c r="N344" i="34"/>
  <c r="M344" i="34"/>
  <c r="L344" i="34"/>
  <c r="K344" i="34"/>
  <c r="J344" i="34"/>
  <c r="O320" i="34"/>
  <c r="N320" i="34"/>
  <c r="M320" i="34"/>
  <c r="L320" i="34"/>
  <c r="K320" i="34"/>
  <c r="J320" i="34"/>
  <c r="O318" i="34"/>
  <c r="N318" i="34"/>
  <c r="M318" i="34"/>
  <c r="L318" i="34"/>
  <c r="K318" i="34"/>
  <c r="J318" i="34"/>
  <c r="O289" i="34"/>
  <c r="N289" i="34"/>
  <c r="M289" i="34"/>
  <c r="L289" i="34"/>
  <c r="K289" i="34"/>
  <c r="J289" i="34"/>
  <c r="O270" i="34"/>
  <c r="N270" i="34"/>
  <c r="M270" i="34"/>
  <c r="L270" i="34"/>
  <c r="K270" i="34"/>
  <c r="J270" i="34"/>
  <c r="D374" i="34"/>
  <c r="D373" i="34"/>
  <c r="E357" i="34"/>
  <c r="D357" i="34"/>
  <c r="E356" i="34"/>
  <c r="D356" i="34"/>
  <c r="I366" i="34"/>
  <c r="I365" i="34"/>
  <c r="D328" i="34"/>
  <c r="D327" i="34"/>
  <c r="I320" i="34"/>
  <c r="I318" i="34"/>
  <c r="E284" i="34"/>
  <c r="D284" i="34"/>
  <c r="E283" i="34"/>
  <c r="D283" i="34"/>
  <c r="D289" i="34"/>
  <c r="E293" i="34"/>
  <c r="D293" i="34"/>
  <c r="E292" i="34"/>
  <c r="D292" i="34"/>
  <c r="E291" i="34"/>
  <c r="D291" i="34"/>
  <c r="E290" i="34"/>
  <c r="D290" i="34"/>
  <c r="E289" i="34"/>
  <c r="E288" i="34"/>
  <c r="D288" i="34"/>
  <c r="I289" i="34"/>
  <c r="O161" i="34"/>
  <c r="N161" i="34"/>
  <c r="M161" i="34"/>
  <c r="L161" i="34"/>
  <c r="K161" i="34"/>
  <c r="J161" i="34"/>
  <c r="O159" i="34"/>
  <c r="N159" i="34"/>
  <c r="M159" i="34"/>
  <c r="L159" i="34"/>
  <c r="K159" i="34"/>
  <c r="J159" i="34"/>
  <c r="O119" i="34"/>
  <c r="N119" i="34"/>
  <c r="M119" i="34"/>
  <c r="L119" i="34"/>
  <c r="K119" i="34"/>
  <c r="J119" i="34"/>
  <c r="O117" i="34"/>
  <c r="N117" i="34"/>
  <c r="M117" i="34"/>
  <c r="L117" i="34"/>
  <c r="K117" i="34"/>
  <c r="J117" i="34"/>
  <c r="O96" i="34"/>
  <c r="N96" i="34"/>
  <c r="M96" i="34"/>
  <c r="L96" i="34"/>
  <c r="K96" i="34"/>
  <c r="J96" i="34"/>
  <c r="O77" i="34"/>
  <c r="N77" i="34"/>
  <c r="M77" i="34"/>
  <c r="L77" i="34"/>
  <c r="K77" i="34"/>
  <c r="J77" i="34"/>
  <c r="O75" i="34"/>
  <c r="N75" i="34"/>
  <c r="M75" i="34"/>
  <c r="L75" i="34"/>
  <c r="K75" i="34"/>
  <c r="J75" i="34"/>
  <c r="O54" i="34"/>
  <c r="N54" i="34"/>
  <c r="M54" i="34"/>
  <c r="L54" i="34"/>
  <c r="K54" i="34"/>
  <c r="J54" i="34"/>
  <c r="O52" i="34"/>
  <c r="N52" i="34"/>
  <c r="M52" i="34"/>
  <c r="L52" i="34"/>
  <c r="K52" i="34"/>
  <c r="J52" i="34"/>
  <c r="O33" i="34"/>
  <c r="N33" i="34"/>
  <c r="M33" i="34"/>
  <c r="L33" i="34"/>
  <c r="K33" i="34"/>
  <c r="J33" i="34"/>
  <c r="O15" i="34"/>
  <c r="N15" i="34"/>
  <c r="M15" i="34"/>
  <c r="L15" i="34"/>
  <c r="K15" i="34"/>
  <c r="J15" i="34"/>
  <c r="O13" i="34"/>
  <c r="N13" i="34"/>
  <c r="M13" i="34"/>
  <c r="L13" i="34"/>
  <c r="K13" i="34"/>
  <c r="J13" i="34"/>
  <c r="E358" i="34"/>
  <c r="E355" i="34"/>
  <c r="E354" i="34"/>
  <c r="E353" i="34"/>
  <c r="E352" i="34"/>
  <c r="E351" i="34"/>
  <c r="E349" i="34"/>
  <c r="E348" i="34"/>
  <c r="E347" i="34"/>
  <c r="E346" i="34"/>
  <c r="E344" i="34"/>
  <c r="E343" i="34"/>
  <c r="E342" i="34"/>
  <c r="E341" i="34"/>
  <c r="E340" i="34"/>
  <c r="E339" i="34"/>
  <c r="E285" i="34"/>
  <c r="E282" i="34"/>
  <c r="E280" i="34"/>
  <c r="E279" i="34"/>
  <c r="E278" i="34"/>
  <c r="E276" i="34"/>
  <c r="E275" i="34"/>
  <c r="E274" i="34"/>
  <c r="E273" i="34"/>
  <c r="E272" i="34"/>
  <c r="E270" i="34"/>
  <c r="E269" i="34"/>
  <c r="E268" i="34"/>
  <c r="E267" i="34"/>
  <c r="E266" i="34"/>
  <c r="E203" i="34"/>
  <c r="E202" i="34"/>
  <c r="E201" i="34"/>
  <c r="E200" i="34"/>
  <c r="E199" i="34"/>
  <c r="E198" i="34"/>
  <c r="E197" i="34"/>
  <c r="E196" i="34"/>
  <c r="E195" i="34"/>
  <c r="E194" i="34"/>
  <c r="E193" i="34"/>
  <c r="E192" i="34"/>
  <c r="E191" i="34"/>
  <c r="E190" i="34"/>
  <c r="E189" i="34"/>
  <c r="E188" i="34"/>
  <c r="E187" i="34"/>
  <c r="E186" i="34"/>
  <c r="E185" i="34"/>
  <c r="P289" i="34" l="1"/>
  <c r="I294" i="34"/>
  <c r="I288" i="34"/>
  <c r="E174" i="34"/>
  <c r="D174" i="34"/>
  <c r="I161" i="34"/>
  <c r="I159" i="34"/>
  <c r="E173" i="34"/>
  <c r="E172" i="34"/>
  <c r="E171" i="34"/>
  <c r="E170" i="34"/>
  <c r="E169" i="34"/>
  <c r="E168" i="34"/>
  <c r="E167" i="34"/>
  <c r="E164" i="34"/>
  <c r="E163" i="34"/>
  <c r="E162" i="34"/>
  <c r="E161" i="34"/>
  <c r="E159" i="34"/>
  <c r="E158" i="34"/>
  <c r="E157" i="34"/>
  <c r="E132" i="34"/>
  <c r="D132" i="34"/>
  <c r="E131" i="34"/>
  <c r="E130" i="34"/>
  <c r="E129" i="34"/>
  <c r="E128" i="34"/>
  <c r="E127" i="34"/>
  <c r="E126" i="34"/>
  <c r="E125" i="34"/>
  <c r="E122" i="34"/>
  <c r="E121" i="34"/>
  <c r="E119" i="34"/>
  <c r="E117" i="34"/>
  <c r="E115" i="34"/>
  <c r="E116" i="34" s="1"/>
  <c r="I77" i="34"/>
  <c r="I83" i="34" s="1"/>
  <c r="I54" i="34"/>
  <c r="I60" i="34" s="1"/>
  <c r="E91" i="34"/>
  <c r="D91" i="34"/>
  <c r="E68" i="34"/>
  <c r="D68" i="34"/>
  <c r="E28" i="34"/>
  <c r="D28" i="34"/>
  <c r="D95" i="34"/>
  <c r="D96" i="34"/>
  <c r="I96" i="34"/>
  <c r="D97" i="34"/>
  <c r="D98" i="34"/>
  <c r="D99" i="34"/>
  <c r="D100" i="34"/>
  <c r="D101" i="34"/>
  <c r="D102" i="34"/>
  <c r="D103" i="34"/>
  <c r="E85" i="34"/>
  <c r="E90" i="34"/>
  <c r="D90" i="34"/>
  <c r="E89" i="34"/>
  <c r="D89" i="34"/>
  <c r="E88" i="34"/>
  <c r="D88" i="34"/>
  <c r="E87" i="34"/>
  <c r="D87" i="34"/>
  <c r="E86" i="34"/>
  <c r="D86" i="34"/>
  <c r="D85" i="34"/>
  <c r="E84" i="34"/>
  <c r="D84" i="34"/>
  <c r="E83" i="34"/>
  <c r="D83" i="34"/>
  <c r="E80" i="34"/>
  <c r="D80" i="34"/>
  <c r="E79" i="34"/>
  <c r="D79" i="34"/>
  <c r="E77" i="34"/>
  <c r="D77" i="34"/>
  <c r="I75" i="34"/>
  <c r="I73" i="34" s="1"/>
  <c r="E75" i="34"/>
  <c r="D75" i="34"/>
  <c r="E74" i="34"/>
  <c r="D74" i="34"/>
  <c r="E73" i="34"/>
  <c r="D73" i="34"/>
  <c r="D115" i="34"/>
  <c r="D116" i="34"/>
  <c r="D117" i="34"/>
  <c r="D119" i="34"/>
  <c r="D121" i="34"/>
  <c r="D122" i="34"/>
  <c r="D125" i="34"/>
  <c r="D126" i="34"/>
  <c r="D127" i="34"/>
  <c r="D128" i="34"/>
  <c r="D129" i="34"/>
  <c r="D130" i="34"/>
  <c r="D131" i="34"/>
  <c r="D157" i="34"/>
  <c r="D158" i="34"/>
  <c r="D159" i="34"/>
  <c r="D161" i="34"/>
  <c r="D162" i="34"/>
  <c r="D163" i="34"/>
  <c r="D164" i="34"/>
  <c r="D167" i="34"/>
  <c r="D168" i="34"/>
  <c r="D169" i="34"/>
  <c r="D170" i="34"/>
  <c r="D171" i="34"/>
  <c r="D172" i="34"/>
  <c r="D173" i="34"/>
  <c r="I179" i="34"/>
  <c r="D185" i="34"/>
  <c r="D186" i="34"/>
  <c r="D187" i="34"/>
  <c r="D188" i="34"/>
  <c r="D189" i="34"/>
  <c r="D190" i="34"/>
  <c r="I190" i="34"/>
  <c r="D191" i="34"/>
  <c r="D192" i="34"/>
  <c r="D193" i="34"/>
  <c r="D194" i="34"/>
  <c r="D195" i="34"/>
  <c r="D196" i="34"/>
  <c r="I196" i="34"/>
  <c r="D197" i="34"/>
  <c r="D198" i="34"/>
  <c r="D199" i="34"/>
  <c r="D200" i="34"/>
  <c r="D201" i="34"/>
  <c r="D202" i="34"/>
  <c r="I202" i="34"/>
  <c r="D203" i="34"/>
  <c r="D209" i="34"/>
  <c r="D210" i="34"/>
  <c r="I210" i="34"/>
  <c r="D211" i="34"/>
  <c r="D212" i="34"/>
  <c r="D213" i="34"/>
  <c r="D214" i="34"/>
  <c r="I214" i="34"/>
  <c r="D215" i="34"/>
  <c r="D216" i="34"/>
  <c r="D217" i="34"/>
  <c r="I217" i="34"/>
  <c r="D218" i="34"/>
  <c r="I218" i="34"/>
  <c r="D219" i="34"/>
  <c r="D220" i="34"/>
  <c r="I220" i="34"/>
  <c r="D221" i="34"/>
  <c r="I221" i="34"/>
  <c r="D223" i="34"/>
  <c r="D227" i="34"/>
  <c r="D228" i="34"/>
  <c r="D229" i="34"/>
  <c r="D230" i="34"/>
  <c r="D231" i="34"/>
  <c r="I231" i="34"/>
  <c r="I227" i="34" s="1"/>
  <c r="D232" i="34"/>
  <c r="D233" i="34"/>
  <c r="D234" i="34"/>
  <c r="I238" i="34"/>
  <c r="D266" i="34"/>
  <c r="D267" i="34"/>
  <c r="D268" i="34"/>
  <c r="I268" i="34"/>
  <c r="D269" i="34"/>
  <c r="D270" i="34"/>
  <c r="D272" i="34"/>
  <c r="D273" i="34"/>
  <c r="D274" i="34"/>
  <c r="D275" i="34"/>
  <c r="D276" i="34"/>
  <c r="D278" i="34"/>
  <c r="D279" i="34"/>
  <c r="D280" i="34"/>
  <c r="D282" i="34"/>
  <c r="D285" i="34"/>
  <c r="D315" i="34"/>
  <c r="D316" i="34"/>
  <c r="D317" i="34"/>
  <c r="D318" i="34"/>
  <c r="D320" i="34"/>
  <c r="D321" i="34"/>
  <c r="D322" i="34"/>
  <c r="D323" i="34"/>
  <c r="D325" i="34"/>
  <c r="D326" i="34"/>
  <c r="D329" i="34"/>
  <c r="I334" i="34"/>
  <c r="U21" i="33"/>
  <c r="AD21" i="33" s="1"/>
  <c r="AS21" i="33" s="1"/>
  <c r="S21" i="33"/>
  <c r="AB21" i="33" s="1"/>
  <c r="AQ21" i="33" s="1"/>
  <c r="R21" i="33"/>
  <c r="C21" i="33"/>
  <c r="BL21" i="33" s="1"/>
  <c r="AU21" i="33" s="1"/>
  <c r="I95" i="34" l="1"/>
  <c r="H82" i="31" s="1"/>
  <c r="P96" i="34"/>
  <c r="I61" i="34"/>
  <c r="I84" i="34"/>
  <c r="I185" i="34"/>
  <c r="I200" i="34"/>
  <c r="I209" i="34"/>
  <c r="AR83" i="31"/>
  <c r="J21" i="33"/>
  <c r="BD21" i="33"/>
  <c r="BE21" i="33"/>
  <c r="BH21" i="33"/>
  <c r="AW21" i="33" s="1"/>
  <c r="H21" i="33"/>
  <c r="BI21" i="33"/>
  <c r="AX21" i="33" s="1"/>
  <c r="BG21" i="33"/>
  <c r="AV21" i="33" s="1"/>
  <c r="BK21" i="33"/>
  <c r="AZ21" i="33" s="1"/>
  <c r="BF21" i="33"/>
  <c r="BJ21" i="33"/>
  <c r="AY21" i="33" s="1"/>
  <c r="H83" i="31"/>
  <c r="H76" i="31"/>
  <c r="I265" i="34"/>
  <c r="I232" i="34"/>
  <c r="I167" i="34"/>
  <c r="I325" i="34"/>
  <c r="I315" i="34"/>
  <c r="I189" i="34"/>
  <c r="I266" i="34"/>
  <c r="I186" i="34"/>
  <c r="I157" i="34"/>
  <c r="I52" i="34"/>
  <c r="I50" i="34" s="1"/>
  <c r="E67" i="34"/>
  <c r="E66" i="34"/>
  <c r="E65" i="34"/>
  <c r="E64" i="34"/>
  <c r="E63" i="34"/>
  <c r="E61" i="34"/>
  <c r="E60" i="34"/>
  <c r="E57" i="34"/>
  <c r="E56" i="34"/>
  <c r="E55" i="34"/>
  <c r="E54" i="34"/>
  <c r="E52" i="34"/>
  <c r="E51" i="34"/>
  <c r="E50" i="34"/>
  <c r="H68" i="31" l="1"/>
  <c r="I197" i="34"/>
  <c r="H63" i="31"/>
  <c r="I69" i="34"/>
  <c r="AR74" i="31" s="1"/>
  <c r="AA21" i="33"/>
  <c r="AP21" i="33" s="1"/>
  <c r="BM21" i="33" s="1"/>
  <c r="BB21" i="33"/>
  <c r="I168" i="34"/>
  <c r="I267" i="34"/>
  <c r="I187" i="34"/>
  <c r="I33" i="34"/>
  <c r="I32" i="34" s="1"/>
  <c r="I175" i="34" l="1"/>
  <c r="AR77" i="31" s="1"/>
  <c r="I177" i="34" l="1"/>
  <c r="I181" i="34" s="1"/>
  <c r="AS4" i="31"/>
  <c r="AG4" i="31"/>
  <c r="AT4" i="31" l="1"/>
  <c r="J4" i="31"/>
  <c r="W4" i="31" s="1"/>
  <c r="AH4" i="31"/>
  <c r="AU4" i="31" l="1"/>
  <c r="K4" i="31"/>
  <c r="X4" i="31" s="1"/>
  <c r="AI4" i="31"/>
  <c r="AV4" i="31" l="1"/>
  <c r="L4" i="31"/>
  <c r="Y4" i="31" s="1"/>
  <c r="AJ4" i="31"/>
  <c r="AW4" i="31" l="1"/>
  <c r="M4" i="31"/>
  <c r="Z4" i="31" s="1"/>
  <c r="AK4" i="31"/>
  <c r="AX4" i="31" l="1"/>
  <c r="N4" i="31"/>
  <c r="AL4" i="31"/>
  <c r="AN36" i="32"/>
  <c r="AN29" i="32"/>
  <c r="AN30" i="32"/>
  <c r="AL72" i="31" l="1"/>
  <c r="AL63" i="31"/>
  <c r="AL62" i="31"/>
  <c r="AL67" i="31"/>
  <c r="AA4" i="31"/>
  <c r="N72" i="31"/>
  <c r="AY4" i="31"/>
  <c r="O4" i="31"/>
  <c r="AM4" i="31"/>
  <c r="O72" i="31" l="1"/>
  <c r="AM67" i="31"/>
  <c r="AM62" i="31"/>
  <c r="AM72" i="31"/>
  <c r="AZ4" i="31"/>
  <c r="BA4" i="31" s="1"/>
  <c r="P4" i="31"/>
  <c r="AB4" i="31"/>
  <c r="Q4" i="31"/>
  <c r="AN4" i="31"/>
  <c r="AN62" i="31" l="1"/>
  <c r="AN67" i="31"/>
  <c r="AN72" i="31"/>
  <c r="AD4" i="31"/>
  <c r="Q72" i="31"/>
  <c r="AC4" i="31"/>
  <c r="P72" i="31"/>
  <c r="BB4" i="31"/>
  <c r="AO4" i="31"/>
  <c r="R4" i="31"/>
  <c r="AO72" i="31" l="1"/>
  <c r="AO67" i="31"/>
  <c r="AO62" i="31"/>
  <c r="AE4" i="31"/>
  <c r="R72" i="31"/>
  <c r="BC4" i="31"/>
  <c r="S4" i="31"/>
  <c r="AP4" i="31"/>
  <c r="AP67" i="31" s="1"/>
  <c r="AP62" i="31" l="1"/>
  <c r="S72" i="31"/>
  <c r="AP72" i="31"/>
  <c r="AQ4" i="31"/>
  <c r="AQ62" i="31" s="1"/>
  <c r="AQ67" i="31" l="1"/>
  <c r="AQ72" i="31"/>
  <c r="P11" i="87"/>
  <c r="O11" i="87"/>
  <c r="P9" i="87"/>
  <c r="O9" i="87"/>
  <c r="P8" i="87"/>
  <c r="O8" i="87"/>
  <c r="M8" i="87" s="1"/>
  <c r="P7" i="87"/>
  <c r="W7" i="87" s="1"/>
  <c r="O7" i="87"/>
  <c r="N11" i="87"/>
  <c r="N8" i="87"/>
  <c r="N7" i="87"/>
  <c r="L6" i="87"/>
  <c r="P38" i="32" s="1"/>
  <c r="G202" i="6" s="1"/>
  <c r="P6" i="87"/>
  <c r="W6" i="87" s="1"/>
  <c r="W49" i="87" s="1"/>
  <c r="N6" i="87"/>
  <c r="U6" i="87" s="1"/>
  <c r="D40" i="32"/>
  <c r="AN40" i="32" s="1"/>
  <c r="D41" i="32"/>
  <c r="AN41" i="32" s="1"/>
  <c r="D42" i="32"/>
  <c r="AN42" i="32" s="1"/>
  <c r="D46" i="32"/>
  <c r="D37" i="32"/>
  <c r="AN37" i="32" s="1"/>
  <c r="AO37" i="32" s="1"/>
  <c r="D38" i="32"/>
  <c r="D39" i="32"/>
  <c r="AN39" i="32" s="1"/>
  <c r="AO39" i="32" s="1"/>
  <c r="D33" i="32"/>
  <c r="AN33" i="32" s="1"/>
  <c r="AO33" i="32" s="1"/>
  <c r="D34" i="32"/>
  <c r="AN34" i="32" s="1"/>
  <c r="AO34" i="32" s="1"/>
  <c r="D35" i="32"/>
  <c r="AN35" i="32" s="1"/>
  <c r="AO35" i="32" s="1"/>
  <c r="D36" i="32"/>
  <c r="D31" i="32"/>
  <c r="AN31" i="32" s="1"/>
  <c r="AO31" i="32" s="1"/>
  <c r="D32" i="32"/>
  <c r="AN32" i="32" s="1"/>
  <c r="AO32" i="32" s="1"/>
  <c r="D28" i="32"/>
  <c r="D29" i="32"/>
  <c r="D30" i="32"/>
  <c r="D22" i="32"/>
  <c r="D26" i="32"/>
  <c r="AN26" i="32" s="1"/>
  <c r="AO26" i="32" s="1"/>
  <c r="D27" i="32"/>
  <c r="AN27" i="32" s="1"/>
  <c r="AO27" i="32" s="1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N28" i="32" l="1"/>
  <c r="O28" i="32"/>
  <c r="V8" i="87"/>
  <c r="Z62" i="31"/>
  <c r="M51" i="87"/>
  <c r="L49" i="87"/>
  <c r="J202" i="6"/>
  <c r="H28" i="32"/>
  <c r="AN28" i="32"/>
  <c r="AO28" i="32" s="1"/>
  <c r="F9" i="32"/>
  <c r="F13" i="32"/>
  <c r="F17" i="32"/>
  <c r="F10" i="32"/>
  <c r="F14" i="32"/>
  <c r="F18" i="32"/>
  <c r="F11" i="32"/>
  <c r="F15" i="32"/>
  <c r="F8" i="32"/>
  <c r="F12" i="32"/>
  <c r="F16" i="32"/>
  <c r="F21" i="32"/>
  <c r="E30" i="32"/>
  <c r="F31" i="32"/>
  <c r="F33" i="32"/>
  <c r="E46" i="32"/>
  <c r="F27" i="32"/>
  <c r="E29" i="32"/>
  <c r="F36" i="32"/>
  <c r="F39" i="32"/>
  <c r="E42" i="32"/>
  <c r="E19" i="32"/>
  <c r="E26" i="32"/>
  <c r="F28" i="32"/>
  <c r="F35" i="32"/>
  <c r="E38" i="32"/>
  <c r="E41" i="32"/>
  <c r="F20" i="32"/>
  <c r="E22" i="32"/>
  <c r="F32" i="32"/>
  <c r="E34" i="32"/>
  <c r="E37" i="32"/>
  <c r="F40" i="32"/>
  <c r="E31" i="32"/>
  <c r="F46" i="32"/>
  <c r="E33" i="32"/>
  <c r="F41" i="32"/>
  <c r="E35" i="32"/>
  <c r="E20" i="32"/>
  <c r="E27" i="32"/>
  <c r="E39" i="32"/>
  <c r="F22" i="32"/>
  <c r="F29" i="32"/>
  <c r="F37" i="32"/>
  <c r="E21" i="32"/>
  <c r="E28" i="32"/>
  <c r="E32" i="32"/>
  <c r="E36" i="32"/>
  <c r="E40" i="32"/>
  <c r="F19" i="32"/>
  <c r="F26" i="32"/>
  <c r="F30" i="32"/>
  <c r="F34" i="32"/>
  <c r="F38" i="32"/>
  <c r="F42" i="32"/>
  <c r="V51" i="87" l="1"/>
  <c r="AB28" i="32"/>
  <c r="E40" i="34"/>
  <c r="E39" i="34"/>
  <c r="E38" i="34"/>
  <c r="E37" i="34"/>
  <c r="E36" i="34"/>
  <c r="E35" i="34"/>
  <c r="E34" i="34"/>
  <c r="E33" i="34"/>
  <c r="E32" i="34"/>
  <c r="E27" i="34"/>
  <c r="E26" i="34"/>
  <c r="E25" i="34"/>
  <c r="E24" i="34"/>
  <c r="E23" i="34"/>
  <c r="E22" i="34"/>
  <c r="E21" i="34"/>
  <c r="E18" i="34"/>
  <c r="E17" i="34"/>
  <c r="E16" i="34"/>
  <c r="E15" i="34"/>
  <c r="E13" i="34"/>
  <c r="E12" i="34"/>
  <c r="E11" i="34"/>
  <c r="E109" i="33" l="1"/>
  <c r="E107" i="33"/>
  <c r="E106" i="33"/>
  <c r="E105" i="33"/>
  <c r="E104" i="33"/>
  <c r="E103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Y26" i="33" l="1"/>
  <c r="Y33" i="33"/>
  <c r="X33" i="33"/>
  <c r="W33" i="33"/>
  <c r="Y61" i="33"/>
  <c r="X81" i="33"/>
  <c r="Y81" i="33"/>
  <c r="W81" i="33"/>
  <c r="X8" i="33"/>
  <c r="Y8" i="33"/>
  <c r="Y28" i="33"/>
  <c r="Y42" i="33"/>
  <c r="W48" i="33"/>
  <c r="Y48" i="33"/>
  <c r="X48" i="33"/>
  <c r="X56" i="33"/>
  <c r="Y56" i="33"/>
  <c r="X62" i="33"/>
  <c r="W62" i="33"/>
  <c r="Y62" i="33"/>
  <c r="X68" i="33"/>
  <c r="Y76" i="33"/>
  <c r="X82" i="33"/>
  <c r="Y82" i="33"/>
  <c r="W82" i="33"/>
  <c r="Y90" i="33"/>
  <c r="Y96" i="33"/>
  <c r="W96" i="33"/>
  <c r="X96" i="33"/>
  <c r="Y104" i="33"/>
  <c r="X18" i="33"/>
  <c r="W18" i="33"/>
  <c r="Y18" i="33"/>
  <c r="Y13" i="33"/>
  <c r="Y27" i="33"/>
  <c r="Y55" i="33"/>
  <c r="X55" i="33"/>
  <c r="Y75" i="33"/>
  <c r="X95" i="33"/>
  <c r="Y95" i="33"/>
  <c r="W95" i="33"/>
  <c r="AC95" i="33" s="1"/>
  <c r="W14" i="33"/>
  <c r="X14" i="33"/>
  <c r="Y14" i="33"/>
  <c r="Y9" i="33"/>
  <c r="W15" i="33"/>
  <c r="X15" i="33"/>
  <c r="Y15" i="33"/>
  <c r="T23" i="33"/>
  <c r="Y23" i="33"/>
  <c r="X23" i="33"/>
  <c r="Y29" i="33"/>
  <c r="W35" i="33"/>
  <c r="X35" i="33"/>
  <c r="Y35" i="33"/>
  <c r="Y43" i="33"/>
  <c r="X49" i="33"/>
  <c r="Y49" i="33"/>
  <c r="W49" i="33"/>
  <c r="Y57" i="33"/>
  <c r="X63" i="33"/>
  <c r="Y63" i="33"/>
  <c r="W63" i="33"/>
  <c r="AC63" i="33" s="1"/>
  <c r="Y71" i="33"/>
  <c r="X71" i="33"/>
  <c r="Y77" i="33"/>
  <c r="Y83" i="33"/>
  <c r="W83" i="33"/>
  <c r="X83" i="33"/>
  <c r="Y91" i="33"/>
  <c r="Y97" i="33"/>
  <c r="X97" i="33"/>
  <c r="W97" i="33"/>
  <c r="Y105" i="33"/>
  <c r="Y12" i="33"/>
  <c r="Y19" i="33"/>
  <c r="W19" i="33"/>
  <c r="X19" i="33"/>
  <c r="W47" i="33"/>
  <c r="AC47" i="33" s="1"/>
  <c r="X47" i="33"/>
  <c r="Y47" i="33"/>
  <c r="Y89" i="33"/>
  <c r="X20" i="33"/>
  <c r="Y10" i="33"/>
  <c r="W16" i="33"/>
  <c r="X16" i="33"/>
  <c r="Y16" i="33"/>
  <c r="X24" i="33"/>
  <c r="Y24" i="33"/>
  <c r="X30" i="33"/>
  <c r="W30" i="33"/>
  <c r="Y30" i="33"/>
  <c r="X36" i="33"/>
  <c r="Y44" i="33"/>
  <c r="X50" i="33"/>
  <c r="Y50" i="33"/>
  <c r="W50" i="33"/>
  <c r="Y58" i="33"/>
  <c r="Y64" i="33"/>
  <c r="W64" i="33"/>
  <c r="X64" i="33"/>
  <c r="Y72" i="33"/>
  <c r="X72" i="33"/>
  <c r="Y78" i="33"/>
  <c r="X78" i="33"/>
  <c r="W78" i="33"/>
  <c r="X84" i="33"/>
  <c r="Y92" i="33"/>
  <c r="W98" i="33"/>
  <c r="X98" i="33"/>
  <c r="Y98" i="33"/>
  <c r="Y106" i="33"/>
  <c r="X106" i="33"/>
  <c r="W106" i="33"/>
  <c r="AC106" i="33" s="1"/>
  <c r="H7" i="33"/>
  <c r="V7" i="33"/>
  <c r="X7" i="33"/>
  <c r="T7" i="33"/>
  <c r="Y7" i="33"/>
  <c r="U7" i="33"/>
  <c r="M30" i="32"/>
  <c r="N19" i="32"/>
  <c r="M9" i="32"/>
  <c r="P21" i="32"/>
  <c r="M17" i="32"/>
  <c r="O8" i="32"/>
  <c r="O15" i="32"/>
  <c r="P10" i="32"/>
  <c r="O11" i="32"/>
  <c r="P14" i="32"/>
  <c r="M10" i="32"/>
  <c r="O18" i="32"/>
  <c r="M13" i="32"/>
  <c r="P19" i="32"/>
  <c r="N9" i="32"/>
  <c r="O21" i="32"/>
  <c r="P17" i="32"/>
  <c r="N8" i="32"/>
  <c r="K15" i="32"/>
  <c r="N10" i="32"/>
  <c r="M12" i="32"/>
  <c r="P22" i="32"/>
  <c r="O16" i="32"/>
  <c r="O13" i="32"/>
  <c r="M14" i="32"/>
  <c r="P9" i="32"/>
  <c r="M16" i="32"/>
  <c r="O17" i="32"/>
  <c r="N20" i="32"/>
  <c r="P15" i="32"/>
  <c r="O10" i="32"/>
  <c r="O12" i="32"/>
  <c r="N22" i="32"/>
  <c r="M11" i="32"/>
  <c r="O22" i="32"/>
  <c r="O19" i="32"/>
  <c r="M15" i="32"/>
  <c r="N11" i="32"/>
  <c r="P13" i="32"/>
  <c r="N14" i="32"/>
  <c r="O9" i="32"/>
  <c r="P16" i="32"/>
  <c r="O20" i="32"/>
  <c r="P12" i="32"/>
  <c r="N21" i="32"/>
  <c r="N13" i="32"/>
  <c r="O14" i="32"/>
  <c r="M21" i="32"/>
  <c r="N16" i="32"/>
  <c r="M8" i="32"/>
  <c r="P11" i="32"/>
  <c r="N12" i="32"/>
  <c r="P8" i="32"/>
  <c r="Y41" i="33"/>
  <c r="W67" i="33"/>
  <c r="Y67" i="33"/>
  <c r="X67" i="33"/>
  <c r="Y103" i="33"/>
  <c r="X103" i="33"/>
  <c r="W34" i="33"/>
  <c r="X34" i="33"/>
  <c r="Y34" i="33"/>
  <c r="AE34" i="33" s="1"/>
  <c r="Y11" i="33"/>
  <c r="Y17" i="33"/>
  <c r="W17" i="33"/>
  <c r="X17" i="33"/>
  <c r="Y25" i="33"/>
  <c r="X31" i="33"/>
  <c r="Y31" i="33"/>
  <c r="W31" i="33"/>
  <c r="AC31" i="33" s="1"/>
  <c r="Y39" i="33"/>
  <c r="X39" i="33"/>
  <c r="Y45" i="33"/>
  <c r="Y51" i="33"/>
  <c r="W51" i="33"/>
  <c r="X51" i="33"/>
  <c r="Y59" i="33"/>
  <c r="Y65" i="33"/>
  <c r="X65" i="33"/>
  <c r="W65" i="33"/>
  <c r="Y73" i="33"/>
  <c r="W79" i="33"/>
  <c r="AC79" i="33" s="1"/>
  <c r="X79" i="33"/>
  <c r="Y79" i="33"/>
  <c r="Y87" i="33"/>
  <c r="X87" i="33"/>
  <c r="Y93" i="33"/>
  <c r="W99" i="33"/>
  <c r="X99" i="33"/>
  <c r="Y99" i="33"/>
  <c r="Y107" i="33"/>
  <c r="AE107" i="33" s="1"/>
  <c r="X107" i="33"/>
  <c r="W107" i="33"/>
  <c r="AC107" i="33" s="1"/>
  <c r="Y32" i="33"/>
  <c r="W32" i="33"/>
  <c r="X32" i="33"/>
  <c r="Y40" i="33"/>
  <c r="X40" i="33"/>
  <c r="Y46" i="33"/>
  <c r="W46" i="33"/>
  <c r="X46" i="33"/>
  <c r="X52" i="33"/>
  <c r="Y60" i="33"/>
  <c r="W66" i="33"/>
  <c r="Y66" i="33"/>
  <c r="X66" i="33"/>
  <c r="Y74" i="33"/>
  <c r="W80" i="33"/>
  <c r="Y80" i="33"/>
  <c r="X80" i="33"/>
  <c r="X88" i="33"/>
  <c r="Y88" i="33"/>
  <c r="X94" i="33"/>
  <c r="W94" i="33"/>
  <c r="Y94" i="33"/>
  <c r="X100" i="33"/>
  <c r="X109" i="33"/>
  <c r="Z14" i="32"/>
  <c r="Z20" i="32"/>
  <c r="Y12" i="32"/>
  <c r="Y18" i="32"/>
  <c r="X10" i="32"/>
  <c r="X16" i="32"/>
  <c r="X22" i="32"/>
  <c r="W14" i="32"/>
  <c r="W20" i="32"/>
  <c r="V12" i="32"/>
  <c r="V18" i="32"/>
  <c r="U10" i="32"/>
  <c r="U16" i="32"/>
  <c r="U22" i="32"/>
  <c r="T16" i="32"/>
  <c r="T22" i="32"/>
  <c r="S16" i="32"/>
  <c r="S22" i="32"/>
  <c r="R16" i="32"/>
  <c r="R22" i="32"/>
  <c r="Q16" i="32"/>
  <c r="Q22" i="32"/>
  <c r="R10" i="32"/>
  <c r="W8" i="32"/>
  <c r="Q8" i="32"/>
  <c r="S11" i="32"/>
  <c r="R11" i="32"/>
  <c r="R17" i="32"/>
  <c r="Q17" i="32"/>
  <c r="T9" i="32"/>
  <c r="V8" i="32"/>
  <c r="Q21" i="32"/>
  <c r="Z9" i="32"/>
  <c r="Z15" i="32"/>
  <c r="Z21" i="32"/>
  <c r="Y13" i="32"/>
  <c r="Y19" i="32"/>
  <c r="X11" i="32"/>
  <c r="X17" i="32"/>
  <c r="W9" i="32"/>
  <c r="W15" i="32"/>
  <c r="W21" i="32"/>
  <c r="V13" i="32"/>
  <c r="V19" i="32"/>
  <c r="U11" i="32"/>
  <c r="U17" i="32"/>
  <c r="T11" i="32"/>
  <c r="T17" i="32"/>
  <c r="S17" i="32"/>
  <c r="Q11" i="32"/>
  <c r="Q10" i="32"/>
  <c r="R21" i="32"/>
  <c r="Z10" i="32"/>
  <c r="Z16" i="32"/>
  <c r="Z22" i="32"/>
  <c r="Y14" i="32"/>
  <c r="Y20" i="32"/>
  <c r="X12" i="32"/>
  <c r="X18" i="32"/>
  <c r="W10" i="32"/>
  <c r="W16" i="32"/>
  <c r="W22" i="32"/>
  <c r="V14" i="32"/>
  <c r="V20" i="32"/>
  <c r="U12" i="32"/>
  <c r="U18" i="32"/>
  <c r="T12" i="32"/>
  <c r="T18" i="32"/>
  <c r="S12" i="32"/>
  <c r="S18" i="32"/>
  <c r="R12" i="32"/>
  <c r="R18" i="32"/>
  <c r="Q12" i="32"/>
  <c r="Q18" i="32"/>
  <c r="T10" i="32"/>
  <c r="Q9" i="32"/>
  <c r="U8" i="32"/>
  <c r="Y8" i="32"/>
  <c r="Z19" i="32"/>
  <c r="X15" i="32"/>
  <c r="W19" i="32"/>
  <c r="U9" i="32"/>
  <c r="T15" i="32"/>
  <c r="S21" i="32"/>
  <c r="R9" i="32"/>
  <c r="Z11" i="32"/>
  <c r="Z17" i="32"/>
  <c r="Y9" i="32"/>
  <c r="Y15" i="32"/>
  <c r="Y21" i="32"/>
  <c r="X13" i="32"/>
  <c r="X19" i="32"/>
  <c r="W11" i="32"/>
  <c r="W17" i="32"/>
  <c r="V9" i="32"/>
  <c r="V15" i="32"/>
  <c r="V21" i="32"/>
  <c r="U13" i="32"/>
  <c r="U19" i="32"/>
  <c r="T13" i="32"/>
  <c r="T19" i="32"/>
  <c r="S13" i="32"/>
  <c r="S19" i="32"/>
  <c r="R13" i="32"/>
  <c r="R19" i="32"/>
  <c r="Q13" i="32"/>
  <c r="Q19" i="32"/>
  <c r="S9" i="32"/>
  <c r="Z8" i="32"/>
  <c r="T8" i="32"/>
  <c r="Z13" i="32"/>
  <c r="Y17" i="32"/>
  <c r="X21" i="32"/>
  <c r="V11" i="32"/>
  <c r="U15" i="32"/>
  <c r="T21" i="32"/>
  <c r="R15" i="32"/>
  <c r="X8" i="32"/>
  <c r="Z12" i="32"/>
  <c r="Z18" i="32"/>
  <c r="Y10" i="32"/>
  <c r="Y16" i="32"/>
  <c r="Y22" i="32"/>
  <c r="X14" i="32"/>
  <c r="X20" i="32"/>
  <c r="W12" i="32"/>
  <c r="W18" i="32"/>
  <c r="V10" i="32"/>
  <c r="V16" i="32"/>
  <c r="V22" i="32"/>
  <c r="U14" i="32"/>
  <c r="U20" i="32"/>
  <c r="T14" i="32"/>
  <c r="T20" i="32"/>
  <c r="S14" i="32"/>
  <c r="S20" i="32"/>
  <c r="R14" i="32"/>
  <c r="R20" i="32"/>
  <c r="Q14" i="32"/>
  <c r="Q20" i="32"/>
  <c r="S10" i="32"/>
  <c r="S8" i="32"/>
  <c r="Y11" i="32"/>
  <c r="X9" i="32"/>
  <c r="W13" i="32"/>
  <c r="V17" i="32"/>
  <c r="U21" i="32"/>
  <c r="S15" i="32"/>
  <c r="Q15" i="32"/>
  <c r="R8" i="32"/>
  <c r="P163" i="33"/>
  <c r="Q158" i="33"/>
  <c r="J7" i="33"/>
  <c r="H12" i="32"/>
  <c r="BK7" i="33"/>
  <c r="I14" i="32"/>
  <c r="Q172" i="33"/>
  <c r="P172" i="33"/>
  <c r="Q167" i="33"/>
  <c r="Q168" i="33"/>
  <c r="Q169" i="33"/>
  <c r="Q170" i="33"/>
  <c r="Q171" i="33"/>
  <c r="P167" i="33"/>
  <c r="P168" i="33"/>
  <c r="P169" i="33"/>
  <c r="P170" i="33"/>
  <c r="P171" i="33"/>
  <c r="Q166" i="33"/>
  <c r="Q159" i="33"/>
  <c r="P166" i="33"/>
  <c r="P159" i="33"/>
  <c r="P161" i="33"/>
  <c r="Q163" i="33"/>
  <c r="P164" i="33"/>
  <c r="P165" i="33"/>
  <c r="Q161" i="33"/>
  <c r="Q164" i="33"/>
  <c r="Q165" i="33"/>
  <c r="J14" i="32"/>
  <c r="J20" i="32"/>
  <c r="I11" i="32"/>
  <c r="I17" i="32"/>
  <c r="I15" i="32"/>
  <c r="J9" i="32"/>
  <c r="J15" i="32"/>
  <c r="J21" i="32"/>
  <c r="I18" i="32"/>
  <c r="J16" i="32"/>
  <c r="J22" i="32"/>
  <c r="I13" i="32"/>
  <c r="I19" i="32"/>
  <c r="J17" i="32"/>
  <c r="J8" i="32"/>
  <c r="J18" i="32"/>
  <c r="I21" i="32"/>
  <c r="J11" i="32"/>
  <c r="I20" i="32"/>
  <c r="J13" i="32"/>
  <c r="J19" i="32"/>
  <c r="I16" i="32"/>
  <c r="I22" i="32"/>
  <c r="I9" i="32"/>
  <c r="H8" i="32"/>
  <c r="G10" i="33"/>
  <c r="R23" i="33"/>
  <c r="AA23" i="33" s="1"/>
  <c r="S11" i="33"/>
  <c r="AB11" i="33" s="1"/>
  <c r="R11" i="33"/>
  <c r="AA11" i="33" s="1"/>
  <c r="R7" i="33"/>
  <c r="BL7" i="33"/>
  <c r="AU7" i="33" s="1"/>
  <c r="BD7" i="33"/>
  <c r="AT172" i="33"/>
  <c r="AP172" i="33"/>
  <c r="AX172" i="33"/>
  <c r="AV172" i="33"/>
  <c r="AS172" i="33"/>
  <c r="AW172" i="33"/>
  <c r="AR172" i="33"/>
  <c r="AQ172" i="33"/>
  <c r="AY172" i="33"/>
  <c r="AU172" i="33"/>
  <c r="I172" i="33"/>
  <c r="L21" i="32"/>
  <c r="K21" i="32"/>
  <c r="G380" i="6" s="1"/>
  <c r="C31" i="81" s="1"/>
  <c r="E31" i="81" s="1"/>
  <c r="L164" i="33"/>
  <c r="I168" i="33"/>
  <c r="I160" i="33"/>
  <c r="L160" i="33"/>
  <c r="I164" i="33"/>
  <c r="L158" i="33"/>
  <c r="I166" i="33"/>
  <c r="I159" i="33"/>
  <c r="I167" i="33"/>
  <c r="L165" i="33"/>
  <c r="I165" i="33"/>
  <c r="L166" i="33"/>
  <c r="I161" i="33"/>
  <c r="I169" i="33"/>
  <c r="L159" i="33"/>
  <c r="L167" i="33"/>
  <c r="I170" i="33"/>
  <c r="I163" i="33"/>
  <c r="I171" i="33"/>
  <c r="I162" i="33"/>
  <c r="L161" i="33"/>
  <c r="I158" i="33"/>
  <c r="L162" i="33"/>
  <c r="L163" i="33"/>
  <c r="AJ21" i="32"/>
  <c r="AH21" i="32"/>
  <c r="AU21" i="32"/>
  <c r="AK21" i="32"/>
  <c r="AJ30" i="32"/>
  <c r="H18" i="7" s="1"/>
  <c r="AE21" i="32"/>
  <c r="AB30" i="32"/>
  <c r="L30" i="32"/>
  <c r="H30" i="32"/>
  <c r="H11" i="32"/>
  <c r="H15" i="32"/>
  <c r="H22" i="32"/>
  <c r="AW21" i="32"/>
  <c r="AT21" i="32"/>
  <c r="AF21" i="32"/>
  <c r="AP21" i="32"/>
  <c r="AK42" i="32"/>
  <c r="AK30" i="32"/>
  <c r="AI30" i="32"/>
  <c r="AB21" i="32"/>
  <c r="AD30" i="32"/>
  <c r="P30" i="32"/>
  <c r="H10" i="32"/>
  <c r="H14" i="32"/>
  <c r="H18" i="32"/>
  <c r="H19" i="32"/>
  <c r="H20" i="32"/>
  <c r="AR21" i="32"/>
  <c r="AQ21" i="32"/>
  <c r="AS21" i="32"/>
  <c r="AI21" i="32"/>
  <c r="AL42" i="32"/>
  <c r="AL21" i="32"/>
  <c r="AG30" i="32"/>
  <c r="AD21" i="32"/>
  <c r="G381" i="6"/>
  <c r="J381" i="6" s="1"/>
  <c r="AV21" i="32"/>
  <c r="AL30" i="32"/>
  <c r="AE30" i="32"/>
  <c r="H17" i="32"/>
  <c r="K30" i="32"/>
  <c r="G37" i="32"/>
  <c r="AG21" i="32"/>
  <c r="AH30" i="32"/>
  <c r="G21" i="32"/>
  <c r="F379" i="6" s="1"/>
  <c r="G30" i="32"/>
  <c r="H16" i="32"/>
  <c r="H37" i="32"/>
  <c r="AX21" i="32"/>
  <c r="AF30" i="32"/>
  <c r="AA21" i="32"/>
  <c r="H9" i="32"/>
  <c r="H13" i="32"/>
  <c r="H21" i="32"/>
  <c r="H46" i="32"/>
  <c r="T12" i="33"/>
  <c r="T26" i="33"/>
  <c r="V40" i="33"/>
  <c r="AE40" i="33" s="1"/>
  <c r="AT40" i="33" s="1"/>
  <c r="T40" i="33"/>
  <c r="U40" i="33"/>
  <c r="U48" i="33"/>
  <c r="V62" i="33"/>
  <c r="AE62" i="33" s="1"/>
  <c r="AT62" i="33" s="1"/>
  <c r="U62" i="33"/>
  <c r="V76" i="33"/>
  <c r="AE76" i="33" s="1"/>
  <c r="AT76" i="33" s="1"/>
  <c r="T76" i="33"/>
  <c r="V90" i="33"/>
  <c r="AE90" i="33" s="1"/>
  <c r="AT90" i="33" s="1"/>
  <c r="T90" i="33"/>
  <c r="T109" i="33"/>
  <c r="U109" i="33"/>
  <c r="U137" i="33"/>
  <c r="U155" i="33"/>
  <c r="AD155" i="33" s="1"/>
  <c r="T9" i="33"/>
  <c r="U23" i="33"/>
  <c r="U35" i="33"/>
  <c r="U49" i="33"/>
  <c r="V63" i="33"/>
  <c r="AE63" i="33" s="1"/>
  <c r="AT63" i="33" s="1"/>
  <c r="U63" i="33"/>
  <c r="V73" i="33"/>
  <c r="AE73" i="33" s="1"/>
  <c r="AT73" i="33" s="1"/>
  <c r="T73" i="33"/>
  <c r="U87" i="33"/>
  <c r="T87" i="33"/>
  <c r="U99" i="33"/>
  <c r="U107" i="33"/>
  <c r="V123" i="33"/>
  <c r="AE123" i="33" s="1"/>
  <c r="AT123" i="33" s="1"/>
  <c r="T123" i="33"/>
  <c r="T141" i="33"/>
  <c r="V148" i="33"/>
  <c r="AE148" i="33" s="1"/>
  <c r="AT148" i="33" s="1"/>
  <c r="U148" i="33"/>
  <c r="T148" i="33"/>
  <c r="U18" i="33"/>
  <c r="V36" i="33"/>
  <c r="T36" i="33"/>
  <c r="U36" i="33"/>
  <c r="U50" i="33"/>
  <c r="V64" i="33"/>
  <c r="AE64" i="33" s="1"/>
  <c r="AT64" i="33" s="1"/>
  <c r="U64" i="33"/>
  <c r="V74" i="33"/>
  <c r="AE74" i="33" s="1"/>
  <c r="AT74" i="33" s="1"/>
  <c r="T74" i="33"/>
  <c r="V78" i="33"/>
  <c r="AE78" i="33" s="1"/>
  <c r="AT78" i="33" s="1"/>
  <c r="U78" i="33"/>
  <c r="U82" i="33"/>
  <c r="T88" i="33"/>
  <c r="U88" i="33"/>
  <c r="T92" i="33"/>
  <c r="V96" i="33"/>
  <c r="AE96" i="33" s="1"/>
  <c r="AT96" i="33" s="1"/>
  <c r="U96" i="33"/>
  <c r="T100" i="33"/>
  <c r="U100" i="33"/>
  <c r="U106" i="33"/>
  <c r="AD106" i="33" s="1"/>
  <c r="V113" i="33"/>
  <c r="AE113" i="33" s="1"/>
  <c r="AT113" i="33" s="1"/>
  <c r="T113" i="33"/>
  <c r="U128" i="33"/>
  <c r="V131" i="33"/>
  <c r="AE131" i="33" s="1"/>
  <c r="AT131" i="33" s="1"/>
  <c r="T131" i="33"/>
  <c r="U146" i="33"/>
  <c r="T149" i="33"/>
  <c r="U8" i="33"/>
  <c r="T8" i="33"/>
  <c r="U16" i="33"/>
  <c r="T20" i="33"/>
  <c r="U20" i="33"/>
  <c r="U30" i="33"/>
  <c r="U34" i="33"/>
  <c r="T44" i="33"/>
  <c r="V52" i="33"/>
  <c r="U52" i="33"/>
  <c r="T52" i="33"/>
  <c r="V58" i="33"/>
  <c r="AE58" i="33" s="1"/>
  <c r="AT58" i="33" s="1"/>
  <c r="T58" i="33"/>
  <c r="U66" i="33"/>
  <c r="U72" i="33"/>
  <c r="T72" i="33"/>
  <c r="V80" i="33"/>
  <c r="AE80" i="33" s="1"/>
  <c r="AT80" i="33" s="1"/>
  <c r="U80" i="33"/>
  <c r="T84" i="33"/>
  <c r="U84" i="33"/>
  <c r="V94" i="33"/>
  <c r="AE94" i="33" s="1"/>
  <c r="AT94" i="33" s="1"/>
  <c r="U94" i="33"/>
  <c r="U98" i="33"/>
  <c r="U119" i="33"/>
  <c r="V122" i="33"/>
  <c r="AE122" i="33" s="1"/>
  <c r="AT122" i="33" s="1"/>
  <c r="T122" i="33"/>
  <c r="V140" i="33"/>
  <c r="AE140" i="33" s="1"/>
  <c r="AT140" i="33" s="1"/>
  <c r="T140" i="33"/>
  <c r="T13" i="33"/>
  <c r="U17" i="33"/>
  <c r="V27" i="33"/>
  <c r="AE27" i="33" s="1"/>
  <c r="AT27" i="33" s="1"/>
  <c r="T27" i="33"/>
  <c r="U31" i="33"/>
  <c r="V41" i="33"/>
  <c r="AE41" i="33" s="1"/>
  <c r="AT41" i="33" s="1"/>
  <c r="T41" i="33"/>
  <c r="V45" i="33"/>
  <c r="AE45" i="33" s="1"/>
  <c r="AT45" i="33" s="1"/>
  <c r="T45" i="33"/>
  <c r="U55" i="33"/>
  <c r="T55" i="33"/>
  <c r="V59" i="33"/>
  <c r="AE59" i="33" s="1"/>
  <c r="AT59" i="33" s="1"/>
  <c r="T59" i="33"/>
  <c r="U67" i="33"/>
  <c r="V77" i="33"/>
  <c r="AE77" i="33" s="1"/>
  <c r="AT77" i="33" s="1"/>
  <c r="T77" i="33"/>
  <c r="U81" i="33"/>
  <c r="V91" i="33"/>
  <c r="AE91" i="33" s="1"/>
  <c r="AT91" i="33" s="1"/>
  <c r="T91" i="33"/>
  <c r="U95" i="33"/>
  <c r="T104" i="33"/>
  <c r="U112" i="33"/>
  <c r="T112" i="33"/>
  <c r="T127" i="33"/>
  <c r="V130" i="33"/>
  <c r="AE130" i="33" s="1"/>
  <c r="AT130" i="33" s="1"/>
  <c r="U130" i="33"/>
  <c r="T130" i="33"/>
  <c r="T145" i="33"/>
  <c r="AC145" i="33" s="1"/>
  <c r="AR145" i="33" s="1"/>
  <c r="T10" i="33"/>
  <c r="U14" i="33"/>
  <c r="V24" i="33"/>
  <c r="AE24" i="33" s="1"/>
  <c r="AT24" i="33" s="1"/>
  <c r="T24" i="33"/>
  <c r="U24" i="33"/>
  <c r="V28" i="33"/>
  <c r="AE28" i="33" s="1"/>
  <c r="AT28" i="33" s="1"/>
  <c r="T28" i="33"/>
  <c r="V32" i="33"/>
  <c r="AE32" i="33" s="1"/>
  <c r="AT32" i="33" s="1"/>
  <c r="U32" i="33"/>
  <c r="T42" i="33"/>
  <c r="U46" i="33"/>
  <c r="T56" i="33"/>
  <c r="U56" i="33"/>
  <c r="V60" i="33"/>
  <c r="AE60" i="33" s="1"/>
  <c r="AT60" i="33" s="1"/>
  <c r="T60" i="33"/>
  <c r="T68" i="33"/>
  <c r="U68" i="33"/>
  <c r="T11" i="33"/>
  <c r="U15" i="33"/>
  <c r="U19" i="33"/>
  <c r="V25" i="33"/>
  <c r="AE25" i="33" s="1"/>
  <c r="AT25" i="33" s="1"/>
  <c r="T25" i="33"/>
  <c r="T29" i="33"/>
  <c r="U33" i="33"/>
  <c r="U39" i="33"/>
  <c r="T39" i="33"/>
  <c r="V43" i="33"/>
  <c r="AE43" i="33" s="1"/>
  <c r="AT43" i="33" s="1"/>
  <c r="T43" i="33"/>
  <c r="U47" i="33"/>
  <c r="U51" i="33"/>
  <c r="V57" i="33"/>
  <c r="AE57" i="33" s="1"/>
  <c r="AT57" i="33" s="1"/>
  <c r="T57" i="33"/>
  <c r="V61" i="33"/>
  <c r="AE61" i="33" s="1"/>
  <c r="AT61" i="33" s="1"/>
  <c r="T61" i="33"/>
  <c r="U65" i="33"/>
  <c r="U71" i="33"/>
  <c r="T71" i="33"/>
  <c r="V75" i="33"/>
  <c r="AE75" i="33" s="1"/>
  <c r="AT75" i="33" s="1"/>
  <c r="T75" i="33"/>
  <c r="U79" i="33"/>
  <c r="U83" i="33"/>
  <c r="T89" i="33"/>
  <c r="T93" i="33"/>
  <c r="U97" i="33"/>
  <c r="U103" i="33"/>
  <c r="T103" i="33"/>
  <c r="T105" i="33"/>
  <c r="T114" i="33"/>
  <c r="T118" i="33"/>
  <c r="U121" i="33"/>
  <c r="T121" i="33"/>
  <c r="T132" i="33"/>
  <c r="V136" i="33"/>
  <c r="T136" i="33"/>
  <c r="AC136" i="33" s="1"/>
  <c r="AR136" i="33" s="1"/>
  <c r="U139" i="33"/>
  <c r="T139" i="33"/>
  <c r="V150" i="33"/>
  <c r="AE150" i="33" s="1"/>
  <c r="AT150" i="33" s="1"/>
  <c r="T150" i="33"/>
  <c r="T154" i="33"/>
  <c r="AC154" i="33" s="1"/>
  <c r="V11" i="33"/>
  <c r="S39" i="33"/>
  <c r="AB39" i="33" s="1"/>
  <c r="AQ39" i="33" s="1"/>
  <c r="V39" i="33"/>
  <c r="AE39" i="33" s="1"/>
  <c r="AT39" i="33" s="1"/>
  <c r="G47" i="33"/>
  <c r="V47" i="33"/>
  <c r="AE47" i="33" s="1"/>
  <c r="AT47" i="33" s="1"/>
  <c r="V71" i="33"/>
  <c r="AE71" i="33" s="1"/>
  <c r="AT71" i="33" s="1"/>
  <c r="V12" i="33"/>
  <c r="S30" i="33"/>
  <c r="AB30" i="33" s="1"/>
  <c r="AQ30" i="33" s="1"/>
  <c r="V30" i="33"/>
  <c r="AE30" i="33" s="1"/>
  <c r="AT30" i="33" s="1"/>
  <c r="V23" i="33"/>
  <c r="AE23" i="33" s="1"/>
  <c r="AT23" i="33" s="1"/>
  <c r="V31" i="33"/>
  <c r="AE31" i="33" s="1"/>
  <c r="AT31" i="33" s="1"/>
  <c r="S55" i="33"/>
  <c r="AB55" i="33" s="1"/>
  <c r="AQ55" i="33" s="1"/>
  <c r="V55" i="33"/>
  <c r="AE55" i="33" s="1"/>
  <c r="AT55" i="33" s="1"/>
  <c r="D67" i="33"/>
  <c r="V87" i="33"/>
  <c r="AE87" i="33" s="1"/>
  <c r="AT87" i="33" s="1"/>
  <c r="R95" i="33"/>
  <c r="V95" i="33"/>
  <c r="AE95" i="33" s="1"/>
  <c r="AT95" i="33" s="1"/>
  <c r="V104" i="33"/>
  <c r="AE104" i="33" s="1"/>
  <c r="AT104" i="33" s="1"/>
  <c r="V112" i="33"/>
  <c r="AE112" i="33" s="1"/>
  <c r="AT112" i="33" s="1"/>
  <c r="V127" i="33"/>
  <c r="V141" i="33"/>
  <c r="AE141" i="33" s="1"/>
  <c r="AT141" i="33" s="1"/>
  <c r="V145" i="33"/>
  <c r="BI7" i="33"/>
  <c r="BE7" i="33"/>
  <c r="BJ7" i="33"/>
  <c r="BH7" i="33"/>
  <c r="BF7" i="33"/>
  <c r="BG7" i="33"/>
  <c r="AV7" i="33" s="1"/>
  <c r="V15" i="33"/>
  <c r="D29" i="33"/>
  <c r="V29" i="33"/>
  <c r="AE29" i="33" s="1"/>
  <c r="AT29" i="33" s="1"/>
  <c r="D51" i="33"/>
  <c r="V79" i="33"/>
  <c r="AE79" i="33" s="1"/>
  <c r="AT79" i="33" s="1"/>
  <c r="G83" i="33"/>
  <c r="D89" i="33"/>
  <c r="V89" i="33"/>
  <c r="AE89" i="33" s="1"/>
  <c r="AT89" i="33" s="1"/>
  <c r="V93" i="33"/>
  <c r="AE93" i="33" s="1"/>
  <c r="AT93" i="33" s="1"/>
  <c r="V103" i="33"/>
  <c r="AE103" i="33" s="1"/>
  <c r="AT103" i="33" s="1"/>
  <c r="V105" i="33"/>
  <c r="AE105" i="33" s="1"/>
  <c r="AT105" i="33" s="1"/>
  <c r="V114" i="33"/>
  <c r="AE114" i="33" s="1"/>
  <c r="AT114" i="33" s="1"/>
  <c r="V118" i="33"/>
  <c r="V121" i="33"/>
  <c r="AE121" i="33" s="1"/>
  <c r="AT121" i="33" s="1"/>
  <c r="V132" i="33"/>
  <c r="AE132" i="33" s="1"/>
  <c r="AT132" i="33" s="1"/>
  <c r="V139" i="33"/>
  <c r="AE139" i="33" s="1"/>
  <c r="AT139" i="33" s="1"/>
  <c r="V154" i="33"/>
  <c r="AE154" i="33" s="1"/>
  <c r="V8" i="33"/>
  <c r="V16" i="33"/>
  <c r="AE16" i="33" s="1"/>
  <c r="V20" i="33"/>
  <c r="V26" i="33"/>
  <c r="AE26" i="33" s="1"/>
  <c r="AT26" i="33" s="1"/>
  <c r="S34" i="33"/>
  <c r="AB34" i="33" s="1"/>
  <c r="AQ34" i="33" s="1"/>
  <c r="R44" i="33"/>
  <c r="V44" i="33"/>
  <c r="AE44" i="33" s="1"/>
  <c r="AT44" i="33" s="1"/>
  <c r="V48" i="33"/>
  <c r="AE48" i="33" s="1"/>
  <c r="AT48" i="33" s="1"/>
  <c r="S66" i="33"/>
  <c r="AB66" i="33" s="1"/>
  <c r="AQ66" i="33" s="1"/>
  <c r="D72" i="33"/>
  <c r="V72" i="33"/>
  <c r="AE72" i="33" s="1"/>
  <c r="AT72" i="33" s="1"/>
  <c r="V84" i="33"/>
  <c r="D98" i="33"/>
  <c r="V109" i="33"/>
  <c r="V115" i="33"/>
  <c r="AE115" i="33" s="1"/>
  <c r="AT115" i="33" s="1"/>
  <c r="V133" i="33"/>
  <c r="AE133" i="33" s="1"/>
  <c r="AT133" i="33" s="1"/>
  <c r="V9" i="33"/>
  <c r="V13" i="33"/>
  <c r="D35" i="33"/>
  <c r="V10" i="33"/>
  <c r="V14" i="33"/>
  <c r="V42" i="33"/>
  <c r="AE42" i="33" s="1"/>
  <c r="AT42" i="33" s="1"/>
  <c r="V46" i="33"/>
  <c r="AE46" i="33" s="1"/>
  <c r="AT46" i="33" s="1"/>
  <c r="S50" i="33"/>
  <c r="AB50" i="33" s="1"/>
  <c r="AQ50" i="33" s="1"/>
  <c r="V56" i="33"/>
  <c r="AE56" i="33" s="1"/>
  <c r="AT56" i="33" s="1"/>
  <c r="V68" i="33"/>
  <c r="D88" i="33"/>
  <c r="V88" i="33"/>
  <c r="AE88" i="33" s="1"/>
  <c r="AT88" i="33" s="1"/>
  <c r="S92" i="33"/>
  <c r="V92" i="33"/>
  <c r="AE92" i="33" s="1"/>
  <c r="AT92" i="33" s="1"/>
  <c r="G100" i="33"/>
  <c r="V100" i="33"/>
  <c r="V106" i="33"/>
  <c r="AE106" i="33" s="1"/>
  <c r="AT106" i="33" s="1"/>
  <c r="V124" i="33"/>
  <c r="AE124" i="33" s="1"/>
  <c r="AT124" i="33" s="1"/>
  <c r="V142" i="33"/>
  <c r="AE142" i="33" s="1"/>
  <c r="AT142" i="33" s="1"/>
  <c r="V149" i="33"/>
  <c r="AE149" i="33" s="1"/>
  <c r="AT149" i="33" s="1"/>
  <c r="V151" i="33"/>
  <c r="AE151" i="33" s="1"/>
  <c r="AT151" i="33" s="1"/>
  <c r="S123" i="33"/>
  <c r="K7" i="33"/>
  <c r="S125" i="33"/>
  <c r="AB125" i="33" s="1"/>
  <c r="AQ125" i="33" s="1"/>
  <c r="S150" i="33"/>
  <c r="R122" i="33"/>
  <c r="P122" i="33" s="1"/>
  <c r="R126" i="33"/>
  <c r="S140" i="33"/>
  <c r="D33" i="33"/>
  <c r="G75" i="33"/>
  <c r="D74" i="33"/>
  <c r="G31" i="33"/>
  <c r="S31" i="33"/>
  <c r="AB31" i="33" s="1"/>
  <c r="AQ31" i="33" s="1"/>
  <c r="G79" i="33"/>
  <c r="S79" i="33"/>
  <c r="AB79" i="33" s="1"/>
  <c r="AQ79" i="33" s="1"/>
  <c r="D79" i="33"/>
  <c r="S47" i="33"/>
  <c r="AB47" i="33" s="1"/>
  <c r="AQ47" i="33" s="1"/>
  <c r="D50" i="33"/>
  <c r="D71" i="33"/>
  <c r="D91" i="33"/>
  <c r="D93" i="33"/>
  <c r="D97" i="33"/>
  <c r="D26" i="33"/>
  <c r="S75" i="33"/>
  <c r="D82" i="33"/>
  <c r="G95" i="33"/>
  <c r="R133" i="33"/>
  <c r="S23" i="33"/>
  <c r="AB23" i="33" s="1"/>
  <c r="AQ23" i="33" s="1"/>
  <c r="S98" i="33"/>
  <c r="AB98" i="33" s="1"/>
  <c r="AQ98" i="33" s="1"/>
  <c r="G56" i="33"/>
  <c r="R48" i="33"/>
  <c r="D55" i="33"/>
  <c r="S56" i="33"/>
  <c r="AB56" i="33" s="1"/>
  <c r="AQ56" i="33" s="1"/>
  <c r="R124" i="33"/>
  <c r="R134" i="33"/>
  <c r="D24" i="33"/>
  <c r="S24" i="33"/>
  <c r="AB24" i="33" s="1"/>
  <c r="AQ24" i="33" s="1"/>
  <c r="R40" i="33"/>
  <c r="AA40" i="33" s="1"/>
  <c r="G40" i="33"/>
  <c r="R115" i="33"/>
  <c r="G24" i="33"/>
  <c r="R59" i="33"/>
  <c r="AA59" i="33" s="1"/>
  <c r="S63" i="33"/>
  <c r="AB63" i="33" s="1"/>
  <c r="AQ63" i="33" s="1"/>
  <c r="R63" i="33"/>
  <c r="R89" i="33"/>
  <c r="AA89" i="33" s="1"/>
  <c r="S114" i="33"/>
  <c r="G63" i="33"/>
  <c r="R83" i="33"/>
  <c r="S128" i="33"/>
  <c r="AB128" i="33" s="1"/>
  <c r="AQ128" i="33" s="1"/>
  <c r="R117" i="33"/>
  <c r="D40" i="33"/>
  <c r="R131" i="33"/>
  <c r="S131" i="33"/>
  <c r="R135" i="33"/>
  <c r="G39" i="33"/>
  <c r="G48" i="33"/>
  <c r="G73" i="33"/>
  <c r="G81" i="33"/>
  <c r="R96" i="33"/>
  <c r="R58" i="33"/>
  <c r="AA58" i="33" s="1"/>
  <c r="D61" i="33"/>
  <c r="R61" i="33"/>
  <c r="AA61" i="33" s="1"/>
  <c r="G76" i="33"/>
  <c r="R76" i="33"/>
  <c r="AA76" i="33" s="1"/>
  <c r="D105" i="33"/>
  <c r="S105" i="33"/>
  <c r="G105" i="33"/>
  <c r="D45" i="33"/>
  <c r="R64" i="33"/>
  <c r="D78" i="33"/>
  <c r="R93" i="33"/>
  <c r="AA93" i="33" s="1"/>
  <c r="S121" i="33"/>
  <c r="AB121" i="33" s="1"/>
  <c r="AQ121" i="33" s="1"/>
  <c r="D107" i="33"/>
  <c r="G107" i="33"/>
  <c r="D23" i="33"/>
  <c r="G64" i="33"/>
  <c r="G80" i="33"/>
  <c r="G23" i="33"/>
  <c r="R31" i="33"/>
  <c r="S46" i="33"/>
  <c r="AB46" i="33" s="1"/>
  <c r="AQ46" i="33" s="1"/>
  <c r="D46" i="33"/>
  <c r="R47" i="33"/>
  <c r="G55" i="33"/>
  <c r="D63" i="33"/>
  <c r="S72" i="33"/>
  <c r="AB72" i="33" s="1"/>
  <c r="AQ72" i="33" s="1"/>
  <c r="S80" i="33"/>
  <c r="AB80" i="33" s="1"/>
  <c r="AQ80" i="33" s="1"/>
  <c r="R91" i="33"/>
  <c r="AA91" i="33" s="1"/>
  <c r="D103" i="33"/>
  <c r="G104" i="33"/>
  <c r="S104" i="33"/>
  <c r="D104" i="33"/>
  <c r="R137" i="33"/>
  <c r="R24" i="33"/>
  <c r="AA24" i="33" s="1"/>
  <c r="D30" i="33"/>
  <c r="D34" i="33"/>
  <c r="D39" i="33"/>
  <c r="D56" i="33"/>
  <c r="D66" i="33"/>
  <c r="D73" i="33"/>
  <c r="D75" i="33"/>
  <c r="D81" i="33"/>
  <c r="D87" i="33"/>
  <c r="R90" i="33"/>
  <c r="AA90" i="33" s="1"/>
  <c r="D95" i="33"/>
  <c r="D106" i="33"/>
  <c r="S122" i="33"/>
  <c r="S141" i="33"/>
  <c r="S143" i="33"/>
  <c r="AB143" i="33" s="1"/>
  <c r="AQ143" i="33" s="1"/>
  <c r="R56" i="33"/>
  <c r="AA56" i="33" s="1"/>
  <c r="S73" i="33"/>
  <c r="S95" i="33"/>
  <c r="AB95" i="33" s="1"/>
  <c r="AQ95" i="33" s="1"/>
  <c r="S127" i="33"/>
  <c r="AB127" i="33" s="1"/>
  <c r="AQ127" i="33" s="1"/>
  <c r="S130" i="33"/>
  <c r="AB130" i="33" s="1"/>
  <c r="AQ130" i="33" s="1"/>
  <c r="R79" i="33"/>
  <c r="S116" i="33"/>
  <c r="AB116" i="33" s="1"/>
  <c r="AQ116" i="33" s="1"/>
  <c r="R136" i="33"/>
  <c r="R144" i="33"/>
  <c r="R153" i="33"/>
  <c r="R128" i="33"/>
  <c r="R148" i="33"/>
  <c r="P148" i="33" s="1"/>
  <c r="S152" i="33"/>
  <c r="AB152" i="33" s="1"/>
  <c r="AQ152" i="33" s="1"/>
  <c r="S151" i="33"/>
  <c r="AB151" i="33" s="1"/>
  <c r="AQ151" i="33" s="1"/>
  <c r="S154" i="33"/>
  <c r="AB154" i="33" s="1"/>
  <c r="AQ154" i="33" s="1"/>
  <c r="R154" i="33"/>
  <c r="R149" i="33"/>
  <c r="P149" i="33" s="1"/>
  <c r="AA149" i="33" s="1"/>
  <c r="S149" i="33"/>
  <c r="S148" i="33"/>
  <c r="AB148" i="33" s="1"/>
  <c r="AQ148" i="33" s="1"/>
  <c r="R151" i="33"/>
  <c r="R150" i="33"/>
  <c r="P150" i="33" s="1"/>
  <c r="R152" i="33"/>
  <c r="S153" i="33"/>
  <c r="AB153" i="33" s="1"/>
  <c r="AQ153" i="33" s="1"/>
  <c r="R155" i="33"/>
  <c r="S155" i="33"/>
  <c r="AB155" i="33" s="1"/>
  <c r="AQ155" i="33" s="1"/>
  <c r="S145" i="33"/>
  <c r="AB145" i="33" s="1"/>
  <c r="AQ145" i="33" s="1"/>
  <c r="R139" i="33"/>
  <c r="P139" i="33" s="1"/>
  <c r="R142" i="33"/>
  <c r="S142" i="33"/>
  <c r="AB142" i="33" s="1"/>
  <c r="AQ142" i="33" s="1"/>
  <c r="S139" i="33"/>
  <c r="AB139" i="33" s="1"/>
  <c r="AQ139" i="33" s="1"/>
  <c r="R140" i="33"/>
  <c r="P140" i="33" s="1"/>
  <c r="AA140" i="33" s="1"/>
  <c r="R141" i="33"/>
  <c r="P141" i="33" s="1"/>
  <c r="R143" i="33"/>
  <c r="S144" i="33"/>
  <c r="AB144" i="33" s="1"/>
  <c r="AQ144" i="33" s="1"/>
  <c r="R145" i="33"/>
  <c r="R146" i="33"/>
  <c r="S146" i="33"/>
  <c r="AB146" i="33" s="1"/>
  <c r="AQ146" i="33" s="1"/>
  <c r="R130" i="33"/>
  <c r="P130" i="33" s="1"/>
  <c r="R132" i="33"/>
  <c r="P132" i="33" s="1"/>
  <c r="S137" i="33"/>
  <c r="AB137" i="33" s="1"/>
  <c r="AQ137" i="33" s="1"/>
  <c r="S132" i="33"/>
  <c r="S133" i="33"/>
  <c r="AB133" i="33" s="1"/>
  <c r="AQ133" i="33" s="1"/>
  <c r="S134" i="33"/>
  <c r="AB134" i="33" s="1"/>
  <c r="AQ134" i="33" s="1"/>
  <c r="S135" i="33"/>
  <c r="AB135" i="33" s="1"/>
  <c r="AQ135" i="33" s="1"/>
  <c r="S136" i="33"/>
  <c r="S126" i="33"/>
  <c r="AB126" i="33" s="1"/>
  <c r="AQ126" i="33" s="1"/>
  <c r="S124" i="33"/>
  <c r="AB124" i="33" s="1"/>
  <c r="AQ124" i="33" s="1"/>
  <c r="R121" i="33"/>
  <c r="P121" i="33" s="1"/>
  <c r="R123" i="33"/>
  <c r="P123" i="33" s="1"/>
  <c r="R125" i="33"/>
  <c r="R127" i="33"/>
  <c r="S112" i="33"/>
  <c r="AB112" i="33" s="1"/>
  <c r="AQ112" i="33" s="1"/>
  <c r="S115" i="33"/>
  <c r="AB115" i="33" s="1"/>
  <c r="AQ115" i="33" s="1"/>
  <c r="S118" i="33"/>
  <c r="AB118" i="33" s="1"/>
  <c r="AQ118" i="33" s="1"/>
  <c r="R118" i="33"/>
  <c r="R112" i="33"/>
  <c r="P112" i="33" s="1"/>
  <c r="R113" i="33"/>
  <c r="P113" i="33" s="1"/>
  <c r="AA113" i="33" s="1"/>
  <c r="S113" i="33"/>
  <c r="R114" i="33"/>
  <c r="P114" i="33" s="1"/>
  <c r="R116" i="33"/>
  <c r="S117" i="33"/>
  <c r="AB117" i="33" s="1"/>
  <c r="AQ117" i="33" s="1"/>
  <c r="R119" i="33"/>
  <c r="S119" i="33"/>
  <c r="AB119" i="33" s="1"/>
  <c r="AQ119" i="33" s="1"/>
  <c r="D109" i="33"/>
  <c r="R109" i="33"/>
  <c r="R103" i="33"/>
  <c r="P103" i="33" s="1"/>
  <c r="G109" i="33"/>
  <c r="S109" i="33"/>
  <c r="AB109" i="33" s="1"/>
  <c r="AQ109" i="33" s="1"/>
  <c r="G103" i="33"/>
  <c r="S103" i="33"/>
  <c r="AB103" i="33" s="1"/>
  <c r="AQ103" i="33" s="1"/>
  <c r="R104" i="33"/>
  <c r="P104" i="33" s="1"/>
  <c r="R105" i="33"/>
  <c r="P105" i="33" s="1"/>
  <c r="R106" i="33"/>
  <c r="G106" i="33"/>
  <c r="S106" i="33"/>
  <c r="AB106" i="33" s="1"/>
  <c r="AQ106" i="33" s="1"/>
  <c r="S107" i="33"/>
  <c r="AB107" i="33" s="1"/>
  <c r="AQ107" i="33" s="1"/>
  <c r="R107" i="33"/>
  <c r="R94" i="33"/>
  <c r="G94" i="33"/>
  <c r="G87" i="33"/>
  <c r="S87" i="33"/>
  <c r="AB87" i="33" s="1"/>
  <c r="AQ87" i="33" s="1"/>
  <c r="G88" i="33"/>
  <c r="G90" i="33"/>
  <c r="S91" i="33"/>
  <c r="G91" i="33"/>
  <c r="R87" i="33"/>
  <c r="AA87" i="33" s="1"/>
  <c r="S88" i="33"/>
  <c r="AB88" i="33" s="1"/>
  <c r="AQ88" i="33" s="1"/>
  <c r="R88" i="33"/>
  <c r="AA88" i="33" s="1"/>
  <c r="S89" i="33"/>
  <c r="AB89" i="33" s="1"/>
  <c r="G89" i="33"/>
  <c r="D90" i="33"/>
  <c r="S90" i="33"/>
  <c r="D92" i="33"/>
  <c r="G92" i="33"/>
  <c r="S97" i="33"/>
  <c r="AB97" i="33" s="1"/>
  <c r="AQ97" i="33" s="1"/>
  <c r="R97" i="33"/>
  <c r="G97" i="33"/>
  <c r="R92" i="33"/>
  <c r="AA92" i="33" s="1"/>
  <c r="D94" i="33"/>
  <c r="S94" i="33"/>
  <c r="AB94" i="33" s="1"/>
  <c r="AQ94" i="33" s="1"/>
  <c r="D96" i="33"/>
  <c r="S96" i="33"/>
  <c r="AB96" i="33" s="1"/>
  <c r="AQ96" i="33" s="1"/>
  <c r="G96" i="33"/>
  <c r="R100" i="33"/>
  <c r="S93" i="33"/>
  <c r="AB93" i="33" s="1"/>
  <c r="AQ93" i="33" s="1"/>
  <c r="G93" i="33"/>
  <c r="D99" i="33"/>
  <c r="D100" i="33"/>
  <c r="S100" i="33"/>
  <c r="AB100" i="33" s="1"/>
  <c r="AQ100" i="33" s="1"/>
  <c r="S99" i="33"/>
  <c r="AB99" i="33" s="1"/>
  <c r="AQ99" i="33" s="1"/>
  <c r="R99" i="33"/>
  <c r="G99" i="33"/>
  <c r="G98" i="33"/>
  <c r="R98" i="33"/>
  <c r="S74" i="33"/>
  <c r="G74" i="33"/>
  <c r="S77" i="33"/>
  <c r="G77" i="33"/>
  <c r="R77" i="33"/>
  <c r="AA77" i="33" s="1"/>
  <c r="D77" i="33"/>
  <c r="R74" i="33"/>
  <c r="AA74" i="33" s="1"/>
  <c r="S83" i="33"/>
  <c r="AB83" i="33" s="1"/>
  <c r="AQ83" i="33" s="1"/>
  <c r="D83" i="33"/>
  <c r="D84" i="33"/>
  <c r="R84" i="33"/>
  <c r="R71" i="33"/>
  <c r="AA71" i="33" s="1"/>
  <c r="G84" i="33"/>
  <c r="S84" i="33"/>
  <c r="AB84" i="33" s="1"/>
  <c r="AQ84" i="33" s="1"/>
  <c r="G71" i="33"/>
  <c r="S71" i="33"/>
  <c r="AB71" i="33" s="1"/>
  <c r="AQ71" i="33" s="1"/>
  <c r="G72" i="33"/>
  <c r="R72" i="33"/>
  <c r="AA72" i="33" s="1"/>
  <c r="R73" i="33"/>
  <c r="AA73" i="33" s="1"/>
  <c r="R75" i="33"/>
  <c r="AA75" i="33" s="1"/>
  <c r="D76" i="33"/>
  <c r="S76" i="33"/>
  <c r="R78" i="33"/>
  <c r="G78" i="33"/>
  <c r="S78" i="33"/>
  <c r="AB78" i="33" s="1"/>
  <c r="AQ78" i="33" s="1"/>
  <c r="D80" i="33"/>
  <c r="R80" i="33"/>
  <c r="S81" i="33"/>
  <c r="AB81" i="33" s="1"/>
  <c r="AQ81" i="33" s="1"/>
  <c r="R81" i="33"/>
  <c r="R82" i="33"/>
  <c r="G82" i="33"/>
  <c r="S82" i="33"/>
  <c r="AB82" i="33" s="1"/>
  <c r="AQ82" i="33" s="1"/>
  <c r="D60" i="33"/>
  <c r="G60" i="33"/>
  <c r="R60" i="33"/>
  <c r="AA60" i="33" s="1"/>
  <c r="S57" i="33"/>
  <c r="G57" i="33"/>
  <c r="D57" i="33"/>
  <c r="R62" i="33"/>
  <c r="G62" i="33"/>
  <c r="D62" i="33"/>
  <c r="R57" i="33"/>
  <c r="AA57" i="33" s="1"/>
  <c r="AP57" i="33" s="1"/>
  <c r="S59" i="33"/>
  <c r="G59" i="33"/>
  <c r="D59" i="33"/>
  <c r="S60" i="33"/>
  <c r="D58" i="33"/>
  <c r="S58" i="33"/>
  <c r="G58" i="33"/>
  <c r="S62" i="33"/>
  <c r="AB62" i="33" s="1"/>
  <c r="AQ62" i="33" s="1"/>
  <c r="S65" i="33"/>
  <c r="AB65" i="33" s="1"/>
  <c r="AQ65" i="33" s="1"/>
  <c r="R65" i="33"/>
  <c r="G65" i="33"/>
  <c r="D65" i="33"/>
  <c r="R55" i="33"/>
  <c r="AA55" i="33" s="1"/>
  <c r="S61" i="33"/>
  <c r="AB61" i="33" s="1"/>
  <c r="AQ61" i="33" s="1"/>
  <c r="G61" i="33"/>
  <c r="D64" i="33"/>
  <c r="S64" i="33"/>
  <c r="AB64" i="33" s="1"/>
  <c r="AQ64" i="33" s="1"/>
  <c r="D68" i="33"/>
  <c r="S68" i="33"/>
  <c r="AB68" i="33" s="1"/>
  <c r="AQ68" i="33" s="1"/>
  <c r="R68" i="33"/>
  <c r="G68" i="33"/>
  <c r="G67" i="33"/>
  <c r="R67" i="33"/>
  <c r="G66" i="33"/>
  <c r="R66" i="33"/>
  <c r="S67" i="33"/>
  <c r="AB67" i="33" s="1"/>
  <c r="AQ67" i="33" s="1"/>
  <c r="S40" i="33"/>
  <c r="AB40" i="33" s="1"/>
  <c r="AQ40" i="33" s="1"/>
  <c r="G41" i="33"/>
  <c r="S41" i="33"/>
  <c r="D42" i="33"/>
  <c r="G43" i="33"/>
  <c r="S43" i="33"/>
  <c r="S44" i="33"/>
  <c r="D49" i="33"/>
  <c r="R43" i="33"/>
  <c r="AA43" i="33" s="1"/>
  <c r="S49" i="33"/>
  <c r="AB49" i="33" s="1"/>
  <c r="AQ49" i="33" s="1"/>
  <c r="R49" i="33"/>
  <c r="G49" i="33"/>
  <c r="R41" i="33"/>
  <c r="AA41" i="33" s="1"/>
  <c r="R42" i="33"/>
  <c r="AA42" i="33" s="1"/>
  <c r="D44" i="33"/>
  <c r="R39" i="33"/>
  <c r="AA39" i="33" s="1"/>
  <c r="D41" i="33"/>
  <c r="G42" i="33"/>
  <c r="S42" i="33"/>
  <c r="D43" i="33"/>
  <c r="G44" i="33"/>
  <c r="D48" i="33"/>
  <c r="S48" i="33"/>
  <c r="AB48" i="33" s="1"/>
  <c r="AQ48" i="33" s="1"/>
  <c r="D52" i="33"/>
  <c r="S52" i="33"/>
  <c r="AB52" i="33" s="1"/>
  <c r="AQ52" i="33" s="1"/>
  <c r="R52" i="33"/>
  <c r="G52" i="33"/>
  <c r="R45" i="33"/>
  <c r="AA45" i="33" s="1"/>
  <c r="D47" i="33"/>
  <c r="G51" i="33"/>
  <c r="R51" i="33"/>
  <c r="G45" i="33"/>
  <c r="S45" i="33"/>
  <c r="AB45" i="33" s="1"/>
  <c r="AQ45" i="33" s="1"/>
  <c r="G46" i="33"/>
  <c r="R46" i="33"/>
  <c r="G50" i="33"/>
  <c r="R50" i="33"/>
  <c r="S51" i="33"/>
  <c r="AB51" i="33" s="1"/>
  <c r="AQ51" i="33" s="1"/>
  <c r="R25" i="33"/>
  <c r="AA25" i="33" s="1"/>
  <c r="G27" i="33"/>
  <c r="S27" i="33"/>
  <c r="G28" i="33"/>
  <c r="R32" i="33"/>
  <c r="S33" i="33"/>
  <c r="AB33" i="33" s="1"/>
  <c r="AQ33" i="33" s="1"/>
  <c r="R33" i="33"/>
  <c r="G33" i="33"/>
  <c r="R27" i="33"/>
  <c r="AA27" i="33" s="1"/>
  <c r="D28" i="33"/>
  <c r="S28" i="33"/>
  <c r="G25" i="33"/>
  <c r="S25" i="33"/>
  <c r="R26" i="33"/>
  <c r="AA26" i="33" s="1"/>
  <c r="D32" i="33"/>
  <c r="S32" i="33"/>
  <c r="AB32" i="33" s="1"/>
  <c r="AQ32" i="33" s="1"/>
  <c r="D25" i="33"/>
  <c r="G26" i="33"/>
  <c r="S26" i="33"/>
  <c r="D27" i="33"/>
  <c r="R28" i="33"/>
  <c r="AA28" i="33" s="1"/>
  <c r="G32" i="33"/>
  <c r="D36" i="33"/>
  <c r="S36" i="33"/>
  <c r="AB36" i="33" s="1"/>
  <c r="AQ36" i="33" s="1"/>
  <c r="R36" i="33"/>
  <c r="G36" i="33"/>
  <c r="R29" i="33"/>
  <c r="AA29" i="33" s="1"/>
  <c r="D31" i="33"/>
  <c r="G35" i="33"/>
  <c r="R35" i="33"/>
  <c r="G29" i="33"/>
  <c r="S29" i="33"/>
  <c r="AB29" i="33" s="1"/>
  <c r="AQ29" i="33" s="1"/>
  <c r="G30" i="33"/>
  <c r="R30" i="33"/>
  <c r="G34" i="33"/>
  <c r="R34" i="33"/>
  <c r="S35" i="33"/>
  <c r="AB35" i="33" s="1"/>
  <c r="AQ35" i="33" s="1"/>
  <c r="F377" i="6" l="1"/>
  <c r="J377" i="6" s="1"/>
  <c r="B31" i="81"/>
  <c r="AA7" i="33"/>
  <c r="P131" i="33"/>
  <c r="AA131" i="33" s="1"/>
  <c r="I12" i="32"/>
  <c r="F104" i="6" s="1"/>
  <c r="P162" i="33"/>
  <c r="I8" i="32"/>
  <c r="AA104" i="33"/>
  <c r="AP104" i="33" s="1"/>
  <c r="F118" i="6"/>
  <c r="P158" i="33"/>
  <c r="AB28" i="33"/>
  <c r="AQ28" i="33" s="1"/>
  <c r="AB42" i="33"/>
  <c r="AQ42" i="33" s="1"/>
  <c r="AB136" i="33"/>
  <c r="AQ136" i="33" s="1"/>
  <c r="AA105" i="33"/>
  <c r="AP105" i="33" s="1"/>
  <c r="AA148" i="33"/>
  <c r="AB60" i="33"/>
  <c r="AQ60" i="33" s="1"/>
  <c r="AB76" i="33"/>
  <c r="AQ76" i="33" s="1"/>
  <c r="Q113" i="33"/>
  <c r="AB113" i="33" s="1"/>
  <c r="AQ113" i="33" s="1"/>
  <c r="Q122" i="33"/>
  <c r="AB122" i="33" s="1"/>
  <c r="AQ122" i="33" s="1"/>
  <c r="Q114" i="33"/>
  <c r="AB114" i="33" s="1"/>
  <c r="AQ114" i="33" s="1"/>
  <c r="AE127" i="33"/>
  <c r="AT127" i="33" s="1"/>
  <c r="AA132" i="33"/>
  <c r="AP132" i="33" s="1"/>
  <c r="AA139" i="33"/>
  <c r="AP139" i="33" s="1"/>
  <c r="AA150" i="33"/>
  <c r="AP150" i="33" s="1"/>
  <c r="AB43" i="33"/>
  <c r="AQ43" i="33" s="1"/>
  <c r="AB90" i="33"/>
  <c r="AQ90" i="33" s="1"/>
  <c r="AA112" i="33"/>
  <c r="AP112" i="33" s="1"/>
  <c r="AA130" i="33"/>
  <c r="AP130" i="33" s="1"/>
  <c r="AA141" i="33"/>
  <c r="AP141" i="33" s="1"/>
  <c r="AB73" i="33"/>
  <c r="AQ73" i="33" s="1"/>
  <c r="Q140" i="33"/>
  <c r="AB140" i="33" s="1"/>
  <c r="AQ140" i="33" s="1"/>
  <c r="Q123" i="33"/>
  <c r="AB123" i="33" s="1"/>
  <c r="AQ123" i="33" s="1"/>
  <c r="AE109" i="33"/>
  <c r="AT109" i="33" s="1"/>
  <c r="AE118" i="33"/>
  <c r="AT118" i="33" s="1"/>
  <c r="AB59" i="33"/>
  <c r="AQ59" i="33" s="1"/>
  <c r="AB74" i="33"/>
  <c r="AQ74" i="33" s="1"/>
  <c r="AA123" i="33"/>
  <c r="AP123" i="33" s="1"/>
  <c r="AE136" i="33"/>
  <c r="AT136" i="33" s="1"/>
  <c r="AB44" i="33"/>
  <c r="AQ44" i="33" s="1"/>
  <c r="AB57" i="33"/>
  <c r="AQ57" i="33" s="1"/>
  <c r="AA103" i="33"/>
  <c r="Q149" i="33"/>
  <c r="AB149" i="33" s="1"/>
  <c r="AQ149" i="33" s="1"/>
  <c r="Q104" i="33"/>
  <c r="Q105" i="33"/>
  <c r="AB75" i="33"/>
  <c r="AQ75" i="33" s="1"/>
  <c r="AA44" i="33"/>
  <c r="AP44" i="33" s="1"/>
  <c r="AB77" i="33"/>
  <c r="AQ77" i="33" s="1"/>
  <c r="AB27" i="33"/>
  <c r="AQ27" i="33" s="1"/>
  <c r="AB58" i="33"/>
  <c r="AQ58" i="33" s="1"/>
  <c r="AB91" i="33"/>
  <c r="AQ91" i="33" s="1"/>
  <c r="AA121" i="33"/>
  <c r="AP121" i="33" s="1"/>
  <c r="AA122" i="33"/>
  <c r="AT154" i="33"/>
  <c r="AB26" i="33"/>
  <c r="AQ26" i="33" s="1"/>
  <c r="AB25" i="33"/>
  <c r="AQ25" i="33" s="1"/>
  <c r="AB41" i="33"/>
  <c r="AQ41" i="33" s="1"/>
  <c r="AQ89" i="33"/>
  <c r="AA114" i="33"/>
  <c r="AP114" i="33" s="1"/>
  <c r="Q132" i="33"/>
  <c r="AB132" i="33" s="1"/>
  <c r="AQ132" i="33" s="1"/>
  <c r="Q141" i="33"/>
  <c r="AB141" i="33" s="1"/>
  <c r="AQ141" i="33" s="1"/>
  <c r="Q131" i="33"/>
  <c r="AB131" i="33" s="1"/>
  <c r="AQ131" i="33" s="1"/>
  <c r="Q150" i="33"/>
  <c r="AB150" i="33" s="1"/>
  <c r="AQ150" i="33" s="1"/>
  <c r="AB92" i="33"/>
  <c r="AQ92" i="33" s="1"/>
  <c r="AE145" i="33"/>
  <c r="AT145" i="33" s="1"/>
  <c r="BB7" i="33"/>
  <c r="AB46" i="32"/>
  <c r="AM21" i="32"/>
  <c r="J29" i="7"/>
  <c r="J390" i="6"/>
  <c r="F33" i="5" s="1"/>
  <c r="H44" i="7"/>
  <c r="H45" i="7" s="1"/>
  <c r="J379" i="6"/>
  <c r="AN21" i="32"/>
  <c r="AO21" i="32" s="1"/>
  <c r="J387" i="6"/>
  <c r="C33" i="5" s="1"/>
  <c r="J44" i="7"/>
  <c r="J45" i="7" s="1"/>
  <c r="J391" i="6"/>
  <c r="G33" i="5" s="1"/>
  <c r="I44" i="7"/>
  <c r="I45" i="7" s="1"/>
  <c r="J388" i="6"/>
  <c r="D33" i="5" s="1"/>
  <c r="E44" i="7"/>
  <c r="E45" i="7" s="1"/>
  <c r="F45" i="7" s="1"/>
  <c r="J389" i="6"/>
  <c r="E33" i="5" s="1"/>
  <c r="G44" i="7"/>
  <c r="G45" i="7" s="1"/>
  <c r="AZ7" i="33"/>
  <c r="AA137" i="33"/>
  <c r="AP137" i="33" s="1"/>
  <c r="AA126" i="33"/>
  <c r="AP126" i="33" s="1"/>
  <c r="AA119" i="33"/>
  <c r="AA155" i="33"/>
  <c r="AP155" i="33" s="1"/>
  <c r="AA146" i="33"/>
  <c r="AP146" i="33" s="1"/>
  <c r="AA107" i="33"/>
  <c r="AA128" i="33"/>
  <c r="AA109" i="33"/>
  <c r="AA106" i="33"/>
  <c r="AC127" i="33"/>
  <c r="AR127" i="33" s="1"/>
  <c r="AP39" i="33"/>
  <c r="AP55" i="33"/>
  <c r="AP75" i="33"/>
  <c r="AP74" i="33"/>
  <c r="AA118" i="33"/>
  <c r="AP118" i="33" s="1"/>
  <c r="AA154" i="33"/>
  <c r="AP154" i="33" s="1"/>
  <c r="AA134" i="33"/>
  <c r="AP134" i="33" s="1"/>
  <c r="AP45" i="33"/>
  <c r="AP41" i="33"/>
  <c r="AP60" i="33"/>
  <c r="AA152" i="33"/>
  <c r="AP152" i="33" s="1"/>
  <c r="AP91" i="33"/>
  <c r="AP77" i="33"/>
  <c r="AP71" i="33"/>
  <c r="AP92" i="33"/>
  <c r="AA116" i="33"/>
  <c r="AP116" i="33" s="1"/>
  <c r="AA142" i="33"/>
  <c r="AP142" i="33" s="1"/>
  <c r="AA151" i="33"/>
  <c r="AP151" i="33" s="1"/>
  <c r="AA135" i="33"/>
  <c r="AP135" i="33" s="1"/>
  <c r="AA117" i="33"/>
  <c r="AP117" i="33" s="1"/>
  <c r="AA125" i="33"/>
  <c r="AP125" i="33" s="1"/>
  <c r="AA144" i="33"/>
  <c r="AP144" i="33" s="1"/>
  <c r="AP61" i="33"/>
  <c r="AP89" i="33"/>
  <c r="AA124" i="33"/>
  <c r="AP124" i="33" s="1"/>
  <c r="AP42" i="33"/>
  <c r="AP73" i="33"/>
  <c r="AP87" i="33"/>
  <c r="AA127" i="33"/>
  <c r="AP127" i="33" s="1"/>
  <c r="AP148" i="33"/>
  <c r="AP90" i="33"/>
  <c r="AP58" i="33"/>
  <c r="AP59" i="33"/>
  <c r="AA115" i="33"/>
  <c r="AP115" i="33" s="1"/>
  <c r="AA143" i="33"/>
  <c r="AP143" i="33" s="1"/>
  <c r="AA153" i="33"/>
  <c r="AP153" i="33" s="1"/>
  <c r="AA136" i="33"/>
  <c r="AP136" i="33" s="1"/>
  <c r="AP93" i="33"/>
  <c r="AA133" i="33"/>
  <c r="AP133" i="33" s="1"/>
  <c r="AP43" i="33"/>
  <c r="AA145" i="33"/>
  <c r="AP145" i="33" s="1"/>
  <c r="AP76" i="33"/>
  <c r="AC105" i="33"/>
  <c r="AR105" i="33" s="1"/>
  <c r="AC114" i="33"/>
  <c r="AR114" i="33" s="1"/>
  <c r="AC123" i="33"/>
  <c r="AR123" i="33" s="1"/>
  <c r="AC104" i="33"/>
  <c r="AR104" i="33" s="1"/>
  <c r="AC118" i="33"/>
  <c r="AR118" i="33" s="1"/>
  <c r="AR154" i="33"/>
  <c r="Q162" i="33" l="1"/>
  <c r="P160" i="33"/>
  <c r="I10" i="32"/>
  <c r="F52" i="6" s="1"/>
  <c r="J52" i="6" s="1"/>
  <c r="Q160" i="33"/>
  <c r="AB105" i="33"/>
  <c r="AQ105" i="33" s="1"/>
  <c r="J12" i="32"/>
  <c r="F105" i="6" s="1"/>
  <c r="AB104" i="33"/>
  <c r="AQ104" i="33" s="1"/>
  <c r="J10" i="32"/>
  <c r="F53" i="6" s="1"/>
  <c r="K45" i="7"/>
  <c r="M45" i="7" s="1"/>
  <c r="AP103" i="33"/>
  <c r="Q45" i="7" l="1"/>
  <c r="O45" i="7"/>
  <c r="C20" i="33"/>
  <c r="C19" i="33"/>
  <c r="L19" i="33" s="1"/>
  <c r="C18" i="33"/>
  <c r="L18" i="33" s="1"/>
  <c r="C17" i="33"/>
  <c r="O17" i="33" s="1"/>
  <c r="C16" i="33"/>
  <c r="M16" i="33" s="1"/>
  <c r="C15" i="33"/>
  <c r="C14" i="33"/>
  <c r="C13" i="33"/>
  <c r="C12" i="33"/>
  <c r="C11" i="33"/>
  <c r="H11" i="33" s="1"/>
  <c r="C10" i="33"/>
  <c r="H10" i="33" s="1"/>
  <c r="C9" i="33"/>
  <c r="C8" i="33"/>
  <c r="K13" i="43"/>
  <c r="J13" i="43"/>
  <c r="K8" i="43"/>
  <c r="K7" i="43"/>
  <c r="O39" i="43"/>
  <c r="I39" i="43"/>
  <c r="T110" i="33" s="1"/>
  <c r="AC110" i="33" s="1"/>
  <c r="AR110" i="33" s="1"/>
  <c r="AE17" i="33" l="1"/>
  <c r="W8" i="33"/>
  <c r="W24" i="33"/>
  <c r="W40" i="33"/>
  <c r="W56" i="33"/>
  <c r="W72" i="33"/>
  <c r="W88" i="33"/>
  <c r="W61" i="33"/>
  <c r="W77" i="33"/>
  <c r="W29" i="33"/>
  <c r="W45" i="33"/>
  <c r="W13" i="33"/>
  <c r="W93" i="33"/>
  <c r="I23" i="6"/>
  <c r="W112" i="33"/>
  <c r="W121" i="33"/>
  <c r="W139" i="33"/>
  <c r="W130" i="33"/>
  <c r="W148" i="33"/>
  <c r="W103" i="33"/>
  <c r="W87" i="33"/>
  <c r="W55" i="33"/>
  <c r="W71" i="33"/>
  <c r="W23" i="33"/>
  <c r="W7" i="33"/>
  <c r="W39" i="33"/>
  <c r="AC16" i="33"/>
  <c r="H162" i="33"/>
  <c r="G12" i="32"/>
  <c r="BD17" i="33"/>
  <c r="H17" i="33"/>
  <c r="M17" i="33"/>
  <c r="J12" i="33"/>
  <c r="AC12" i="33" s="1"/>
  <c r="AR12" i="33" s="1"/>
  <c r="H12" i="33"/>
  <c r="H163" i="33" s="1"/>
  <c r="H14" i="33"/>
  <c r="M14" i="33"/>
  <c r="H8" i="33"/>
  <c r="J8" i="33"/>
  <c r="H9" i="33"/>
  <c r="J9" i="33"/>
  <c r="H13" i="33"/>
  <c r="L20" i="33"/>
  <c r="J20" i="33"/>
  <c r="AC20" i="33" s="1"/>
  <c r="BF20" i="33"/>
  <c r="BD20" i="33"/>
  <c r="V110" i="33"/>
  <c r="V128" i="33"/>
  <c r="V137" i="33"/>
  <c r="V119" i="33"/>
  <c r="V146" i="33"/>
  <c r="V155" i="33"/>
  <c r="AE155" i="33" s="1"/>
  <c r="AT155" i="33" s="1"/>
  <c r="BL11" i="33"/>
  <c r="BH11" i="33"/>
  <c r="BE11" i="33"/>
  <c r="BG11" i="33"/>
  <c r="BD11" i="33"/>
  <c r="BJ11" i="33"/>
  <c r="AY11" i="33" s="1"/>
  <c r="J11" i="33"/>
  <c r="BF11" i="33"/>
  <c r="BK11" i="33"/>
  <c r="K11" i="33"/>
  <c r="BI11" i="33"/>
  <c r="BL15" i="33"/>
  <c r="BJ15" i="33"/>
  <c r="AY15" i="33" s="1"/>
  <c r="BK15" i="33"/>
  <c r="K15" i="33"/>
  <c r="BF15" i="33"/>
  <c r="BI15" i="33"/>
  <c r="AX15" i="33" s="1"/>
  <c r="BD15" i="33"/>
  <c r="J15" i="33"/>
  <c r="BG15" i="33"/>
  <c r="H15" i="33"/>
  <c r="BE15" i="33"/>
  <c r="BH15" i="33"/>
  <c r="BL19" i="33"/>
  <c r="BG19" i="33"/>
  <c r="AV19" i="33" s="1"/>
  <c r="BD19" i="33"/>
  <c r="BK19" i="33"/>
  <c r="BI19" i="33"/>
  <c r="BJ19" i="33"/>
  <c r="AY19" i="33" s="1"/>
  <c r="BE19" i="33"/>
  <c r="BH19" i="33"/>
  <c r="H19" i="33"/>
  <c r="BF19" i="33"/>
  <c r="K19" i="33"/>
  <c r="J19" i="33"/>
  <c r="BL8" i="33"/>
  <c r="BD8" i="33"/>
  <c r="BE8" i="33"/>
  <c r="BF8" i="33"/>
  <c r="BK8" i="33"/>
  <c r="BJ8" i="33"/>
  <c r="BG8" i="33"/>
  <c r="K8" i="33"/>
  <c r="BH8" i="33"/>
  <c r="BI8" i="33"/>
  <c r="BL12" i="33"/>
  <c r="BJ12" i="33"/>
  <c r="AY12" i="33" s="1"/>
  <c r="BI12" i="33"/>
  <c r="AX12" i="33" s="1"/>
  <c r="BF12" i="33"/>
  <c r="BK12" i="33"/>
  <c r="BE12" i="33"/>
  <c r="K12" i="33"/>
  <c r="BG12" i="33"/>
  <c r="BH12" i="33"/>
  <c r="BD12" i="33"/>
  <c r="BL16" i="33"/>
  <c r="BH16" i="33"/>
  <c r="BG16" i="33"/>
  <c r="BD16" i="33"/>
  <c r="H16" i="33"/>
  <c r="BK16" i="33"/>
  <c r="BJ16" i="33"/>
  <c r="BI16" i="33"/>
  <c r="K16" i="33"/>
  <c r="BF16" i="33"/>
  <c r="BE16" i="33"/>
  <c r="BL20" i="33"/>
  <c r="BG20" i="33"/>
  <c r="H20" i="33"/>
  <c r="BI20" i="33"/>
  <c r="AX20" i="33" s="1"/>
  <c r="BJ20" i="33"/>
  <c r="BE20" i="33"/>
  <c r="BH20" i="33"/>
  <c r="BK20" i="33"/>
  <c r="K20" i="33"/>
  <c r="BL9" i="33"/>
  <c r="BJ9" i="33"/>
  <c r="BG9" i="33"/>
  <c r="AV9" i="33" s="1"/>
  <c r="BK9" i="33"/>
  <c r="BD9" i="33"/>
  <c r="BI9" i="33"/>
  <c r="BE9" i="33"/>
  <c r="BF9" i="33"/>
  <c r="K9" i="33"/>
  <c r="BH9" i="33"/>
  <c r="BL13" i="33"/>
  <c r="BI13" i="33"/>
  <c r="BF13" i="33"/>
  <c r="BK13" i="33"/>
  <c r="K13" i="33"/>
  <c r="BG13" i="33"/>
  <c r="BH13" i="33"/>
  <c r="BE13" i="33"/>
  <c r="BJ13" i="33"/>
  <c r="AY13" i="33" s="1"/>
  <c r="BD13" i="33"/>
  <c r="J13" i="33"/>
  <c r="AC13" i="33" s="1"/>
  <c r="BL17" i="33"/>
  <c r="BK17" i="33"/>
  <c r="BH17" i="33"/>
  <c r="BJ17" i="33"/>
  <c r="BG17" i="33"/>
  <c r="BF17" i="33"/>
  <c r="BI17" i="33"/>
  <c r="K17" i="33"/>
  <c r="BE17" i="33"/>
  <c r="BL10" i="33"/>
  <c r="BI10" i="33"/>
  <c r="BD10" i="33"/>
  <c r="BE10" i="33"/>
  <c r="BH10" i="33"/>
  <c r="J10" i="33"/>
  <c r="BK10" i="33"/>
  <c r="BJ10" i="33"/>
  <c r="K10" i="33"/>
  <c r="BG10" i="33"/>
  <c r="BF10" i="33"/>
  <c r="BL14" i="33"/>
  <c r="BK14" i="33"/>
  <c r="BJ14" i="33"/>
  <c r="BF14" i="33"/>
  <c r="BI14" i="33"/>
  <c r="BH14" i="33"/>
  <c r="BG14" i="33"/>
  <c r="BD14" i="33"/>
  <c r="K14" i="33"/>
  <c r="BE14" i="33"/>
  <c r="BL18" i="33"/>
  <c r="BE18" i="33"/>
  <c r="BF18" i="33"/>
  <c r="BI18" i="33"/>
  <c r="BJ18" i="33"/>
  <c r="J18" i="33"/>
  <c r="BG18" i="33"/>
  <c r="H18" i="33"/>
  <c r="K18" i="33"/>
  <c r="BH18" i="33"/>
  <c r="BK18" i="33"/>
  <c r="BD18" i="33"/>
  <c r="L13" i="43"/>
  <c r="U13" i="33"/>
  <c r="U29" i="33"/>
  <c r="U61" i="33"/>
  <c r="U93" i="33"/>
  <c r="U136" i="33"/>
  <c r="AD136" i="33" s="1"/>
  <c r="AS136" i="33" s="1"/>
  <c r="U77" i="33"/>
  <c r="U127" i="33"/>
  <c r="AD127" i="33" s="1"/>
  <c r="AS127" i="33" s="1"/>
  <c r="U145" i="33"/>
  <c r="AD145" i="33" s="1"/>
  <c r="AS145" i="33" s="1"/>
  <c r="U154" i="33"/>
  <c r="AD154" i="33" s="1"/>
  <c r="AS154" i="33" s="1"/>
  <c r="U45" i="33"/>
  <c r="U118" i="33"/>
  <c r="AD118" i="33" s="1"/>
  <c r="AS118" i="33" s="1"/>
  <c r="T53" i="33"/>
  <c r="T85" i="33"/>
  <c r="T37" i="33"/>
  <c r="T101" i="33"/>
  <c r="T69" i="33"/>
  <c r="T21" i="33"/>
  <c r="AC21" i="33" s="1"/>
  <c r="AR21" i="33" s="1"/>
  <c r="V101" i="33"/>
  <c r="V69" i="33"/>
  <c r="V85" i="33"/>
  <c r="V53" i="33"/>
  <c r="V37" i="33"/>
  <c r="V21" i="33"/>
  <c r="AE21" i="33" s="1"/>
  <c r="AT21" i="33" s="1"/>
  <c r="AE10" i="33"/>
  <c r="R10" i="33"/>
  <c r="AA10" i="33" s="1"/>
  <c r="S10" i="33"/>
  <c r="AB10" i="33" s="1"/>
  <c r="S7" i="33"/>
  <c r="AB7" i="33" s="1"/>
  <c r="AQ7" i="33" s="1"/>
  <c r="AE7" i="33"/>
  <c r="AT7" i="33" s="1"/>
  <c r="G17" i="33"/>
  <c r="R17" i="33"/>
  <c r="S17" i="33"/>
  <c r="AB17" i="33" s="1"/>
  <c r="AQ17" i="33" s="1"/>
  <c r="G13" i="33"/>
  <c r="R13" i="33"/>
  <c r="AA13" i="33" s="1"/>
  <c r="AE13" i="33"/>
  <c r="AT13" i="33" s="1"/>
  <c r="S13" i="33"/>
  <c r="AB13" i="33" s="1"/>
  <c r="AQ13" i="33" s="1"/>
  <c r="G9" i="33"/>
  <c r="AE9" i="33"/>
  <c r="R9" i="33"/>
  <c r="AA9" i="33" s="1"/>
  <c r="AP9" i="33" s="1"/>
  <c r="S9" i="33"/>
  <c r="AB9" i="33" s="1"/>
  <c r="G18" i="33"/>
  <c r="R18" i="33"/>
  <c r="S18" i="33"/>
  <c r="AB18" i="33" s="1"/>
  <c r="G20" i="33"/>
  <c r="S20" i="33"/>
  <c r="AB20" i="33" s="1"/>
  <c r="AQ20" i="33" s="1"/>
  <c r="R20" i="33"/>
  <c r="S16" i="33"/>
  <c r="AB16" i="33" s="1"/>
  <c r="AQ16" i="33" s="1"/>
  <c r="AT16" i="33"/>
  <c r="R16" i="33"/>
  <c r="S12" i="33"/>
  <c r="AB12" i="33" s="1"/>
  <c r="AE12" i="33"/>
  <c r="R12" i="33"/>
  <c r="AA12" i="33" s="1"/>
  <c r="S8" i="33"/>
  <c r="AB8" i="33" s="1"/>
  <c r="AQ8" i="33" s="1"/>
  <c r="AE8" i="33"/>
  <c r="AT8" i="33" s="1"/>
  <c r="R8" i="33"/>
  <c r="AA8" i="33" s="1"/>
  <c r="G14" i="33"/>
  <c r="AE14" i="33"/>
  <c r="AT14" i="33" s="1"/>
  <c r="R14" i="33"/>
  <c r="S14" i="33"/>
  <c r="AB14" i="33" s="1"/>
  <c r="AQ14" i="33" s="1"/>
  <c r="S19" i="33"/>
  <c r="AB19" i="33" s="1"/>
  <c r="R19" i="33"/>
  <c r="S15" i="33"/>
  <c r="AB15" i="33" s="1"/>
  <c r="AQ15" i="33" s="1"/>
  <c r="AE15" i="33"/>
  <c r="AT15" i="33" s="1"/>
  <c r="R15" i="33"/>
  <c r="AE11" i="33"/>
  <c r="AY7" i="33"/>
  <c r="AX7" i="33"/>
  <c r="D8" i="33"/>
  <c r="G8" i="33"/>
  <c r="D16" i="33"/>
  <c r="G12" i="33"/>
  <c r="G16" i="33"/>
  <c r="G11" i="33"/>
  <c r="G19" i="33"/>
  <c r="D12" i="33"/>
  <c r="G15" i="33"/>
  <c r="G7" i="33"/>
  <c r="D9" i="33"/>
  <c r="D13" i="33"/>
  <c r="D17" i="33"/>
  <c r="D20" i="33"/>
  <c r="D10" i="33"/>
  <c r="D14" i="33"/>
  <c r="D18" i="33"/>
  <c r="D7" i="33"/>
  <c r="D11" i="33"/>
  <c r="D15" i="33"/>
  <c r="D19" i="33"/>
  <c r="I31" i="43"/>
  <c r="I32" i="43"/>
  <c r="K25" i="43"/>
  <c r="I272" i="34" s="1"/>
  <c r="K24" i="43"/>
  <c r="J25" i="43"/>
  <c r="J24" i="43"/>
  <c r="I19" i="43"/>
  <c r="I18" i="43"/>
  <c r="O19" i="43"/>
  <c r="O18" i="43"/>
  <c r="I16" i="43"/>
  <c r="I15" i="43"/>
  <c r="I14" i="43"/>
  <c r="T14" i="33" s="1"/>
  <c r="K12" i="43"/>
  <c r="J12" i="43"/>
  <c r="K11" i="43"/>
  <c r="J11" i="43"/>
  <c r="K29" i="43"/>
  <c r="P27" i="43"/>
  <c r="K27" i="43"/>
  <c r="K21" i="43"/>
  <c r="P21" i="43"/>
  <c r="O20" i="43"/>
  <c r="I380" i="6"/>
  <c r="J380" i="6" s="1"/>
  <c r="J383" i="6" s="1"/>
  <c r="J385" i="6" s="1"/>
  <c r="O17" i="43"/>
  <c r="I17" i="43"/>
  <c r="K10" i="43"/>
  <c r="J10" i="43"/>
  <c r="K9" i="43"/>
  <c r="J9" i="43"/>
  <c r="Y145" i="33" l="1"/>
  <c r="Y136" i="33"/>
  <c r="Y118" i="33"/>
  <c r="Y127" i="33"/>
  <c r="Y154" i="33"/>
  <c r="Y109" i="33"/>
  <c r="Y36" i="33"/>
  <c r="Y68" i="33"/>
  <c r="Y84" i="33"/>
  <c r="Y20" i="33"/>
  <c r="Y100" i="33"/>
  <c r="Y52" i="33"/>
  <c r="I107" i="6"/>
  <c r="I121" i="6" s="1"/>
  <c r="W141" i="33"/>
  <c r="W132" i="33"/>
  <c r="W114" i="33"/>
  <c r="W123" i="33"/>
  <c r="W150" i="33"/>
  <c r="W105" i="33"/>
  <c r="W11" i="33"/>
  <c r="W91" i="33"/>
  <c r="W27" i="33"/>
  <c r="W75" i="33"/>
  <c r="W43" i="33"/>
  <c r="W59" i="33"/>
  <c r="Q8" i="87"/>
  <c r="Q43" i="87"/>
  <c r="Q36" i="87"/>
  <c r="Q29" i="87"/>
  <c r="Q22" i="87"/>
  <c r="Q15" i="87"/>
  <c r="O250" i="34"/>
  <c r="O251" i="34" s="1"/>
  <c r="J250" i="34"/>
  <c r="I250" i="34"/>
  <c r="M250" i="34"/>
  <c r="K250" i="34"/>
  <c r="N250" i="34"/>
  <c r="L250" i="34"/>
  <c r="W113" i="33"/>
  <c r="W140" i="33"/>
  <c r="W131" i="33"/>
  <c r="W122" i="33"/>
  <c r="W149" i="33"/>
  <c r="W89" i="33"/>
  <c r="W25" i="33"/>
  <c r="W73" i="33"/>
  <c r="W104" i="33"/>
  <c r="W57" i="33"/>
  <c r="W9" i="33"/>
  <c r="W41" i="33"/>
  <c r="W42" i="33"/>
  <c r="W26" i="33"/>
  <c r="W74" i="33"/>
  <c r="W58" i="33"/>
  <c r="W90" i="33"/>
  <c r="W10" i="33"/>
  <c r="W118" i="33"/>
  <c r="W145" i="33"/>
  <c r="W127" i="33"/>
  <c r="W154" i="33"/>
  <c r="W136" i="33"/>
  <c r="W36" i="33"/>
  <c r="W68" i="33"/>
  <c r="W52" i="33"/>
  <c r="W109" i="33"/>
  <c r="W20" i="33"/>
  <c r="W84" i="33"/>
  <c r="W100" i="33"/>
  <c r="X61" i="33"/>
  <c r="X77" i="33"/>
  <c r="X93" i="33"/>
  <c r="X29" i="33"/>
  <c r="X45" i="33"/>
  <c r="X13" i="33"/>
  <c r="Q10" i="87"/>
  <c r="X10" i="87" s="1"/>
  <c r="AL10" i="87" s="1"/>
  <c r="Q45" i="87"/>
  <c r="Q38" i="87"/>
  <c r="Q31" i="87"/>
  <c r="Q24" i="87"/>
  <c r="Q17" i="87"/>
  <c r="W60" i="33"/>
  <c r="W28" i="33"/>
  <c r="W76" i="33"/>
  <c r="W12" i="33"/>
  <c r="W44" i="33"/>
  <c r="W92" i="33"/>
  <c r="S10" i="87"/>
  <c r="L10" i="87" s="1"/>
  <c r="Z10" i="87" s="1"/>
  <c r="AN10" i="87" s="1"/>
  <c r="S45" i="87"/>
  <c r="L45" i="87" s="1"/>
  <c r="S38" i="87"/>
  <c r="L38" i="87" s="1"/>
  <c r="S31" i="87"/>
  <c r="L31" i="87" s="1"/>
  <c r="S24" i="87"/>
  <c r="L24" i="87" s="1"/>
  <c r="S17" i="87"/>
  <c r="L17" i="87" s="1"/>
  <c r="AC14" i="33"/>
  <c r="AE20" i="33"/>
  <c r="AT20" i="33" s="1"/>
  <c r="AC17" i="33"/>
  <c r="AE146" i="33"/>
  <c r="AT146" i="33" s="1"/>
  <c r="AE119" i="33"/>
  <c r="AT119" i="33" s="1"/>
  <c r="AE137" i="33"/>
  <c r="AT137" i="33" s="1"/>
  <c r="AE128" i="33"/>
  <c r="AT128" i="33" s="1"/>
  <c r="AE110" i="33"/>
  <c r="AT110" i="33" s="1"/>
  <c r="BA110" i="33" s="1"/>
  <c r="BC110" i="33" s="1"/>
  <c r="I273" i="34"/>
  <c r="I278" i="34"/>
  <c r="AQ9" i="33"/>
  <c r="BB9" i="33"/>
  <c r="BB8" i="33"/>
  <c r="AP8" i="33"/>
  <c r="BB20" i="33"/>
  <c r="AY18" i="33"/>
  <c r="I71" i="6"/>
  <c r="I55" i="6"/>
  <c r="V125" i="33"/>
  <c r="V152" i="33"/>
  <c r="V143" i="33"/>
  <c r="V134" i="33"/>
  <c r="AT134" i="33" s="1"/>
  <c r="V116" i="33"/>
  <c r="I282" i="6"/>
  <c r="I270" i="6"/>
  <c r="AF16" i="32"/>
  <c r="AT166" i="33"/>
  <c r="AB14" i="32"/>
  <c r="AQ164" i="33"/>
  <c r="AV18" i="33"/>
  <c r="L46" i="87"/>
  <c r="L39" i="87"/>
  <c r="L32" i="87"/>
  <c r="L25" i="87"/>
  <c r="L18" i="87"/>
  <c r="AF15" i="32"/>
  <c r="AT165" i="33"/>
  <c r="AB9" i="32"/>
  <c r="AQ159" i="33"/>
  <c r="L11" i="87"/>
  <c r="AW18" i="33"/>
  <c r="AX17" i="33"/>
  <c r="AV17" i="33"/>
  <c r="AX9" i="33"/>
  <c r="AV20" i="33"/>
  <c r="AV16" i="33"/>
  <c r="AW12" i="33"/>
  <c r="AV14" i="33"/>
  <c r="AY10" i="33"/>
  <c r="AY17" i="33"/>
  <c r="AY9" i="33"/>
  <c r="AW16" i="33"/>
  <c r="AX19" i="33"/>
  <c r="AV15" i="33"/>
  <c r="AV11" i="33"/>
  <c r="U131" i="33"/>
  <c r="U113" i="33"/>
  <c r="U140" i="33"/>
  <c r="U149" i="33"/>
  <c r="U122" i="33"/>
  <c r="T134" i="33"/>
  <c r="AR134" i="33" s="1"/>
  <c r="T143" i="33"/>
  <c r="AR143" i="33" s="1"/>
  <c r="T116" i="33"/>
  <c r="AR116" i="33" s="1"/>
  <c r="T152" i="33"/>
  <c r="AR152" i="33" s="1"/>
  <c r="T125" i="33"/>
  <c r="AR125" i="33" s="1"/>
  <c r="I283" i="6"/>
  <c r="J283" i="6" s="1"/>
  <c r="I271" i="6"/>
  <c r="T133" i="33"/>
  <c r="AR133" i="33" s="1"/>
  <c r="T151" i="33"/>
  <c r="AR151" i="33" s="1"/>
  <c r="T124" i="33"/>
  <c r="AR124" i="33" s="1"/>
  <c r="T142" i="33"/>
  <c r="AR142" i="33" s="1"/>
  <c r="T115" i="33"/>
  <c r="AR115" i="33" s="1"/>
  <c r="V108" i="33"/>
  <c r="AE108" i="33" s="1"/>
  <c r="AT108" i="33" s="1"/>
  <c r="V126" i="33"/>
  <c r="V135" i="33"/>
  <c r="V144" i="33"/>
  <c r="V153" i="33"/>
  <c r="V117" i="33"/>
  <c r="AE117" i="33" s="1"/>
  <c r="AT117" i="33" s="1"/>
  <c r="AF17" i="32"/>
  <c r="AT167" i="33"/>
  <c r="AB22" i="32"/>
  <c r="AQ171" i="33"/>
  <c r="AX18" i="33"/>
  <c r="AW17" i="33"/>
  <c r="AV13" i="33"/>
  <c r="AX13" i="33"/>
  <c r="AX16" i="33"/>
  <c r="AV12" i="33"/>
  <c r="AX8" i="33"/>
  <c r="AY8" i="33"/>
  <c r="AW19" i="33"/>
  <c r="AX11" i="33"/>
  <c r="AB15" i="32"/>
  <c r="AQ165" i="33"/>
  <c r="AB17" i="32"/>
  <c r="AQ167" i="33"/>
  <c r="AB18" i="32"/>
  <c r="AQ168" i="33"/>
  <c r="AF8" i="32"/>
  <c r="AT158" i="33"/>
  <c r="B33" i="5"/>
  <c r="J393" i="6"/>
  <c r="O194" i="34"/>
  <c r="K194" i="34"/>
  <c r="N194" i="34"/>
  <c r="J194" i="34"/>
  <c r="M194" i="34"/>
  <c r="I194" i="34"/>
  <c r="I198" i="34" s="1"/>
  <c r="L194" i="34"/>
  <c r="T108" i="33"/>
  <c r="AR108" i="33" s="1"/>
  <c r="T144" i="33"/>
  <c r="AR144" i="33" s="1"/>
  <c r="T126" i="33"/>
  <c r="AR126" i="33" s="1"/>
  <c r="T117" i="33"/>
  <c r="AR117" i="33" s="1"/>
  <c r="T135" i="33"/>
  <c r="AR135" i="33" s="1"/>
  <c r="T153" i="33"/>
  <c r="AR153" i="33" s="1"/>
  <c r="AB16" i="32"/>
  <c r="AQ166" i="33"/>
  <c r="AF9" i="32"/>
  <c r="AT159" i="33"/>
  <c r="AF14" i="32"/>
  <c r="AT164" i="33"/>
  <c r="AB8" i="32"/>
  <c r="AQ158" i="33"/>
  <c r="AX14" i="33"/>
  <c r="AY14" i="33"/>
  <c r="AV10" i="33"/>
  <c r="AX10" i="33"/>
  <c r="AY20" i="33"/>
  <c r="AY16" i="33"/>
  <c r="AA16" i="33"/>
  <c r="AP16" i="33" s="1"/>
  <c r="AZ12" i="33"/>
  <c r="AU19" i="33"/>
  <c r="BB10" i="33"/>
  <c r="BB16" i="33"/>
  <c r="AU8" i="33"/>
  <c r="AZ19" i="33"/>
  <c r="AU18" i="33"/>
  <c r="AU14" i="33"/>
  <c r="AU12" i="33"/>
  <c r="AU15" i="33"/>
  <c r="BB18" i="33"/>
  <c r="BC18" i="33" s="1"/>
  <c r="BB13" i="33"/>
  <c r="AZ9" i="33"/>
  <c r="AU20" i="33"/>
  <c r="AU16" i="33"/>
  <c r="AZ8" i="33"/>
  <c r="AZ18" i="33"/>
  <c r="AZ17" i="33"/>
  <c r="AU13" i="33"/>
  <c r="BB12" i="33"/>
  <c r="BB19" i="33"/>
  <c r="BC19" i="33" s="1"/>
  <c r="BB15" i="33"/>
  <c r="AZ15" i="33"/>
  <c r="AZ10" i="33"/>
  <c r="BB17" i="33"/>
  <c r="AU9" i="33"/>
  <c r="BB14" i="33"/>
  <c r="AZ14" i="33"/>
  <c r="AU10" i="33"/>
  <c r="AU17" i="33"/>
  <c r="AZ13" i="33"/>
  <c r="AZ20" i="33"/>
  <c r="AZ16" i="33"/>
  <c r="AZ11" i="33"/>
  <c r="BB11" i="33"/>
  <c r="AU11" i="33"/>
  <c r="L9" i="43"/>
  <c r="U104" i="33"/>
  <c r="U89" i="33"/>
  <c r="U73" i="33"/>
  <c r="U41" i="33"/>
  <c r="U25" i="33"/>
  <c r="U123" i="33"/>
  <c r="AD123" i="33" s="1"/>
  <c r="AS123" i="33" s="1"/>
  <c r="U141" i="33"/>
  <c r="U57" i="33"/>
  <c r="U114" i="33"/>
  <c r="AD114" i="33" s="1"/>
  <c r="AS114" i="33" s="1"/>
  <c r="U132" i="33"/>
  <c r="U9" i="33"/>
  <c r="AD9" i="33" s="1"/>
  <c r="U150" i="33"/>
  <c r="T33" i="33"/>
  <c r="T81" i="33"/>
  <c r="T65" i="33"/>
  <c r="T97" i="33"/>
  <c r="T107" i="33"/>
  <c r="T17" i="33"/>
  <c r="T49" i="33"/>
  <c r="L11" i="43"/>
  <c r="U116" i="33"/>
  <c r="AD116" i="33" s="1"/>
  <c r="AS116" i="33" s="1"/>
  <c r="U91" i="33"/>
  <c r="U152" i="33"/>
  <c r="AD152" i="33" s="1"/>
  <c r="AS152" i="33" s="1"/>
  <c r="U43" i="33"/>
  <c r="U125" i="33"/>
  <c r="AD125" i="33" s="1"/>
  <c r="AS125" i="33" s="1"/>
  <c r="U59" i="33"/>
  <c r="U75" i="33"/>
  <c r="U11" i="33"/>
  <c r="AD11" i="33" s="1"/>
  <c r="U134" i="33"/>
  <c r="AD134" i="33" s="1"/>
  <c r="AS134" i="33" s="1"/>
  <c r="U27" i="33"/>
  <c r="U105" i="33"/>
  <c r="AD105" i="33" s="1"/>
  <c r="AS105" i="33" s="1"/>
  <c r="U143" i="33"/>
  <c r="AD143" i="33" s="1"/>
  <c r="AS143" i="33" s="1"/>
  <c r="T155" i="33"/>
  <c r="AC155" i="33" s="1"/>
  <c r="AR155" i="33" s="1"/>
  <c r="T106" i="33"/>
  <c r="T62" i="33"/>
  <c r="T30" i="33"/>
  <c r="T119" i="33"/>
  <c r="AR14" i="33"/>
  <c r="T137" i="33"/>
  <c r="AC137" i="33" s="1"/>
  <c r="AR137" i="33" s="1"/>
  <c r="T128" i="33"/>
  <c r="T46" i="33"/>
  <c r="T78" i="33"/>
  <c r="T146" i="33"/>
  <c r="AC146" i="33" s="1"/>
  <c r="AR146" i="33" s="1"/>
  <c r="T94" i="33"/>
  <c r="V19" i="33"/>
  <c r="AE19" i="33" s="1"/>
  <c r="V67" i="33"/>
  <c r="V35" i="33"/>
  <c r="V99" i="33"/>
  <c r="V51" i="33"/>
  <c r="V83" i="33"/>
  <c r="V17" i="33"/>
  <c r="V65" i="33"/>
  <c r="V97" i="33"/>
  <c r="V33" i="33"/>
  <c r="V49" i="33"/>
  <c r="V107" i="33"/>
  <c r="V81" i="33"/>
  <c r="T63" i="33"/>
  <c r="T31" i="33"/>
  <c r="T15" i="33"/>
  <c r="AC15" i="33" s="1"/>
  <c r="AR15" i="33" s="1"/>
  <c r="T95" i="33"/>
  <c r="T47" i="33"/>
  <c r="T79" i="33"/>
  <c r="T50" i="33"/>
  <c r="T66" i="33"/>
  <c r="T98" i="33"/>
  <c r="T18" i="33"/>
  <c r="AC18" i="33" s="1"/>
  <c r="T82" i="33"/>
  <c r="T34" i="33"/>
  <c r="L10" i="43"/>
  <c r="U90" i="33"/>
  <c r="U142" i="33"/>
  <c r="AD142" i="33" s="1"/>
  <c r="AS142" i="33" s="1"/>
  <c r="U115" i="33"/>
  <c r="AD115" i="33" s="1"/>
  <c r="AS115" i="33" s="1"/>
  <c r="U133" i="33"/>
  <c r="AD133" i="33" s="1"/>
  <c r="AS133" i="33" s="1"/>
  <c r="U10" i="33"/>
  <c r="AD10" i="33" s="1"/>
  <c r="U42" i="33"/>
  <c r="U74" i="33"/>
  <c r="U26" i="33"/>
  <c r="U124" i="33"/>
  <c r="AD124" i="33" s="1"/>
  <c r="AS124" i="33" s="1"/>
  <c r="U58" i="33"/>
  <c r="U151" i="33"/>
  <c r="AD151" i="33" s="1"/>
  <c r="AS151" i="33" s="1"/>
  <c r="L12" i="43"/>
  <c r="U12" i="33"/>
  <c r="AD12" i="33" s="1"/>
  <c r="U92" i="33"/>
  <c r="U44" i="33"/>
  <c r="U76" i="33"/>
  <c r="U144" i="33"/>
  <c r="AD144" i="33" s="1"/>
  <c r="AS144" i="33" s="1"/>
  <c r="U117" i="33"/>
  <c r="AD117" i="33" s="1"/>
  <c r="AS117" i="33" s="1"/>
  <c r="U135" i="33"/>
  <c r="AD135" i="33" s="1"/>
  <c r="AS135" i="33" s="1"/>
  <c r="U153" i="33"/>
  <c r="AD153" i="33" s="1"/>
  <c r="AS153" i="33" s="1"/>
  <c r="U126" i="33"/>
  <c r="AD126" i="33" s="1"/>
  <c r="AS126" i="33" s="1"/>
  <c r="U28" i="33"/>
  <c r="U60" i="33"/>
  <c r="T80" i="33"/>
  <c r="T96" i="33"/>
  <c r="T48" i="33"/>
  <c r="T64" i="33"/>
  <c r="T16" i="33"/>
  <c r="AR16" i="33" s="1"/>
  <c r="T32" i="33"/>
  <c r="T99" i="33"/>
  <c r="T19" i="33"/>
  <c r="AC19" i="33" s="1"/>
  <c r="T35" i="33"/>
  <c r="T83" i="33"/>
  <c r="T67" i="33"/>
  <c r="T51" i="33"/>
  <c r="V18" i="33"/>
  <c r="AE18" i="33" s="1"/>
  <c r="V82" i="33"/>
  <c r="V66" i="33"/>
  <c r="V98" i="33"/>
  <c r="V34" i="33"/>
  <c r="V50" i="33"/>
  <c r="O346" i="34"/>
  <c r="O347" i="34" s="1"/>
  <c r="K346" i="34"/>
  <c r="K347" i="34" s="1"/>
  <c r="M272" i="34"/>
  <c r="M273" i="34" s="1"/>
  <c r="N272" i="34"/>
  <c r="I346" i="34"/>
  <c r="N346" i="34"/>
  <c r="N347" i="34" s="1"/>
  <c r="J346" i="34"/>
  <c r="J347" i="34" s="1"/>
  <c r="L272" i="34"/>
  <c r="L273" i="34" s="1"/>
  <c r="J272" i="34"/>
  <c r="M346" i="34"/>
  <c r="M347" i="34" s="1"/>
  <c r="O272" i="34"/>
  <c r="O273" i="34" s="1"/>
  <c r="K272" i="34"/>
  <c r="K273" i="34" s="1"/>
  <c r="L346" i="34"/>
  <c r="L347" i="34" s="1"/>
  <c r="BN21" i="33"/>
  <c r="BA21" i="33"/>
  <c r="L24" i="43"/>
  <c r="AD137" i="33"/>
  <c r="AS137" i="33" s="1"/>
  <c r="AD146" i="33"/>
  <c r="AS146" i="33" s="1"/>
  <c r="AS155" i="33"/>
  <c r="L25" i="43"/>
  <c r="AA19" i="33"/>
  <c r="AA17" i="33"/>
  <c r="AP17" i="33" s="1"/>
  <c r="AA14" i="33"/>
  <c r="AP14" i="33" s="1"/>
  <c r="AA18" i="33"/>
  <c r="AA15" i="33"/>
  <c r="AP15" i="33" s="1"/>
  <c r="AP13" i="33"/>
  <c r="AA20" i="33"/>
  <c r="AP20" i="33" s="1"/>
  <c r="AV8" i="33"/>
  <c r="AD7" i="33"/>
  <c r="AS7" i="33" s="1"/>
  <c r="AD8" i="33"/>
  <c r="AS8" i="33" s="1"/>
  <c r="AD15" i="33"/>
  <c r="AS15" i="33" s="1"/>
  <c r="AD14" i="33"/>
  <c r="AS14" i="33" s="1"/>
  <c r="AR13" i="33"/>
  <c r="AD16" i="33"/>
  <c r="AS16" i="33" s="1"/>
  <c r="AC7" i="33"/>
  <c r="AR7" i="33" s="1"/>
  <c r="AC8" i="33"/>
  <c r="AR8" i="33" s="1"/>
  <c r="AC10" i="33"/>
  <c r="AD13" i="33"/>
  <c r="AS13" i="33" s="1"/>
  <c r="AD20" i="33"/>
  <c r="AS20" i="33" s="1"/>
  <c r="AD19" i="33"/>
  <c r="AD18" i="33"/>
  <c r="AD17" i="33"/>
  <c r="AS17" i="33" s="1"/>
  <c r="AC9" i="33"/>
  <c r="AR20" i="33"/>
  <c r="AC11" i="33"/>
  <c r="AR11" i="33" s="1"/>
  <c r="R8" i="87" l="1"/>
  <c r="R43" i="87"/>
  <c r="Y43" i="87" s="1"/>
  <c r="R36" i="87"/>
  <c r="R29" i="87"/>
  <c r="R22" i="87"/>
  <c r="R15" i="87"/>
  <c r="X131" i="33"/>
  <c r="X122" i="33"/>
  <c r="X149" i="33"/>
  <c r="X113" i="33"/>
  <c r="X140" i="33"/>
  <c r="X9" i="33"/>
  <c r="X41" i="33"/>
  <c r="X57" i="33"/>
  <c r="X73" i="33"/>
  <c r="X104" i="33"/>
  <c r="X89" i="33"/>
  <c r="X25" i="33"/>
  <c r="AE153" i="33"/>
  <c r="AT153" i="33" s="1"/>
  <c r="O153" i="33"/>
  <c r="K251" i="34"/>
  <c r="K257" i="34" s="1"/>
  <c r="K256" i="34"/>
  <c r="O144" i="33"/>
  <c r="L144" i="33"/>
  <c r="AE144" i="33" s="1"/>
  <c r="AT144" i="33" s="1"/>
  <c r="M251" i="34"/>
  <c r="M257" i="34" s="1"/>
  <c r="M256" i="34"/>
  <c r="I108" i="6"/>
  <c r="I122" i="6" s="1"/>
  <c r="X132" i="33"/>
  <c r="X114" i="33"/>
  <c r="X123" i="33"/>
  <c r="X150" i="33"/>
  <c r="X141" i="33"/>
  <c r="X75" i="33"/>
  <c r="X91" i="33"/>
  <c r="X27" i="33"/>
  <c r="X11" i="33"/>
  <c r="X43" i="33"/>
  <c r="X59" i="33"/>
  <c r="X105" i="33"/>
  <c r="X92" i="33"/>
  <c r="X12" i="33"/>
  <c r="X44" i="33"/>
  <c r="X76" i="33"/>
  <c r="X60" i="33"/>
  <c r="X28" i="33"/>
  <c r="X10" i="33"/>
  <c r="X42" i="33"/>
  <c r="X26" i="33"/>
  <c r="X58" i="33"/>
  <c r="X74" i="33"/>
  <c r="X90" i="33"/>
  <c r="AE135" i="33"/>
  <c r="AT135" i="33" s="1"/>
  <c r="O135" i="33"/>
  <c r="I251" i="34"/>
  <c r="I257" i="34" s="1"/>
  <c r="I256" i="34"/>
  <c r="O126" i="33"/>
  <c r="L126" i="33"/>
  <c r="AE126" i="33" s="1"/>
  <c r="AT126" i="33" s="1"/>
  <c r="AU10" i="87"/>
  <c r="J251" i="34"/>
  <c r="J257" i="34" s="1"/>
  <c r="J256" i="34"/>
  <c r="L251" i="34"/>
  <c r="L257" i="34" s="1"/>
  <c r="L256" i="34"/>
  <c r="N251" i="34"/>
  <c r="N257" i="34" s="1"/>
  <c r="N256" i="34"/>
  <c r="AR17" i="33"/>
  <c r="BM13" i="33"/>
  <c r="I199" i="34"/>
  <c r="N273" i="34"/>
  <c r="N278" i="34"/>
  <c r="AD104" i="33"/>
  <c r="AS104" i="33" s="1"/>
  <c r="AT116" i="33"/>
  <c r="L125" i="33"/>
  <c r="L143" i="33"/>
  <c r="AT143" i="33" s="1"/>
  <c r="L152" i="33"/>
  <c r="AT152" i="33" s="1"/>
  <c r="AT107" i="33"/>
  <c r="J273" i="34"/>
  <c r="BM7" i="33"/>
  <c r="I72" i="6"/>
  <c r="J72" i="6" s="1"/>
  <c r="I56" i="6"/>
  <c r="H33" i="5"/>
  <c r="O610" i="34"/>
  <c r="O611" i="34" s="1"/>
  <c r="K610" i="34"/>
  <c r="K611" i="34" s="1"/>
  <c r="O571" i="34"/>
  <c r="O572" i="34" s="1"/>
  <c r="K571" i="34"/>
  <c r="K572" i="34" s="1"/>
  <c r="L571" i="34"/>
  <c r="L572" i="34" s="1"/>
  <c r="N610" i="34"/>
  <c r="N611" i="34" s="1"/>
  <c r="J610" i="34"/>
  <c r="J611" i="34" s="1"/>
  <c r="N571" i="34"/>
  <c r="N572" i="34" s="1"/>
  <c r="J571" i="34"/>
  <c r="J572" i="34" s="1"/>
  <c r="M610" i="34"/>
  <c r="M611" i="34" s="1"/>
  <c r="M571" i="34"/>
  <c r="M572" i="34" s="1"/>
  <c r="L610" i="34"/>
  <c r="L611" i="34" s="1"/>
  <c r="I610" i="34"/>
  <c r="I611" i="34" s="1"/>
  <c r="I571" i="34"/>
  <c r="I572" i="34" s="1"/>
  <c r="O552" i="34"/>
  <c r="O553" i="34" s="1"/>
  <c r="K552" i="34"/>
  <c r="K553" i="34" s="1"/>
  <c r="O528" i="34"/>
  <c r="O529" i="34" s="1"/>
  <c r="K528" i="34"/>
  <c r="K529" i="34" s="1"/>
  <c r="M528" i="34"/>
  <c r="M529" i="34" s="1"/>
  <c r="L528" i="34"/>
  <c r="L529" i="34" s="1"/>
  <c r="N552" i="34"/>
  <c r="N553" i="34" s="1"/>
  <c r="J552" i="34"/>
  <c r="J553" i="34" s="1"/>
  <c r="N528" i="34"/>
  <c r="N529" i="34" s="1"/>
  <c r="J528" i="34"/>
  <c r="J529" i="34" s="1"/>
  <c r="M552" i="34"/>
  <c r="M553" i="34" s="1"/>
  <c r="L552" i="34"/>
  <c r="L553" i="34" s="1"/>
  <c r="I552" i="34"/>
  <c r="I553" i="34" s="1"/>
  <c r="I528" i="34"/>
  <c r="I529" i="34" s="1"/>
  <c r="BC21" i="33"/>
  <c r="I279" i="34"/>
  <c r="BM8" i="33"/>
  <c r="BM16" i="33"/>
  <c r="BA16" i="33"/>
  <c r="BM14" i="33"/>
  <c r="BM15" i="33"/>
  <c r="BM17" i="33"/>
  <c r="BM20" i="33"/>
  <c r="BN16" i="33"/>
  <c r="BN17" i="33"/>
  <c r="BN20" i="33"/>
  <c r="BN14" i="33"/>
  <c r="BN13" i="33"/>
  <c r="BN8" i="33"/>
  <c r="BN15" i="33"/>
  <c r="BN7" i="33"/>
  <c r="I258" i="34" l="1"/>
  <c r="I263" i="34" s="1"/>
  <c r="P257" i="34"/>
  <c r="N258" i="34"/>
  <c r="N263" i="34" s="1"/>
  <c r="AW62" i="31" s="1"/>
  <c r="P20" i="32"/>
  <c r="L258" i="34"/>
  <c r="L263" i="34" s="1"/>
  <c r="AU62" i="31" s="1"/>
  <c r="M258" i="34"/>
  <c r="M263" i="34" s="1"/>
  <c r="AV62" i="31" s="1"/>
  <c r="K258" i="34"/>
  <c r="K263" i="34" s="1"/>
  <c r="AT62" i="31" s="1"/>
  <c r="J258" i="34"/>
  <c r="P256" i="34"/>
  <c r="AT125" i="33"/>
  <c r="I280" i="34"/>
  <c r="I201" i="34"/>
  <c r="AT17" i="33"/>
  <c r="BC16" i="33"/>
  <c r="P258" i="34" l="1"/>
  <c r="J263" i="34"/>
  <c r="AS62" i="31" s="1"/>
  <c r="AR62" i="31"/>
  <c r="P263" i="34"/>
  <c r="I204" i="34"/>
  <c r="I286" i="34"/>
  <c r="BA17" i="33"/>
  <c r="BC17" i="33" s="1"/>
  <c r="AT45" i="87"/>
  <c r="AS45" i="87"/>
  <c r="AR45" i="87"/>
  <c r="AQ45" i="87"/>
  <c r="AT43" i="87"/>
  <c r="AS43" i="87"/>
  <c r="AR43" i="87"/>
  <c r="AQ43" i="87"/>
  <c r="AT38" i="87"/>
  <c r="AS38" i="87"/>
  <c r="AR38" i="87"/>
  <c r="AQ38" i="87"/>
  <c r="AT36" i="87"/>
  <c r="AS36" i="87"/>
  <c r="AR36" i="87"/>
  <c r="AQ36" i="87"/>
  <c r="AT31" i="87"/>
  <c r="AS31" i="87"/>
  <c r="AR31" i="87"/>
  <c r="AQ31" i="87"/>
  <c r="AT29" i="87"/>
  <c r="AS29" i="87"/>
  <c r="AR29" i="87"/>
  <c r="AQ29" i="87"/>
  <c r="AT24" i="87"/>
  <c r="AS24" i="87"/>
  <c r="AR24" i="87"/>
  <c r="AQ24" i="87"/>
  <c r="AT22" i="87"/>
  <c r="AS22" i="87"/>
  <c r="AR22" i="87"/>
  <c r="AQ22" i="87"/>
  <c r="AT14" i="87"/>
  <c r="AS14" i="87"/>
  <c r="AR14" i="87"/>
  <c r="AQ14" i="87"/>
  <c r="AT9" i="87"/>
  <c r="AS9" i="87"/>
  <c r="AR9" i="87"/>
  <c r="AQ9" i="87"/>
  <c r="AT7" i="87"/>
  <c r="AS7" i="87"/>
  <c r="AR7" i="87"/>
  <c r="AQ7" i="87"/>
  <c r="AA18" i="87"/>
  <c r="AO18" i="87" s="1"/>
  <c r="AA17" i="87"/>
  <c r="AO17" i="87" s="1"/>
  <c r="AA11" i="87"/>
  <c r="AO11" i="87" s="1"/>
  <c r="Z46" i="87"/>
  <c r="AN46" i="87" s="1"/>
  <c r="Y46" i="87"/>
  <c r="AM46" i="87" s="1"/>
  <c r="V46" i="87"/>
  <c r="AJ46" i="87" s="1"/>
  <c r="Z45" i="87"/>
  <c r="AN45" i="87" s="1"/>
  <c r="Y45" i="87"/>
  <c r="AM45" i="87" s="1"/>
  <c r="V45" i="87"/>
  <c r="AJ45" i="87" s="1"/>
  <c r="Z44" i="87"/>
  <c r="AN44" i="87" s="1"/>
  <c r="Y44" i="87"/>
  <c r="AM44" i="87" s="1"/>
  <c r="Z43" i="87"/>
  <c r="AN43" i="87" s="1"/>
  <c r="AM43" i="87"/>
  <c r="Z42" i="87"/>
  <c r="AN42" i="87" s="1"/>
  <c r="Y42" i="87"/>
  <c r="AM42" i="87" s="1"/>
  <c r="V42" i="87"/>
  <c r="AJ42" i="87" s="1"/>
  <c r="Z41" i="87"/>
  <c r="AN41" i="87" s="1"/>
  <c r="Y41" i="87"/>
  <c r="AM41" i="87" s="1"/>
  <c r="V41" i="87"/>
  <c r="AJ41" i="87" s="1"/>
  <c r="Z39" i="87"/>
  <c r="AN39" i="87" s="1"/>
  <c r="Y39" i="87"/>
  <c r="AM39" i="87" s="1"/>
  <c r="V39" i="87"/>
  <c r="AJ39" i="87" s="1"/>
  <c r="Z38" i="87"/>
  <c r="AN38" i="87" s="1"/>
  <c r="Y38" i="87"/>
  <c r="AM38" i="87" s="1"/>
  <c r="V38" i="87"/>
  <c r="AJ38" i="87" s="1"/>
  <c r="Z37" i="87"/>
  <c r="AN37" i="87" s="1"/>
  <c r="Y37" i="87"/>
  <c r="AM37" i="87" s="1"/>
  <c r="Z36" i="87"/>
  <c r="AN36" i="87" s="1"/>
  <c r="Y36" i="87"/>
  <c r="AM36" i="87" s="1"/>
  <c r="Z35" i="87"/>
  <c r="AN35" i="87" s="1"/>
  <c r="Y35" i="87"/>
  <c r="AM35" i="87" s="1"/>
  <c r="V35" i="87"/>
  <c r="AJ35" i="87" s="1"/>
  <c r="Z34" i="87"/>
  <c r="AN34" i="87" s="1"/>
  <c r="Y34" i="87"/>
  <c r="AM34" i="87" s="1"/>
  <c r="V34" i="87"/>
  <c r="AJ34" i="87" s="1"/>
  <c r="Z32" i="87"/>
  <c r="AN32" i="87" s="1"/>
  <c r="Y32" i="87"/>
  <c r="AM32" i="87" s="1"/>
  <c r="V32" i="87"/>
  <c r="AJ32" i="87" s="1"/>
  <c r="Z31" i="87"/>
  <c r="AN31" i="87" s="1"/>
  <c r="Y31" i="87"/>
  <c r="AM31" i="87" s="1"/>
  <c r="V31" i="87"/>
  <c r="AJ31" i="87" s="1"/>
  <c r="Z30" i="87"/>
  <c r="AN30" i="87" s="1"/>
  <c r="Y30" i="87"/>
  <c r="AM30" i="87" s="1"/>
  <c r="Z29" i="87"/>
  <c r="AN29" i="87" s="1"/>
  <c r="Y29" i="87"/>
  <c r="AM29" i="87" s="1"/>
  <c r="Z28" i="87"/>
  <c r="AN28" i="87" s="1"/>
  <c r="Y28" i="87"/>
  <c r="AM28" i="87" s="1"/>
  <c r="V28" i="87"/>
  <c r="AJ28" i="87" s="1"/>
  <c r="Z27" i="87"/>
  <c r="AN27" i="87" s="1"/>
  <c r="Y27" i="87"/>
  <c r="AM27" i="87" s="1"/>
  <c r="V27" i="87"/>
  <c r="AJ27" i="87" s="1"/>
  <c r="Z25" i="87"/>
  <c r="AN25" i="87" s="1"/>
  <c r="Y25" i="87"/>
  <c r="AM25" i="87" s="1"/>
  <c r="V25" i="87"/>
  <c r="AJ25" i="87" s="1"/>
  <c r="Z24" i="87"/>
  <c r="AN24" i="87" s="1"/>
  <c r="Y24" i="87"/>
  <c r="AM24" i="87" s="1"/>
  <c r="V24" i="87"/>
  <c r="AJ24" i="87" s="1"/>
  <c r="Z23" i="87"/>
  <c r="AN23" i="87" s="1"/>
  <c r="Y23" i="87"/>
  <c r="AM23" i="87" s="1"/>
  <c r="Z22" i="87"/>
  <c r="AN22" i="87" s="1"/>
  <c r="Y22" i="87"/>
  <c r="AM22" i="87" s="1"/>
  <c r="Z21" i="87"/>
  <c r="AN21" i="87" s="1"/>
  <c r="Y21" i="87"/>
  <c r="AM21" i="87" s="1"/>
  <c r="V21" i="87"/>
  <c r="AJ21" i="87" s="1"/>
  <c r="Z20" i="87"/>
  <c r="AN20" i="87" s="1"/>
  <c r="Y20" i="87"/>
  <c r="AM20" i="87" s="1"/>
  <c r="V20" i="87"/>
  <c r="AJ20" i="87" s="1"/>
  <c r="Y18" i="87"/>
  <c r="AM18" i="87" s="1"/>
  <c r="V18" i="87"/>
  <c r="AJ18" i="87" s="1"/>
  <c r="Y17" i="87"/>
  <c r="AM17" i="87" s="1"/>
  <c r="V17" i="87"/>
  <c r="AJ17" i="87" s="1"/>
  <c r="Z16" i="87"/>
  <c r="AN16" i="87" s="1"/>
  <c r="Y16" i="87"/>
  <c r="AM16" i="87" s="1"/>
  <c r="V16" i="87"/>
  <c r="AJ16" i="87" s="1"/>
  <c r="Z15" i="87"/>
  <c r="AN15" i="87" s="1"/>
  <c r="Z14" i="87"/>
  <c r="AN14" i="87" s="1"/>
  <c r="Z13" i="87"/>
  <c r="AN13" i="87" s="1"/>
  <c r="Y13" i="87"/>
  <c r="AM13" i="87" s="1"/>
  <c r="V13" i="87"/>
  <c r="AA46" i="87"/>
  <c r="AO46" i="87" s="1"/>
  <c r="AA45" i="87"/>
  <c r="AO45" i="87" s="1"/>
  <c r="AA44" i="87"/>
  <c r="AO44" i="87" s="1"/>
  <c r="AA43" i="87"/>
  <c r="AO43" i="87" s="1"/>
  <c r="AA42" i="87"/>
  <c r="AO42" i="87" s="1"/>
  <c r="AA41" i="87"/>
  <c r="AO41" i="87" s="1"/>
  <c r="AA39" i="87"/>
  <c r="AO39" i="87" s="1"/>
  <c r="AA38" i="87"/>
  <c r="AO38" i="87" s="1"/>
  <c r="AA37" i="87"/>
  <c r="AO37" i="87" s="1"/>
  <c r="AA36" i="87"/>
  <c r="AO36" i="87" s="1"/>
  <c r="AA35" i="87"/>
  <c r="AO35" i="87" s="1"/>
  <c r="AA34" i="87"/>
  <c r="AO34" i="87" s="1"/>
  <c r="AA32" i="87"/>
  <c r="AO32" i="87" s="1"/>
  <c r="AA31" i="87"/>
  <c r="AO31" i="87" s="1"/>
  <c r="AA30" i="87"/>
  <c r="AO30" i="87" s="1"/>
  <c r="AA29" i="87"/>
  <c r="AO29" i="87" s="1"/>
  <c r="AA28" i="87"/>
  <c r="AO28" i="87" s="1"/>
  <c r="AA27" i="87"/>
  <c r="AO27" i="87" s="1"/>
  <c r="AA25" i="87"/>
  <c r="AO25" i="87" s="1"/>
  <c r="AA24" i="87"/>
  <c r="AO24" i="87" s="1"/>
  <c r="AA23" i="87"/>
  <c r="AO23" i="87" s="1"/>
  <c r="AA22" i="87"/>
  <c r="AO22" i="87" s="1"/>
  <c r="AA21" i="87"/>
  <c r="AO21" i="87" s="1"/>
  <c r="AA20" i="87"/>
  <c r="AO20" i="87" s="1"/>
  <c r="AA16" i="87"/>
  <c r="AO16" i="87" s="1"/>
  <c r="AA15" i="87"/>
  <c r="AO15" i="87" s="1"/>
  <c r="AA14" i="87"/>
  <c r="AO14" i="87" s="1"/>
  <c r="AA13" i="87"/>
  <c r="AO13" i="87" s="1"/>
  <c r="AA9" i="87"/>
  <c r="AO9" i="87" s="1"/>
  <c r="AA8" i="87"/>
  <c r="AA7" i="87"/>
  <c r="AO7" i="87" s="1"/>
  <c r="Y11" i="87"/>
  <c r="AM11" i="87" s="1"/>
  <c r="V11" i="87"/>
  <c r="AJ11" i="87" s="1"/>
  <c r="Z9" i="87"/>
  <c r="AN9" i="87" s="1"/>
  <c r="Y9" i="87"/>
  <c r="AM9" i="87" s="1"/>
  <c r="V9" i="87"/>
  <c r="AJ9" i="87" s="1"/>
  <c r="Z8" i="87"/>
  <c r="Z7" i="87"/>
  <c r="AN7" i="87" s="1"/>
  <c r="E9" i="87"/>
  <c r="E8" i="87"/>
  <c r="E7" i="87"/>
  <c r="AO8" i="87" l="1"/>
  <c r="AO51" i="87" s="1"/>
  <c r="AA51" i="87"/>
  <c r="AJ13" i="87"/>
  <c r="V49" i="87"/>
  <c r="AN8" i="87"/>
  <c r="AN51" i="87" s="1"/>
  <c r="Z51" i="87"/>
  <c r="AR63" i="31"/>
  <c r="BM38" i="87"/>
  <c r="BM31" i="87"/>
  <c r="BM45" i="87"/>
  <c r="BM9" i="87"/>
  <c r="BL31" i="87"/>
  <c r="AJ29" i="87"/>
  <c r="AJ36" i="87"/>
  <c r="Y7" i="87"/>
  <c r="AM7" i="87" s="1"/>
  <c r="U38" i="87"/>
  <c r="AI38" i="87" s="1"/>
  <c r="BJ38" i="87" s="1"/>
  <c r="U45" i="87"/>
  <c r="AI45" i="87" s="1"/>
  <c r="BJ45" i="87" s="1"/>
  <c r="AK29" i="87"/>
  <c r="AK36" i="87"/>
  <c r="U8" i="87"/>
  <c r="X9" i="87"/>
  <c r="AL9" i="87" s="1"/>
  <c r="BK9" i="87" s="1"/>
  <c r="X13" i="87"/>
  <c r="AL13" i="87" s="1"/>
  <c r="X43" i="87"/>
  <c r="AL43" i="87" s="1"/>
  <c r="BK43" i="87" s="1"/>
  <c r="BL7" i="87"/>
  <c r="BL9" i="87"/>
  <c r="BL14" i="87"/>
  <c r="BL24" i="87"/>
  <c r="BL29" i="87"/>
  <c r="BL38" i="87"/>
  <c r="BL43" i="87"/>
  <c r="BM22" i="87"/>
  <c r="BM36" i="87"/>
  <c r="AW24" i="87"/>
  <c r="BM29" i="87"/>
  <c r="BM43" i="87"/>
  <c r="BL45" i="87"/>
  <c r="BL36" i="87"/>
  <c r="BM24" i="87"/>
  <c r="BL22" i="87"/>
  <c r="BM14" i="87"/>
  <c r="BM7" i="87"/>
  <c r="W9" i="87"/>
  <c r="AK9" i="87" s="1"/>
  <c r="AJ22" i="87"/>
  <c r="AJ43" i="87"/>
  <c r="Y14" i="87"/>
  <c r="AM14" i="87" s="1"/>
  <c r="X38" i="87"/>
  <c r="AL38" i="87" s="1"/>
  <c r="X45" i="87"/>
  <c r="AL45" i="87" s="1"/>
  <c r="V7" i="87"/>
  <c r="AJ7" i="87" s="1"/>
  <c r="U44" i="87"/>
  <c r="AI44" i="87" s="1"/>
  <c r="X23" i="87"/>
  <c r="AL23" i="87" s="1"/>
  <c r="U37" i="87"/>
  <c r="AI37" i="87" s="1"/>
  <c r="X7" i="87"/>
  <c r="AL7" i="87" s="1"/>
  <c r="X17" i="87"/>
  <c r="AL17" i="87" s="1"/>
  <c r="X22" i="87"/>
  <c r="AL22" i="87" s="1"/>
  <c r="BK22" i="87" s="1"/>
  <c r="X24" i="87"/>
  <c r="AL24" i="87" s="1"/>
  <c r="X29" i="87"/>
  <c r="AL29" i="87" s="1"/>
  <c r="BK29" i="87" s="1"/>
  <c r="X31" i="87"/>
  <c r="AL31" i="87" s="1"/>
  <c r="X36" i="87"/>
  <c r="AL36" i="87" s="1"/>
  <c r="BK36" i="87" s="1"/>
  <c r="U22" i="87"/>
  <c r="AI22" i="87" s="1"/>
  <c r="U24" i="87"/>
  <c r="AI24" i="87" s="1"/>
  <c r="BJ24" i="87" s="1"/>
  <c r="W24" i="87"/>
  <c r="AK24" i="87" s="1"/>
  <c r="U31" i="87"/>
  <c r="AI31" i="87" s="1"/>
  <c r="BJ31" i="87" s="1"/>
  <c r="W31" i="87"/>
  <c r="AK31" i="87" s="1"/>
  <c r="AK43" i="87"/>
  <c r="U43" i="87"/>
  <c r="AI43" i="87" s="1"/>
  <c r="X18" i="87"/>
  <c r="AL18" i="87" s="1"/>
  <c r="X16" i="87"/>
  <c r="AL16" i="87" s="1"/>
  <c r="U9" i="87"/>
  <c r="AI9" i="87" s="1"/>
  <c r="U23" i="87"/>
  <c r="AI23" i="87" s="1"/>
  <c r="U7" i="87"/>
  <c r="AI7" i="87" s="1"/>
  <c r="AK7" i="87"/>
  <c r="X14" i="87"/>
  <c r="AL14" i="87" s="1"/>
  <c r="U30" i="87"/>
  <c r="AI30" i="87" s="1"/>
  <c r="U29" i="87"/>
  <c r="AI29" i="87" s="1"/>
  <c r="U36" i="87"/>
  <c r="AI36" i="87" s="1"/>
  <c r="W38" i="87"/>
  <c r="AK38" i="87" s="1"/>
  <c r="W45" i="87"/>
  <c r="AK45" i="87" s="1"/>
  <c r="AI8" i="87" l="1"/>
  <c r="AU43" i="87"/>
  <c r="AU36" i="87"/>
  <c r="AU29" i="87"/>
  <c r="AU22" i="87"/>
  <c r="BK31" i="87"/>
  <c r="AU31" i="87"/>
  <c r="BI31" i="87" s="1"/>
  <c r="BK38" i="87"/>
  <c r="AU38" i="87"/>
  <c r="BI38" i="87" s="1"/>
  <c r="BK24" i="87"/>
  <c r="AU24" i="87"/>
  <c r="BI24" i="87" s="1"/>
  <c r="BK45" i="87"/>
  <c r="AU45" i="87"/>
  <c r="BI45" i="87" s="1"/>
  <c r="BJ9" i="87"/>
  <c r="AU9" i="87"/>
  <c r="AX67" i="31" s="1"/>
  <c r="BJ36" i="87"/>
  <c r="BJ29" i="87"/>
  <c r="BK14" i="87"/>
  <c r="BJ22" i="87"/>
  <c r="BK7" i="87"/>
  <c r="BJ43" i="87"/>
  <c r="BJ7" i="87"/>
  <c r="AU7" i="87"/>
  <c r="AW7" i="87" s="1"/>
  <c r="C66" i="47"/>
  <c r="AW22" i="87" l="1"/>
  <c r="BI7" i="87"/>
  <c r="AW9" i="87"/>
  <c r="AW43" i="87"/>
  <c r="BI43" i="87"/>
  <c r="BI29" i="87"/>
  <c r="AW29" i="87"/>
  <c r="BI36" i="87"/>
  <c r="AW36" i="87"/>
  <c r="BI22" i="87"/>
  <c r="BI9" i="87"/>
  <c r="D514" i="34"/>
  <c r="D513" i="34"/>
  <c r="D512" i="34"/>
  <c r="D511" i="34"/>
  <c r="D510" i="34"/>
  <c r="D509" i="34"/>
  <c r="D508" i="34"/>
  <c r="D507" i="34"/>
  <c r="D506" i="34"/>
  <c r="D505" i="34"/>
  <c r="D504" i="34"/>
  <c r="D502" i="34"/>
  <c r="D501" i="34"/>
  <c r="D500" i="34"/>
  <c r="D499" i="34"/>
  <c r="N499" i="34"/>
  <c r="M499" i="34"/>
  <c r="L499" i="34"/>
  <c r="J499" i="34"/>
  <c r="D498" i="34"/>
  <c r="D497" i="34"/>
  <c r="D496" i="34"/>
  <c r="D495" i="34"/>
  <c r="D494" i="34"/>
  <c r="D493" i="34"/>
  <c r="D492" i="34"/>
  <c r="D482" i="34"/>
  <c r="D481" i="34"/>
  <c r="D480" i="34"/>
  <c r="D479" i="34"/>
  <c r="D478" i="34"/>
  <c r="D477" i="34"/>
  <c r="P476" i="34"/>
  <c r="D476" i="34"/>
  <c r="D475" i="34"/>
  <c r="D474" i="34"/>
  <c r="D473" i="34"/>
  <c r="D472" i="34"/>
  <c r="D470" i="34"/>
  <c r="D469" i="34"/>
  <c r="D468" i="34"/>
  <c r="D467" i="34"/>
  <c r="O467" i="34"/>
  <c r="N467" i="34"/>
  <c r="M467" i="34"/>
  <c r="L467" i="34"/>
  <c r="K467" i="34"/>
  <c r="J467" i="34"/>
  <c r="D466" i="34"/>
  <c r="D465" i="34"/>
  <c r="D464" i="34"/>
  <c r="D463" i="34"/>
  <c r="D462" i="34"/>
  <c r="D461" i="34"/>
  <c r="D460" i="34"/>
  <c r="D449" i="34"/>
  <c r="D437" i="34"/>
  <c r="D421" i="34"/>
  <c r="D419" i="34"/>
  <c r="D401" i="34"/>
  <c r="I385" i="34"/>
  <c r="I380" i="34"/>
  <c r="D375" i="34"/>
  <c r="D372" i="34"/>
  <c r="D371" i="34"/>
  <c r="D370" i="34"/>
  <c r="D369" i="34"/>
  <c r="D368" i="34"/>
  <c r="D367" i="34"/>
  <c r="D366" i="34"/>
  <c r="D365" i="34"/>
  <c r="D364" i="34"/>
  <c r="D363" i="34"/>
  <c r="D362" i="34"/>
  <c r="D358" i="34"/>
  <c r="D355" i="34"/>
  <c r="D354" i="34"/>
  <c r="D353" i="34"/>
  <c r="D352" i="34"/>
  <c r="D351" i="34"/>
  <c r="D349" i="34"/>
  <c r="D348" i="34"/>
  <c r="D347" i="34"/>
  <c r="I347" i="34"/>
  <c r="D346" i="34"/>
  <c r="D344" i="34"/>
  <c r="D343" i="34"/>
  <c r="D342" i="34"/>
  <c r="D341" i="34"/>
  <c r="D340" i="34"/>
  <c r="D339" i="34"/>
  <c r="D67" i="34"/>
  <c r="D66" i="34"/>
  <c r="D65" i="34"/>
  <c r="D64" i="34"/>
  <c r="D63" i="34"/>
  <c r="D62" i="34"/>
  <c r="D61" i="34"/>
  <c r="D60" i="34"/>
  <c r="D57" i="34"/>
  <c r="D56" i="34"/>
  <c r="D55" i="34"/>
  <c r="D54" i="34"/>
  <c r="D52" i="34"/>
  <c r="D51" i="34"/>
  <c r="D50" i="34"/>
  <c r="D40" i="34"/>
  <c r="D39" i="34"/>
  <c r="D38" i="34"/>
  <c r="D37" i="34"/>
  <c r="D36" i="34"/>
  <c r="D35" i="34"/>
  <c r="D34" i="34"/>
  <c r="D33" i="34"/>
  <c r="D32" i="34"/>
  <c r="D27" i="34"/>
  <c r="D26" i="34"/>
  <c r="D25" i="34"/>
  <c r="D24" i="34"/>
  <c r="D23" i="34"/>
  <c r="D22" i="34"/>
  <c r="D21" i="34"/>
  <c r="D18" i="34"/>
  <c r="D17" i="34"/>
  <c r="D16" i="34"/>
  <c r="D15" i="34"/>
  <c r="D13" i="34"/>
  <c r="D12" i="34"/>
  <c r="D11" i="34"/>
  <c r="AS46" i="87"/>
  <c r="BL46" i="87"/>
  <c r="BM46" i="87"/>
  <c r="AT46" i="87"/>
  <c r="AQ46" i="87"/>
  <c r="AR46" i="87"/>
  <c r="X46" i="87"/>
  <c r="AL46" i="87" s="1"/>
  <c r="AS44" i="87"/>
  <c r="BL44" i="87"/>
  <c r="BM44" i="87"/>
  <c r="AT44" i="87"/>
  <c r="AQ44" i="87"/>
  <c r="X44" i="87"/>
  <c r="AL44" i="87" s="1"/>
  <c r="AS42" i="87"/>
  <c r="BL42" i="87"/>
  <c r="BM42" i="87"/>
  <c r="AT42" i="87"/>
  <c r="AQ42" i="87"/>
  <c r="AR42" i="87"/>
  <c r="X42" i="87"/>
  <c r="AL42" i="87" s="1"/>
  <c r="AS41" i="87"/>
  <c r="BL41" i="87"/>
  <c r="BM41" i="87"/>
  <c r="AT41" i="87"/>
  <c r="AQ41" i="87"/>
  <c r="AR41" i="87"/>
  <c r="X41" i="87"/>
  <c r="AL41" i="87" s="1"/>
  <c r="AS39" i="87"/>
  <c r="BL39" i="87"/>
  <c r="BM39" i="87"/>
  <c r="AT39" i="87"/>
  <c r="AQ39" i="87"/>
  <c r="AR39" i="87"/>
  <c r="X39" i="87"/>
  <c r="AL39" i="87" s="1"/>
  <c r="AS37" i="87"/>
  <c r="BL37" i="87"/>
  <c r="BM37" i="87"/>
  <c r="AT37" i="87"/>
  <c r="AR37" i="87"/>
  <c r="X37" i="87"/>
  <c r="AL37" i="87" s="1"/>
  <c r="AS35" i="87"/>
  <c r="BL35" i="87"/>
  <c r="BM35" i="87"/>
  <c r="AT35" i="87"/>
  <c r="AQ35" i="87"/>
  <c r="X35" i="87"/>
  <c r="AL35" i="87" s="1"/>
  <c r="AS34" i="87"/>
  <c r="BL34" i="87"/>
  <c r="BM34" i="87"/>
  <c r="AT34" i="87"/>
  <c r="AQ34" i="87"/>
  <c r="X34" i="87"/>
  <c r="AL34" i="87" s="1"/>
  <c r="AS32" i="87"/>
  <c r="BL32" i="87"/>
  <c r="BM32" i="87"/>
  <c r="AT32" i="87"/>
  <c r="AQ32" i="87"/>
  <c r="AR32" i="87"/>
  <c r="X32" i="87"/>
  <c r="AL32" i="87" s="1"/>
  <c r="AS30" i="87"/>
  <c r="BL30" i="87"/>
  <c r="BM30" i="87"/>
  <c r="AT30" i="87"/>
  <c r="AQ30" i="87"/>
  <c r="X30" i="87"/>
  <c r="AL30" i="87" s="1"/>
  <c r="AS28" i="87"/>
  <c r="BL28" i="87"/>
  <c r="BM28" i="87"/>
  <c r="AT28" i="87"/>
  <c r="AQ28" i="87"/>
  <c r="X28" i="87"/>
  <c r="AL28" i="87" s="1"/>
  <c r="AS27" i="87"/>
  <c r="BL27" i="87"/>
  <c r="BM27" i="87"/>
  <c r="AT27" i="87"/>
  <c r="AQ27" i="87"/>
  <c r="AR27" i="87"/>
  <c r="X27" i="87"/>
  <c r="AL27" i="87" s="1"/>
  <c r="BL25" i="87"/>
  <c r="BM25" i="87"/>
  <c r="AT25" i="87"/>
  <c r="AQ25" i="87"/>
  <c r="X25" i="87"/>
  <c r="AL25" i="87" s="1"/>
  <c r="AS23" i="87"/>
  <c r="BL23" i="87"/>
  <c r="BK23" i="87"/>
  <c r="BM23" i="87"/>
  <c r="AT23" i="87"/>
  <c r="AQ23" i="87"/>
  <c r="AR23" i="87"/>
  <c r="AS21" i="87"/>
  <c r="BL21" i="87"/>
  <c r="BM21" i="87"/>
  <c r="AT21" i="87"/>
  <c r="AR21" i="87"/>
  <c r="X21" i="87"/>
  <c r="AL21" i="87" s="1"/>
  <c r="AS20" i="87"/>
  <c r="BL20" i="87"/>
  <c r="BM20" i="87"/>
  <c r="AT20" i="87"/>
  <c r="AQ20" i="87"/>
  <c r="X20" i="87"/>
  <c r="AL20" i="87" s="1"/>
  <c r="AS18" i="87"/>
  <c r="BK18" i="87"/>
  <c r="BM18" i="87"/>
  <c r="AT18" i="87"/>
  <c r="AQ18" i="87"/>
  <c r="AR18" i="87"/>
  <c r="Z18" i="87"/>
  <c r="AN18" i="87" s="1"/>
  <c r="AS17" i="87"/>
  <c r="AS53" i="87" s="1"/>
  <c r="BK17" i="87"/>
  <c r="BM17" i="87"/>
  <c r="AT17" i="87"/>
  <c r="AQ17" i="87"/>
  <c r="AR17" i="87"/>
  <c r="Z17" i="87"/>
  <c r="AN17" i="87" s="1"/>
  <c r="AS16" i="87"/>
  <c r="BL16" i="87"/>
  <c r="BK16" i="87"/>
  <c r="BM16" i="87"/>
  <c r="AT16" i="87"/>
  <c r="AQ16" i="87"/>
  <c r="AR16" i="87"/>
  <c r="AS15" i="87"/>
  <c r="BL15" i="87"/>
  <c r="BM15" i="87"/>
  <c r="AT15" i="87"/>
  <c r="AR15" i="87"/>
  <c r="AS13" i="87"/>
  <c r="BL13" i="87"/>
  <c r="BK13" i="87"/>
  <c r="BM13" i="87"/>
  <c r="AT13" i="87"/>
  <c r="AQ13" i="87"/>
  <c r="AR13" i="87"/>
  <c r="AS11" i="87"/>
  <c r="BM11" i="87"/>
  <c r="AT11" i="87"/>
  <c r="Z11" i="87"/>
  <c r="AN11" i="87" s="1"/>
  <c r="X11" i="87"/>
  <c r="AL11" i="87" s="1"/>
  <c r="E11" i="87"/>
  <c r="BL8" i="87"/>
  <c r="BM8" i="87"/>
  <c r="AT8" i="87"/>
  <c r="AT6" i="87"/>
  <c r="AQ6" i="87"/>
  <c r="AR6" i="87"/>
  <c r="AA6" i="87"/>
  <c r="Z6" i="87"/>
  <c r="Y6" i="87"/>
  <c r="AJ6" i="87"/>
  <c r="AI6" i="87"/>
  <c r="E6" i="87"/>
  <c r="D3" i="87"/>
  <c r="E3" i="87" s="1"/>
  <c r="F3" i="87" s="1"/>
  <c r="G3" i="87" s="1"/>
  <c r="C23" i="33"/>
  <c r="D41" i="26"/>
  <c r="I23" i="26"/>
  <c r="H12" i="26"/>
  <c r="H23" i="26" s="1"/>
  <c r="G12" i="26"/>
  <c r="G23" i="26" s="1"/>
  <c r="F12" i="26"/>
  <c r="F23" i="26" s="1"/>
  <c r="E12" i="26"/>
  <c r="E23" i="26" s="1"/>
  <c r="D12" i="26"/>
  <c r="D23" i="26" s="1"/>
  <c r="E5" i="26"/>
  <c r="B36" i="26" s="1"/>
  <c r="B35" i="26" s="1"/>
  <c r="I4" i="26"/>
  <c r="H4" i="26"/>
  <c r="G4" i="26"/>
  <c r="F4" i="26"/>
  <c r="E4" i="26"/>
  <c r="F87" i="31"/>
  <c r="E87" i="31"/>
  <c r="E85" i="31"/>
  <c r="E84" i="31"/>
  <c r="C84" i="31"/>
  <c r="E83" i="31"/>
  <c r="E82" i="31"/>
  <c r="S77" i="31"/>
  <c r="R77" i="31"/>
  <c r="Q77" i="31"/>
  <c r="P77" i="31"/>
  <c r="O77" i="31"/>
  <c r="N77" i="31"/>
  <c r="S73" i="31"/>
  <c r="R73" i="31"/>
  <c r="Q73" i="31"/>
  <c r="P73" i="31"/>
  <c r="O73" i="31"/>
  <c r="N73" i="31"/>
  <c r="S76" i="31"/>
  <c r="R76" i="31"/>
  <c r="Q76" i="31"/>
  <c r="P76" i="31"/>
  <c r="O76" i="31"/>
  <c r="N76" i="31"/>
  <c r="C66" i="31"/>
  <c r="C65" i="31"/>
  <c r="C61" i="31"/>
  <c r="BK59" i="31"/>
  <c r="BH59" i="31"/>
  <c r="BG59" i="31"/>
  <c r="F55" i="31"/>
  <c r="F53" i="31"/>
  <c r="E53" i="31"/>
  <c r="S47" i="31"/>
  <c r="R47" i="31"/>
  <c r="Q47" i="31"/>
  <c r="P47" i="31"/>
  <c r="O47" i="31"/>
  <c r="N47" i="31"/>
  <c r="F46" i="31"/>
  <c r="C44" i="31"/>
  <c r="BI5" i="31"/>
  <c r="BH5" i="31"/>
  <c r="E37" i="31"/>
  <c r="BL10" i="31"/>
  <c r="BG5" i="31"/>
  <c r="BI4" i="31"/>
  <c r="BH4" i="31"/>
  <c r="BG4" i="31"/>
  <c r="BF4" i="31"/>
  <c r="O3" i="31"/>
  <c r="P3" i="31" s="1"/>
  <c r="Q3" i="31" s="1"/>
  <c r="R3" i="31" s="1"/>
  <c r="S3" i="31" s="1"/>
  <c r="H3" i="31" s="1"/>
  <c r="I3" i="31" s="1"/>
  <c r="J3" i="31" s="1"/>
  <c r="K3" i="31" s="1"/>
  <c r="L3" i="31" s="1"/>
  <c r="M3" i="31" s="1"/>
  <c r="E14" i="32"/>
  <c r="E13" i="32"/>
  <c r="E10" i="32"/>
  <c r="E9" i="32"/>
  <c r="A9" i="32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6" i="32" s="1"/>
  <c r="E8" i="32"/>
  <c r="B3" i="32"/>
  <c r="D3" i="32" s="1"/>
  <c r="E3" i="32" s="1"/>
  <c r="F3" i="32" s="1"/>
  <c r="J282" i="6"/>
  <c r="J279" i="6"/>
  <c r="I166" i="6"/>
  <c r="J71" i="6"/>
  <c r="H37" i="5"/>
  <c r="G3" i="32" l="1"/>
  <c r="H3" i="32" s="1"/>
  <c r="I3" i="32" s="1"/>
  <c r="J3" i="32" s="1"/>
  <c r="K3" i="32" s="1"/>
  <c r="L3" i="32" s="1"/>
  <c r="M3" i="32" s="1"/>
  <c r="N3" i="32" s="1"/>
  <c r="O3" i="32" s="1"/>
  <c r="P3" i="32" s="1"/>
  <c r="Q3" i="32" s="1"/>
  <c r="R3" i="32" s="1"/>
  <c r="S3" i="32" s="1"/>
  <c r="T3" i="32" s="1"/>
  <c r="U3" i="32" s="1"/>
  <c r="V3" i="32" s="1"/>
  <c r="W3" i="32" s="1"/>
  <c r="X3" i="32" s="1"/>
  <c r="Y3" i="32" s="1"/>
  <c r="Z3" i="32" s="1"/>
  <c r="AA3" i="32" s="1"/>
  <c r="AB3" i="32" s="1"/>
  <c r="AO6" i="87"/>
  <c r="AO49" i="87" s="1"/>
  <c r="AA49" i="87"/>
  <c r="H23" i="33"/>
  <c r="J23" i="33"/>
  <c r="AJ49" i="87"/>
  <c r="AB38" i="32"/>
  <c r="AM6" i="87"/>
  <c r="AM49" i="87" s="1"/>
  <c r="Y49" i="87"/>
  <c r="AN6" i="87"/>
  <c r="AN49" i="87" s="1"/>
  <c r="Z49" i="87"/>
  <c r="AF38" i="32"/>
  <c r="I597" i="34"/>
  <c r="I485" i="34"/>
  <c r="I421" i="34"/>
  <c r="I411" i="34"/>
  <c r="I437" i="34"/>
  <c r="I410" i="34"/>
  <c r="I419" i="34"/>
  <c r="I409" i="34"/>
  <c r="I402" i="34"/>
  <c r="I539" i="34"/>
  <c r="I568" i="34"/>
  <c r="I517" i="34"/>
  <c r="I579" i="34"/>
  <c r="I401" i="34"/>
  <c r="I420" i="34"/>
  <c r="I578" i="34"/>
  <c r="I470" i="34"/>
  <c r="I392" i="34"/>
  <c r="I443" i="34"/>
  <c r="I393" i="34"/>
  <c r="I431" i="34"/>
  <c r="I614" i="34"/>
  <c r="I613" i="34"/>
  <c r="I463" i="34"/>
  <c r="F5" i="26"/>
  <c r="J68" i="34"/>
  <c r="AS52" i="87"/>
  <c r="AS50" i="87"/>
  <c r="BL23" i="33"/>
  <c r="BK23" i="33"/>
  <c r="BF23" i="33"/>
  <c r="BD23" i="33"/>
  <c r="BH23" i="33"/>
  <c r="AW23" i="33" s="1"/>
  <c r="BJ23" i="33"/>
  <c r="BE23" i="33"/>
  <c r="BG23" i="33"/>
  <c r="BI23" i="33"/>
  <c r="AX23" i="33" s="1"/>
  <c r="K23" i="33"/>
  <c r="BK11" i="87"/>
  <c r="BL18" i="87"/>
  <c r="J286" i="6"/>
  <c r="Q85" i="31"/>
  <c r="S85" i="31"/>
  <c r="P85" i="31"/>
  <c r="R85" i="31"/>
  <c r="C47" i="31"/>
  <c r="E44" i="31"/>
  <c r="E55" i="31"/>
  <c r="BK5" i="31"/>
  <c r="BI59" i="31"/>
  <c r="BL59" i="31" s="1"/>
  <c r="O539" i="34"/>
  <c r="K539" i="34"/>
  <c r="I629" i="34"/>
  <c r="I589" i="34"/>
  <c r="N539" i="34"/>
  <c r="L539" i="34"/>
  <c r="J539" i="34"/>
  <c r="M539" i="34"/>
  <c r="I628" i="34"/>
  <c r="BJ5" i="31"/>
  <c r="I606" i="34"/>
  <c r="I607" i="34"/>
  <c r="I556" i="34"/>
  <c r="I532" i="34"/>
  <c r="I618" i="34"/>
  <c r="I617" i="34"/>
  <c r="I637" i="34"/>
  <c r="I623" i="34"/>
  <c r="I592" i="34"/>
  <c r="I591" i="34"/>
  <c r="I632" i="34"/>
  <c r="I631" i="34"/>
  <c r="I583" i="34"/>
  <c r="I559" i="34"/>
  <c r="I560" i="34"/>
  <c r="I549" i="34"/>
  <c r="I536" i="34"/>
  <c r="I535" i="34"/>
  <c r="I396" i="34"/>
  <c r="I432" i="34"/>
  <c r="I414" i="34"/>
  <c r="I525" i="34"/>
  <c r="AF15" i="31" s="1"/>
  <c r="I441" i="34"/>
  <c r="I442" i="34"/>
  <c r="I429" i="34"/>
  <c r="I428" i="34"/>
  <c r="I413" i="34"/>
  <c r="I395" i="34"/>
  <c r="J374" i="34"/>
  <c r="J368" i="34"/>
  <c r="J356" i="34"/>
  <c r="J342" i="34"/>
  <c r="J326" i="34"/>
  <c r="J292" i="34"/>
  <c r="J282" i="34"/>
  <c r="J172" i="34"/>
  <c r="J375" i="34"/>
  <c r="J371" i="34"/>
  <c r="J357" i="34"/>
  <c r="J349" i="34"/>
  <c r="J327" i="34"/>
  <c r="J293" i="34"/>
  <c r="J283" i="34"/>
  <c r="J173" i="34"/>
  <c r="J373" i="34"/>
  <c r="J363" i="34"/>
  <c r="J355" i="34"/>
  <c r="J329" i="34"/>
  <c r="J323" i="34"/>
  <c r="J291" i="34"/>
  <c r="J276" i="34"/>
  <c r="J171" i="34"/>
  <c r="J158" i="34"/>
  <c r="J116" i="34"/>
  <c r="J99" i="34"/>
  <c r="J88" i="34"/>
  <c r="J80" i="34"/>
  <c r="J66" i="34"/>
  <c r="J372" i="34"/>
  <c r="J354" i="34"/>
  <c r="J316" i="34"/>
  <c r="J174" i="34"/>
  <c r="J169" i="34"/>
  <c r="J132" i="34"/>
  <c r="J101" i="34"/>
  <c r="J86" i="34"/>
  <c r="J74" i="34"/>
  <c r="AF76" i="31" s="1"/>
  <c r="J64" i="34"/>
  <c r="J51" i="34"/>
  <c r="AF74" i="31" s="1"/>
  <c r="J36" i="34"/>
  <c r="J25" i="34"/>
  <c r="J285" i="34"/>
  <c r="J131" i="34"/>
  <c r="J129" i="34"/>
  <c r="J18" i="34"/>
  <c r="J164" i="34"/>
  <c r="J100" i="34"/>
  <c r="J358" i="34"/>
  <c r="J328" i="34"/>
  <c r="J284" i="34"/>
  <c r="J170" i="34"/>
  <c r="J127" i="34"/>
  <c r="J102" i="34"/>
  <c r="J90" i="34"/>
  <c r="J87" i="34"/>
  <c r="J65" i="34"/>
  <c r="J62" i="34"/>
  <c r="J38" i="34"/>
  <c r="J27" i="34"/>
  <c r="J23" i="34"/>
  <c r="J122" i="34"/>
  <c r="J89" i="34"/>
  <c r="J85" i="34"/>
  <c r="J268" i="34"/>
  <c r="AF63" i="31" s="1"/>
  <c r="J67" i="34"/>
  <c r="J130" i="34"/>
  <c r="J63" i="34"/>
  <c r="J57" i="34"/>
  <c r="J39" i="34"/>
  <c r="J37" i="34"/>
  <c r="J28" i="34"/>
  <c r="J26" i="34"/>
  <c r="J24" i="34"/>
  <c r="J128" i="34"/>
  <c r="I450" i="34"/>
  <c r="I438" i="34"/>
  <c r="C66" i="48"/>
  <c r="J380" i="34"/>
  <c r="J334" i="34"/>
  <c r="J44" i="34"/>
  <c r="J179" i="34"/>
  <c r="J107" i="34"/>
  <c r="J190" i="34"/>
  <c r="J202" i="34"/>
  <c r="J214" i="34"/>
  <c r="J217" i="34"/>
  <c r="J196" i="34"/>
  <c r="J238" i="34"/>
  <c r="J210" i="34"/>
  <c r="J218" i="34"/>
  <c r="J221" i="34"/>
  <c r="J220" i="34"/>
  <c r="J231" i="34"/>
  <c r="I469" i="34"/>
  <c r="I330" i="34"/>
  <c r="I213" i="34"/>
  <c r="I502" i="34"/>
  <c r="I511" i="34"/>
  <c r="I386" i="34"/>
  <c r="I501" i="34"/>
  <c r="J385" i="34"/>
  <c r="I500" i="34"/>
  <c r="I454" i="34"/>
  <c r="I405" i="34"/>
  <c r="I508" i="34"/>
  <c r="I505" i="34"/>
  <c r="I492" i="34" s="1"/>
  <c r="I449" i="34"/>
  <c r="I495" i="34"/>
  <c r="I479" i="34"/>
  <c r="I476" i="34"/>
  <c r="I424" i="34"/>
  <c r="I473" i="34"/>
  <c r="I460" i="34" s="1"/>
  <c r="BL17" i="87"/>
  <c r="BK41" i="87"/>
  <c r="BK42" i="87"/>
  <c r="BK44" i="87"/>
  <c r="BK46" i="87"/>
  <c r="BL11" i="87"/>
  <c r="AW14" i="33"/>
  <c r="AW15" i="33"/>
  <c r="AW10" i="33"/>
  <c r="AW20" i="33"/>
  <c r="BA20" i="33" s="1"/>
  <c r="BC20" i="33" s="1"/>
  <c r="AW11" i="33"/>
  <c r="AW9" i="33"/>
  <c r="AW7" i="33"/>
  <c r="BA7" i="33" s="1"/>
  <c r="AW13" i="33"/>
  <c r="AW8" i="33"/>
  <c r="BA8" i="33" s="1"/>
  <c r="BC8" i="33" s="1"/>
  <c r="C31" i="33"/>
  <c r="C27" i="33"/>
  <c r="C30" i="33"/>
  <c r="M30" i="33" s="1"/>
  <c r="C29" i="33"/>
  <c r="C28" i="33"/>
  <c r="C34" i="33"/>
  <c r="L34" i="33" s="1"/>
  <c r="C25" i="33"/>
  <c r="C35" i="33"/>
  <c r="L35" i="33" s="1"/>
  <c r="C26" i="33"/>
  <c r="C32" i="33"/>
  <c r="M32" i="33" s="1"/>
  <c r="C36" i="33"/>
  <c r="L36" i="33" s="1"/>
  <c r="C24" i="33"/>
  <c r="C33" i="33"/>
  <c r="C39" i="33"/>
  <c r="BL6" i="87"/>
  <c r="BK20" i="87"/>
  <c r="BK21" i="87"/>
  <c r="BK27" i="87"/>
  <c r="BK28" i="87"/>
  <c r="BK30" i="87"/>
  <c r="BK32" i="87"/>
  <c r="BJ6" i="87"/>
  <c r="W25" i="87"/>
  <c r="AK25" i="87" s="1"/>
  <c r="U25" i="87"/>
  <c r="AI25" i="87" s="1"/>
  <c r="BJ25" i="87" s="1"/>
  <c r="BM6" i="87"/>
  <c r="AJ8" i="87"/>
  <c r="W8" i="87"/>
  <c r="W11" i="87"/>
  <c r="AK11" i="87" s="1"/>
  <c r="U11" i="87"/>
  <c r="AI11" i="87" s="1"/>
  <c r="BJ11" i="87" s="1"/>
  <c r="AW11" i="87"/>
  <c r="U20" i="87"/>
  <c r="AI20" i="87" s="1"/>
  <c r="BJ20" i="87" s="1"/>
  <c r="AK20" i="87"/>
  <c r="AK21" i="87"/>
  <c r="U21" i="87"/>
  <c r="AI21" i="87" s="1"/>
  <c r="BJ21" i="87" s="1"/>
  <c r="V23" i="87"/>
  <c r="AJ23" i="87" s="1"/>
  <c r="W23" i="87"/>
  <c r="AK23" i="87" s="1"/>
  <c r="BK25" i="87"/>
  <c r="U27" i="87"/>
  <c r="AI27" i="87" s="1"/>
  <c r="BJ27" i="87" s="1"/>
  <c r="AK27" i="87"/>
  <c r="U28" i="87"/>
  <c r="AI28" i="87" s="1"/>
  <c r="BJ28" i="87" s="1"/>
  <c r="AK28" i="87"/>
  <c r="V30" i="87"/>
  <c r="AJ30" i="87" s="1"/>
  <c r="W30" i="87"/>
  <c r="AK30" i="87" s="1"/>
  <c r="W32" i="87"/>
  <c r="AK32" i="87" s="1"/>
  <c r="U32" i="87"/>
  <c r="AI32" i="87" s="1"/>
  <c r="BJ32" i="87" s="1"/>
  <c r="U34" i="87"/>
  <c r="AI34" i="87" s="1"/>
  <c r="BJ34" i="87" s="1"/>
  <c r="AK34" i="87"/>
  <c r="AK35" i="87"/>
  <c r="U35" i="87"/>
  <c r="AI35" i="87" s="1"/>
  <c r="BJ35" i="87" s="1"/>
  <c r="V37" i="87"/>
  <c r="AJ37" i="87" s="1"/>
  <c r="W37" i="87"/>
  <c r="AK37" i="87" s="1"/>
  <c r="W39" i="87"/>
  <c r="AK39" i="87" s="1"/>
  <c r="U39" i="87"/>
  <c r="AI39" i="87" s="1"/>
  <c r="BJ39" i="87" s="1"/>
  <c r="AW25" i="87"/>
  <c r="BK34" i="87"/>
  <c r="BK35" i="87"/>
  <c r="BK37" i="87"/>
  <c r="BK39" i="87"/>
  <c r="U41" i="87"/>
  <c r="AI41" i="87" s="1"/>
  <c r="BJ41" i="87" s="1"/>
  <c r="AK41" i="87"/>
  <c r="AK42" i="87"/>
  <c r="U42" i="87"/>
  <c r="AI42" i="87" s="1"/>
  <c r="BJ42" i="87" s="1"/>
  <c r="V44" i="87"/>
  <c r="AJ44" i="87" s="1"/>
  <c r="W44" i="87"/>
  <c r="AK44" i="87" s="1"/>
  <c r="U46" i="87"/>
  <c r="AI46" i="87" s="1"/>
  <c r="BJ46" i="87" s="1"/>
  <c r="W46" i="87"/>
  <c r="AK46" i="87" s="1"/>
  <c r="H3" i="87"/>
  <c r="I3" i="87" s="1"/>
  <c r="J3" i="87" s="1"/>
  <c r="AK6" i="87"/>
  <c r="X6" i="87"/>
  <c r="I362" i="34"/>
  <c r="E15" i="32"/>
  <c r="E12" i="32"/>
  <c r="E16" i="32"/>
  <c r="E18" i="32"/>
  <c r="E17" i="32"/>
  <c r="E11" i="32"/>
  <c r="H60" i="31"/>
  <c r="I339" i="34"/>
  <c r="O499" i="34"/>
  <c r="K499" i="34"/>
  <c r="AR34" i="87"/>
  <c r="AS25" i="87"/>
  <c r="AS54" i="87" s="1"/>
  <c r="AR11" i="87"/>
  <c r="AR8" i="87"/>
  <c r="AS8" i="87"/>
  <c r="AR28" i="87"/>
  <c r="AQ37" i="87"/>
  <c r="AS6" i="87"/>
  <c r="AS49" i="87" s="1"/>
  <c r="AQ8" i="87"/>
  <c r="AR20" i="87"/>
  <c r="AR25" i="87"/>
  <c r="AQ15" i="87"/>
  <c r="AQ21" i="87"/>
  <c r="AR30" i="87"/>
  <c r="AR35" i="87"/>
  <c r="AR44" i="87"/>
  <c r="AQ11" i="87"/>
  <c r="H74" i="31"/>
  <c r="I369" i="34"/>
  <c r="AC30" i="33" l="1"/>
  <c r="L33" i="33"/>
  <c r="M18" i="32" s="1"/>
  <c r="M33" i="33"/>
  <c r="J33" i="33"/>
  <c r="O33" i="33"/>
  <c r="AC32" i="33"/>
  <c r="E94" i="31"/>
  <c r="AF73" i="31"/>
  <c r="H25" i="33"/>
  <c r="J25" i="33"/>
  <c r="H39" i="33"/>
  <c r="J39" i="33"/>
  <c r="AC39" i="33" s="1"/>
  <c r="AR39" i="33" s="1"/>
  <c r="H24" i="33"/>
  <c r="J24" i="33"/>
  <c r="AC3" i="32"/>
  <c r="AD3" i="32" s="1"/>
  <c r="AE3" i="32" s="1"/>
  <c r="AF3" i="32" s="1"/>
  <c r="AG3" i="32" s="1"/>
  <c r="AH3" i="32" s="1"/>
  <c r="AI3" i="32" s="1"/>
  <c r="AJ3" i="32" s="1"/>
  <c r="AK3" i="32" s="1"/>
  <c r="AL3" i="32" s="1"/>
  <c r="AM3" i="32" s="1"/>
  <c r="AI28" i="32"/>
  <c r="AS51" i="87"/>
  <c r="AK28" i="32"/>
  <c r="AL6" i="87"/>
  <c r="AL49" i="87" s="1"/>
  <c r="X49" i="87"/>
  <c r="AK8" i="87"/>
  <c r="BJ8" i="87"/>
  <c r="J419" i="34"/>
  <c r="J402" i="34"/>
  <c r="J565" i="34"/>
  <c r="J411" i="34"/>
  <c r="J420" i="34"/>
  <c r="J421" i="34"/>
  <c r="J517" i="34"/>
  <c r="AR68" i="31"/>
  <c r="I332" i="34"/>
  <c r="J200" i="34"/>
  <c r="AF65" i="31"/>
  <c r="AT34" i="33"/>
  <c r="K39" i="33"/>
  <c r="AE36" i="33"/>
  <c r="AT36" i="33" s="1"/>
  <c r="H29" i="33"/>
  <c r="H164" i="33" s="1"/>
  <c r="AE35" i="33"/>
  <c r="AT35" i="33" s="1"/>
  <c r="H26" i="33"/>
  <c r="G11" i="32" s="1"/>
  <c r="BC7" i="33"/>
  <c r="J579" i="34"/>
  <c r="J578" i="34"/>
  <c r="BB23" i="33"/>
  <c r="AP26" i="33"/>
  <c r="AP25" i="33"/>
  <c r="AP27" i="33"/>
  <c r="AP28" i="33"/>
  <c r="G13" i="32"/>
  <c r="AP29" i="33"/>
  <c r="AP164" i="33" s="1"/>
  <c r="AP23" i="33"/>
  <c r="I444" i="34"/>
  <c r="K68" i="34"/>
  <c r="AV23" i="33"/>
  <c r="AY23" i="33"/>
  <c r="G5" i="26"/>
  <c r="B37" i="26"/>
  <c r="AD23" i="33"/>
  <c r="AS23" i="33" s="1"/>
  <c r="AC23" i="33"/>
  <c r="AR23" i="33" s="1"/>
  <c r="J637" i="34"/>
  <c r="J568" i="34"/>
  <c r="AG21" i="31" s="1"/>
  <c r="J597" i="34"/>
  <c r="AU32" i="87"/>
  <c r="BI32" i="87" s="1"/>
  <c r="AU21" i="87"/>
  <c r="AU34" i="87"/>
  <c r="AU42" i="87"/>
  <c r="AU35" i="87"/>
  <c r="AU46" i="87"/>
  <c r="AU41" i="87"/>
  <c r="BI41" i="87" s="1"/>
  <c r="AH36" i="32"/>
  <c r="G22" i="7" s="1"/>
  <c r="AU20" i="87"/>
  <c r="AU28" i="87"/>
  <c r="AU39" i="87"/>
  <c r="BI39" i="87" s="1"/>
  <c r="AU27" i="87"/>
  <c r="AU25" i="87"/>
  <c r="BI25" i="87" s="1"/>
  <c r="AU11" i="87"/>
  <c r="AU6" i="87"/>
  <c r="G18" i="7"/>
  <c r="BJ44" i="87"/>
  <c r="AU44" i="87"/>
  <c r="BC67" i="31" s="1"/>
  <c r="BJ37" i="87"/>
  <c r="AU37" i="87"/>
  <c r="BB67" i="31" s="1"/>
  <c r="BJ30" i="87"/>
  <c r="AU30" i="87"/>
  <c r="BA67" i="31" s="1"/>
  <c r="BJ23" i="87"/>
  <c r="AU23" i="87"/>
  <c r="AZ67" i="31" s="1"/>
  <c r="BL32" i="33"/>
  <c r="H32" i="33"/>
  <c r="BF32" i="33"/>
  <c r="BD32" i="33"/>
  <c r="BI32" i="33"/>
  <c r="BG32" i="33"/>
  <c r="BH32" i="33"/>
  <c r="BK32" i="33"/>
  <c r="BJ32" i="33"/>
  <c r="K32" i="33"/>
  <c r="BE32" i="33"/>
  <c r="BL30" i="33"/>
  <c r="H30" i="33"/>
  <c r="BF30" i="33"/>
  <c r="BD30" i="33"/>
  <c r="BG30" i="33"/>
  <c r="AV30" i="33" s="1"/>
  <c r="BH30" i="33"/>
  <c r="BI30" i="33"/>
  <c r="K30" i="33"/>
  <c r="AD30" i="33" s="1"/>
  <c r="AS30" i="33" s="1"/>
  <c r="BK30" i="33"/>
  <c r="BE30" i="33"/>
  <c r="BJ30" i="33"/>
  <c r="BL24" i="33"/>
  <c r="BK24" i="33"/>
  <c r="BI24" i="33"/>
  <c r="BF24" i="33"/>
  <c r="K24" i="33"/>
  <c r="BG24" i="33"/>
  <c r="BH24" i="33"/>
  <c r="AP24" i="33"/>
  <c r="BJ24" i="33"/>
  <c r="BD24" i="33"/>
  <c r="BE24" i="33"/>
  <c r="BL35" i="33"/>
  <c r="BK35" i="33"/>
  <c r="BI35" i="33"/>
  <c r="J35" i="33"/>
  <c r="BJ35" i="33"/>
  <c r="AY35" i="33" s="1"/>
  <c r="BD35" i="33"/>
  <c r="H35" i="33"/>
  <c r="BH35" i="33"/>
  <c r="BF35" i="33"/>
  <c r="K35" i="33"/>
  <c r="BE35" i="33"/>
  <c r="BG35" i="33"/>
  <c r="BL28" i="33"/>
  <c r="BJ28" i="33"/>
  <c r="AY28" i="33" s="1"/>
  <c r="BH28" i="33"/>
  <c r="BI28" i="33"/>
  <c r="K28" i="33"/>
  <c r="BG28" i="33"/>
  <c r="BD28" i="33"/>
  <c r="BK28" i="33"/>
  <c r="BF28" i="33"/>
  <c r="BE28" i="33"/>
  <c r="J28" i="33"/>
  <c r="BL31" i="33"/>
  <c r="H31" i="33"/>
  <c r="BF31" i="33"/>
  <c r="BD31" i="33"/>
  <c r="BJ31" i="33"/>
  <c r="J31" i="33"/>
  <c r="BI31" i="33"/>
  <c r="BK31" i="33"/>
  <c r="BH31" i="33"/>
  <c r="BE31" i="33"/>
  <c r="K31" i="33"/>
  <c r="BG31" i="33"/>
  <c r="C37" i="33"/>
  <c r="L37" i="33" s="1"/>
  <c r="BK36" i="33"/>
  <c r="BI36" i="33"/>
  <c r="K36" i="33"/>
  <c r="BF36" i="33"/>
  <c r="J36" i="33"/>
  <c r="BL36" i="33"/>
  <c r="BG36" i="33"/>
  <c r="BH36" i="33"/>
  <c r="H36" i="33"/>
  <c r="AA36" i="33" s="1"/>
  <c r="AP36" i="33" s="1"/>
  <c r="BJ36" i="33"/>
  <c r="BE36" i="33"/>
  <c r="BD36" i="33"/>
  <c r="BL25" i="33"/>
  <c r="BG25" i="33"/>
  <c r="BE25" i="33"/>
  <c r="BF25" i="33"/>
  <c r="BD25" i="33"/>
  <c r="BJ25" i="33"/>
  <c r="BI25" i="33"/>
  <c r="BK25" i="33"/>
  <c r="BH25" i="33"/>
  <c r="K25" i="33"/>
  <c r="BL29" i="33"/>
  <c r="BF29" i="33"/>
  <c r="BD29" i="33"/>
  <c r="BG29" i="33"/>
  <c r="BE29" i="33"/>
  <c r="K29" i="33"/>
  <c r="BI29" i="33"/>
  <c r="BH29" i="33"/>
  <c r="BK29" i="33"/>
  <c r="J29" i="33"/>
  <c r="AC29" i="33" s="1"/>
  <c r="BJ29" i="33"/>
  <c r="AY29" i="33" s="1"/>
  <c r="BL39" i="33"/>
  <c r="AU39" i="33" s="1"/>
  <c r="BK39" i="33"/>
  <c r="AZ39" i="33" s="1"/>
  <c r="BI39" i="33"/>
  <c r="AX39" i="33" s="1"/>
  <c r="BJ39" i="33"/>
  <c r="AY39" i="33" s="1"/>
  <c r="BH39" i="33"/>
  <c r="AW39" i="33" s="1"/>
  <c r="BE39" i="33"/>
  <c r="BD39" i="33"/>
  <c r="BG39" i="33"/>
  <c r="AV39" i="33" s="1"/>
  <c r="BF39" i="33"/>
  <c r="BL34" i="33"/>
  <c r="BK34" i="33"/>
  <c r="BI34" i="33"/>
  <c r="K34" i="33"/>
  <c r="BG34" i="33"/>
  <c r="BH34" i="33"/>
  <c r="BF34" i="33"/>
  <c r="J34" i="33"/>
  <c r="BD34" i="33"/>
  <c r="H34" i="33"/>
  <c r="BJ34" i="33"/>
  <c r="BE34" i="33"/>
  <c r="AZ23" i="33"/>
  <c r="BL33" i="33"/>
  <c r="BJ33" i="33"/>
  <c r="BH33" i="33"/>
  <c r="BK33" i="33"/>
  <c r="BI33" i="33"/>
  <c r="H33" i="33"/>
  <c r="AA33" i="33" s="1"/>
  <c r="AP33" i="33" s="1"/>
  <c r="BD33" i="33"/>
  <c r="BG33" i="33"/>
  <c r="K33" i="33"/>
  <c r="BE33" i="33"/>
  <c r="BF33" i="33"/>
  <c r="BL26" i="33"/>
  <c r="BK26" i="33"/>
  <c r="BI26" i="33"/>
  <c r="J26" i="33"/>
  <c r="BJ26" i="33"/>
  <c r="BD26" i="33"/>
  <c r="BE26" i="33"/>
  <c r="BF26" i="33"/>
  <c r="BH26" i="33"/>
  <c r="K26" i="33"/>
  <c r="BG26" i="33"/>
  <c r="BL27" i="33"/>
  <c r="BJ27" i="33"/>
  <c r="BH27" i="33"/>
  <c r="BF27" i="33"/>
  <c r="K27" i="33"/>
  <c r="BK27" i="33"/>
  <c r="BD27" i="33"/>
  <c r="BI27" i="33"/>
  <c r="BG27" i="33"/>
  <c r="BE27" i="33"/>
  <c r="J27" i="33"/>
  <c r="AU23" i="33"/>
  <c r="I630" i="34"/>
  <c r="I633" i="34" s="1"/>
  <c r="AF16" i="31"/>
  <c r="AF21" i="31"/>
  <c r="I622" i="34"/>
  <c r="I370" i="34"/>
  <c r="H81" i="31"/>
  <c r="J83" i="34"/>
  <c r="AF77" i="31"/>
  <c r="AF78" i="31" s="1"/>
  <c r="J265" i="34"/>
  <c r="AF69" i="31"/>
  <c r="AF64" i="31"/>
  <c r="BA15" i="33"/>
  <c r="BA14" i="33"/>
  <c r="BA13" i="33"/>
  <c r="J125" i="34"/>
  <c r="J369" i="34"/>
  <c r="J370" i="34" s="1"/>
  <c r="J60" i="34"/>
  <c r="J325" i="34"/>
  <c r="J167" i="34"/>
  <c r="I590" i="34"/>
  <c r="AF38" i="31"/>
  <c r="J21" i="34"/>
  <c r="AF22" i="31"/>
  <c r="BL5" i="31"/>
  <c r="J631" i="34"/>
  <c r="J629" i="34"/>
  <c r="J623" i="34"/>
  <c r="J630" i="34" s="1"/>
  <c r="J617" i="34"/>
  <c r="J613" i="34"/>
  <c r="J603" i="34" s="1"/>
  <c r="J606" i="34"/>
  <c r="J592" i="34"/>
  <c r="J632" i="34"/>
  <c r="J614" i="34"/>
  <c r="J607" i="34"/>
  <c r="J559" i="34"/>
  <c r="J556" i="34"/>
  <c r="J546" i="34" s="1"/>
  <c r="J536" i="34"/>
  <c r="J535" i="34"/>
  <c r="J525" i="34"/>
  <c r="AG15" i="31" s="1"/>
  <c r="J618" i="34"/>
  <c r="J583" i="34"/>
  <c r="J549" i="34"/>
  <c r="J589" i="34"/>
  <c r="J532" i="34"/>
  <c r="J522" i="34" s="1"/>
  <c r="J628" i="34"/>
  <c r="J591" i="34"/>
  <c r="J560" i="34"/>
  <c r="I603" i="34"/>
  <c r="I582" i="34"/>
  <c r="I604" i="34"/>
  <c r="I566" i="34"/>
  <c r="I546" i="34"/>
  <c r="P539" i="34"/>
  <c r="I547" i="34"/>
  <c r="I522" i="34"/>
  <c r="J396" i="34"/>
  <c r="J432" i="34"/>
  <c r="J414" i="34"/>
  <c r="J409" i="34"/>
  <c r="J393" i="34"/>
  <c r="J410" i="34"/>
  <c r="J392" i="34"/>
  <c r="AG16" i="31" s="1"/>
  <c r="J442" i="34"/>
  <c r="J443" i="34"/>
  <c r="J441" i="34"/>
  <c r="I445" i="34"/>
  <c r="I446" i="34"/>
  <c r="I523" i="34"/>
  <c r="J431" i="34"/>
  <c r="I398" i="34"/>
  <c r="I400" i="34"/>
  <c r="I399" i="34"/>
  <c r="I418" i="34"/>
  <c r="I91" i="34" s="1"/>
  <c r="I417" i="34"/>
  <c r="I416" i="34"/>
  <c r="I434" i="34"/>
  <c r="I436" i="34"/>
  <c r="I435" i="34"/>
  <c r="J428" i="34"/>
  <c r="J429" i="34"/>
  <c r="J413" i="34"/>
  <c r="J395" i="34"/>
  <c r="K375" i="34"/>
  <c r="K371" i="34"/>
  <c r="K357" i="34"/>
  <c r="K349" i="34"/>
  <c r="K327" i="34"/>
  <c r="K293" i="34"/>
  <c r="K283" i="34"/>
  <c r="K173" i="34"/>
  <c r="K372" i="34"/>
  <c r="K358" i="34"/>
  <c r="K354" i="34"/>
  <c r="K328" i="34"/>
  <c r="K316" i="34"/>
  <c r="K284" i="34"/>
  <c r="K174" i="34"/>
  <c r="K374" i="34"/>
  <c r="K368" i="34"/>
  <c r="K356" i="34"/>
  <c r="K342" i="34"/>
  <c r="AG64" i="31" s="1"/>
  <c r="K326" i="34"/>
  <c r="K292" i="34"/>
  <c r="K282" i="34"/>
  <c r="K172" i="34"/>
  <c r="K164" i="34"/>
  <c r="K122" i="34"/>
  <c r="K100" i="34"/>
  <c r="K89" i="34"/>
  <c r="K85" i="34"/>
  <c r="K67" i="34"/>
  <c r="K171" i="34"/>
  <c r="K116" i="34"/>
  <c r="AG73" i="31" s="1"/>
  <c r="K88" i="34"/>
  <c r="K66" i="34"/>
  <c r="K57" i="34"/>
  <c r="K37" i="34"/>
  <c r="K26" i="34"/>
  <c r="K87" i="34"/>
  <c r="K373" i="34"/>
  <c r="K355" i="34"/>
  <c r="K323" i="34"/>
  <c r="K276" i="34"/>
  <c r="K265" i="34" s="1"/>
  <c r="J63" i="31" s="1"/>
  <c r="K170" i="34"/>
  <c r="K127" i="34"/>
  <c r="K102" i="34"/>
  <c r="K90" i="34"/>
  <c r="K158" i="34"/>
  <c r="AG77" i="31" s="1"/>
  <c r="K99" i="34"/>
  <c r="K80" i="34"/>
  <c r="K63" i="34"/>
  <c r="K39" i="34"/>
  <c r="K28" i="34"/>
  <c r="K24" i="34"/>
  <c r="K363" i="34"/>
  <c r="AG69" i="31" s="1"/>
  <c r="K329" i="34"/>
  <c r="K291" i="34"/>
  <c r="K169" i="34"/>
  <c r="K132" i="34"/>
  <c r="K101" i="34"/>
  <c r="K86" i="34"/>
  <c r="K74" i="34"/>
  <c r="AG76" i="31" s="1"/>
  <c r="K131" i="34"/>
  <c r="K130" i="34"/>
  <c r="K129" i="34"/>
  <c r="K128" i="34"/>
  <c r="K64" i="34"/>
  <c r="K62" i="34"/>
  <c r="K51" i="34"/>
  <c r="AG74" i="31" s="1"/>
  <c r="K38" i="34"/>
  <c r="K36" i="34"/>
  <c r="K27" i="34"/>
  <c r="K25" i="34"/>
  <c r="K23" i="34"/>
  <c r="K18" i="34"/>
  <c r="K65" i="34"/>
  <c r="K285" i="34"/>
  <c r="J424" i="34"/>
  <c r="J437" i="34"/>
  <c r="J450" i="34"/>
  <c r="J438" i="34"/>
  <c r="J449" i="34"/>
  <c r="J401" i="34"/>
  <c r="J266" i="34"/>
  <c r="J315" i="34"/>
  <c r="J294" i="34"/>
  <c r="J288" i="34"/>
  <c r="J362" i="34"/>
  <c r="K380" i="34"/>
  <c r="K334" i="34"/>
  <c r="J340" i="34"/>
  <c r="J339" i="34"/>
  <c r="I336" i="34"/>
  <c r="J469" i="34"/>
  <c r="J73" i="34"/>
  <c r="J95" i="34"/>
  <c r="I82" i="31" s="1"/>
  <c r="J103" i="34"/>
  <c r="J40" i="34"/>
  <c r="J32" i="34"/>
  <c r="J157" i="34"/>
  <c r="J115" i="34"/>
  <c r="K44" i="34"/>
  <c r="K179" i="34"/>
  <c r="K107" i="34"/>
  <c r="J11" i="34"/>
  <c r="K190" i="34"/>
  <c r="K200" i="34" s="1"/>
  <c r="K196" i="34"/>
  <c r="K218" i="34"/>
  <c r="K202" i="34"/>
  <c r="K220" i="34"/>
  <c r="K231" i="34"/>
  <c r="K227" i="34" s="1"/>
  <c r="K217" i="34"/>
  <c r="K238" i="34"/>
  <c r="K210" i="34"/>
  <c r="AG65" i="31" s="1"/>
  <c r="K214" i="34"/>
  <c r="K221" i="34"/>
  <c r="J185" i="34"/>
  <c r="J213" i="34"/>
  <c r="J219" i="34" s="1"/>
  <c r="J223" i="34" s="1"/>
  <c r="J209" i="34"/>
  <c r="J186" i="34"/>
  <c r="J189" i="34"/>
  <c r="I219" i="34"/>
  <c r="J227" i="34"/>
  <c r="J232" i="34"/>
  <c r="J500" i="34"/>
  <c r="J386" i="34"/>
  <c r="J501" i="34"/>
  <c r="J511" i="34"/>
  <c r="J476" i="34"/>
  <c r="J470" i="34"/>
  <c r="J508" i="34"/>
  <c r="J505" i="34"/>
  <c r="J502" i="34"/>
  <c r="J473" i="34"/>
  <c r="J405" i="34"/>
  <c r="J485" i="34"/>
  <c r="J479" i="34"/>
  <c r="J454" i="34"/>
  <c r="J463" i="34"/>
  <c r="J495" i="34"/>
  <c r="I513" i="34"/>
  <c r="I493" i="34"/>
  <c r="I481" i="34"/>
  <c r="I461" i="34"/>
  <c r="I474" i="34" s="1"/>
  <c r="K385" i="34"/>
  <c r="BC15" i="33"/>
  <c r="C45" i="33"/>
  <c r="C42" i="33"/>
  <c r="C46" i="33"/>
  <c r="M46" i="33" s="1"/>
  <c r="AC46" i="33" s="1"/>
  <c r="C43" i="33"/>
  <c r="C44" i="33"/>
  <c r="C49" i="33"/>
  <c r="C40" i="33"/>
  <c r="C50" i="33"/>
  <c r="C41" i="33"/>
  <c r="C52" i="33"/>
  <c r="C48" i="33"/>
  <c r="M48" i="33" s="1"/>
  <c r="AC48" i="33" s="1"/>
  <c r="C55" i="33"/>
  <c r="C51" i="33"/>
  <c r="C47" i="33"/>
  <c r="H72" i="31"/>
  <c r="BK6" i="87"/>
  <c r="Y8" i="87"/>
  <c r="X8" i="87"/>
  <c r="K3" i="87"/>
  <c r="L3" i="87" s="1"/>
  <c r="H69" i="31"/>
  <c r="H77" i="31"/>
  <c r="I509" i="34"/>
  <c r="H73" i="31"/>
  <c r="I477" i="34"/>
  <c r="AW18" i="87"/>
  <c r="AE33" i="33" l="1"/>
  <c r="AT33" i="33" s="1"/>
  <c r="M3" i="87"/>
  <c r="N3" i="87" s="1"/>
  <c r="O3" i="87" s="1"/>
  <c r="P3" i="87" s="1"/>
  <c r="Q3" i="87" s="1"/>
  <c r="R3" i="87" s="1"/>
  <c r="T3" i="87" s="1"/>
  <c r="O49" i="33"/>
  <c r="AE49" i="33" s="1"/>
  <c r="M49" i="33"/>
  <c r="AC49" i="33" s="1"/>
  <c r="AR49" i="33" s="1"/>
  <c r="AC33" i="33"/>
  <c r="H161" i="33"/>
  <c r="H41" i="33"/>
  <c r="J41" i="33"/>
  <c r="AC41" i="33" s="1"/>
  <c r="AR41" i="33" s="1"/>
  <c r="J55" i="33"/>
  <c r="AC55" i="33" s="1"/>
  <c r="AR55" i="33" s="1"/>
  <c r="H55" i="33"/>
  <c r="BM23" i="33"/>
  <c r="AA8" i="32"/>
  <c r="G14" i="32"/>
  <c r="BI21" i="87"/>
  <c r="AW21" i="87"/>
  <c r="BI35" i="87"/>
  <c r="AW35" i="87"/>
  <c r="BI28" i="87"/>
  <c r="AW28" i="87"/>
  <c r="BI42" i="87"/>
  <c r="AW42" i="87"/>
  <c r="AM8" i="87"/>
  <c r="AL8" i="87"/>
  <c r="K409" i="34"/>
  <c r="K414" i="34"/>
  <c r="K428" i="34"/>
  <c r="K413" i="34"/>
  <c r="K517" i="34"/>
  <c r="K565" i="34"/>
  <c r="AF70" i="31"/>
  <c r="AF90" i="31" s="1"/>
  <c r="J197" i="34"/>
  <c r="I60" i="31"/>
  <c r="J168" i="34"/>
  <c r="J175" i="34" s="1"/>
  <c r="AS77" i="31" s="1"/>
  <c r="I63" i="31"/>
  <c r="J278" i="34"/>
  <c r="AS83" i="31"/>
  <c r="K83" i="34"/>
  <c r="K84" i="34" s="1"/>
  <c r="J61" i="34"/>
  <c r="J69" i="34" s="1"/>
  <c r="AS74" i="31" s="1"/>
  <c r="J84" i="34"/>
  <c r="AS82" i="31"/>
  <c r="I68" i="31"/>
  <c r="J22" i="34"/>
  <c r="J126" i="34"/>
  <c r="J133" i="34" s="1"/>
  <c r="AS73" i="31" s="1"/>
  <c r="AE37" i="33"/>
  <c r="AT37" i="33" s="1"/>
  <c r="K49" i="33"/>
  <c r="AD49" i="33" s="1"/>
  <c r="AS49" i="33" s="1"/>
  <c r="H49" i="33"/>
  <c r="AA49" i="33" s="1"/>
  <c r="AP49" i="33" s="1"/>
  <c r="K55" i="33"/>
  <c r="K48" i="33"/>
  <c r="AD48" i="33" s="1"/>
  <c r="AS48" i="33" s="1"/>
  <c r="H48" i="33"/>
  <c r="AA48" i="33" s="1"/>
  <c r="AP48" i="33" s="1"/>
  <c r="AR48" i="33"/>
  <c r="K44" i="33"/>
  <c r="AD44" i="33" s="1"/>
  <c r="AS44" i="33" s="1"/>
  <c r="J44" i="33"/>
  <c r="AC44" i="33" s="1"/>
  <c r="AR44" i="33" s="1"/>
  <c r="J52" i="33"/>
  <c r="AC52" i="33" s="1"/>
  <c r="AR52" i="33" s="1"/>
  <c r="H52" i="33"/>
  <c r="AA52" i="33" s="1"/>
  <c r="AP52" i="33" s="1"/>
  <c r="K52" i="33"/>
  <c r="AD52" i="33" s="1"/>
  <c r="AS52" i="33" s="1"/>
  <c r="L52" i="33"/>
  <c r="J43" i="33"/>
  <c r="AC43" i="33" s="1"/>
  <c r="AR43" i="33" s="1"/>
  <c r="K43" i="33"/>
  <c r="AD43" i="33" s="1"/>
  <c r="AS43" i="33" s="1"/>
  <c r="K41" i="33"/>
  <c r="AD41" i="33" s="1"/>
  <c r="AS41" i="33" s="1"/>
  <c r="H46" i="33"/>
  <c r="AR46" i="33"/>
  <c r="K46" i="33"/>
  <c r="AD46" i="33" s="1"/>
  <c r="AS46" i="33" s="1"/>
  <c r="H47" i="33"/>
  <c r="AA47" i="33" s="1"/>
  <c r="AP47" i="33" s="1"/>
  <c r="J47" i="33"/>
  <c r="AR47" i="33" s="1"/>
  <c r="K47" i="33"/>
  <c r="AD47" i="33" s="1"/>
  <c r="AS47" i="33" s="1"/>
  <c r="K50" i="33"/>
  <c r="AD50" i="33" s="1"/>
  <c r="AS50" i="33" s="1"/>
  <c r="H50" i="33"/>
  <c r="J50" i="33"/>
  <c r="K42" i="33"/>
  <c r="AD42" i="33" s="1"/>
  <c r="AS42" i="33" s="1"/>
  <c r="J42" i="33"/>
  <c r="AC42" i="33" s="1"/>
  <c r="AR42" i="33" s="1"/>
  <c r="K51" i="33"/>
  <c r="AD51" i="33" s="1"/>
  <c r="AS51" i="33" s="1"/>
  <c r="J51" i="33"/>
  <c r="AC51" i="33" s="1"/>
  <c r="AR51" i="33" s="1"/>
  <c r="H51" i="33"/>
  <c r="AA51" i="33" s="1"/>
  <c r="AP51" i="33" s="1"/>
  <c r="K40" i="33"/>
  <c r="AD40" i="33" s="1"/>
  <c r="AS40" i="33" s="1"/>
  <c r="J40" i="33"/>
  <c r="K45" i="33"/>
  <c r="AD45" i="33" s="1"/>
  <c r="AS45" i="33" s="1"/>
  <c r="J45" i="33"/>
  <c r="BI6" i="87"/>
  <c r="K266" i="34"/>
  <c r="K278" i="34" s="1"/>
  <c r="J418" i="34"/>
  <c r="J91" i="34" s="1"/>
  <c r="J417" i="34"/>
  <c r="J416" i="34"/>
  <c r="K411" i="34"/>
  <c r="K419" i="34"/>
  <c r="K579" i="34"/>
  <c r="K421" i="34"/>
  <c r="K420" i="34"/>
  <c r="BA23" i="33"/>
  <c r="BC23" i="33" s="1"/>
  <c r="AA14" i="32"/>
  <c r="AP158" i="33"/>
  <c r="I92" i="34"/>
  <c r="AR76" i="31" s="1"/>
  <c r="L68" i="34"/>
  <c r="L51" i="34"/>
  <c r="AH74" i="31" s="1"/>
  <c r="L74" i="34"/>
  <c r="AH76" i="31" s="1"/>
  <c r="AX27" i="33"/>
  <c r="AV26" i="33"/>
  <c r="AX26" i="33"/>
  <c r="AW33" i="33"/>
  <c r="AX31" i="33"/>
  <c r="AV28" i="33"/>
  <c r="AY24" i="33"/>
  <c r="AW30" i="33"/>
  <c r="AY32" i="33"/>
  <c r="AW27" i="33"/>
  <c r="AY33" i="33"/>
  <c r="AY34" i="33"/>
  <c r="AX34" i="33"/>
  <c r="AX25" i="33"/>
  <c r="AW36" i="33"/>
  <c r="AX32" i="33"/>
  <c r="AY27" i="33"/>
  <c r="AW26" i="33"/>
  <c r="AY26" i="33"/>
  <c r="AV33" i="33"/>
  <c r="AX33" i="33"/>
  <c r="AW34" i="33"/>
  <c r="AW29" i="33"/>
  <c r="AV29" i="33"/>
  <c r="AY25" i="33"/>
  <c r="AV36" i="33"/>
  <c r="AW31" i="33"/>
  <c r="AY31" i="33"/>
  <c r="AX28" i="33"/>
  <c r="AV35" i="33"/>
  <c r="AW35" i="33"/>
  <c r="AW24" i="33"/>
  <c r="AY30" i="33"/>
  <c r="AW32" i="33"/>
  <c r="H5" i="26"/>
  <c r="B38" i="26"/>
  <c r="AV27" i="33"/>
  <c r="BO33" i="33"/>
  <c r="AV34" i="33"/>
  <c r="AX29" i="33"/>
  <c r="BM29" i="33"/>
  <c r="AW25" i="33"/>
  <c r="AV25" i="33"/>
  <c r="AY36" i="33"/>
  <c r="AX36" i="33"/>
  <c r="AV31" i="33"/>
  <c r="AW28" i="33"/>
  <c r="AX35" i="33"/>
  <c r="AV24" i="33"/>
  <c r="AX24" i="33"/>
  <c r="AX30" i="33"/>
  <c r="AV32" i="33"/>
  <c r="AW23" i="87"/>
  <c r="BI20" i="87"/>
  <c r="AW41" i="87"/>
  <c r="AW34" i="87"/>
  <c r="AW37" i="87"/>
  <c r="AW30" i="87"/>
  <c r="BI11" i="87"/>
  <c r="AD26" i="33"/>
  <c r="AS26" i="33" s="1"/>
  <c r="AC25" i="33"/>
  <c r="AR25" i="33" s="1"/>
  <c r="AD25" i="33"/>
  <c r="AS25" i="33" s="1"/>
  <c r="AD36" i="33"/>
  <c r="AS36" i="33" s="1"/>
  <c r="AC35" i="33"/>
  <c r="AR35" i="33" s="1"/>
  <c r="AR30" i="33"/>
  <c r="AR33" i="33"/>
  <c r="BN23" i="33"/>
  <c r="AC26" i="33"/>
  <c r="AR26" i="33" s="1"/>
  <c r="AC28" i="33"/>
  <c r="AR28" i="33" s="1"/>
  <c r="AD33" i="33"/>
  <c r="AS33" i="33" s="1"/>
  <c r="AR31" i="33"/>
  <c r="AD28" i="33"/>
  <c r="AS28" i="33" s="1"/>
  <c r="AC34" i="33"/>
  <c r="AR34" i="33" s="1"/>
  <c r="AD34" i="33"/>
  <c r="AS34" i="33" s="1"/>
  <c r="AR29" i="33"/>
  <c r="AD29" i="33"/>
  <c r="AS29" i="33" s="1"/>
  <c r="AC36" i="33"/>
  <c r="AR36" i="33" s="1"/>
  <c r="AD31" i="33"/>
  <c r="AS31" i="33" s="1"/>
  <c r="AD35" i="33"/>
  <c r="AS35" i="33" s="1"/>
  <c r="AD24" i="33"/>
  <c r="AS24" i="33" s="1"/>
  <c r="AR32" i="33"/>
  <c r="K637" i="34"/>
  <c r="K597" i="34"/>
  <c r="I72" i="31"/>
  <c r="I81" i="31"/>
  <c r="AR81" i="31"/>
  <c r="H85" i="31"/>
  <c r="I76" i="31"/>
  <c r="BI44" i="87"/>
  <c r="AW44" i="87"/>
  <c r="BI30" i="87"/>
  <c r="J376" i="34"/>
  <c r="I69" i="31"/>
  <c r="BI23" i="87"/>
  <c r="BB28" i="33"/>
  <c r="AZ33" i="33"/>
  <c r="BL48" i="33"/>
  <c r="AU48" i="33" s="1"/>
  <c r="BF48" i="33"/>
  <c r="BJ48" i="33"/>
  <c r="AY48" i="33" s="1"/>
  <c r="BD48" i="33"/>
  <c r="BK48" i="33"/>
  <c r="AZ48" i="33" s="1"/>
  <c r="BE48" i="33"/>
  <c r="BI48" i="33"/>
  <c r="AX48" i="33" s="1"/>
  <c r="BH48" i="33"/>
  <c r="AW48" i="33" s="1"/>
  <c r="BG48" i="33"/>
  <c r="AV48" i="33" s="1"/>
  <c r="AP40" i="33"/>
  <c r="BL40" i="33"/>
  <c r="AU40" i="33" s="1"/>
  <c r="BJ40" i="33"/>
  <c r="AY40" i="33" s="1"/>
  <c r="BH40" i="33"/>
  <c r="AW40" i="33" s="1"/>
  <c r="BF40" i="33"/>
  <c r="BK40" i="33"/>
  <c r="AZ40" i="33" s="1"/>
  <c r="BE40" i="33"/>
  <c r="BI40" i="33"/>
  <c r="AX40" i="33" s="1"/>
  <c r="BD40" i="33"/>
  <c r="BG40" i="33"/>
  <c r="AV40" i="33" s="1"/>
  <c r="BL46" i="33"/>
  <c r="AU46" i="33" s="1"/>
  <c r="BF46" i="33"/>
  <c r="BD46" i="33"/>
  <c r="BI46" i="33"/>
  <c r="AX46" i="33" s="1"/>
  <c r="BG46" i="33"/>
  <c r="AV46" i="33" s="1"/>
  <c r="BH46" i="33"/>
  <c r="AW46" i="33" s="1"/>
  <c r="BK46" i="33"/>
  <c r="AZ46" i="33" s="1"/>
  <c r="BJ46" i="33"/>
  <c r="AY46" i="33" s="1"/>
  <c r="BE46" i="33"/>
  <c r="AZ34" i="33"/>
  <c r="AZ30" i="33"/>
  <c r="BL47" i="33"/>
  <c r="AU47" i="33" s="1"/>
  <c r="BF47" i="33"/>
  <c r="BD47" i="33"/>
  <c r="BG47" i="33"/>
  <c r="AV47" i="33" s="1"/>
  <c r="BE47" i="33"/>
  <c r="BK47" i="33"/>
  <c r="AZ47" i="33" s="1"/>
  <c r="BJ47" i="33"/>
  <c r="AY47" i="33" s="1"/>
  <c r="BH47" i="33"/>
  <c r="AW47" i="33" s="1"/>
  <c r="BI47" i="33"/>
  <c r="AX47" i="33" s="1"/>
  <c r="C53" i="33"/>
  <c r="BF52" i="33"/>
  <c r="BD52" i="33"/>
  <c r="BL52" i="33"/>
  <c r="AU52" i="33" s="1"/>
  <c r="BG52" i="33"/>
  <c r="AV52" i="33" s="1"/>
  <c r="BH52" i="33"/>
  <c r="AW52" i="33" s="1"/>
  <c r="BI52" i="33"/>
  <c r="AX52" i="33" s="1"/>
  <c r="BK52" i="33"/>
  <c r="AZ52" i="33" s="1"/>
  <c r="BE52" i="33"/>
  <c r="BJ52" i="33"/>
  <c r="AY52" i="33" s="1"/>
  <c r="BF49" i="33"/>
  <c r="BD49" i="33"/>
  <c r="BL49" i="33"/>
  <c r="AU49" i="33" s="1"/>
  <c r="BJ49" i="33"/>
  <c r="AY49" i="33" s="1"/>
  <c r="BK49" i="33"/>
  <c r="AZ49" i="33" s="1"/>
  <c r="BE49" i="33"/>
  <c r="BI49" i="33"/>
  <c r="AX49" i="33" s="1"/>
  <c r="BH49" i="33"/>
  <c r="AW49" i="33" s="1"/>
  <c r="BG49" i="33"/>
  <c r="AV49" i="33" s="1"/>
  <c r="BL42" i="33"/>
  <c r="AU42" i="33" s="1"/>
  <c r="BJ42" i="33"/>
  <c r="AY42" i="33" s="1"/>
  <c r="BH42" i="33"/>
  <c r="AW42" i="33" s="1"/>
  <c r="BI42" i="33"/>
  <c r="AX42" i="33" s="1"/>
  <c r="BG42" i="33"/>
  <c r="AV42" i="33" s="1"/>
  <c r="BD42" i="33"/>
  <c r="BK42" i="33"/>
  <c r="AZ42" i="33" s="1"/>
  <c r="BF42" i="33"/>
  <c r="BE42" i="33"/>
  <c r="AD32" i="33"/>
  <c r="AS32" i="33" s="1"/>
  <c r="BB34" i="33"/>
  <c r="BC34" i="33" s="1"/>
  <c r="AU34" i="33"/>
  <c r="BB29" i="33"/>
  <c r="BB25" i="33"/>
  <c r="AU36" i="33"/>
  <c r="BB35" i="33"/>
  <c r="BC35" i="33" s="1"/>
  <c r="AZ35" i="33"/>
  <c r="BB24" i="33"/>
  <c r="AU30" i="33"/>
  <c r="BB33" i="33"/>
  <c r="BL51" i="33"/>
  <c r="AU51" i="33" s="1"/>
  <c r="BK51" i="33"/>
  <c r="AZ51" i="33" s="1"/>
  <c r="BI51" i="33"/>
  <c r="AX51" i="33" s="1"/>
  <c r="BJ51" i="33"/>
  <c r="AY51" i="33" s="1"/>
  <c r="BH51" i="33"/>
  <c r="AW51" i="33" s="1"/>
  <c r="BE51" i="33"/>
  <c r="BD51" i="33"/>
  <c r="BF51" i="33"/>
  <c r="BG51" i="33"/>
  <c r="AV51" i="33" s="1"/>
  <c r="BJ41" i="33"/>
  <c r="AY41" i="33" s="1"/>
  <c r="BH41" i="33"/>
  <c r="AW41" i="33" s="1"/>
  <c r="BL41" i="33"/>
  <c r="AU41" i="33" s="1"/>
  <c r="BF41" i="33"/>
  <c r="BI41" i="33"/>
  <c r="AX41" i="33" s="1"/>
  <c r="BK41" i="33"/>
  <c r="AZ41" i="33" s="1"/>
  <c r="BD41" i="33"/>
  <c r="BG41" i="33"/>
  <c r="AV41" i="33" s="1"/>
  <c r="BE41" i="33"/>
  <c r="BL44" i="33"/>
  <c r="AU44" i="33" s="1"/>
  <c r="BJ44" i="33"/>
  <c r="AY44" i="33" s="1"/>
  <c r="BH44" i="33"/>
  <c r="AW44" i="33" s="1"/>
  <c r="BG44" i="33"/>
  <c r="AV44" i="33" s="1"/>
  <c r="BD44" i="33"/>
  <c r="BM44" i="33" s="1"/>
  <c r="BI44" i="33"/>
  <c r="AX44" i="33" s="1"/>
  <c r="BK44" i="33"/>
  <c r="AZ44" i="33" s="1"/>
  <c r="BE44" i="33"/>
  <c r="BF44" i="33"/>
  <c r="BL45" i="33"/>
  <c r="AU45" i="33" s="1"/>
  <c r="BK45" i="33"/>
  <c r="AZ45" i="33" s="1"/>
  <c r="BI45" i="33"/>
  <c r="AX45" i="33" s="1"/>
  <c r="BG45" i="33"/>
  <c r="AV45" i="33" s="1"/>
  <c r="BH45" i="33"/>
  <c r="AW45" i="33" s="1"/>
  <c r="BF45" i="33"/>
  <c r="BJ45" i="33"/>
  <c r="AY45" i="33" s="1"/>
  <c r="BE45" i="33"/>
  <c r="BD45" i="33"/>
  <c r="BM45" i="33" s="1"/>
  <c r="AC24" i="33"/>
  <c r="AR24" i="33" s="1"/>
  <c r="AD39" i="33"/>
  <c r="AS39" i="33" s="1"/>
  <c r="BA39" i="33" s="1"/>
  <c r="AZ26" i="33"/>
  <c r="AZ25" i="33"/>
  <c r="AU25" i="33"/>
  <c r="AZ36" i="33"/>
  <c r="AU31" i="33"/>
  <c r="AU28" i="33"/>
  <c r="AU35" i="33"/>
  <c r="AZ24" i="33"/>
  <c r="BB30" i="33"/>
  <c r="AA30" i="33"/>
  <c r="AP30" i="33" s="1"/>
  <c r="AZ32" i="33"/>
  <c r="AU32" i="33"/>
  <c r="AU27" i="33"/>
  <c r="BB27" i="33"/>
  <c r="BB26" i="33"/>
  <c r="AA34" i="33"/>
  <c r="AP34" i="33" s="1"/>
  <c r="BM34" i="33" s="1"/>
  <c r="BB39" i="33"/>
  <c r="BL55" i="33"/>
  <c r="BJ55" i="33"/>
  <c r="AY55" i="33" s="1"/>
  <c r="BH55" i="33"/>
  <c r="AW55" i="33" s="1"/>
  <c r="BG55" i="33"/>
  <c r="AV55" i="33" s="1"/>
  <c r="BD55" i="33"/>
  <c r="BF55" i="33"/>
  <c r="BE55" i="33"/>
  <c r="AD55" i="33"/>
  <c r="AS55" i="33" s="1"/>
  <c r="BK55" i="33"/>
  <c r="AZ55" i="33" s="1"/>
  <c r="BI55" i="33"/>
  <c r="AX55" i="33" s="1"/>
  <c r="BL50" i="33"/>
  <c r="AU50" i="33" s="1"/>
  <c r="BK50" i="33"/>
  <c r="AZ50" i="33" s="1"/>
  <c r="BI50" i="33"/>
  <c r="AX50" i="33" s="1"/>
  <c r="BF50" i="33"/>
  <c r="BG50" i="33"/>
  <c r="AV50" i="33" s="1"/>
  <c r="BH50" i="33"/>
  <c r="AW50" i="33" s="1"/>
  <c r="BJ50" i="33"/>
  <c r="AY50" i="33" s="1"/>
  <c r="BE50" i="33"/>
  <c r="BD50" i="33"/>
  <c r="BJ43" i="33"/>
  <c r="AY43" i="33" s="1"/>
  <c r="BH43" i="33"/>
  <c r="AW43" i="33" s="1"/>
  <c r="BK43" i="33"/>
  <c r="AZ43" i="33" s="1"/>
  <c r="BI43" i="33"/>
  <c r="AX43" i="33" s="1"/>
  <c r="BL43" i="33"/>
  <c r="AU43" i="33" s="1"/>
  <c r="BF43" i="33"/>
  <c r="BE43" i="33"/>
  <c r="BG43" i="33"/>
  <c r="AV43" i="33" s="1"/>
  <c r="BD43" i="33"/>
  <c r="AC27" i="33"/>
  <c r="AR27" i="33" s="1"/>
  <c r="AD27" i="33"/>
  <c r="AS27" i="33" s="1"/>
  <c r="AZ27" i="33"/>
  <c r="AU26" i="33"/>
  <c r="AU33" i="33"/>
  <c r="AZ29" i="33"/>
  <c r="AU29" i="33"/>
  <c r="BB36" i="33"/>
  <c r="BL37" i="33"/>
  <c r="BK37" i="33"/>
  <c r="BG37" i="33"/>
  <c r="BJ37" i="33"/>
  <c r="BF37" i="33"/>
  <c r="BI37" i="33"/>
  <c r="BE37" i="33"/>
  <c r="BH37" i="33"/>
  <c r="BD37" i="33"/>
  <c r="J37" i="33"/>
  <c r="H37" i="33"/>
  <c r="AZ31" i="33"/>
  <c r="BB31" i="33"/>
  <c r="BC31" i="33" s="1"/>
  <c r="AA31" i="33"/>
  <c r="AP31" i="33" s="1"/>
  <c r="AZ28" i="33"/>
  <c r="AA35" i="33"/>
  <c r="AP35" i="33" s="1"/>
  <c r="BM35" i="33" s="1"/>
  <c r="H159" i="33"/>
  <c r="G9" i="32"/>
  <c r="AU24" i="33"/>
  <c r="BB32" i="33"/>
  <c r="AA32" i="33"/>
  <c r="AP32" i="33" s="1"/>
  <c r="I74" i="31"/>
  <c r="I576" i="34"/>
  <c r="I615" i="34"/>
  <c r="I593" i="34"/>
  <c r="J351" i="34"/>
  <c r="I83" i="31"/>
  <c r="J330" i="34"/>
  <c r="I376" i="34"/>
  <c r="AR69" i="31" s="1"/>
  <c r="BC14" i="33"/>
  <c r="BC13" i="33"/>
  <c r="AN3" i="32"/>
  <c r="AO3" i="32" s="1"/>
  <c r="AP3" i="32" s="1"/>
  <c r="AQ3" i="32" s="1"/>
  <c r="AR3" i="32" s="1"/>
  <c r="AS3" i="32" s="1"/>
  <c r="AT3" i="32" s="1"/>
  <c r="AU3" i="32" s="1"/>
  <c r="AV3" i="32" s="1"/>
  <c r="AW3" i="32" s="1"/>
  <c r="AX3" i="32" s="1"/>
  <c r="J29" i="34"/>
  <c r="AS72" i="31" s="1"/>
  <c r="K369" i="34"/>
  <c r="K370" i="34" s="1"/>
  <c r="K376" i="34" s="1"/>
  <c r="AS69" i="31" s="1"/>
  <c r="K21" i="34"/>
  <c r="K22" i="34" s="1"/>
  <c r="K325" i="34"/>
  <c r="K330" i="34" s="1"/>
  <c r="AS68" i="31" s="1"/>
  <c r="J590" i="34"/>
  <c r="J593" i="34" s="1"/>
  <c r="AG38" i="31"/>
  <c r="K60" i="34"/>
  <c r="K61" i="34" s="1"/>
  <c r="AG22" i="31"/>
  <c r="K167" i="34"/>
  <c r="K168" i="34" s="1"/>
  <c r="K125" i="34"/>
  <c r="K126" i="34" s="1"/>
  <c r="I451" i="34"/>
  <c r="I439" i="34"/>
  <c r="J582" i="34"/>
  <c r="K592" i="34"/>
  <c r="K589" i="34"/>
  <c r="K583" i="34"/>
  <c r="K578" i="34"/>
  <c r="K560" i="34"/>
  <c r="K556" i="34"/>
  <c r="K549" i="34"/>
  <c r="K535" i="34"/>
  <c r="K525" i="34"/>
  <c r="AH15" i="31" s="1"/>
  <c r="K632" i="34"/>
  <c r="K628" i="34"/>
  <c r="K618" i="34"/>
  <c r="K614" i="34"/>
  <c r="K607" i="34"/>
  <c r="K532" i="34"/>
  <c r="K522" i="34" s="1"/>
  <c r="K631" i="34"/>
  <c r="K629" i="34"/>
  <c r="K613" i="34"/>
  <c r="K603" i="34" s="1"/>
  <c r="K623" i="34"/>
  <c r="K630" i="34" s="1"/>
  <c r="K617" i="34"/>
  <c r="K591" i="34"/>
  <c r="K606" i="34"/>
  <c r="K568" i="34"/>
  <c r="K559" i="34"/>
  <c r="K536" i="34"/>
  <c r="J622" i="34"/>
  <c r="J633" i="34"/>
  <c r="J547" i="34"/>
  <c r="J557" i="34" s="1"/>
  <c r="J523" i="34"/>
  <c r="J533" i="34" s="1"/>
  <c r="J604" i="34"/>
  <c r="J615" i="34" s="1"/>
  <c r="J566" i="34"/>
  <c r="J576" i="34" s="1"/>
  <c r="I605" i="34"/>
  <c r="I567" i="34"/>
  <c r="I557" i="34"/>
  <c r="I548" i="34"/>
  <c r="I533" i="34"/>
  <c r="J445" i="34"/>
  <c r="J444" i="34"/>
  <c r="J446" i="34"/>
  <c r="K432" i="34"/>
  <c r="K396" i="34"/>
  <c r="K393" i="34"/>
  <c r="K410" i="34"/>
  <c r="K392" i="34"/>
  <c r="AH16" i="31" s="1"/>
  <c r="K443" i="34"/>
  <c r="K441" i="34"/>
  <c r="K442" i="34"/>
  <c r="I524" i="34"/>
  <c r="I453" i="34"/>
  <c r="K431" i="34"/>
  <c r="J400" i="34"/>
  <c r="J398" i="34"/>
  <c r="J399" i="34"/>
  <c r="J435" i="34"/>
  <c r="J436" i="34"/>
  <c r="J434" i="34"/>
  <c r="K429" i="34"/>
  <c r="I423" i="34"/>
  <c r="I404" i="34"/>
  <c r="K395" i="34"/>
  <c r="K424" i="34"/>
  <c r="K405" i="34"/>
  <c r="L372" i="34"/>
  <c r="L358" i="34"/>
  <c r="L354" i="34"/>
  <c r="L328" i="34"/>
  <c r="L316" i="34"/>
  <c r="L284" i="34"/>
  <c r="L174" i="34"/>
  <c r="L373" i="34"/>
  <c r="L363" i="34"/>
  <c r="AH69" i="31" s="1"/>
  <c r="L355" i="34"/>
  <c r="L329" i="34"/>
  <c r="L323" i="34"/>
  <c r="L291" i="34"/>
  <c r="L276" i="34"/>
  <c r="L265" i="34" s="1"/>
  <c r="L375" i="34"/>
  <c r="L371" i="34"/>
  <c r="L357" i="34"/>
  <c r="L349" i="34"/>
  <c r="L339" i="34" s="1"/>
  <c r="L327" i="34"/>
  <c r="L293" i="34"/>
  <c r="L283" i="34"/>
  <c r="L173" i="34"/>
  <c r="L169" i="34"/>
  <c r="L127" i="34"/>
  <c r="L101" i="34"/>
  <c r="L90" i="34"/>
  <c r="L86" i="34"/>
  <c r="L64" i="34"/>
  <c r="L368" i="34"/>
  <c r="L342" i="34"/>
  <c r="AH64" i="31" s="1"/>
  <c r="L292" i="34"/>
  <c r="L172" i="34"/>
  <c r="L170" i="34"/>
  <c r="L164" i="34"/>
  <c r="L102" i="34"/>
  <c r="L100" i="34"/>
  <c r="L87" i="34"/>
  <c r="L85" i="34"/>
  <c r="L65" i="34"/>
  <c r="L62" i="34"/>
  <c r="L38" i="34"/>
  <c r="L27" i="34"/>
  <c r="L23" i="34"/>
  <c r="L268" i="34"/>
  <c r="AH63" i="31" s="1"/>
  <c r="L130" i="34"/>
  <c r="L128" i="34"/>
  <c r="L158" i="34"/>
  <c r="AH77" i="31" s="1"/>
  <c r="L99" i="34"/>
  <c r="L374" i="34"/>
  <c r="L356" i="34"/>
  <c r="L326" i="34"/>
  <c r="L282" i="34"/>
  <c r="L132" i="34"/>
  <c r="L122" i="34"/>
  <c r="L89" i="34"/>
  <c r="L67" i="34"/>
  <c r="L36" i="34"/>
  <c r="L25" i="34"/>
  <c r="L171" i="34"/>
  <c r="L116" i="34"/>
  <c r="AH73" i="31" s="1"/>
  <c r="L88" i="34"/>
  <c r="L66" i="34"/>
  <c r="L129" i="34"/>
  <c r="L63" i="34"/>
  <c r="L57" i="34"/>
  <c r="L39" i="34"/>
  <c r="L37" i="34"/>
  <c r="L28" i="34"/>
  <c r="L26" i="34"/>
  <c r="L24" i="34"/>
  <c r="L12" i="34"/>
  <c r="AH72" i="31" s="1"/>
  <c r="L18" i="34"/>
  <c r="L80" i="34"/>
  <c r="L285" i="34"/>
  <c r="L131" i="34"/>
  <c r="K449" i="34"/>
  <c r="K437" i="34"/>
  <c r="K402" i="34"/>
  <c r="K450" i="34"/>
  <c r="K401" i="34"/>
  <c r="K438" i="34"/>
  <c r="J267" i="34"/>
  <c r="L334" i="34"/>
  <c r="L380" i="34"/>
  <c r="K362" i="34"/>
  <c r="K315" i="34"/>
  <c r="J68" i="31" s="1"/>
  <c r="K340" i="34"/>
  <c r="K351" i="34" s="1"/>
  <c r="K288" i="34"/>
  <c r="J83" i="31" s="1"/>
  <c r="K294" i="34"/>
  <c r="AT83" i="31" s="1"/>
  <c r="K339" i="34"/>
  <c r="J341" i="34"/>
  <c r="K40" i="34"/>
  <c r="AS81" i="31" s="1"/>
  <c r="K32" i="34"/>
  <c r="J81" i="31" s="1"/>
  <c r="L179" i="34"/>
  <c r="L107" i="34"/>
  <c r="L44" i="34"/>
  <c r="K11" i="34"/>
  <c r="K103" i="34"/>
  <c r="AT82" i="31" s="1"/>
  <c r="K95" i="34"/>
  <c r="J82" i="31" s="1"/>
  <c r="K157" i="34"/>
  <c r="K50" i="34"/>
  <c r="J74" i="31" s="1"/>
  <c r="K73" i="34"/>
  <c r="J76" i="31" s="1"/>
  <c r="K115" i="34"/>
  <c r="I73" i="31"/>
  <c r="K232" i="34"/>
  <c r="J234" i="34"/>
  <c r="I462" i="34"/>
  <c r="I475" i="34" s="1"/>
  <c r="I478" i="34" s="1"/>
  <c r="K185" i="34"/>
  <c r="J60" i="31" s="1"/>
  <c r="K189" i="34"/>
  <c r="K186" i="34"/>
  <c r="K197" i="34" s="1"/>
  <c r="L210" i="34"/>
  <c r="AH65" i="31" s="1"/>
  <c r="L214" i="34"/>
  <c r="L221" i="34"/>
  <c r="L196" i="34"/>
  <c r="L202" i="34"/>
  <c r="L220" i="34"/>
  <c r="L231" i="34"/>
  <c r="L190" i="34"/>
  <c r="L200" i="34" s="1"/>
  <c r="L217" i="34"/>
  <c r="L218" i="34"/>
  <c r="L238" i="34"/>
  <c r="I223" i="34"/>
  <c r="K209" i="34"/>
  <c r="K213" i="34"/>
  <c r="K219" i="34" s="1"/>
  <c r="I77" i="31"/>
  <c r="J187" i="34"/>
  <c r="I506" i="34"/>
  <c r="I494" i="34"/>
  <c r="I507" i="34" s="1"/>
  <c r="J460" i="34"/>
  <c r="J492" i="34"/>
  <c r="J461" i="34"/>
  <c r="J481" i="34"/>
  <c r="K469" i="34"/>
  <c r="K501" i="34"/>
  <c r="K500" i="34"/>
  <c r="K468" i="34"/>
  <c r="K386" i="34"/>
  <c r="J513" i="34"/>
  <c r="J493" i="34"/>
  <c r="J506" i="34" s="1"/>
  <c r="L385" i="34"/>
  <c r="K508" i="34"/>
  <c r="K502" i="34"/>
  <c r="K485" i="34"/>
  <c r="K473" i="34"/>
  <c r="K463" i="34"/>
  <c r="K511" i="34"/>
  <c r="K495" i="34"/>
  <c r="K479" i="34"/>
  <c r="K454" i="34"/>
  <c r="K505" i="34"/>
  <c r="K492" i="34" s="1"/>
  <c r="K476" i="34"/>
  <c r="K470" i="34"/>
  <c r="C61" i="33"/>
  <c r="C57" i="33"/>
  <c r="C58" i="33"/>
  <c r="C60" i="33"/>
  <c r="C59" i="33"/>
  <c r="H78" i="31"/>
  <c r="BM25" i="33"/>
  <c r="BM33" i="33"/>
  <c r="BM27" i="33"/>
  <c r="BM28" i="33"/>
  <c r="BM24" i="33"/>
  <c r="BM26" i="33"/>
  <c r="BM39" i="33"/>
  <c r="BM36" i="33"/>
  <c r="C66" i="33"/>
  <c r="C62" i="33"/>
  <c r="M62" i="33" s="1"/>
  <c r="AC62" i="33" s="1"/>
  <c r="C71" i="33"/>
  <c r="C67" i="33"/>
  <c r="C63" i="33"/>
  <c r="C65" i="33"/>
  <c r="C56" i="33"/>
  <c r="C68" i="33"/>
  <c r="C64" i="33"/>
  <c r="M64" i="33" s="1"/>
  <c r="AC64" i="33" s="1"/>
  <c r="BK8" i="87"/>
  <c r="BI37" i="87"/>
  <c r="BI27" i="87"/>
  <c r="BI46" i="87"/>
  <c r="BI34" i="87"/>
  <c r="AW20" i="87"/>
  <c r="AW17" i="87"/>
  <c r="AW27" i="87"/>
  <c r="I351" i="34"/>
  <c r="AW6" i="87"/>
  <c r="H70" i="31"/>
  <c r="I42" i="34"/>
  <c r="S3" i="87" l="1"/>
  <c r="U3" i="87"/>
  <c r="O65" i="33"/>
  <c r="AE65" i="33" s="1"/>
  <c r="M65" i="33"/>
  <c r="AC65" i="33" s="1"/>
  <c r="AU8" i="87"/>
  <c r="AW8" i="87" s="1"/>
  <c r="J71" i="33"/>
  <c r="H71" i="33"/>
  <c r="J57" i="33"/>
  <c r="AC57" i="33" s="1"/>
  <c r="AR57" i="33" s="1"/>
  <c r="H57" i="33"/>
  <c r="AC45" i="33"/>
  <c r="AR45" i="33" s="1"/>
  <c r="BN30" i="33"/>
  <c r="AF91" i="31"/>
  <c r="AA46" i="33"/>
  <c r="AP46" i="33" s="1"/>
  <c r="BA46" i="33" s="1"/>
  <c r="AC40" i="33"/>
  <c r="AR40" i="33" s="1"/>
  <c r="BA40" i="33" s="1"/>
  <c r="I455" i="34"/>
  <c r="L409" i="34"/>
  <c r="L517" i="34"/>
  <c r="P517" i="34" s="1"/>
  <c r="AR22" i="31"/>
  <c r="J352" i="34"/>
  <c r="J353" i="34" s="1"/>
  <c r="J359" i="34" s="1"/>
  <c r="J378" i="34" s="1"/>
  <c r="J382" i="34" s="1"/>
  <c r="L83" i="34"/>
  <c r="I46" i="34"/>
  <c r="J198" i="34"/>
  <c r="H67" i="33"/>
  <c r="AA67" i="33" s="1"/>
  <c r="AP67" i="33" s="1"/>
  <c r="K67" i="33"/>
  <c r="J67" i="33"/>
  <c r="AC67" i="33" s="1"/>
  <c r="AR67" i="33" s="1"/>
  <c r="L67" i="33"/>
  <c r="AE67" i="33" s="1"/>
  <c r="AT67" i="33" s="1"/>
  <c r="K57" i="33"/>
  <c r="H64" i="33"/>
  <c r="AR64" i="33"/>
  <c r="K64" i="33"/>
  <c r="BD71" i="33"/>
  <c r="K71" i="33"/>
  <c r="AD71" i="33" s="1"/>
  <c r="AS71" i="33" s="1"/>
  <c r="K61" i="33"/>
  <c r="AD61" i="33" s="1"/>
  <c r="AS61" i="33" s="1"/>
  <c r="J61" i="33"/>
  <c r="AE50" i="33"/>
  <c r="AT50" i="33" s="1"/>
  <c r="H53" i="33"/>
  <c r="BD53" i="33"/>
  <c r="J53" i="33"/>
  <c r="AC53" i="33" s="1"/>
  <c r="K53" i="33"/>
  <c r="L53" i="33"/>
  <c r="AT49" i="33"/>
  <c r="BO49" i="33" s="1"/>
  <c r="AE52" i="33"/>
  <c r="AT52" i="33" s="1"/>
  <c r="BA52" i="33" s="1"/>
  <c r="H68" i="33"/>
  <c r="K68" i="33"/>
  <c r="AD68" i="33" s="1"/>
  <c r="AS68" i="33" s="1"/>
  <c r="J68" i="33"/>
  <c r="AC68" i="33" s="1"/>
  <c r="AR68" i="33" s="1"/>
  <c r="L68" i="33"/>
  <c r="AE68" i="33" s="1"/>
  <c r="AT68" i="33" s="1"/>
  <c r="H62" i="33"/>
  <c r="AA62" i="33" s="1"/>
  <c r="AP62" i="33" s="1"/>
  <c r="K62" i="33"/>
  <c r="AD62" i="33" s="1"/>
  <c r="AS62" i="33" s="1"/>
  <c r="AR62" i="33"/>
  <c r="K56" i="33"/>
  <c r="J56" i="33"/>
  <c r="AC56" i="33" s="1"/>
  <c r="H66" i="33"/>
  <c r="K66" i="33"/>
  <c r="AD66" i="33" s="1"/>
  <c r="AS66" i="33" s="1"/>
  <c r="J66" i="33"/>
  <c r="L66" i="33"/>
  <c r="AE66" i="33" s="1"/>
  <c r="AT66" i="33" s="1"/>
  <c r="J59" i="33"/>
  <c r="AC59" i="33" s="1"/>
  <c r="AR59" i="33" s="1"/>
  <c r="K59" i="33"/>
  <c r="AD59" i="33" s="1"/>
  <c r="AS59" i="33" s="1"/>
  <c r="H65" i="33"/>
  <c r="K65" i="33"/>
  <c r="AD65" i="33" s="1"/>
  <c r="AS65" i="33" s="1"/>
  <c r="AT65" i="33"/>
  <c r="J60" i="33"/>
  <c r="AC60" i="33" s="1"/>
  <c r="AR60" i="33" s="1"/>
  <c r="K60" i="33"/>
  <c r="K63" i="33"/>
  <c r="AD63" i="33" s="1"/>
  <c r="AS63" i="33" s="1"/>
  <c r="J63" i="33"/>
  <c r="AR63" i="33" s="1"/>
  <c r="J58" i="33"/>
  <c r="K58" i="33"/>
  <c r="AD58" i="33" s="1"/>
  <c r="AS58" i="33" s="1"/>
  <c r="AE51" i="33"/>
  <c r="AT51" i="33" s="1"/>
  <c r="BA51" i="33" s="1"/>
  <c r="J42" i="34"/>
  <c r="J46" i="34" s="1"/>
  <c r="L266" i="34"/>
  <c r="L267" i="34" s="1"/>
  <c r="K63" i="31"/>
  <c r="K416" i="34"/>
  <c r="K418" i="34"/>
  <c r="K91" i="34" s="1"/>
  <c r="K92" i="34" s="1"/>
  <c r="AT76" i="31" s="1"/>
  <c r="K417" i="34"/>
  <c r="BN34" i="33"/>
  <c r="L579" i="34"/>
  <c r="L419" i="34"/>
  <c r="L421" i="34"/>
  <c r="K267" i="34"/>
  <c r="K279" i="34" s="1"/>
  <c r="K280" i="34" s="1"/>
  <c r="K286" i="34" s="1"/>
  <c r="AT63" i="31" s="1"/>
  <c r="J177" i="34"/>
  <c r="I105" i="34"/>
  <c r="BN31" i="33"/>
  <c r="L325" i="34"/>
  <c r="L330" i="34" s="1"/>
  <c r="AT68" i="31" s="1"/>
  <c r="BN36" i="33"/>
  <c r="J509" i="34"/>
  <c r="BN33" i="33"/>
  <c r="J477" i="34"/>
  <c r="BA36" i="33"/>
  <c r="BC36" i="33" s="1"/>
  <c r="BN26" i="33"/>
  <c r="BN25" i="33"/>
  <c r="BN32" i="33"/>
  <c r="BN24" i="33"/>
  <c r="BN35" i="33"/>
  <c r="BN29" i="33"/>
  <c r="BN28" i="33"/>
  <c r="O78" i="31"/>
  <c r="AX82" i="31"/>
  <c r="N78" i="31"/>
  <c r="BA82" i="31"/>
  <c r="BB82" i="31"/>
  <c r="M68" i="34"/>
  <c r="AV37" i="33"/>
  <c r="BC82" i="31"/>
  <c r="AY82" i="31"/>
  <c r="I5" i="26"/>
  <c r="B40" i="26" s="1"/>
  <c r="B39" i="26"/>
  <c r="BA33" i="33"/>
  <c r="BC33" i="33" s="1"/>
  <c r="BA25" i="33"/>
  <c r="BC25" i="33" s="1"/>
  <c r="BA31" i="33"/>
  <c r="BM30" i="33"/>
  <c r="BM32" i="33"/>
  <c r="AC50" i="33"/>
  <c r="AR50" i="33" s="1"/>
  <c r="BN50" i="33" s="1"/>
  <c r="L597" i="34"/>
  <c r="L429" i="34"/>
  <c r="L428" i="34"/>
  <c r="L637" i="34"/>
  <c r="AS85" i="31"/>
  <c r="AR38" i="31"/>
  <c r="AR85" i="31"/>
  <c r="BA35" i="33"/>
  <c r="BA30" i="33"/>
  <c r="BC30" i="33" s="1"/>
  <c r="BA29" i="33"/>
  <c r="BC29" i="33" s="1"/>
  <c r="BN27" i="33"/>
  <c r="BA26" i="33"/>
  <c r="BC26" i="33" s="1"/>
  <c r="BB40" i="33"/>
  <c r="BA34" i="33"/>
  <c r="BA32" i="33"/>
  <c r="BC32" i="33" s="1"/>
  <c r="BM31" i="33"/>
  <c r="BA28" i="33"/>
  <c r="BC28" i="33" s="1"/>
  <c r="BB37" i="33"/>
  <c r="BA27" i="33"/>
  <c r="BC27" i="33" s="1"/>
  <c r="BN39" i="33"/>
  <c r="BB41" i="33"/>
  <c r="BL64" i="33"/>
  <c r="BG64" i="33"/>
  <c r="AV64" i="33" s="1"/>
  <c r="BE64" i="33"/>
  <c r="BF64" i="33"/>
  <c r="BK64" i="33"/>
  <c r="BD64" i="33"/>
  <c r="BI64" i="33"/>
  <c r="AX64" i="33" s="1"/>
  <c r="BH64" i="33"/>
  <c r="AW64" i="33" s="1"/>
  <c r="BJ64" i="33"/>
  <c r="AY64" i="33" s="1"/>
  <c r="BL66" i="33"/>
  <c r="AU66" i="33" s="1"/>
  <c r="BF66" i="33"/>
  <c r="BD66" i="33"/>
  <c r="BI66" i="33"/>
  <c r="AX66" i="33" s="1"/>
  <c r="BK66" i="33"/>
  <c r="AZ66" i="33" s="1"/>
  <c r="BH66" i="33"/>
  <c r="AW66" i="33" s="1"/>
  <c r="BJ66" i="33"/>
  <c r="AY66" i="33" s="1"/>
  <c r="BG66" i="33"/>
  <c r="AV66" i="33" s="1"/>
  <c r="BE66" i="33"/>
  <c r="BL67" i="33"/>
  <c r="BJ67" i="33"/>
  <c r="AY67" i="33" s="1"/>
  <c r="BH67" i="33"/>
  <c r="AW67" i="33" s="1"/>
  <c r="BK67" i="33"/>
  <c r="AZ67" i="33" s="1"/>
  <c r="BE67" i="33"/>
  <c r="BF67" i="33"/>
  <c r="BD67" i="33"/>
  <c r="BG67" i="33"/>
  <c r="AV67" i="33" s="1"/>
  <c r="BI67" i="33"/>
  <c r="AX67" i="33" s="1"/>
  <c r="BL57" i="33"/>
  <c r="BG57" i="33"/>
  <c r="AV57" i="33" s="1"/>
  <c r="BE57" i="33"/>
  <c r="BK57" i="33"/>
  <c r="BH57" i="33"/>
  <c r="AW57" i="33" s="1"/>
  <c r="BF57" i="33"/>
  <c r="BD57" i="33"/>
  <c r="BJ57" i="33"/>
  <c r="AY57" i="33" s="1"/>
  <c r="BI57" i="33"/>
  <c r="AX57" i="33" s="1"/>
  <c r="BK71" i="33"/>
  <c r="AZ71" i="33" s="1"/>
  <c r="BH71" i="33"/>
  <c r="AW71" i="33" s="1"/>
  <c r="BJ71" i="33"/>
  <c r="AY71" i="33" s="1"/>
  <c r="BI71" i="33"/>
  <c r="AX71" i="33" s="1"/>
  <c r="BM71" i="33"/>
  <c r="BL71" i="33"/>
  <c r="AU71" i="33" s="1"/>
  <c r="BF71" i="33"/>
  <c r="BG71" i="33"/>
  <c r="AV71" i="33" s="1"/>
  <c r="BE71" i="33"/>
  <c r="BL59" i="33"/>
  <c r="AU59" i="33" s="1"/>
  <c r="BK59" i="33"/>
  <c r="AZ59" i="33" s="1"/>
  <c r="BI59" i="33"/>
  <c r="AX59" i="33" s="1"/>
  <c r="BJ59" i="33"/>
  <c r="AY59" i="33" s="1"/>
  <c r="BD59" i="33"/>
  <c r="BH59" i="33"/>
  <c r="AW59" i="33" s="1"/>
  <c r="BF59" i="33"/>
  <c r="BG59" i="33"/>
  <c r="AV59" i="33" s="1"/>
  <c r="BE59" i="33"/>
  <c r="BL61" i="33"/>
  <c r="BG61" i="33"/>
  <c r="AV61" i="33" s="1"/>
  <c r="BE61" i="33"/>
  <c r="BF61" i="33"/>
  <c r="BJ61" i="33"/>
  <c r="AY61" i="33" s="1"/>
  <c r="BH61" i="33"/>
  <c r="AW61" i="33" s="1"/>
  <c r="BI61" i="33"/>
  <c r="AX61" i="33" s="1"/>
  <c r="BD61" i="33"/>
  <c r="BK61" i="33"/>
  <c r="BL65" i="33"/>
  <c r="BK65" i="33"/>
  <c r="AZ65" i="33" s="1"/>
  <c r="BI65" i="33"/>
  <c r="AX65" i="33" s="1"/>
  <c r="BE65" i="33"/>
  <c r="BG65" i="33"/>
  <c r="AV65" i="33" s="1"/>
  <c r="BD65" i="33"/>
  <c r="BF65" i="33"/>
  <c r="BH65" i="33"/>
  <c r="AW65" i="33" s="1"/>
  <c r="BJ65" i="33"/>
  <c r="AY65" i="33" s="1"/>
  <c r="BL62" i="33"/>
  <c r="BK62" i="33"/>
  <c r="AZ62" i="33" s="1"/>
  <c r="BI62" i="33"/>
  <c r="AX62" i="33" s="1"/>
  <c r="BJ62" i="33"/>
  <c r="AY62" i="33" s="1"/>
  <c r="BD62" i="33"/>
  <c r="BG62" i="33"/>
  <c r="AV62" i="33" s="1"/>
  <c r="BH62" i="33"/>
  <c r="AW62" i="33" s="1"/>
  <c r="BF62" i="33"/>
  <c r="BE62" i="33"/>
  <c r="BL60" i="33"/>
  <c r="AU60" i="33" s="1"/>
  <c r="BJ60" i="33"/>
  <c r="AY60" i="33" s="1"/>
  <c r="BH60" i="33"/>
  <c r="AW60" i="33" s="1"/>
  <c r="BG60" i="33"/>
  <c r="AV60" i="33" s="1"/>
  <c r="BD60" i="33"/>
  <c r="BF60" i="33"/>
  <c r="BE60" i="33"/>
  <c r="BI60" i="33"/>
  <c r="AX60" i="33" s="1"/>
  <c r="BK60" i="33"/>
  <c r="AW37" i="33"/>
  <c r="AY37" i="33"/>
  <c r="BB43" i="33"/>
  <c r="BB42" i="33"/>
  <c r="BL53" i="33"/>
  <c r="AU53" i="33" s="1"/>
  <c r="BK53" i="33"/>
  <c r="AZ53" i="33" s="1"/>
  <c r="BG53" i="33"/>
  <c r="AV53" i="33" s="1"/>
  <c r="BJ53" i="33"/>
  <c r="AY53" i="33" s="1"/>
  <c r="BF53" i="33"/>
  <c r="BE53" i="33"/>
  <c r="BH53" i="33"/>
  <c r="AW53" i="33" s="1"/>
  <c r="BI53" i="33"/>
  <c r="AX53" i="33" s="1"/>
  <c r="BB46" i="33"/>
  <c r="BB48" i="33"/>
  <c r="AA37" i="33"/>
  <c r="AP37" i="33" s="1"/>
  <c r="BB55" i="33"/>
  <c r="BM55" i="33"/>
  <c r="AU55" i="33"/>
  <c r="BA55" i="33" s="1"/>
  <c r="BB52" i="33"/>
  <c r="AC37" i="33"/>
  <c r="AR37" i="33" s="1"/>
  <c r="AX37" i="33"/>
  <c r="AZ37" i="33"/>
  <c r="BB50" i="33"/>
  <c r="BC50" i="33" s="1"/>
  <c r="AA50" i="33"/>
  <c r="AP50" i="33" s="1"/>
  <c r="BB45" i="33"/>
  <c r="BB51" i="33"/>
  <c r="BC51" i="33" s="1"/>
  <c r="BB47" i="33"/>
  <c r="BL63" i="33"/>
  <c r="H63" i="33"/>
  <c r="AA63" i="33" s="1"/>
  <c r="AP63" i="33" s="1"/>
  <c r="BF63" i="33"/>
  <c r="BD63" i="33"/>
  <c r="BI63" i="33"/>
  <c r="AX63" i="33" s="1"/>
  <c r="BE63" i="33"/>
  <c r="BG63" i="33"/>
  <c r="AV63" i="33" s="1"/>
  <c r="BH63" i="33"/>
  <c r="AW63" i="33" s="1"/>
  <c r="BK63" i="33"/>
  <c r="BJ63" i="33"/>
  <c r="AY63" i="33" s="1"/>
  <c r="BL58" i="33"/>
  <c r="BG58" i="33"/>
  <c r="AV58" i="33" s="1"/>
  <c r="BE58" i="33"/>
  <c r="BK58" i="33"/>
  <c r="BH58" i="33"/>
  <c r="AW58" i="33" s="1"/>
  <c r="BF58" i="33"/>
  <c r="BD58" i="33"/>
  <c r="BJ58" i="33"/>
  <c r="AY58" i="33" s="1"/>
  <c r="BI58" i="33"/>
  <c r="AX58" i="33" s="1"/>
  <c r="C69" i="33"/>
  <c r="BL68" i="33"/>
  <c r="BK68" i="33"/>
  <c r="BI68" i="33"/>
  <c r="AX68" i="33" s="1"/>
  <c r="BE68" i="33"/>
  <c r="BH68" i="33"/>
  <c r="AW68" i="33" s="1"/>
  <c r="BJ68" i="33"/>
  <c r="AY68" i="33" s="1"/>
  <c r="BG68" i="33"/>
  <c r="AV68" i="33" s="1"/>
  <c r="BF68" i="33"/>
  <c r="BD68" i="33"/>
  <c r="AP56" i="33"/>
  <c r="BJ56" i="33"/>
  <c r="BH56" i="33"/>
  <c r="AW56" i="33" s="1"/>
  <c r="BI56" i="33"/>
  <c r="AX56" i="33" s="1"/>
  <c r="BF56" i="33"/>
  <c r="BK56" i="33"/>
  <c r="BD56" i="33"/>
  <c r="BL56" i="33"/>
  <c r="BG56" i="33"/>
  <c r="AV56" i="33" s="1"/>
  <c r="BE56" i="33"/>
  <c r="BA24" i="33"/>
  <c r="BC24" i="33" s="1"/>
  <c r="AU37" i="33"/>
  <c r="BB44" i="33"/>
  <c r="BB49" i="33"/>
  <c r="V3" i="87"/>
  <c r="W3" i="87" s="1"/>
  <c r="X3" i="87" s="1"/>
  <c r="Y3" i="87" s="1"/>
  <c r="I577" i="34"/>
  <c r="I616" i="34"/>
  <c r="AH21" i="31"/>
  <c r="I352" i="34"/>
  <c r="J279" i="34"/>
  <c r="K175" i="34"/>
  <c r="AT77" i="31" s="1"/>
  <c r="K133" i="34"/>
  <c r="AT73" i="31" s="1"/>
  <c r="J92" i="34"/>
  <c r="AS76" i="31" s="1"/>
  <c r="K69" i="34"/>
  <c r="AT74" i="31" s="1"/>
  <c r="K29" i="34"/>
  <c r="AT72" i="31" s="1"/>
  <c r="AH22" i="31"/>
  <c r="AS38" i="31"/>
  <c r="AR16" i="31"/>
  <c r="L21" i="34"/>
  <c r="L22" i="34" s="1"/>
  <c r="L369" i="34"/>
  <c r="L370" i="34" s="1"/>
  <c r="L167" i="34"/>
  <c r="L168" i="34" s="1"/>
  <c r="L125" i="34"/>
  <c r="L126" i="34" s="1"/>
  <c r="L60" i="34"/>
  <c r="L61" i="34" s="1"/>
  <c r="L69" i="34" s="1"/>
  <c r="AU74" i="31" s="1"/>
  <c r="K590" i="34"/>
  <c r="AH38" i="31"/>
  <c r="BN55" i="33"/>
  <c r="J439" i="34"/>
  <c r="J451" i="34"/>
  <c r="I85" i="31"/>
  <c r="I70" i="31"/>
  <c r="J524" i="34"/>
  <c r="J534" i="34" s="1"/>
  <c r="J537" i="34" s="1"/>
  <c r="J541" i="34" s="1"/>
  <c r="J567" i="34"/>
  <c r="J577" i="34" s="1"/>
  <c r="J605" i="34"/>
  <c r="J616" i="34" s="1"/>
  <c r="J619" i="34" s="1"/>
  <c r="J635" i="34" s="1"/>
  <c r="J639" i="34" s="1"/>
  <c r="J548" i="34"/>
  <c r="J558" i="34" s="1"/>
  <c r="J561" i="34" s="1"/>
  <c r="K523" i="34"/>
  <c r="K533" i="34" s="1"/>
  <c r="I406" i="34"/>
  <c r="K604" i="34"/>
  <c r="L632" i="34"/>
  <c r="L628" i="34"/>
  <c r="L618" i="34"/>
  <c r="L614" i="34"/>
  <c r="L607" i="34"/>
  <c r="L623" i="34"/>
  <c r="L617" i="34"/>
  <c r="L591" i="34"/>
  <c r="L589" i="34"/>
  <c r="L613" i="34"/>
  <c r="L578" i="34"/>
  <c r="L568" i="34"/>
  <c r="AI21" i="31" s="1"/>
  <c r="L559" i="34"/>
  <c r="P559" i="34" s="1"/>
  <c r="L536" i="34"/>
  <c r="P536" i="34" s="1"/>
  <c r="L535" i="34"/>
  <c r="P535" i="34" s="1"/>
  <c r="L532" i="34"/>
  <c r="L592" i="34"/>
  <c r="L583" i="34"/>
  <c r="L549" i="34"/>
  <c r="L631" i="34"/>
  <c r="L629" i="34"/>
  <c r="L606" i="34"/>
  <c r="L560" i="34"/>
  <c r="P560" i="34" s="1"/>
  <c r="L556" i="34"/>
  <c r="L546" i="34" s="1"/>
  <c r="L525" i="34"/>
  <c r="AI15" i="31" s="1"/>
  <c r="K582" i="34"/>
  <c r="K622" i="34"/>
  <c r="K633" i="34"/>
  <c r="K547" i="34"/>
  <c r="K557" i="34" s="1"/>
  <c r="I425" i="34"/>
  <c r="K566" i="34"/>
  <c r="K546" i="34"/>
  <c r="I558" i="34"/>
  <c r="L396" i="34"/>
  <c r="L432" i="34"/>
  <c r="L414" i="34"/>
  <c r="L410" i="34"/>
  <c r="L411" i="34"/>
  <c r="L393" i="34"/>
  <c r="L392" i="34"/>
  <c r="L443" i="34"/>
  <c r="L441" i="34"/>
  <c r="L442" i="34"/>
  <c r="K444" i="34"/>
  <c r="K445" i="34"/>
  <c r="K446" i="34"/>
  <c r="I534" i="34"/>
  <c r="I537" i="34" s="1"/>
  <c r="J453" i="34"/>
  <c r="J455" i="34" s="1"/>
  <c r="J423" i="34"/>
  <c r="L431" i="34"/>
  <c r="K400" i="34"/>
  <c r="K398" i="34"/>
  <c r="K399" i="34"/>
  <c r="K436" i="34"/>
  <c r="K434" i="34"/>
  <c r="K435" i="34"/>
  <c r="L413" i="34"/>
  <c r="J404" i="34"/>
  <c r="L395" i="34"/>
  <c r="M373" i="34"/>
  <c r="M363" i="34"/>
  <c r="AI69" i="31" s="1"/>
  <c r="M355" i="34"/>
  <c r="M329" i="34"/>
  <c r="M323" i="34"/>
  <c r="M291" i="34"/>
  <c r="M276" i="34"/>
  <c r="M171" i="34"/>
  <c r="M374" i="34"/>
  <c r="M368" i="34"/>
  <c r="M356" i="34"/>
  <c r="M342" i="34"/>
  <c r="AI64" i="31" s="1"/>
  <c r="M326" i="34"/>
  <c r="M292" i="34"/>
  <c r="M282" i="34"/>
  <c r="M172" i="34"/>
  <c r="M372" i="34"/>
  <c r="M358" i="34"/>
  <c r="M354" i="34"/>
  <c r="M328" i="34"/>
  <c r="M316" i="34"/>
  <c r="M284" i="34"/>
  <c r="M174" i="34"/>
  <c r="M170" i="34"/>
  <c r="M132" i="34"/>
  <c r="M102" i="34"/>
  <c r="M87" i="34"/>
  <c r="M74" i="34"/>
  <c r="AI76" i="31" s="1"/>
  <c r="M65" i="34"/>
  <c r="M375" i="34"/>
  <c r="M357" i="34"/>
  <c r="M327" i="34"/>
  <c r="M283" i="34"/>
  <c r="M158" i="34"/>
  <c r="AI77" i="31" s="1"/>
  <c r="M127" i="34"/>
  <c r="M99" i="34"/>
  <c r="M90" i="34"/>
  <c r="M80" i="34"/>
  <c r="M73" i="34" s="1"/>
  <c r="M63" i="34"/>
  <c r="M39" i="34"/>
  <c r="M28" i="34"/>
  <c r="M24" i="34"/>
  <c r="M122" i="34"/>
  <c r="M89" i="34"/>
  <c r="M371" i="34"/>
  <c r="M349" i="34"/>
  <c r="M293" i="34"/>
  <c r="M173" i="34"/>
  <c r="M169" i="34"/>
  <c r="M116" i="34"/>
  <c r="AI73" i="31" s="1"/>
  <c r="M101" i="34"/>
  <c r="M88" i="34"/>
  <c r="M86" i="34"/>
  <c r="M66" i="34"/>
  <c r="M64" i="34"/>
  <c r="M57" i="34"/>
  <c r="M37" i="34"/>
  <c r="M26" i="34"/>
  <c r="M12" i="34"/>
  <c r="AI72" i="31" s="1"/>
  <c r="M164" i="34"/>
  <c r="M100" i="34"/>
  <c r="M85" i="34"/>
  <c r="M67" i="34"/>
  <c r="M128" i="34"/>
  <c r="M18" i="34"/>
  <c r="M62" i="34"/>
  <c r="M51" i="34"/>
  <c r="AI74" i="31" s="1"/>
  <c r="M38" i="34"/>
  <c r="M36" i="34"/>
  <c r="M27" i="34"/>
  <c r="M25" i="34"/>
  <c r="M23" i="34"/>
  <c r="M285" i="34"/>
  <c r="M268" i="34"/>
  <c r="AI63" i="31" s="1"/>
  <c r="M131" i="34"/>
  <c r="M130" i="34"/>
  <c r="M129" i="34"/>
  <c r="L424" i="34"/>
  <c r="L405" i="34"/>
  <c r="L420" i="34"/>
  <c r="L402" i="34"/>
  <c r="L450" i="34"/>
  <c r="L438" i="34"/>
  <c r="L401" i="34"/>
  <c r="L449" i="34"/>
  <c r="L437" i="34"/>
  <c r="BA44" i="33"/>
  <c r="BA47" i="33"/>
  <c r="BA43" i="33"/>
  <c r="BA42" i="33"/>
  <c r="BA48" i="33"/>
  <c r="BA41" i="33"/>
  <c r="K509" i="34"/>
  <c r="K341" i="34"/>
  <c r="K352" i="34" s="1"/>
  <c r="K353" i="34" s="1"/>
  <c r="K359" i="34" s="1"/>
  <c r="AS64" i="31" s="1"/>
  <c r="M334" i="34"/>
  <c r="M380" i="34"/>
  <c r="L288" i="34"/>
  <c r="K83" i="31" s="1"/>
  <c r="L294" i="34"/>
  <c r="AU83" i="31" s="1"/>
  <c r="L362" i="34"/>
  <c r="K69" i="31" s="1"/>
  <c r="L315" i="34"/>
  <c r="K68" i="31" s="1"/>
  <c r="L278" i="34"/>
  <c r="L340" i="34"/>
  <c r="L351" i="34" s="1"/>
  <c r="I78" i="31"/>
  <c r="L115" i="34"/>
  <c r="L11" i="34"/>
  <c r="K72" i="31" s="1"/>
  <c r="L157" i="34"/>
  <c r="K77" i="31" s="1"/>
  <c r="M44" i="34"/>
  <c r="M179" i="34"/>
  <c r="M107" i="34"/>
  <c r="L32" i="34"/>
  <c r="K81" i="31" s="1"/>
  <c r="L40" i="34"/>
  <c r="AT81" i="31" s="1"/>
  <c r="L50" i="34"/>
  <c r="L103" i="34"/>
  <c r="AU82" i="31" s="1"/>
  <c r="L95" i="34"/>
  <c r="L84" i="34"/>
  <c r="L73" i="34"/>
  <c r="K76" i="31" s="1"/>
  <c r="I510" i="34"/>
  <c r="I519" i="34" s="1"/>
  <c r="K223" i="34"/>
  <c r="K234" i="34" s="1"/>
  <c r="AS65" i="31" s="1"/>
  <c r="L213" i="34"/>
  <c r="L219" i="34" s="1"/>
  <c r="L185" i="34"/>
  <c r="K60" i="31" s="1"/>
  <c r="L232" i="34"/>
  <c r="I234" i="34"/>
  <c r="AR65" i="31" s="1"/>
  <c r="M190" i="34"/>
  <c r="M200" i="34" s="1"/>
  <c r="M214" i="34"/>
  <c r="M221" i="34"/>
  <c r="M196" i="34"/>
  <c r="M202" i="34"/>
  <c r="M220" i="34"/>
  <c r="M231" i="34"/>
  <c r="M227" i="34" s="1"/>
  <c r="M210" i="34"/>
  <c r="AI65" i="31" s="1"/>
  <c r="M217" i="34"/>
  <c r="M218" i="34"/>
  <c r="M238" i="34"/>
  <c r="L209" i="34"/>
  <c r="L227" i="34"/>
  <c r="L186" i="34"/>
  <c r="L197" i="34" s="1"/>
  <c r="L189" i="34"/>
  <c r="K187" i="34"/>
  <c r="K198" i="34" s="1"/>
  <c r="K199" i="34" s="1"/>
  <c r="K201" i="34" s="1"/>
  <c r="K204" i="34" s="1"/>
  <c r="L501" i="34"/>
  <c r="L468" i="34"/>
  <c r="L469" i="34"/>
  <c r="L500" i="34"/>
  <c r="L386" i="34"/>
  <c r="J73" i="31"/>
  <c r="K481" i="34"/>
  <c r="K461" i="34"/>
  <c r="M385" i="34"/>
  <c r="K460" i="34"/>
  <c r="K477" i="34" s="1"/>
  <c r="J494" i="34"/>
  <c r="J474" i="34"/>
  <c r="AG70" i="31"/>
  <c r="L505" i="34"/>
  <c r="L495" i="34"/>
  <c r="P495" i="34" s="1"/>
  <c r="L479" i="34"/>
  <c r="P479" i="34" s="1"/>
  <c r="L511" i="34"/>
  <c r="P511" i="34" s="1"/>
  <c r="L502" i="34"/>
  <c r="L473" i="34"/>
  <c r="P473" i="34" s="1"/>
  <c r="L454" i="34"/>
  <c r="L485" i="34"/>
  <c r="P485" i="34" s="1"/>
  <c r="L476" i="34"/>
  <c r="L470" i="34"/>
  <c r="L463" i="34"/>
  <c r="P463" i="34" s="1"/>
  <c r="L508" i="34"/>
  <c r="P508" i="34" s="1"/>
  <c r="J69" i="31"/>
  <c r="J72" i="31"/>
  <c r="K513" i="34"/>
  <c r="K493" i="34"/>
  <c r="AG78" i="31"/>
  <c r="J77" i="31"/>
  <c r="J462" i="34"/>
  <c r="C76" i="33"/>
  <c r="C77" i="33"/>
  <c r="C75" i="33"/>
  <c r="C73" i="33"/>
  <c r="C74" i="33"/>
  <c r="BM46" i="33"/>
  <c r="BN49" i="33"/>
  <c r="BN52" i="33"/>
  <c r="BN43" i="33"/>
  <c r="BN48" i="33"/>
  <c r="BN44" i="33"/>
  <c r="BC39" i="33"/>
  <c r="BM51" i="33"/>
  <c r="BM49" i="33"/>
  <c r="BM47" i="33"/>
  <c r="BM43" i="33"/>
  <c r="BM40" i="33"/>
  <c r="BM42" i="33"/>
  <c r="BM41" i="33"/>
  <c r="BM48" i="33"/>
  <c r="BN42" i="33"/>
  <c r="BN46" i="33"/>
  <c r="BM52" i="33"/>
  <c r="BN47" i="33"/>
  <c r="BN41" i="33"/>
  <c r="BN51" i="33"/>
  <c r="C87" i="33"/>
  <c r="C83" i="33"/>
  <c r="C79" i="33"/>
  <c r="C84" i="33"/>
  <c r="C80" i="33"/>
  <c r="M80" i="33" s="1"/>
  <c r="AC80" i="33" s="1"/>
  <c r="C82" i="33"/>
  <c r="C78" i="33"/>
  <c r="M78" i="33" s="1"/>
  <c r="AC78" i="33" s="1"/>
  <c r="C81" i="33"/>
  <c r="C72" i="33"/>
  <c r="BB83" i="31"/>
  <c r="BB62" i="31" s="1"/>
  <c r="AL76" i="31"/>
  <c r="AZ82" i="31"/>
  <c r="Q67" i="31"/>
  <c r="I480" i="34"/>
  <c r="BI8" i="87" l="1"/>
  <c r="M81" i="33"/>
  <c r="AC81" i="33" s="1"/>
  <c r="O81" i="33"/>
  <c r="AE81" i="33" s="1"/>
  <c r="H73" i="33"/>
  <c r="J73" i="33"/>
  <c r="AC73" i="33" s="1"/>
  <c r="AR73" i="33" s="1"/>
  <c r="H87" i="33"/>
  <c r="H158" i="33" s="1"/>
  <c r="J87" i="33"/>
  <c r="AC87" i="33" s="1"/>
  <c r="BA45" i="33"/>
  <c r="BC45" i="33" s="1"/>
  <c r="BN45" i="33"/>
  <c r="AC61" i="33"/>
  <c r="AR61" i="33" s="1"/>
  <c r="BN61" i="33" s="1"/>
  <c r="BA49" i="33"/>
  <c r="BC49" i="33" s="1"/>
  <c r="BN40" i="33"/>
  <c r="BO65" i="33"/>
  <c r="AI16" i="31"/>
  <c r="M409" i="34"/>
  <c r="M428" i="34"/>
  <c r="M517" i="34"/>
  <c r="J85" i="31"/>
  <c r="K82" i="31"/>
  <c r="AG90" i="31"/>
  <c r="AG91" i="31" s="1"/>
  <c r="M83" i="34"/>
  <c r="I109" i="34"/>
  <c r="J280" i="34"/>
  <c r="I353" i="34"/>
  <c r="I359" i="34" s="1"/>
  <c r="AR64" i="31" s="1"/>
  <c r="J199" i="34"/>
  <c r="J69" i="33"/>
  <c r="AC69" i="33" s="1"/>
  <c r="AR69" i="33" s="1"/>
  <c r="K69" i="33"/>
  <c r="AD69" i="33" s="1"/>
  <c r="AS69" i="33" s="1"/>
  <c r="L69" i="33"/>
  <c r="AE69" i="33" s="1"/>
  <c r="AT69" i="33" s="1"/>
  <c r="AE53" i="33"/>
  <c r="AT53" i="33" s="1"/>
  <c r="AD53" i="33"/>
  <c r="AS53" i="33" s="1"/>
  <c r="H83" i="33"/>
  <c r="J83" i="33"/>
  <c r="AC83" i="33" s="1"/>
  <c r="AR83" i="33" s="1"/>
  <c r="K83" i="33"/>
  <c r="AD83" i="33" s="1"/>
  <c r="AS83" i="33" s="1"/>
  <c r="L83" i="33"/>
  <c r="J76" i="33"/>
  <c r="K76" i="33"/>
  <c r="AD76" i="33" s="1"/>
  <c r="AS76" i="33" s="1"/>
  <c r="K81" i="33"/>
  <c r="AD81" i="33" s="1"/>
  <c r="AS81" i="33" s="1"/>
  <c r="H81" i="33"/>
  <c r="AA81" i="33" s="1"/>
  <c r="AP81" i="33" s="1"/>
  <c r="AR81" i="33"/>
  <c r="AT81" i="33"/>
  <c r="AR78" i="33"/>
  <c r="H78" i="33"/>
  <c r="AA78" i="33" s="1"/>
  <c r="AP78" i="33" s="1"/>
  <c r="K78" i="33"/>
  <c r="AD78" i="33" s="1"/>
  <c r="AS78" i="33" s="1"/>
  <c r="H82" i="33"/>
  <c r="K82" i="33"/>
  <c r="AD82" i="33" s="1"/>
  <c r="AS82" i="33" s="1"/>
  <c r="J82" i="33"/>
  <c r="L82" i="33"/>
  <c r="AE82" i="33" s="1"/>
  <c r="AT82" i="33" s="1"/>
  <c r="K74" i="33"/>
  <c r="AD74" i="33" s="1"/>
  <c r="AS74" i="33" s="1"/>
  <c r="J74" i="33"/>
  <c r="K80" i="33"/>
  <c r="AD80" i="33" s="1"/>
  <c r="AS80" i="33" s="1"/>
  <c r="AR80" i="33"/>
  <c r="H80" i="33"/>
  <c r="AA80" i="33" s="1"/>
  <c r="AP80" i="33" s="1"/>
  <c r="H84" i="33"/>
  <c r="J84" i="33"/>
  <c r="AC84" i="33" s="1"/>
  <c r="AR84" i="33" s="1"/>
  <c r="K84" i="33"/>
  <c r="AD84" i="33" s="1"/>
  <c r="AS84" i="33" s="1"/>
  <c r="L84" i="33"/>
  <c r="AE84" i="33" s="1"/>
  <c r="AT84" i="33" s="1"/>
  <c r="K75" i="33"/>
  <c r="AD75" i="33" s="1"/>
  <c r="AS75" i="33" s="1"/>
  <c r="J75" i="33"/>
  <c r="AC75" i="33" s="1"/>
  <c r="AR75" i="33" s="1"/>
  <c r="K73" i="33"/>
  <c r="AD73" i="33" s="1"/>
  <c r="AS73" i="33" s="1"/>
  <c r="J72" i="33"/>
  <c r="AC72" i="33" s="1"/>
  <c r="AR72" i="33" s="1"/>
  <c r="K72" i="33"/>
  <c r="AD72" i="33" s="1"/>
  <c r="AS72" i="33" s="1"/>
  <c r="H79" i="33"/>
  <c r="J79" i="33"/>
  <c r="AR79" i="33" s="1"/>
  <c r="K79" i="33"/>
  <c r="AD79" i="33" s="1"/>
  <c r="AS79" i="33" s="1"/>
  <c r="J77" i="33"/>
  <c r="K77" i="33"/>
  <c r="K332" i="34"/>
  <c r="K336" i="34" s="1"/>
  <c r="L434" i="34"/>
  <c r="L417" i="34"/>
  <c r="M421" i="34"/>
  <c r="M419" i="34"/>
  <c r="M579" i="34"/>
  <c r="AS78" i="31"/>
  <c r="K177" i="34"/>
  <c r="K181" i="34" s="1"/>
  <c r="J181" i="34"/>
  <c r="AS16" i="31"/>
  <c r="BA50" i="33"/>
  <c r="BC83" i="31"/>
  <c r="BC62" i="31" s="1"/>
  <c r="AZ72" i="31"/>
  <c r="AZ78" i="31" s="1"/>
  <c r="AX83" i="31"/>
  <c r="AX62" i="31" s="1"/>
  <c r="AZ83" i="31"/>
  <c r="AZ62" i="31" s="1"/>
  <c r="N68" i="34"/>
  <c r="P68" i="34" s="1"/>
  <c r="AL40" i="32" s="1"/>
  <c r="AY56" i="33"/>
  <c r="BA83" i="31"/>
  <c r="BA62" i="31" s="1"/>
  <c r="BB85" i="31"/>
  <c r="BB72" i="31"/>
  <c r="BB78" i="31" s="1"/>
  <c r="AX72" i="31"/>
  <c r="AX78" i="31" s="1"/>
  <c r="AY83" i="31"/>
  <c r="BC72" i="31"/>
  <c r="BC78" i="31" s="1"/>
  <c r="BA72" i="31"/>
  <c r="BA78" i="31" s="1"/>
  <c r="AC66" i="33"/>
  <c r="AR66" i="33" s="1"/>
  <c r="BN66" i="33" s="1"/>
  <c r="AD64" i="33"/>
  <c r="AS64" i="33" s="1"/>
  <c r="BN64" i="33" s="1"/>
  <c r="AR56" i="33"/>
  <c r="AD60" i="33"/>
  <c r="AS60" i="33" s="1"/>
  <c r="BN60" i="33" s="1"/>
  <c r="AD67" i="33"/>
  <c r="AS67" i="33" s="1"/>
  <c r="BN67" i="33" s="1"/>
  <c r="AA66" i="33"/>
  <c r="AP66" i="33" s="1"/>
  <c r="BM66" i="33" s="1"/>
  <c r="AC58" i="33"/>
  <c r="AR58" i="33" s="1"/>
  <c r="BN58" i="33" s="1"/>
  <c r="AR65" i="33"/>
  <c r="BN65" i="33" s="1"/>
  <c r="AC71" i="33"/>
  <c r="AR71" i="33" s="1"/>
  <c r="BN71" i="33" s="1"/>
  <c r="AD57" i="33"/>
  <c r="AS57" i="33" s="1"/>
  <c r="BN57" i="33" s="1"/>
  <c r="M637" i="34"/>
  <c r="M597" i="34"/>
  <c r="AT85" i="31"/>
  <c r="O62" i="31"/>
  <c r="N62" i="31"/>
  <c r="S62" i="31"/>
  <c r="Q62" i="31"/>
  <c r="P62" i="31"/>
  <c r="P67" i="31"/>
  <c r="R67" i="31"/>
  <c r="O67" i="31"/>
  <c r="N67" i="31"/>
  <c r="S67" i="31"/>
  <c r="S78" i="31"/>
  <c r="R62" i="31"/>
  <c r="P78" i="31"/>
  <c r="BM50" i="33"/>
  <c r="BM56" i="33"/>
  <c r="BB53" i="33"/>
  <c r="BB68" i="33"/>
  <c r="AU68" i="33"/>
  <c r="AU65" i="33"/>
  <c r="AZ61" i="33"/>
  <c r="AZ57" i="33"/>
  <c r="BB64" i="33"/>
  <c r="BJ79" i="33"/>
  <c r="AY79" i="33" s="1"/>
  <c r="BL79" i="33"/>
  <c r="AU79" i="33" s="1"/>
  <c r="BK79" i="33"/>
  <c r="AZ79" i="33" s="1"/>
  <c r="BE79" i="33"/>
  <c r="BF79" i="33"/>
  <c r="BI79" i="33"/>
  <c r="AX79" i="33" s="1"/>
  <c r="BH79" i="33"/>
  <c r="AW79" i="33" s="1"/>
  <c r="BG79" i="33"/>
  <c r="AV79" i="33" s="1"/>
  <c r="BD79" i="33"/>
  <c r="BE73" i="33"/>
  <c r="BF73" i="33"/>
  <c r="BH73" i="33"/>
  <c r="AW73" i="33" s="1"/>
  <c r="BK73" i="33"/>
  <c r="AZ73" i="33" s="1"/>
  <c r="BJ73" i="33"/>
  <c r="AY73" i="33" s="1"/>
  <c r="BI73" i="33"/>
  <c r="AX73" i="33" s="1"/>
  <c r="BD73" i="33"/>
  <c r="BL73" i="33"/>
  <c r="AU73" i="33" s="1"/>
  <c r="BG73" i="33"/>
  <c r="AV73" i="33" s="1"/>
  <c r="BG83" i="33"/>
  <c r="AV83" i="33" s="1"/>
  <c r="BE83" i="33"/>
  <c r="BJ83" i="33"/>
  <c r="AY83" i="33" s="1"/>
  <c r="BL83" i="33"/>
  <c r="AU83" i="33" s="1"/>
  <c r="BK83" i="33"/>
  <c r="BD83" i="33"/>
  <c r="BI83" i="33"/>
  <c r="AX83" i="33" s="1"/>
  <c r="BH83" i="33"/>
  <c r="AW83" i="33" s="1"/>
  <c r="BF83" i="33"/>
  <c r="BF87" i="33"/>
  <c r="BG87" i="33"/>
  <c r="BH87" i="33"/>
  <c r="BD87" i="33"/>
  <c r="BL87" i="33"/>
  <c r="BJ87" i="33"/>
  <c r="BK87" i="33"/>
  <c r="BE87" i="33"/>
  <c r="BI87" i="33"/>
  <c r="K87" i="33"/>
  <c r="AD87" i="33" s="1"/>
  <c r="AS87" i="33" s="1"/>
  <c r="BB56" i="33"/>
  <c r="BL69" i="33"/>
  <c r="BK69" i="33"/>
  <c r="BG69" i="33"/>
  <c r="AV69" i="33" s="1"/>
  <c r="BJ69" i="33"/>
  <c r="AY69" i="33" s="1"/>
  <c r="BF69" i="33"/>
  <c r="BE69" i="33"/>
  <c r="BH69" i="33"/>
  <c r="AW69" i="33" s="1"/>
  <c r="BD69" i="33"/>
  <c r="BI69" i="33"/>
  <c r="AU58" i="33"/>
  <c r="AU63" i="33"/>
  <c r="AZ60" i="33"/>
  <c r="AA65" i="33"/>
  <c r="AP65" i="33" s="1"/>
  <c r="BM65" i="33" s="1"/>
  <c r="BB61" i="33"/>
  <c r="BM61" i="33"/>
  <c r="AU61" i="33"/>
  <c r="BB57" i="33"/>
  <c r="BM57" i="33"/>
  <c r="BB66" i="33"/>
  <c r="BC66" i="33" s="1"/>
  <c r="AZ64" i="33"/>
  <c r="AU64" i="33"/>
  <c r="BL78" i="33"/>
  <c r="AU78" i="33" s="1"/>
  <c r="BG78" i="33"/>
  <c r="AV78" i="33" s="1"/>
  <c r="BI78" i="33"/>
  <c r="AX78" i="33" s="1"/>
  <c r="BH78" i="33"/>
  <c r="AW78" i="33" s="1"/>
  <c r="BJ78" i="33"/>
  <c r="AY78" i="33" s="1"/>
  <c r="BF78" i="33"/>
  <c r="BD78" i="33"/>
  <c r="BE78" i="33"/>
  <c r="BK78" i="33"/>
  <c r="BK82" i="33"/>
  <c r="BI82" i="33"/>
  <c r="AX82" i="33" s="1"/>
  <c r="BL82" i="33"/>
  <c r="BG82" i="33"/>
  <c r="AV82" i="33" s="1"/>
  <c r="BE82" i="33"/>
  <c r="BJ82" i="33"/>
  <c r="AY82" i="33" s="1"/>
  <c r="BH82" i="33"/>
  <c r="AW82" i="33" s="1"/>
  <c r="BD82" i="33"/>
  <c r="BF82" i="33"/>
  <c r="BF75" i="33"/>
  <c r="BE75" i="33"/>
  <c r="BI75" i="33"/>
  <c r="AX75" i="33" s="1"/>
  <c r="BD75" i="33"/>
  <c r="BJ75" i="33"/>
  <c r="AY75" i="33" s="1"/>
  <c r="BH75" i="33"/>
  <c r="AW75" i="33" s="1"/>
  <c r="BK75" i="33"/>
  <c r="BL75" i="33"/>
  <c r="BG75" i="33"/>
  <c r="AV75" i="33" s="1"/>
  <c r="AP72" i="33"/>
  <c r="BJ72" i="33"/>
  <c r="AY72" i="33" s="1"/>
  <c r="BG72" i="33"/>
  <c r="AV72" i="33" s="1"/>
  <c r="BD72" i="33"/>
  <c r="BI72" i="33"/>
  <c r="AX72" i="33" s="1"/>
  <c r="BH72" i="33"/>
  <c r="AW72" i="33" s="1"/>
  <c r="BK72" i="33"/>
  <c r="AZ72" i="33" s="1"/>
  <c r="BL72" i="33"/>
  <c r="AU72" i="33" s="1"/>
  <c r="BF72" i="33"/>
  <c r="BE72" i="33"/>
  <c r="BI80" i="33"/>
  <c r="AX80" i="33" s="1"/>
  <c r="BD80" i="33"/>
  <c r="BJ80" i="33"/>
  <c r="AY80" i="33" s="1"/>
  <c r="BH80" i="33"/>
  <c r="AW80" i="33" s="1"/>
  <c r="BE80" i="33"/>
  <c r="BK80" i="33"/>
  <c r="AZ80" i="33" s="1"/>
  <c r="BG80" i="33"/>
  <c r="AV80" i="33" s="1"/>
  <c r="BF80" i="33"/>
  <c r="BL80" i="33"/>
  <c r="AU80" i="33" s="1"/>
  <c r="BI77" i="33"/>
  <c r="AX77" i="33" s="1"/>
  <c r="BD77" i="33"/>
  <c r="BJ77" i="33"/>
  <c r="AY77" i="33" s="1"/>
  <c r="BK77" i="33"/>
  <c r="AZ77" i="33" s="1"/>
  <c r="BH77" i="33"/>
  <c r="AW77" i="33" s="1"/>
  <c r="BE77" i="33"/>
  <c r="BG77" i="33"/>
  <c r="AV77" i="33" s="1"/>
  <c r="BL77" i="33"/>
  <c r="AU77" i="33" s="1"/>
  <c r="BF77" i="33"/>
  <c r="BH81" i="33"/>
  <c r="AW81" i="33" s="1"/>
  <c r="BJ81" i="33"/>
  <c r="AY81" i="33" s="1"/>
  <c r="BE81" i="33"/>
  <c r="BG81" i="33"/>
  <c r="AV81" i="33" s="1"/>
  <c r="BL81" i="33"/>
  <c r="AU81" i="33" s="1"/>
  <c r="BI81" i="33"/>
  <c r="AX81" i="33" s="1"/>
  <c r="BK81" i="33"/>
  <c r="BD81" i="33"/>
  <c r="BF81" i="33"/>
  <c r="C85" i="33"/>
  <c r="BF84" i="33"/>
  <c r="BH84" i="33"/>
  <c r="AW84" i="33" s="1"/>
  <c r="BI84" i="33"/>
  <c r="AX84" i="33" s="1"/>
  <c r="BG84" i="33"/>
  <c r="AV84" i="33" s="1"/>
  <c r="BJ84" i="33"/>
  <c r="AY84" i="33" s="1"/>
  <c r="BK84" i="33"/>
  <c r="AZ84" i="33" s="1"/>
  <c r="BD84" i="33"/>
  <c r="BL84" i="33"/>
  <c r="AU84" i="33" s="1"/>
  <c r="BE84" i="33"/>
  <c r="AD56" i="33"/>
  <c r="AS56" i="33" s="1"/>
  <c r="BH74" i="33"/>
  <c r="AW74" i="33" s="1"/>
  <c r="BE74" i="33"/>
  <c r="BD74" i="33"/>
  <c r="BI74" i="33"/>
  <c r="AX74" i="33" s="1"/>
  <c r="BF74" i="33"/>
  <c r="BK74" i="33"/>
  <c r="AZ74" i="33" s="1"/>
  <c r="BL74" i="33"/>
  <c r="AU74" i="33" s="1"/>
  <c r="BG74" i="33"/>
  <c r="AV74" i="33" s="1"/>
  <c r="BJ74" i="33"/>
  <c r="AY74" i="33" s="1"/>
  <c r="BE76" i="33"/>
  <c r="BG76" i="33"/>
  <c r="AV76" i="33" s="1"/>
  <c r="BL76" i="33"/>
  <c r="BH76" i="33"/>
  <c r="AW76" i="33" s="1"/>
  <c r="BD76" i="33"/>
  <c r="BI76" i="33"/>
  <c r="AX76" i="33" s="1"/>
  <c r="BJ76" i="33"/>
  <c r="AY76" i="33" s="1"/>
  <c r="BF76" i="33"/>
  <c r="BK76" i="33"/>
  <c r="AZ76" i="33" s="1"/>
  <c r="AU56" i="33"/>
  <c r="AZ56" i="33"/>
  <c r="AA68" i="33"/>
  <c r="AP68" i="33" s="1"/>
  <c r="AZ58" i="33"/>
  <c r="BB63" i="33"/>
  <c r="BC63" i="33" s="1"/>
  <c r="AA53" i="33"/>
  <c r="AP53" i="33" s="1"/>
  <c r="BB60" i="33"/>
  <c r="BM60" i="33"/>
  <c r="BB65" i="33"/>
  <c r="AA64" i="33"/>
  <c r="AP64" i="33" s="1"/>
  <c r="AZ68" i="33"/>
  <c r="BB58" i="33"/>
  <c r="BM58" i="33"/>
  <c r="AZ63" i="33"/>
  <c r="BN37" i="33"/>
  <c r="BM37" i="33"/>
  <c r="BA37" i="33"/>
  <c r="AR53" i="33"/>
  <c r="BB62" i="33"/>
  <c r="AU62" i="33"/>
  <c r="BA62" i="33" s="1"/>
  <c r="BB59" i="33"/>
  <c r="BM59" i="33"/>
  <c r="BB71" i="33"/>
  <c r="AU57" i="33"/>
  <c r="BB67" i="33"/>
  <c r="BC67" i="33" s="1"/>
  <c r="AU67" i="33"/>
  <c r="Z3" i="87"/>
  <c r="AA3" i="87" s="1"/>
  <c r="AB3" i="87" s="1"/>
  <c r="AC3" i="87" s="1"/>
  <c r="AD3" i="87" s="1"/>
  <c r="AE3" i="87" s="1"/>
  <c r="AF3" i="87" s="1"/>
  <c r="AG3" i="87" s="1"/>
  <c r="J105" i="34"/>
  <c r="J109" i="34" s="1"/>
  <c r="K74" i="31"/>
  <c r="K576" i="34"/>
  <c r="L565" i="34"/>
  <c r="L630" i="34"/>
  <c r="AI22" i="31"/>
  <c r="K593" i="34"/>
  <c r="AT38" i="31" s="1"/>
  <c r="K615" i="34"/>
  <c r="I619" i="34"/>
  <c r="K42" i="34"/>
  <c r="L444" i="34"/>
  <c r="AS22" i="31"/>
  <c r="L175" i="34"/>
  <c r="AU77" i="31" s="1"/>
  <c r="L133" i="34"/>
  <c r="AU73" i="31" s="1"/>
  <c r="L29" i="34"/>
  <c r="AU72" i="31" s="1"/>
  <c r="K105" i="34"/>
  <c r="K109" i="34" s="1"/>
  <c r="K378" i="34"/>
  <c r="K382" i="34" s="1"/>
  <c r="M60" i="34"/>
  <c r="M21" i="34"/>
  <c r="M22" i="34" s="1"/>
  <c r="M125" i="34"/>
  <c r="M126" i="34" s="1"/>
  <c r="M167" i="34"/>
  <c r="M168" i="34" s="1"/>
  <c r="M369" i="34"/>
  <c r="M370" i="34" s="1"/>
  <c r="M325" i="34"/>
  <c r="L590" i="34"/>
  <c r="L593" i="34" s="1"/>
  <c r="AI38" i="31"/>
  <c r="E38" i="31" s="1"/>
  <c r="BM63" i="33"/>
  <c r="BM62" i="33"/>
  <c r="BN62" i="33"/>
  <c r="BN63" i="33"/>
  <c r="BN59" i="33"/>
  <c r="BA59" i="33"/>
  <c r="BM67" i="33"/>
  <c r="BN68" i="33"/>
  <c r="K439" i="34"/>
  <c r="K451" i="34"/>
  <c r="J70" i="31"/>
  <c r="J406" i="34"/>
  <c r="J425" i="34"/>
  <c r="K548" i="34"/>
  <c r="K558" i="34" s="1"/>
  <c r="K561" i="34" s="1"/>
  <c r="K524" i="34"/>
  <c r="K534" i="34" s="1"/>
  <c r="K537" i="34" s="1"/>
  <c r="K567" i="34"/>
  <c r="K577" i="34" s="1"/>
  <c r="L604" i="34"/>
  <c r="L615" i="34" s="1"/>
  <c r="K605" i="34"/>
  <c r="L603" i="34"/>
  <c r="L582" i="34"/>
  <c r="L622" i="34"/>
  <c r="M591" i="34"/>
  <c r="M568" i="34"/>
  <c r="M559" i="34"/>
  <c r="M536" i="34"/>
  <c r="M532" i="34"/>
  <c r="M631" i="34"/>
  <c r="M629" i="34"/>
  <c r="M623" i="34"/>
  <c r="M630" i="34" s="1"/>
  <c r="M617" i="34"/>
  <c r="M613" i="34"/>
  <c r="M606" i="34"/>
  <c r="M592" i="34"/>
  <c r="M583" i="34"/>
  <c r="M590" i="34" s="1"/>
  <c r="M549" i="34"/>
  <c r="M632" i="34"/>
  <c r="M628" i="34"/>
  <c r="M618" i="34"/>
  <c r="M578" i="34"/>
  <c r="M560" i="34"/>
  <c r="M565" i="34"/>
  <c r="M556" i="34"/>
  <c r="M535" i="34"/>
  <c r="M525" i="34"/>
  <c r="AJ15" i="31" s="1"/>
  <c r="M614" i="34"/>
  <c r="M607" i="34"/>
  <c r="M589" i="34"/>
  <c r="L523" i="34"/>
  <c r="L533" i="34" s="1"/>
  <c r="L547" i="34"/>
  <c r="L557" i="34" s="1"/>
  <c r="P557" i="34" s="1"/>
  <c r="L522" i="34"/>
  <c r="P522" i="34" s="1"/>
  <c r="L566" i="34"/>
  <c r="L576" i="34" s="1"/>
  <c r="P546" i="34"/>
  <c r="P525" i="34"/>
  <c r="P556" i="34"/>
  <c r="P549" i="34"/>
  <c r="I561" i="34"/>
  <c r="AR15" i="31" s="1"/>
  <c r="P532" i="34"/>
  <c r="L446" i="34"/>
  <c r="L445" i="34"/>
  <c r="M432" i="34"/>
  <c r="M414" i="34"/>
  <c r="M396" i="34"/>
  <c r="M392" i="34"/>
  <c r="AJ16" i="31" s="1"/>
  <c r="M410" i="34"/>
  <c r="M411" i="34"/>
  <c r="M393" i="34"/>
  <c r="M442" i="34"/>
  <c r="M443" i="34"/>
  <c r="M441" i="34"/>
  <c r="K453" i="34"/>
  <c r="K455" i="34" s="1"/>
  <c r="K423" i="34"/>
  <c r="M431" i="34"/>
  <c r="L399" i="34"/>
  <c r="L400" i="34"/>
  <c r="L398" i="34"/>
  <c r="L418" i="34"/>
  <c r="L91" i="34" s="1"/>
  <c r="L416" i="34"/>
  <c r="L436" i="34"/>
  <c r="L435" i="34"/>
  <c r="M429" i="34"/>
  <c r="K404" i="34"/>
  <c r="M413" i="34"/>
  <c r="M395" i="34"/>
  <c r="M405" i="34"/>
  <c r="M420" i="34"/>
  <c r="M424" i="34"/>
  <c r="N374" i="34"/>
  <c r="P374" i="34" s="1"/>
  <c r="N368" i="34"/>
  <c r="P368" i="34" s="1"/>
  <c r="N356" i="34"/>
  <c r="P356" i="34" s="1"/>
  <c r="N342" i="34"/>
  <c r="P342" i="34" s="1"/>
  <c r="N326" i="34"/>
  <c r="P326" i="34" s="1"/>
  <c r="N292" i="34"/>
  <c r="P292" i="34" s="1"/>
  <c r="N282" i="34"/>
  <c r="P282" i="34" s="1"/>
  <c r="N172" i="34"/>
  <c r="P172" i="34" s="1"/>
  <c r="N375" i="34"/>
  <c r="P375" i="34" s="1"/>
  <c r="N371" i="34"/>
  <c r="P371" i="34" s="1"/>
  <c r="N357" i="34"/>
  <c r="P357" i="34" s="1"/>
  <c r="N349" i="34"/>
  <c r="P349" i="34" s="1"/>
  <c r="N327" i="34"/>
  <c r="P327" i="34" s="1"/>
  <c r="N293" i="34"/>
  <c r="P293" i="34" s="1"/>
  <c r="N283" i="34"/>
  <c r="P283" i="34" s="1"/>
  <c r="AK29" i="32" s="1"/>
  <c r="N173" i="34"/>
  <c r="P173" i="34" s="1"/>
  <c r="N373" i="34"/>
  <c r="P373" i="34" s="1"/>
  <c r="AK36" i="32" s="1"/>
  <c r="J22" i="7" s="1"/>
  <c r="N363" i="34"/>
  <c r="N355" i="34"/>
  <c r="P355" i="34" s="1"/>
  <c r="N329" i="34"/>
  <c r="P329" i="34" s="1"/>
  <c r="N323" i="34"/>
  <c r="P323" i="34" s="1"/>
  <c r="N291" i="34"/>
  <c r="P291" i="34" s="1"/>
  <c r="N276" i="34"/>
  <c r="N171" i="34"/>
  <c r="P171" i="34" s="1"/>
  <c r="N158" i="34"/>
  <c r="P158" i="34" s="1"/>
  <c r="N116" i="34"/>
  <c r="N99" i="34"/>
  <c r="N88" i="34"/>
  <c r="P88" i="34" s="1"/>
  <c r="N80" i="34"/>
  <c r="P80" i="34" s="1"/>
  <c r="N66" i="34"/>
  <c r="P66" i="34" s="1"/>
  <c r="N122" i="34"/>
  <c r="P122" i="34" s="1"/>
  <c r="N89" i="34"/>
  <c r="P89" i="34" s="1"/>
  <c r="N67" i="34"/>
  <c r="P67" i="34" s="1"/>
  <c r="N51" i="34"/>
  <c r="N36" i="34"/>
  <c r="P36" i="34" s="1"/>
  <c r="N25" i="34"/>
  <c r="P25" i="34" s="1"/>
  <c r="N285" i="34"/>
  <c r="P285" i="34" s="1"/>
  <c r="N131" i="34"/>
  <c r="P131" i="34" s="1"/>
  <c r="N129" i="34"/>
  <c r="P129" i="34" s="1"/>
  <c r="N18" i="34"/>
  <c r="P18" i="34" s="1"/>
  <c r="N86" i="34"/>
  <c r="P86" i="34" s="1"/>
  <c r="N358" i="34"/>
  <c r="P358" i="34" s="1"/>
  <c r="N328" i="34"/>
  <c r="P328" i="34" s="1"/>
  <c r="N284" i="34"/>
  <c r="P284" i="34" s="1"/>
  <c r="N169" i="34"/>
  <c r="P169" i="34" s="1"/>
  <c r="N132" i="34"/>
  <c r="P132" i="34" s="1"/>
  <c r="N101" i="34"/>
  <c r="P101" i="34" s="1"/>
  <c r="N164" i="34"/>
  <c r="P164" i="34" s="1"/>
  <c r="N100" i="34"/>
  <c r="P100" i="34" s="1"/>
  <c r="N85" i="34"/>
  <c r="P85" i="34" s="1"/>
  <c r="N62" i="34"/>
  <c r="P62" i="34" s="1"/>
  <c r="AH40" i="32" s="1"/>
  <c r="N38" i="34"/>
  <c r="P38" i="34" s="1"/>
  <c r="N27" i="34"/>
  <c r="P27" i="34" s="1"/>
  <c r="N23" i="34"/>
  <c r="P23" i="34" s="1"/>
  <c r="N372" i="34"/>
  <c r="P372" i="34" s="1"/>
  <c r="N354" i="34"/>
  <c r="P354" i="34" s="1"/>
  <c r="N316" i="34"/>
  <c r="P316" i="34" s="1"/>
  <c r="N174" i="34"/>
  <c r="P174" i="34" s="1"/>
  <c r="N170" i="34"/>
  <c r="P170" i="34" s="1"/>
  <c r="N127" i="34"/>
  <c r="P127" i="34" s="1"/>
  <c r="N102" i="34"/>
  <c r="P102" i="34" s="1"/>
  <c r="N90" i="34"/>
  <c r="P90" i="34" s="1"/>
  <c r="N87" i="34"/>
  <c r="P87" i="34" s="1"/>
  <c r="N74" i="34"/>
  <c r="AJ76" i="31" s="1"/>
  <c r="N63" i="34"/>
  <c r="P63" i="34" s="1"/>
  <c r="N57" i="34"/>
  <c r="P57" i="34" s="1"/>
  <c r="AC40" i="32" s="1"/>
  <c r="N39" i="34"/>
  <c r="P39" i="34" s="1"/>
  <c r="N37" i="34"/>
  <c r="P37" i="34" s="1"/>
  <c r="N28" i="34"/>
  <c r="P28" i="34" s="1"/>
  <c r="P26" i="34"/>
  <c r="N24" i="34"/>
  <c r="P24" i="34" s="1"/>
  <c r="AJ72" i="31"/>
  <c r="N64" i="34"/>
  <c r="P64" i="34" s="1"/>
  <c r="N268" i="34"/>
  <c r="N65" i="34"/>
  <c r="P65" i="34" s="1"/>
  <c r="N130" i="34"/>
  <c r="P130" i="34" s="1"/>
  <c r="N128" i="34"/>
  <c r="P128" i="34" s="1"/>
  <c r="M450" i="34"/>
  <c r="M438" i="34"/>
  <c r="M401" i="34"/>
  <c r="M437" i="34"/>
  <c r="M402" i="34"/>
  <c r="M449" i="34"/>
  <c r="L279" i="34"/>
  <c r="L280" i="34" s="1"/>
  <c r="L286" i="34" s="1"/>
  <c r="AU63" i="31" s="1"/>
  <c r="L341" i="34"/>
  <c r="L352" i="34" s="1"/>
  <c r="L353" i="34" s="1"/>
  <c r="L359" i="34" s="1"/>
  <c r="AT64" i="31" s="1"/>
  <c r="M288" i="34"/>
  <c r="L83" i="31" s="1"/>
  <c r="M294" i="34"/>
  <c r="AV83" i="31" s="1"/>
  <c r="M362" i="34"/>
  <c r="L69" i="31" s="1"/>
  <c r="M265" i="34"/>
  <c r="N380" i="34"/>
  <c r="P380" i="34" s="1"/>
  <c r="N334" i="34"/>
  <c r="P334" i="34" s="1"/>
  <c r="L376" i="34"/>
  <c r="M315" i="34"/>
  <c r="L68" i="31" s="1"/>
  <c r="M339" i="34"/>
  <c r="I512" i="34"/>
  <c r="I514" i="34" s="1"/>
  <c r="M11" i="34"/>
  <c r="M50" i="34"/>
  <c r="M115" i="34"/>
  <c r="N179" i="34"/>
  <c r="P179" i="34" s="1"/>
  <c r="N107" i="34"/>
  <c r="P107" i="34" s="1"/>
  <c r="N44" i="34"/>
  <c r="P44" i="34" s="1"/>
  <c r="M157" i="34"/>
  <c r="M95" i="34"/>
  <c r="L82" i="31" s="1"/>
  <c r="M103" i="34"/>
  <c r="AV82" i="31" s="1"/>
  <c r="P73" i="34"/>
  <c r="M84" i="34"/>
  <c r="M40" i="34"/>
  <c r="M32" i="34"/>
  <c r="K236" i="34"/>
  <c r="K240" i="34" s="1"/>
  <c r="M232" i="34"/>
  <c r="L187" i="34"/>
  <c r="L198" i="34" s="1"/>
  <c r="L199" i="34" s="1"/>
  <c r="L201" i="34" s="1"/>
  <c r="L204" i="34" s="1"/>
  <c r="N202" i="34"/>
  <c r="P202" i="34" s="1"/>
  <c r="N214" i="34"/>
  <c r="N217" i="34"/>
  <c r="P217" i="34" s="1"/>
  <c r="N190" i="34"/>
  <c r="N200" i="34" s="1"/>
  <c r="P200" i="34" s="1"/>
  <c r="N210" i="34"/>
  <c r="N218" i="34"/>
  <c r="N238" i="34"/>
  <c r="N221" i="34"/>
  <c r="N196" i="34"/>
  <c r="P196" i="34" s="1"/>
  <c r="N220" i="34"/>
  <c r="N231" i="34"/>
  <c r="M209" i="34"/>
  <c r="M213" i="34"/>
  <c r="L223" i="34"/>
  <c r="M189" i="34"/>
  <c r="M186" i="34"/>
  <c r="M197" i="34" s="1"/>
  <c r="M185" i="34"/>
  <c r="L60" i="31" s="1"/>
  <c r="I236" i="34"/>
  <c r="I240" i="34" s="1"/>
  <c r="K70" i="31"/>
  <c r="J78" i="31"/>
  <c r="J475" i="34"/>
  <c r="K494" i="34"/>
  <c r="K507" i="34" s="1"/>
  <c r="K506" i="34"/>
  <c r="L493" i="34"/>
  <c r="L494" i="34" s="1"/>
  <c r="L513" i="34"/>
  <c r="P513" i="34" s="1"/>
  <c r="L492" i="34"/>
  <c r="P505" i="34"/>
  <c r="N385" i="34"/>
  <c r="O4" i="34"/>
  <c r="O307" i="34" s="1"/>
  <c r="L460" i="34"/>
  <c r="L477" i="34" s="1"/>
  <c r="AH78" i="31"/>
  <c r="M500" i="34"/>
  <c r="M501" i="34"/>
  <c r="M469" i="34"/>
  <c r="M468" i="34"/>
  <c r="M386" i="34"/>
  <c r="M454" i="34"/>
  <c r="M495" i="34"/>
  <c r="M485" i="34"/>
  <c r="M479" i="34"/>
  <c r="M476" i="34"/>
  <c r="M470" i="34"/>
  <c r="M463" i="34"/>
  <c r="M511" i="34"/>
  <c r="M502" i="34"/>
  <c r="M473" i="34"/>
  <c r="M508" i="34"/>
  <c r="M505" i="34"/>
  <c r="L481" i="34"/>
  <c r="P481" i="34" s="1"/>
  <c r="L461" i="34"/>
  <c r="L462" i="34" s="1"/>
  <c r="L475" i="34" s="1"/>
  <c r="K73" i="31"/>
  <c r="J507" i="34"/>
  <c r="K462" i="34"/>
  <c r="K475" i="34" s="1"/>
  <c r="K474" i="34"/>
  <c r="AH70" i="31"/>
  <c r="C91" i="33"/>
  <c r="C90" i="33"/>
  <c r="C93" i="33"/>
  <c r="C89" i="33"/>
  <c r="C92" i="33"/>
  <c r="BC40" i="33"/>
  <c r="BC42" i="33"/>
  <c r="BC44" i="33"/>
  <c r="BC48" i="33"/>
  <c r="BC47" i="33"/>
  <c r="BC46" i="33"/>
  <c r="BC43" i="33"/>
  <c r="BC41" i="33"/>
  <c r="BC52" i="33"/>
  <c r="BC55" i="33"/>
  <c r="C103" i="33"/>
  <c r="C108" i="33" s="1"/>
  <c r="C99" i="33"/>
  <c r="C95" i="33"/>
  <c r="C100" i="33"/>
  <c r="C96" i="33"/>
  <c r="M96" i="33" s="1"/>
  <c r="AC96" i="33" s="1"/>
  <c r="C97" i="33"/>
  <c r="C88" i="33"/>
  <c r="J88" i="33" s="1"/>
  <c r="C94" i="33"/>
  <c r="C98" i="33"/>
  <c r="AO76" i="31"/>
  <c r="AQ76" i="31"/>
  <c r="AL78" i="31"/>
  <c r="AN76" i="31"/>
  <c r="AP76" i="31"/>
  <c r="AM76" i="31"/>
  <c r="I482" i="34"/>
  <c r="BF97" i="33" l="1"/>
  <c r="O97" i="33"/>
  <c r="M97" i="33"/>
  <c r="BD94" i="33"/>
  <c r="M94" i="33"/>
  <c r="AJ73" i="31"/>
  <c r="P116" i="34"/>
  <c r="H89" i="33"/>
  <c r="J89" i="33"/>
  <c r="AC77" i="33"/>
  <c r="AR77" i="33" s="1"/>
  <c r="BN53" i="33"/>
  <c r="O255" i="34"/>
  <c r="O277" i="34"/>
  <c r="O282" i="34"/>
  <c r="O311" i="34"/>
  <c r="O129" i="34"/>
  <c r="O116" i="34"/>
  <c r="AK73" i="31" s="1"/>
  <c r="O63" i="34"/>
  <c r="O306" i="34"/>
  <c r="O298" i="34" s="1"/>
  <c r="O152" i="34"/>
  <c r="O144" i="34"/>
  <c r="O137" i="34" s="1"/>
  <c r="O89" i="34"/>
  <c r="O81" i="34"/>
  <c r="O25" i="34"/>
  <c r="O132" i="34"/>
  <c r="O66" i="34"/>
  <c r="O101" i="34"/>
  <c r="O246" i="34"/>
  <c r="AK62" i="31" s="1"/>
  <c r="O299" i="34"/>
  <c r="O281" i="34"/>
  <c r="O310" i="34"/>
  <c r="O128" i="34"/>
  <c r="O68" i="34"/>
  <c r="O62" i="34"/>
  <c r="O291" i="34"/>
  <c r="O151" i="34"/>
  <c r="O138" i="34"/>
  <c r="O88" i="34"/>
  <c r="O80" i="34"/>
  <c r="O24" i="34"/>
  <c r="O285" i="34"/>
  <c r="O254" i="34"/>
  <c r="O86" i="34"/>
  <c r="O312" i="34"/>
  <c r="O64" i="34"/>
  <c r="O145" i="34"/>
  <c r="O262" i="34"/>
  <c r="O268" i="34"/>
  <c r="AK63" i="31" s="1"/>
  <c r="O309" i="34"/>
  <c r="O127" i="34"/>
  <c r="O67" i="34"/>
  <c r="O59" i="34"/>
  <c r="O276" i="34"/>
  <c r="O150" i="34"/>
  <c r="O102" i="34"/>
  <c r="O87" i="34"/>
  <c r="O74" i="34"/>
  <c r="O26" i="34"/>
  <c r="O293" i="34"/>
  <c r="O124" i="34"/>
  <c r="O149" i="34"/>
  <c r="O99" i="34"/>
  <c r="O259" i="34"/>
  <c r="O122" i="34"/>
  <c r="O153" i="34"/>
  <c r="O82" i="34"/>
  <c r="O261" i="34"/>
  <c r="O58" i="34"/>
  <c r="O260" i="34"/>
  <c r="O284" i="34"/>
  <c r="O292" i="34"/>
  <c r="O131" i="34"/>
  <c r="O123" i="34"/>
  <c r="O65" i="34"/>
  <c r="O51" i="34"/>
  <c r="AK74" i="31" s="1"/>
  <c r="O154" i="34"/>
  <c r="O146" i="34"/>
  <c r="O100" i="34"/>
  <c r="O85" i="34"/>
  <c r="O28" i="34"/>
  <c r="O283" i="34"/>
  <c r="O130" i="34"/>
  <c r="O57" i="34"/>
  <c r="O90" i="34"/>
  <c r="O27" i="34"/>
  <c r="O23" i="34"/>
  <c r="O20" i="34"/>
  <c r="O19" i="34"/>
  <c r="O18" i="34"/>
  <c r="O12" i="34"/>
  <c r="AK72" i="31" s="1"/>
  <c r="O214" i="34"/>
  <c r="N579" i="34"/>
  <c r="P579" i="34" s="1"/>
  <c r="N437" i="34"/>
  <c r="P437" i="34" s="1"/>
  <c r="N428" i="34"/>
  <c r="P428" i="34" s="1"/>
  <c r="N421" i="34"/>
  <c r="P421" i="34" s="1"/>
  <c r="N409" i="34"/>
  <c r="P575" i="34"/>
  <c r="P574" i="34"/>
  <c r="N517" i="34"/>
  <c r="P588" i="34"/>
  <c r="AI36" i="32"/>
  <c r="AL29" i="32"/>
  <c r="AI29" i="32"/>
  <c r="E18" i="7" s="1"/>
  <c r="AJ63" i="31"/>
  <c r="AI40" i="32"/>
  <c r="P276" i="34"/>
  <c r="AC29" i="32" s="1"/>
  <c r="AJ74" i="31"/>
  <c r="P99" i="34"/>
  <c r="AC42" i="32" s="1"/>
  <c r="N103" i="34"/>
  <c r="P103" i="34" s="1"/>
  <c r="AY85" i="31"/>
  <c r="AJ69" i="31"/>
  <c r="P363" i="34"/>
  <c r="N36" i="32" s="1"/>
  <c r="G166" i="6" s="1"/>
  <c r="P12" i="34"/>
  <c r="N38" i="32" s="1"/>
  <c r="P268" i="34"/>
  <c r="I378" i="34"/>
  <c r="P51" i="34"/>
  <c r="N40" i="32" s="1"/>
  <c r="P190" i="34"/>
  <c r="AJ65" i="31"/>
  <c r="P210" i="34"/>
  <c r="J201" i="34"/>
  <c r="P74" i="34"/>
  <c r="N41" i="32" s="1"/>
  <c r="J286" i="34"/>
  <c r="AS63" i="31" s="1"/>
  <c r="K94" i="33"/>
  <c r="H94" i="33"/>
  <c r="AA94" i="33" s="1"/>
  <c r="AP94" i="33" s="1"/>
  <c r="H99" i="33"/>
  <c r="H170" i="33" s="1"/>
  <c r="L99" i="33"/>
  <c r="AE99" i="33" s="1"/>
  <c r="AT99" i="33" s="1"/>
  <c r="J93" i="33"/>
  <c r="AC93" i="33" s="1"/>
  <c r="AR93" i="33" s="1"/>
  <c r="K93" i="33"/>
  <c r="AD93" i="33" s="1"/>
  <c r="AS93" i="33" s="1"/>
  <c r="H97" i="33"/>
  <c r="G18" i="32" s="1"/>
  <c r="F316" i="6" s="1"/>
  <c r="K91" i="33"/>
  <c r="J91" i="33"/>
  <c r="AC91" i="33" s="1"/>
  <c r="AR91" i="33" s="1"/>
  <c r="AR96" i="33"/>
  <c r="H96" i="33"/>
  <c r="H167" i="33" s="1"/>
  <c r="J100" i="33"/>
  <c r="AC100" i="33" s="1"/>
  <c r="AR100" i="33" s="1"/>
  <c r="H100" i="33"/>
  <c r="AA100" i="33" s="1"/>
  <c r="AP100" i="33" s="1"/>
  <c r="L100" i="33"/>
  <c r="J92" i="33"/>
  <c r="J163" i="33" s="1"/>
  <c r="K92" i="33"/>
  <c r="AD92" i="33" s="1"/>
  <c r="AS92" i="33" s="1"/>
  <c r="K85" i="33"/>
  <c r="AD85" i="33" s="1"/>
  <c r="AS85" i="33" s="1"/>
  <c r="H85" i="33"/>
  <c r="AA85" i="33" s="1"/>
  <c r="AP85" i="33" s="1"/>
  <c r="J85" i="33"/>
  <c r="AC85" i="33" s="1"/>
  <c r="AR85" i="33" s="1"/>
  <c r="L85" i="33"/>
  <c r="AE85" i="33" s="1"/>
  <c r="AT85" i="33" s="1"/>
  <c r="H98" i="33"/>
  <c r="G19" i="32" s="1"/>
  <c r="L98" i="33"/>
  <c r="J95" i="33"/>
  <c r="AR95" i="33" s="1"/>
  <c r="H95" i="33"/>
  <c r="H166" i="33" s="1"/>
  <c r="K89" i="33"/>
  <c r="AE83" i="33"/>
  <c r="AT83" i="33" s="1"/>
  <c r="K90" i="33"/>
  <c r="AD90" i="33" s="1"/>
  <c r="AS90" i="33" s="1"/>
  <c r="J90" i="33"/>
  <c r="AC90" i="33" s="1"/>
  <c r="AR90" i="33" s="1"/>
  <c r="M266" i="34"/>
  <c r="L63" i="31"/>
  <c r="L42" i="34"/>
  <c r="L46" i="34" s="1"/>
  <c r="L439" i="34"/>
  <c r="BA53" i="33"/>
  <c r="AX85" i="31"/>
  <c r="M417" i="34"/>
  <c r="L509" i="34"/>
  <c r="P509" i="34" s="1"/>
  <c r="P492" i="34"/>
  <c r="L177" i="34"/>
  <c r="L181" i="34" s="1"/>
  <c r="L332" i="34"/>
  <c r="L336" i="34" s="1"/>
  <c r="K510" i="34"/>
  <c r="K519" i="34" s="1"/>
  <c r="K46" i="34"/>
  <c r="J510" i="34"/>
  <c r="D63" i="31"/>
  <c r="J29" i="32" s="1"/>
  <c r="BA61" i="33"/>
  <c r="BC61" i="33" s="1"/>
  <c r="BA57" i="33"/>
  <c r="BC57" i="33" s="1"/>
  <c r="K478" i="34"/>
  <c r="K480" i="34" s="1"/>
  <c r="K482" i="34" s="1"/>
  <c r="K487" i="34" s="1"/>
  <c r="P460" i="34"/>
  <c r="P477" i="34" s="1"/>
  <c r="J478" i="34"/>
  <c r="J480" i="34" s="1"/>
  <c r="P475" i="34"/>
  <c r="AZ70" i="31"/>
  <c r="BA85" i="31"/>
  <c r="BA71" i="33"/>
  <c r="BC71" i="33" s="1"/>
  <c r="AZ85" i="31"/>
  <c r="BC85" i="31"/>
  <c r="AX70" i="31"/>
  <c r="BA67" i="33"/>
  <c r="BA66" i="33"/>
  <c r="AT16" i="31"/>
  <c r="BA60" i="33"/>
  <c r="BC60" i="33" s="1"/>
  <c r="BA65" i="33"/>
  <c r="BC65" i="33" s="1"/>
  <c r="BM64" i="33"/>
  <c r="AD77" i="33"/>
  <c r="AS77" i="33" s="1"/>
  <c r="AR87" i="33"/>
  <c r="BN87" i="33" s="1"/>
  <c r="K8" i="32"/>
  <c r="BN56" i="33"/>
  <c r="BM68" i="33"/>
  <c r="AC82" i="33"/>
  <c r="AR82" i="33" s="1"/>
  <c r="BN82" i="33" s="1"/>
  <c r="J158" i="33"/>
  <c r="AH90" i="31"/>
  <c r="AH91" i="31" s="1"/>
  <c r="N637" i="34"/>
  <c r="P637" i="34" s="1"/>
  <c r="N597" i="34"/>
  <c r="P597" i="34" s="1"/>
  <c r="M61" i="34"/>
  <c r="AU81" i="31"/>
  <c r="K85" i="31"/>
  <c r="L74" i="31"/>
  <c r="AJ77" i="31"/>
  <c r="M175" i="34"/>
  <c r="AV77" i="31" s="1"/>
  <c r="AJ64" i="31"/>
  <c r="L81" i="31"/>
  <c r="M133" i="34"/>
  <c r="AV73" i="31" s="1"/>
  <c r="N83" i="34"/>
  <c r="N84" i="34" s="1"/>
  <c r="P84" i="34" s="1"/>
  <c r="L76" i="31"/>
  <c r="K580" i="34"/>
  <c r="K595" i="34" s="1"/>
  <c r="BC70" i="31"/>
  <c r="BB70" i="31"/>
  <c r="BB90" i="31" s="1"/>
  <c r="BB91" i="31" s="1"/>
  <c r="BA70" i="31"/>
  <c r="P70" i="31"/>
  <c r="S70" i="31"/>
  <c r="Q78" i="31"/>
  <c r="Q70" i="31"/>
  <c r="O70" i="31"/>
  <c r="R70" i="31"/>
  <c r="N70" i="31"/>
  <c r="R78" i="31"/>
  <c r="AT69" i="31"/>
  <c r="AJ21" i="31"/>
  <c r="L633" i="34"/>
  <c r="AW108" i="33"/>
  <c r="AV108" i="33"/>
  <c r="AY108" i="33"/>
  <c r="AX108" i="33"/>
  <c r="BA64" i="33"/>
  <c r="BC64" i="33" s="1"/>
  <c r="BA63" i="33"/>
  <c r="BA68" i="33"/>
  <c r="BC68" i="33" s="1"/>
  <c r="BB82" i="33"/>
  <c r="BC82" i="33" s="1"/>
  <c r="BA56" i="33"/>
  <c r="BC56" i="33" s="1"/>
  <c r="BH97" i="33"/>
  <c r="BD97" i="33"/>
  <c r="BL97" i="33"/>
  <c r="AU97" i="33" s="1"/>
  <c r="AG18" i="32" s="1"/>
  <c r="BE97" i="33"/>
  <c r="BI97" i="33"/>
  <c r="BG97" i="33"/>
  <c r="BK97" i="33"/>
  <c r="AZ97" i="33" s="1"/>
  <c r="BJ97" i="33"/>
  <c r="K97" i="33"/>
  <c r="AD97" i="33" s="1"/>
  <c r="AS97" i="33" s="1"/>
  <c r="AU76" i="33"/>
  <c r="BD98" i="33"/>
  <c r="BG98" i="33"/>
  <c r="BL98" i="33"/>
  <c r="AU98" i="33" s="1"/>
  <c r="BH98" i="33"/>
  <c r="BI98" i="33"/>
  <c r="BK98" i="33"/>
  <c r="AZ98" i="33" s="1"/>
  <c r="BJ98" i="33"/>
  <c r="BE98" i="33"/>
  <c r="J98" i="33"/>
  <c r="AC98" i="33" s="1"/>
  <c r="AR98" i="33" s="1"/>
  <c r="BF98" i="33"/>
  <c r="K98" i="33"/>
  <c r="K169" i="33" s="1"/>
  <c r="BJ96" i="33"/>
  <c r="BE96" i="33"/>
  <c r="BK96" i="33"/>
  <c r="AZ96" i="33" s="1"/>
  <c r="AL17" i="32" s="1"/>
  <c r="BL96" i="33"/>
  <c r="AU96" i="33" s="1"/>
  <c r="AG17" i="32" s="1"/>
  <c r="BF96" i="33"/>
  <c r="BG96" i="33"/>
  <c r="BH96" i="33"/>
  <c r="BI96" i="33"/>
  <c r="K96" i="33"/>
  <c r="K167" i="33" s="1"/>
  <c r="BD96" i="33"/>
  <c r="AC76" i="33"/>
  <c r="AR76" i="33" s="1"/>
  <c r="BN76" i="33" s="1"/>
  <c r="BD90" i="33"/>
  <c r="BH90" i="33"/>
  <c r="BL90" i="33"/>
  <c r="AU90" i="33" s="1"/>
  <c r="AG11" i="32" s="1"/>
  <c r="BG90" i="33"/>
  <c r="BF90" i="33"/>
  <c r="BK90" i="33"/>
  <c r="AZ90" i="33" s="1"/>
  <c r="AL11" i="32" s="1"/>
  <c r="BE90" i="33"/>
  <c r="BI90" i="33"/>
  <c r="BJ90" i="33"/>
  <c r="BM53" i="33"/>
  <c r="BB77" i="33"/>
  <c r="BB80" i="33"/>
  <c r="AU82" i="33"/>
  <c r="BN69" i="33"/>
  <c r="AU87" i="33"/>
  <c r="AX8" i="32"/>
  <c r="AZ83" i="33"/>
  <c r="BE94" i="33"/>
  <c r="BJ94" i="33"/>
  <c r="BG94" i="33"/>
  <c r="BF94" i="33"/>
  <c r="BK94" i="33"/>
  <c r="AZ94" i="33" s="1"/>
  <c r="BH94" i="33"/>
  <c r="BL94" i="33"/>
  <c r="BI94" i="33"/>
  <c r="BG92" i="33"/>
  <c r="BL92" i="33"/>
  <c r="AU92" i="33" s="1"/>
  <c r="BH92" i="33"/>
  <c r="BD92" i="33"/>
  <c r="BI92" i="33"/>
  <c r="BE92" i="33"/>
  <c r="BK92" i="33"/>
  <c r="AZ92" i="33" s="1"/>
  <c r="AL13" i="32" s="1"/>
  <c r="BJ92" i="33"/>
  <c r="BF92" i="33"/>
  <c r="BG91" i="33"/>
  <c r="BL91" i="33"/>
  <c r="AU91" i="33" s="1"/>
  <c r="BI91" i="33"/>
  <c r="BF91" i="33"/>
  <c r="BE91" i="33"/>
  <c r="BJ91" i="33"/>
  <c r="BK91" i="33"/>
  <c r="AZ91" i="33" s="1"/>
  <c r="BH91" i="33"/>
  <c r="BD91" i="33"/>
  <c r="BC37" i="33"/>
  <c r="BB76" i="33"/>
  <c r="BB84" i="33"/>
  <c r="AA69" i="33"/>
  <c r="AP69" i="33" s="1"/>
  <c r="AZ69" i="33"/>
  <c r="AA83" i="33"/>
  <c r="AP83" i="33" s="1"/>
  <c r="BM83" i="33" s="1"/>
  <c r="C101" i="33"/>
  <c r="BK100" i="33"/>
  <c r="BJ100" i="33"/>
  <c r="BF100" i="33"/>
  <c r="BG100" i="33"/>
  <c r="BL100" i="33"/>
  <c r="AU100" i="33" s="1"/>
  <c r="AG22" i="32" s="1"/>
  <c r="BD100" i="33"/>
  <c r="BH100" i="33"/>
  <c r="BE100" i="33"/>
  <c r="K100" i="33"/>
  <c r="BI100" i="33"/>
  <c r="AP88" i="33"/>
  <c r="BH88" i="33"/>
  <c r="BD88" i="33"/>
  <c r="BI88" i="33"/>
  <c r="BE88" i="33"/>
  <c r="BJ88" i="33"/>
  <c r="BK88" i="33"/>
  <c r="BF88" i="33"/>
  <c r="BL88" i="33"/>
  <c r="AC88" i="33"/>
  <c r="AR88" i="33" s="1"/>
  <c r="K88" i="33"/>
  <c r="BG88" i="33"/>
  <c r="BJ95" i="33"/>
  <c r="BI95" i="33"/>
  <c r="BE95" i="33"/>
  <c r="BK95" i="33"/>
  <c r="BL95" i="33"/>
  <c r="BF95" i="33"/>
  <c r="K95" i="33"/>
  <c r="BH95" i="33"/>
  <c r="BG95" i="33"/>
  <c r="BD95" i="33"/>
  <c r="AC74" i="33"/>
  <c r="AR74" i="33" s="1"/>
  <c r="BN74" i="33" s="1"/>
  <c r="BL89" i="33"/>
  <c r="BD89" i="33"/>
  <c r="BG89" i="33"/>
  <c r="BK89" i="33"/>
  <c r="AZ89" i="33" s="1"/>
  <c r="AL10" i="32" s="1"/>
  <c r="BE89" i="33"/>
  <c r="BI89" i="33"/>
  <c r="BJ89" i="33"/>
  <c r="BF89" i="33"/>
  <c r="BH89" i="33"/>
  <c r="BA58" i="33"/>
  <c r="BC58" i="33" s="1"/>
  <c r="BB74" i="33"/>
  <c r="BL85" i="33"/>
  <c r="AU85" i="33" s="1"/>
  <c r="BH85" i="33"/>
  <c r="BD85" i="33"/>
  <c r="BG85" i="33"/>
  <c r="AV85" i="33" s="1"/>
  <c r="BJ85" i="33"/>
  <c r="AY85" i="33" s="1"/>
  <c r="BF85" i="33"/>
  <c r="BI85" i="33"/>
  <c r="AX85" i="33" s="1"/>
  <c r="BE85" i="33"/>
  <c r="BK85" i="33"/>
  <c r="AZ85" i="33" s="1"/>
  <c r="BB81" i="33"/>
  <c r="AU75" i="33"/>
  <c r="AZ82" i="33"/>
  <c r="BB78" i="33"/>
  <c r="AX69" i="33"/>
  <c r="AU69" i="33"/>
  <c r="AZ87" i="33"/>
  <c r="AW8" i="32"/>
  <c r="BB73" i="33"/>
  <c r="AA79" i="33"/>
  <c r="AP79" i="33" s="1"/>
  <c r="BH99" i="33"/>
  <c r="BL99" i="33"/>
  <c r="BJ99" i="33"/>
  <c r="BG99" i="33"/>
  <c r="BI99" i="33"/>
  <c r="BE99" i="33"/>
  <c r="BK99" i="33"/>
  <c r="AZ99" i="33" s="1"/>
  <c r="K99" i="33"/>
  <c r="AD99" i="33" s="1"/>
  <c r="AS99" i="33" s="1"/>
  <c r="J99" i="33"/>
  <c r="BD99" i="33"/>
  <c r="BF99" i="33"/>
  <c r="BK93" i="33"/>
  <c r="AZ93" i="33" s="1"/>
  <c r="BF93" i="33"/>
  <c r="BL93" i="33"/>
  <c r="AU93" i="33" s="1"/>
  <c r="AG14" i="32" s="1"/>
  <c r="BI93" i="33"/>
  <c r="BD93" i="33"/>
  <c r="BE93" i="33"/>
  <c r="BG93" i="33"/>
  <c r="BH93" i="33"/>
  <c r="BJ93" i="33"/>
  <c r="AA84" i="33"/>
  <c r="AP84" i="33" s="1"/>
  <c r="BM84" i="33" s="1"/>
  <c r="AZ81" i="33"/>
  <c r="BB72" i="33"/>
  <c r="AZ75" i="33"/>
  <c r="BB75" i="33"/>
  <c r="AA82" i="33"/>
  <c r="AP82" i="33" s="1"/>
  <c r="AZ78" i="33"/>
  <c r="BB69" i="33"/>
  <c r="BB83" i="33"/>
  <c r="BC83" i="33" s="1"/>
  <c r="BB79" i="33"/>
  <c r="BC79" i="33" s="1"/>
  <c r="AH3" i="87"/>
  <c r="AI3" i="87" s="1"/>
  <c r="AJ3" i="87" s="1"/>
  <c r="BB87" i="33"/>
  <c r="BA72" i="33"/>
  <c r="K616" i="34"/>
  <c r="I635" i="34"/>
  <c r="BA73" i="33"/>
  <c r="M330" i="34"/>
  <c r="AW87" i="33"/>
  <c r="AX87" i="33"/>
  <c r="AY87" i="33"/>
  <c r="AV87" i="33"/>
  <c r="BA80" i="33"/>
  <c r="AT22" i="31"/>
  <c r="M376" i="34"/>
  <c r="AU69" i="31" s="1"/>
  <c r="M340" i="34"/>
  <c r="M341" i="34" s="1"/>
  <c r="M352" i="34" s="1"/>
  <c r="L92" i="34"/>
  <c r="AU76" i="31" s="1"/>
  <c r="M29" i="34"/>
  <c r="AV72" i="31" s="1"/>
  <c r="F66" i="31"/>
  <c r="F60" i="31"/>
  <c r="AS15" i="31"/>
  <c r="N325" i="34"/>
  <c r="N167" i="34"/>
  <c r="N21" i="34"/>
  <c r="N22" i="34" s="1"/>
  <c r="P22" i="34" s="1"/>
  <c r="AJ22" i="31"/>
  <c r="N60" i="34"/>
  <c r="N61" i="34" s="1"/>
  <c r="N69" i="34" s="1"/>
  <c r="AW74" i="31" s="1"/>
  <c r="N125" i="34"/>
  <c r="N126" i="34" s="1"/>
  <c r="P126" i="34" s="1"/>
  <c r="N369" i="34"/>
  <c r="P369" i="34" s="1"/>
  <c r="AD36" i="32" s="1"/>
  <c r="L451" i="34"/>
  <c r="K541" i="34"/>
  <c r="BC62" i="33"/>
  <c r="K425" i="34"/>
  <c r="K406" i="34"/>
  <c r="L524" i="34"/>
  <c r="L534" i="34" s="1"/>
  <c r="L537" i="34" s="1"/>
  <c r="M523" i="34"/>
  <c r="M533" i="34" s="1"/>
  <c r="M604" i="34"/>
  <c r="M582" i="34"/>
  <c r="M593" i="34"/>
  <c r="L605" i="34"/>
  <c r="N631" i="34"/>
  <c r="P631" i="34" s="1"/>
  <c r="N629" i="34"/>
  <c r="P629" i="34" s="1"/>
  <c r="N623" i="34"/>
  <c r="N617" i="34"/>
  <c r="P617" i="34" s="1"/>
  <c r="N613" i="34"/>
  <c r="N606" i="34"/>
  <c r="P606" i="34" s="1"/>
  <c r="N592" i="34"/>
  <c r="P592" i="34" s="1"/>
  <c r="N628" i="34"/>
  <c r="P628" i="34" s="1"/>
  <c r="N618" i="34"/>
  <c r="P618" i="34" s="1"/>
  <c r="N578" i="34"/>
  <c r="P578" i="34" s="1"/>
  <c r="N560" i="34"/>
  <c r="N607" i="34"/>
  <c r="P607" i="34" s="1"/>
  <c r="N589" i="34"/>
  <c r="P589" i="34" s="1"/>
  <c r="N532" i="34"/>
  <c r="N522" i="34" s="1"/>
  <c r="N568" i="34"/>
  <c r="AK21" i="31" s="1"/>
  <c r="N559" i="34"/>
  <c r="N556" i="34"/>
  <c r="N546" i="34" s="1"/>
  <c r="N536" i="34"/>
  <c r="N535" i="34"/>
  <c r="N525" i="34"/>
  <c r="N632" i="34"/>
  <c r="P632" i="34" s="1"/>
  <c r="N614" i="34"/>
  <c r="P614" i="34" s="1"/>
  <c r="N591" i="34"/>
  <c r="P591" i="34" s="1"/>
  <c r="N583" i="34"/>
  <c r="N549" i="34"/>
  <c r="M622" i="34"/>
  <c r="M633" i="34"/>
  <c r="P547" i="34"/>
  <c r="M547" i="34"/>
  <c r="M557" i="34" s="1"/>
  <c r="M603" i="34"/>
  <c r="M566" i="34"/>
  <c r="L567" i="34"/>
  <c r="L548" i="34"/>
  <c r="L558" i="34" s="1"/>
  <c r="L561" i="34" s="1"/>
  <c r="M546" i="34"/>
  <c r="M522" i="34"/>
  <c r="P533" i="34"/>
  <c r="P523" i="34"/>
  <c r="N396" i="34"/>
  <c r="N432" i="34"/>
  <c r="N414" i="34"/>
  <c r="N411" i="34"/>
  <c r="P411" i="34" s="1"/>
  <c r="N393" i="34"/>
  <c r="P393" i="34" s="1"/>
  <c r="N410" i="34"/>
  <c r="P410" i="34" s="1"/>
  <c r="N392" i="34"/>
  <c r="N441" i="34"/>
  <c r="P441" i="34" s="1"/>
  <c r="N442" i="34"/>
  <c r="P442" i="34" s="1"/>
  <c r="N443" i="34"/>
  <c r="P443" i="34" s="1"/>
  <c r="M446" i="34"/>
  <c r="M445" i="34"/>
  <c r="M444" i="34"/>
  <c r="L453" i="34"/>
  <c r="L455" i="34" s="1"/>
  <c r="L423" i="34"/>
  <c r="N431" i="34"/>
  <c r="M399" i="34"/>
  <c r="M400" i="34"/>
  <c r="M398" i="34"/>
  <c r="M418" i="34"/>
  <c r="M91" i="34" s="1"/>
  <c r="M416" i="34"/>
  <c r="M435" i="34"/>
  <c r="M436" i="34"/>
  <c r="M434" i="34"/>
  <c r="N429" i="34"/>
  <c r="P429" i="34" s="1"/>
  <c r="L404" i="34"/>
  <c r="N413" i="34"/>
  <c r="N395" i="34"/>
  <c r="O375" i="34"/>
  <c r="O371" i="34"/>
  <c r="O357" i="34"/>
  <c r="O349" i="34"/>
  <c r="O327" i="34"/>
  <c r="O173" i="34"/>
  <c r="O372" i="34"/>
  <c r="O358" i="34"/>
  <c r="O354" i="34"/>
  <c r="O328" i="34"/>
  <c r="O316" i="34"/>
  <c r="O174" i="34"/>
  <c r="O374" i="34"/>
  <c r="O368" i="34"/>
  <c r="O356" i="34"/>
  <c r="O342" i="34"/>
  <c r="AK64" i="31" s="1"/>
  <c r="O326" i="34"/>
  <c r="O172" i="34"/>
  <c r="O164" i="34"/>
  <c r="O373" i="34"/>
  <c r="O355" i="34"/>
  <c r="O323" i="34"/>
  <c r="O169" i="34"/>
  <c r="O37" i="34"/>
  <c r="O363" i="34"/>
  <c r="O329" i="34"/>
  <c r="O171" i="34"/>
  <c r="O170" i="34"/>
  <c r="O39" i="34"/>
  <c r="O158" i="34"/>
  <c r="AK77" i="31" s="1"/>
  <c r="O38" i="34"/>
  <c r="O36" i="34"/>
  <c r="N420" i="34"/>
  <c r="P420" i="34" s="1"/>
  <c r="N405" i="34"/>
  <c r="P405" i="34" s="1"/>
  <c r="N424" i="34"/>
  <c r="P424" i="34" s="1"/>
  <c r="N419" i="34"/>
  <c r="N402" i="34"/>
  <c r="P402" i="34" s="1"/>
  <c r="N450" i="34"/>
  <c r="P450" i="34" s="1"/>
  <c r="N438" i="34"/>
  <c r="P438" i="34" s="1"/>
  <c r="N401" i="34"/>
  <c r="P401" i="34" s="1"/>
  <c r="N449" i="34"/>
  <c r="P449" i="34" s="1"/>
  <c r="N315" i="34"/>
  <c r="M68" i="31" s="1"/>
  <c r="C68" i="31" s="1"/>
  <c r="L378" i="34"/>
  <c r="L382" i="34" s="1"/>
  <c r="O380" i="34"/>
  <c r="O334" i="34"/>
  <c r="N288" i="34"/>
  <c r="P288" i="34" s="1"/>
  <c r="N294" i="34"/>
  <c r="AW83" i="31" s="1"/>
  <c r="N362" i="34"/>
  <c r="P362" i="34" s="1"/>
  <c r="G36" i="32" s="1"/>
  <c r="N339" i="34"/>
  <c r="N265" i="34"/>
  <c r="M63" i="31" s="1"/>
  <c r="K78" i="31"/>
  <c r="M76" i="31"/>
  <c r="N50" i="34"/>
  <c r="P50" i="34" s="1"/>
  <c r="G40" i="32" s="1"/>
  <c r="N40" i="34"/>
  <c r="N32" i="34"/>
  <c r="O44" i="34"/>
  <c r="O179" i="34"/>
  <c r="O107" i="34"/>
  <c r="N115" i="34"/>
  <c r="P115" i="34" s="1"/>
  <c r="N157" i="34"/>
  <c r="N11" i="34"/>
  <c r="N95" i="34"/>
  <c r="M82" i="31" s="1"/>
  <c r="AR78" i="31"/>
  <c r="L234" i="34"/>
  <c r="AT65" i="31" s="1"/>
  <c r="N185" i="34"/>
  <c r="N189" i="34"/>
  <c r="P189" i="34" s="1"/>
  <c r="N186" i="34"/>
  <c r="N197" i="34" s="1"/>
  <c r="P197" i="34" s="1"/>
  <c r="M219" i="34"/>
  <c r="N227" i="34"/>
  <c r="P227" i="34" s="1"/>
  <c r="N209" i="34"/>
  <c r="P209" i="34" s="1"/>
  <c r="N213" i="34"/>
  <c r="O190" i="34"/>
  <c r="O200" i="34" s="1"/>
  <c r="O196" i="34"/>
  <c r="O218" i="34"/>
  <c r="O217" i="34"/>
  <c r="O220" i="34"/>
  <c r="O231" i="34"/>
  <c r="O210" i="34"/>
  <c r="AK65" i="31" s="1"/>
  <c r="O238" i="34"/>
  <c r="O202" i="34"/>
  <c r="O221" i="34"/>
  <c r="M187" i="34"/>
  <c r="M198" i="34" s="1"/>
  <c r="M199" i="34" s="1"/>
  <c r="M201" i="34" s="1"/>
  <c r="M204" i="34" s="1"/>
  <c r="N232" i="34"/>
  <c r="L507" i="34"/>
  <c r="P507" i="34" s="1"/>
  <c r="P494" i="34"/>
  <c r="AI70" i="31"/>
  <c r="M481" i="34"/>
  <c r="M461" i="34"/>
  <c r="M474" i="34" s="1"/>
  <c r="O385" i="34"/>
  <c r="O5" i="34"/>
  <c r="N511" i="34"/>
  <c r="N476" i="34"/>
  <c r="N470" i="34"/>
  <c r="N508" i="34"/>
  <c r="N505" i="34"/>
  <c r="N495" i="34"/>
  <c r="N485" i="34"/>
  <c r="N479" i="34"/>
  <c r="N463" i="34"/>
  <c r="N454" i="34"/>
  <c r="P454" i="34" s="1"/>
  <c r="N502" i="34"/>
  <c r="N473" i="34"/>
  <c r="N460" i="34" s="1"/>
  <c r="L77" i="31"/>
  <c r="L474" i="34"/>
  <c r="L478" i="34" s="1"/>
  <c r="L480" i="34" s="1"/>
  <c r="L482" i="34" s="1"/>
  <c r="P461" i="34"/>
  <c r="AI78" i="31"/>
  <c r="M492" i="34"/>
  <c r="M509" i="34" s="1"/>
  <c r="M460" i="34"/>
  <c r="M477" i="34" s="1"/>
  <c r="M493" i="34"/>
  <c r="M506" i="34" s="1"/>
  <c r="M513" i="34"/>
  <c r="L73" i="31"/>
  <c r="N501" i="34"/>
  <c r="N500" i="34"/>
  <c r="N469" i="34"/>
  <c r="N468" i="34"/>
  <c r="N386" i="34"/>
  <c r="L72" i="31"/>
  <c r="L506" i="34"/>
  <c r="P506" i="34" s="1"/>
  <c r="P493" i="34"/>
  <c r="P462" i="34"/>
  <c r="BM73" i="33"/>
  <c r="BN73" i="33"/>
  <c r="BM76" i="33"/>
  <c r="BM77" i="33"/>
  <c r="BN75" i="33"/>
  <c r="BC59" i="33"/>
  <c r="C104" i="33"/>
  <c r="C105" i="33"/>
  <c r="BM74" i="33"/>
  <c r="BM75" i="33"/>
  <c r="BN80" i="33"/>
  <c r="BN79" i="33"/>
  <c r="BM103" i="33"/>
  <c r="AX103" i="33"/>
  <c r="AW103" i="33"/>
  <c r="AV103" i="33"/>
  <c r="AY103" i="33"/>
  <c r="BN83" i="33"/>
  <c r="BM87" i="33"/>
  <c r="BN78" i="33"/>
  <c r="BM78" i="33"/>
  <c r="BM81" i="33"/>
  <c r="BN81" i="33"/>
  <c r="BN72" i="33"/>
  <c r="BM72" i="33"/>
  <c r="BN84" i="33"/>
  <c r="BM80" i="33"/>
  <c r="C109" i="33"/>
  <c r="C110" i="33" s="1"/>
  <c r="C107" i="33"/>
  <c r="C106" i="33"/>
  <c r="C112" i="33"/>
  <c r="AO78" i="31"/>
  <c r="AQ78" i="31"/>
  <c r="AN70" i="31"/>
  <c r="AP70" i="31"/>
  <c r="AO70" i="31"/>
  <c r="AN78" i="31"/>
  <c r="AP78" i="31"/>
  <c r="AM70" i="31"/>
  <c r="AL70" i="31"/>
  <c r="AL90" i="31" s="1"/>
  <c r="AQ70" i="31"/>
  <c r="AM78" i="31"/>
  <c r="I487" i="34"/>
  <c r="G201" i="6" l="1"/>
  <c r="AC94" i="33"/>
  <c r="AR94" i="33" s="1"/>
  <c r="N15" i="32"/>
  <c r="AC97" i="33"/>
  <c r="N17" i="32"/>
  <c r="AE97" i="33"/>
  <c r="AT97" i="33" s="1"/>
  <c r="AT168" i="33" s="1"/>
  <c r="P18" i="32"/>
  <c r="G318" i="6" s="1"/>
  <c r="N18" i="32"/>
  <c r="G317" i="6" s="1"/>
  <c r="AW82" i="31"/>
  <c r="AI90" i="31"/>
  <c r="AW19" i="32"/>
  <c r="BN77" i="33"/>
  <c r="AX17" i="32"/>
  <c r="L46" i="32"/>
  <c r="L168" i="33"/>
  <c r="L170" i="33"/>
  <c r="AF18" i="32"/>
  <c r="C63" i="31"/>
  <c r="J332" i="34"/>
  <c r="AK67" i="31"/>
  <c r="O308" i="34"/>
  <c r="O313" i="34" s="1"/>
  <c r="O579" i="34"/>
  <c r="O428" i="34"/>
  <c r="O517" i="34"/>
  <c r="O588" i="34"/>
  <c r="AK75" i="31"/>
  <c r="E75" i="31" s="1"/>
  <c r="O147" i="34"/>
  <c r="O148" i="34" s="1"/>
  <c r="O155" i="34" s="1"/>
  <c r="E74" i="31"/>
  <c r="E63" i="31"/>
  <c r="O83" i="34"/>
  <c r="O84" i="34" s="1"/>
  <c r="AK76" i="31"/>
  <c r="AX90" i="31"/>
  <c r="AX91" i="31" s="1"/>
  <c r="P315" i="34"/>
  <c r="M69" i="34"/>
  <c r="AV74" i="31" s="1"/>
  <c r="P61" i="34"/>
  <c r="Z70" i="31"/>
  <c r="D70" i="31" s="1"/>
  <c r="D62" i="31"/>
  <c r="J28" i="32" s="1"/>
  <c r="J204" i="34"/>
  <c r="P186" i="34"/>
  <c r="P83" i="34"/>
  <c r="P125" i="34"/>
  <c r="N340" i="34"/>
  <c r="N351" i="34" s="1"/>
  <c r="P339" i="34"/>
  <c r="P95" i="34"/>
  <c r="M72" i="31"/>
  <c r="C72" i="31" s="1"/>
  <c r="P11" i="34"/>
  <c r="M81" i="31"/>
  <c r="P32" i="34"/>
  <c r="P265" i="34"/>
  <c r="I382" i="34"/>
  <c r="P60" i="34"/>
  <c r="AD40" i="32" s="1"/>
  <c r="N168" i="34"/>
  <c r="P168" i="34" s="1"/>
  <c r="P167" i="34"/>
  <c r="M267" i="34"/>
  <c r="M279" i="34" s="1"/>
  <c r="P266" i="34"/>
  <c r="N29" i="32" s="1"/>
  <c r="G121" i="6" s="1"/>
  <c r="P294" i="34"/>
  <c r="M60" i="31"/>
  <c r="J66" i="6" s="1"/>
  <c r="P185" i="34"/>
  <c r="M77" i="31"/>
  <c r="C77" i="31" s="1"/>
  <c r="P157" i="34"/>
  <c r="G41" i="32" s="1"/>
  <c r="AV81" i="31"/>
  <c r="AV85" i="31" s="1"/>
  <c r="P40" i="34"/>
  <c r="N330" i="34"/>
  <c r="AV68" i="31" s="1"/>
  <c r="P325" i="34"/>
  <c r="P21" i="34"/>
  <c r="AE100" i="33"/>
  <c r="AT100" i="33" s="1"/>
  <c r="L171" i="33"/>
  <c r="K172" i="33"/>
  <c r="AE98" i="33"/>
  <c r="AT98" i="33" s="1"/>
  <c r="J101" i="33"/>
  <c r="K9" i="32" s="1"/>
  <c r="H101" i="33"/>
  <c r="L101" i="33"/>
  <c r="L169" i="33"/>
  <c r="AU16" i="31"/>
  <c r="M177" i="34"/>
  <c r="BA69" i="33"/>
  <c r="BC69" i="33" s="1"/>
  <c r="AD98" i="33"/>
  <c r="AS98" i="33" s="1"/>
  <c r="BN98" i="33" s="1"/>
  <c r="P409" i="34"/>
  <c r="N417" i="34"/>
  <c r="K512" i="34"/>
  <c r="K514" i="34" s="1"/>
  <c r="F61" i="31" s="1"/>
  <c r="J519" i="34"/>
  <c r="J512" i="34"/>
  <c r="O243" i="34"/>
  <c r="O244" i="34" s="1"/>
  <c r="O245" i="34" s="1"/>
  <c r="G17" i="32"/>
  <c r="BA77" i="33"/>
  <c r="BC77" i="33" s="1"/>
  <c r="AW17" i="32"/>
  <c r="AL18" i="32"/>
  <c r="AD96" i="33"/>
  <c r="AS96" i="33" s="1"/>
  <c r="BN96" i="33" s="1"/>
  <c r="AX18" i="32"/>
  <c r="AW18" i="32"/>
  <c r="AL12" i="32"/>
  <c r="BA90" i="31"/>
  <c r="BA91" i="31" s="1"/>
  <c r="AL38" i="32"/>
  <c r="P474" i="34"/>
  <c r="P478" i="34"/>
  <c r="AZ90" i="31"/>
  <c r="AZ91" i="31" s="1"/>
  <c r="J482" i="34"/>
  <c r="P480" i="34"/>
  <c r="AH38" i="32"/>
  <c r="I22" i="7"/>
  <c r="BC90" i="31"/>
  <c r="BC91" i="31" s="1"/>
  <c r="BA83" i="33"/>
  <c r="BA76" i="33"/>
  <c r="BC76" i="33" s="1"/>
  <c r="AX12" i="32"/>
  <c r="AL15" i="32"/>
  <c r="AW12" i="32"/>
  <c r="AX11" i="32"/>
  <c r="AL19" i="32"/>
  <c r="H171" i="33"/>
  <c r="M42" i="34"/>
  <c r="I18" i="7"/>
  <c r="BA82" i="33"/>
  <c r="AR97" i="33"/>
  <c r="BN97" i="33" s="1"/>
  <c r="K158" i="33"/>
  <c r="L13" i="32"/>
  <c r="L18" i="32"/>
  <c r="K171" i="33"/>
  <c r="L8" i="32"/>
  <c r="L12" i="32"/>
  <c r="L16" i="32"/>
  <c r="L9" i="32"/>
  <c r="L10" i="32"/>
  <c r="L17" i="32"/>
  <c r="K159" i="33"/>
  <c r="K166" i="33"/>
  <c r="K170" i="33"/>
  <c r="L11" i="32"/>
  <c r="L15" i="32"/>
  <c r="L19" i="32"/>
  <c r="K165" i="33"/>
  <c r="L20" i="32"/>
  <c r="K164" i="33"/>
  <c r="L22" i="32"/>
  <c r="L14" i="32"/>
  <c r="K161" i="33"/>
  <c r="K162" i="33"/>
  <c r="BA79" i="33"/>
  <c r="AA98" i="33"/>
  <c r="AP98" i="33" s="1"/>
  <c r="BM98" i="33" s="1"/>
  <c r="K168" i="33"/>
  <c r="J168" i="33"/>
  <c r="K163" i="33"/>
  <c r="K160" i="33"/>
  <c r="E73" i="31"/>
  <c r="L85" i="31"/>
  <c r="AT70" i="31"/>
  <c r="AU85" i="31"/>
  <c r="O450" i="34"/>
  <c r="O441" i="34"/>
  <c r="O449" i="34"/>
  <c r="O438" i="34"/>
  <c r="O443" i="34"/>
  <c r="O437" i="34"/>
  <c r="O442" i="34"/>
  <c r="O429" i="34"/>
  <c r="O637" i="34"/>
  <c r="O597" i="34"/>
  <c r="AI38" i="32"/>
  <c r="AU38" i="31"/>
  <c r="AC41" i="32"/>
  <c r="AI91" i="31"/>
  <c r="AI42" i="32"/>
  <c r="AM42" i="32" s="1"/>
  <c r="BA108" i="33"/>
  <c r="N603" i="34"/>
  <c r="P603" i="34" s="1"/>
  <c r="P613" i="34"/>
  <c r="P419" i="34"/>
  <c r="AK16" i="31"/>
  <c r="E16" i="31" s="1"/>
  <c r="P392" i="34"/>
  <c r="L616" i="34"/>
  <c r="L619" i="34" s="1"/>
  <c r="L635" i="34" s="1"/>
  <c r="L639" i="34" s="1"/>
  <c r="M615" i="34"/>
  <c r="P568" i="34"/>
  <c r="M83" i="31"/>
  <c r="C83" i="31" s="1"/>
  <c r="F135" i="6" s="1"/>
  <c r="N630" i="34"/>
  <c r="P630" i="34" s="1"/>
  <c r="P623" i="34"/>
  <c r="AK69" i="31"/>
  <c r="E69" i="31" s="1"/>
  <c r="M92" i="34"/>
  <c r="AV76" i="31" s="1"/>
  <c r="L105" i="34"/>
  <c r="N370" i="34"/>
  <c r="P370" i="34" s="1"/>
  <c r="E22" i="7"/>
  <c r="M576" i="34"/>
  <c r="N590" i="34"/>
  <c r="P590" i="34" s="1"/>
  <c r="P583" i="34"/>
  <c r="I639" i="34"/>
  <c r="AU68" i="31"/>
  <c r="AD91" i="33"/>
  <c r="AS91" i="33" s="1"/>
  <c r="BN91" i="33" s="1"/>
  <c r="AX19" i="32"/>
  <c r="BC108" i="33"/>
  <c r="AD95" i="33"/>
  <c r="AS95" i="33" s="1"/>
  <c r="BN95" i="33" s="1"/>
  <c r="AD89" i="33"/>
  <c r="AS89" i="33" s="1"/>
  <c r="BA74" i="33"/>
  <c r="BC74" i="33" s="1"/>
  <c r="AW11" i="32"/>
  <c r="AC92" i="33"/>
  <c r="AR92" i="33" s="1"/>
  <c r="AW15" i="32"/>
  <c r="BA81" i="33"/>
  <c r="BC81" i="33" s="1"/>
  <c r="AD88" i="33"/>
  <c r="AS88" i="33" s="1"/>
  <c r="BN88" i="33" s="1"/>
  <c r="BA84" i="33"/>
  <c r="BC84" i="33" s="1"/>
  <c r="BA75" i="33"/>
  <c r="BC75" i="33" s="1"/>
  <c r="AC99" i="33"/>
  <c r="AR99" i="33" s="1"/>
  <c r="BN99" i="33" s="1"/>
  <c r="AX22" i="32"/>
  <c r="AG19" i="32"/>
  <c r="AW10" i="32"/>
  <c r="AW13" i="32"/>
  <c r="H165" i="33"/>
  <c r="AD94" i="33"/>
  <c r="AS94" i="33" s="1"/>
  <c r="BN94" i="33" s="1"/>
  <c r="AD100" i="33"/>
  <c r="AS100" i="33" s="1"/>
  <c r="AC89" i="33"/>
  <c r="AR89" i="33" s="1"/>
  <c r="G15" i="32"/>
  <c r="BM79" i="33"/>
  <c r="BA78" i="33"/>
  <c r="BC78" i="33" s="1"/>
  <c r="BN85" i="33"/>
  <c r="BM82" i="33"/>
  <c r="BN93" i="33"/>
  <c r="AA99" i="33"/>
  <c r="AP99" i="33" s="1"/>
  <c r="BM99" i="33" s="1"/>
  <c r="I35" i="7"/>
  <c r="I36" i="7" s="1"/>
  <c r="J294" i="6"/>
  <c r="G27" i="5" s="1"/>
  <c r="AZ88" i="33"/>
  <c r="AW9" i="32"/>
  <c r="BB100" i="33"/>
  <c r="AU94" i="33"/>
  <c r="AG15" i="32" s="1"/>
  <c r="AX15" i="32"/>
  <c r="AW14" i="32"/>
  <c r="AX13" i="32"/>
  <c r="AU89" i="33"/>
  <c r="AG10" i="32" s="1"/>
  <c r="AX10" i="32"/>
  <c r="B27" i="81"/>
  <c r="J316" i="6"/>
  <c r="AZ95" i="33"/>
  <c r="AW16" i="32"/>
  <c r="AZ100" i="33"/>
  <c r="AW22" i="32"/>
  <c r="G20" i="32"/>
  <c r="F347" i="6" s="1"/>
  <c r="BM69" i="33"/>
  <c r="AG12" i="32"/>
  <c r="BC53" i="33"/>
  <c r="AG13" i="32"/>
  <c r="AU99" i="33"/>
  <c r="AG20" i="32" s="1"/>
  <c r="AX20" i="32"/>
  <c r="BM85" i="33"/>
  <c r="BB85" i="33"/>
  <c r="AA95" i="33"/>
  <c r="AP95" i="33" s="1"/>
  <c r="BM95" i="33" s="1"/>
  <c r="AU88" i="33"/>
  <c r="AX9" i="32"/>
  <c r="BJ101" i="33"/>
  <c r="AV46" i="32" s="1"/>
  <c r="BF101" i="33"/>
  <c r="BD101" i="33"/>
  <c r="BI101" i="33"/>
  <c r="BE101" i="33"/>
  <c r="BE173" i="33" s="1"/>
  <c r="BL101" i="33"/>
  <c r="BH101" i="33"/>
  <c r="AT46" i="32" s="1"/>
  <c r="BK101" i="33"/>
  <c r="BG101" i="33"/>
  <c r="AS46" i="32" s="1"/>
  <c r="AW20" i="32"/>
  <c r="AA96" i="33"/>
  <c r="AP96" i="33" s="1"/>
  <c r="AA97" i="33"/>
  <c r="AP97" i="33" s="1"/>
  <c r="BM97" i="33" s="1"/>
  <c r="J328" i="6"/>
  <c r="G29" i="5" s="1"/>
  <c r="I38" i="7"/>
  <c r="I39" i="7" s="1"/>
  <c r="AW85" i="33"/>
  <c r="BA85" i="33" s="1"/>
  <c r="AU95" i="33"/>
  <c r="AG16" i="32" s="1"/>
  <c r="AX16" i="32"/>
  <c r="AL20" i="32"/>
  <c r="AX14" i="32"/>
  <c r="AK3" i="87"/>
  <c r="AL3" i="87" s="1"/>
  <c r="AM3" i="87" s="1"/>
  <c r="D14" i="7"/>
  <c r="BB94" i="33"/>
  <c r="BB98" i="33"/>
  <c r="BC98" i="33" s="1"/>
  <c r="M74" i="31"/>
  <c r="C74" i="31" s="1"/>
  <c r="BA87" i="33"/>
  <c r="BC87" i="33" s="1"/>
  <c r="BB93" i="33"/>
  <c r="BB99" i="33"/>
  <c r="BC99" i="33" s="1"/>
  <c r="BB97" i="33"/>
  <c r="BB95" i="33"/>
  <c r="BC95" i="33" s="1"/>
  <c r="BB88" i="33"/>
  <c r="BB96" i="33"/>
  <c r="BB92" i="33"/>
  <c r="BB91" i="33"/>
  <c r="BB90" i="33"/>
  <c r="BB89" i="33"/>
  <c r="AH41" i="32"/>
  <c r="L577" i="34"/>
  <c r="K619" i="34"/>
  <c r="AO42" i="32"/>
  <c r="AI41" i="32"/>
  <c r="M351" i="34"/>
  <c r="M278" i="34"/>
  <c r="P278" i="34" s="1"/>
  <c r="O339" i="34"/>
  <c r="O340" i="34" s="1"/>
  <c r="J336" i="34"/>
  <c r="A1" i="34"/>
  <c r="AW99" i="33"/>
  <c r="AV97" i="33"/>
  <c r="AX91" i="33"/>
  <c r="AW90" i="33"/>
  <c r="AY99" i="33"/>
  <c r="AV94" i="33"/>
  <c r="AX95" i="33"/>
  <c r="AY94" i="33"/>
  <c r="AY95" i="33"/>
  <c r="AY98" i="33"/>
  <c r="AV100" i="33"/>
  <c r="AW100" i="33"/>
  <c r="AY88" i="33"/>
  <c r="AW91" i="33"/>
  <c r="AY91" i="33"/>
  <c r="AW92" i="33"/>
  <c r="AY90" i="33"/>
  <c r="AY93" i="33"/>
  <c r="AW93" i="33"/>
  <c r="AV99" i="33"/>
  <c r="AV98" i="33"/>
  <c r="AW96" i="33"/>
  <c r="AY92" i="33"/>
  <c r="AW94" i="33"/>
  <c r="AW95" i="33"/>
  <c r="AW98" i="33"/>
  <c r="AW88" i="33"/>
  <c r="AY96" i="33"/>
  <c r="AX92" i="33"/>
  <c r="AX90" i="33"/>
  <c r="AX93" i="33"/>
  <c r="AW89" i="33"/>
  <c r="AV95" i="33"/>
  <c r="AX88" i="33"/>
  <c r="AW97" i="33"/>
  <c r="AV92" i="33"/>
  <c r="AY89" i="33"/>
  <c r="AX99" i="33"/>
  <c r="AX94" i="33"/>
  <c r="AY97" i="33"/>
  <c r="AX97" i="33"/>
  <c r="AX98" i="33"/>
  <c r="AX100" i="33"/>
  <c r="AY100" i="33"/>
  <c r="AV88" i="33"/>
  <c r="AV96" i="33"/>
  <c r="AX96" i="33"/>
  <c r="AV91" i="33"/>
  <c r="AV90" i="33"/>
  <c r="AV93" i="33"/>
  <c r="AX89" i="33"/>
  <c r="AV89" i="33"/>
  <c r="AV38" i="31"/>
  <c r="N133" i="34"/>
  <c r="AU22" i="31"/>
  <c r="N29" i="34"/>
  <c r="AW72" i="31" s="1"/>
  <c r="O21" i="34"/>
  <c r="K599" i="34"/>
  <c r="AK22" i="31"/>
  <c r="E22" i="31" s="1"/>
  <c r="AT15" i="31"/>
  <c r="O60" i="34"/>
  <c r="O167" i="34"/>
  <c r="O168" i="34" s="1"/>
  <c r="O125" i="34"/>
  <c r="M451" i="34"/>
  <c r="O369" i="34"/>
  <c r="O325" i="34"/>
  <c r="M439" i="34"/>
  <c r="N523" i="34"/>
  <c r="N533" i="34" s="1"/>
  <c r="AK15" i="31"/>
  <c r="E15" i="31" s="1"/>
  <c r="L406" i="34"/>
  <c r="L425" i="34"/>
  <c r="AT78" i="31" s="1"/>
  <c r="P548" i="34"/>
  <c r="M524" i="34"/>
  <c r="M534" i="34" s="1"/>
  <c r="M537" i="34" s="1"/>
  <c r="N582" i="34"/>
  <c r="P582" i="34" s="1"/>
  <c r="P558" i="34"/>
  <c r="M567" i="34"/>
  <c r="M577" i="34" s="1"/>
  <c r="M548" i="34"/>
  <c r="M558" i="34" s="1"/>
  <c r="M561" i="34" s="1"/>
  <c r="N566" i="34"/>
  <c r="N576" i="34" s="1"/>
  <c r="N604" i="34"/>
  <c r="N615" i="34" s="1"/>
  <c r="O592" i="34"/>
  <c r="O589" i="34"/>
  <c r="O583" i="34"/>
  <c r="O590" i="34" s="1"/>
  <c r="O578" i="34"/>
  <c r="O560" i="34"/>
  <c r="O556" i="34"/>
  <c r="O546" i="34" s="1"/>
  <c r="O549" i="34"/>
  <c r="O535" i="34"/>
  <c r="O525" i="34"/>
  <c r="O632" i="34"/>
  <c r="O628" i="34"/>
  <c r="O618" i="34"/>
  <c r="O614" i="34"/>
  <c r="O607" i="34"/>
  <c r="O568" i="34"/>
  <c r="O559" i="34"/>
  <c r="O536" i="34"/>
  <c r="O591" i="34"/>
  <c r="O631" i="34"/>
  <c r="O629" i="34"/>
  <c r="O613" i="34"/>
  <c r="O603" i="34" s="1"/>
  <c r="O606" i="34"/>
  <c r="O532" i="34"/>
  <c r="O522" i="34" s="1"/>
  <c r="O623" i="34"/>
  <c r="O630" i="34" s="1"/>
  <c r="O617" i="34"/>
  <c r="N547" i="34"/>
  <c r="N557" i="34" s="1"/>
  <c r="N565" i="34"/>
  <c r="M605" i="34"/>
  <c r="M616" i="34" s="1"/>
  <c r="N622" i="34"/>
  <c r="P622" i="34" s="1"/>
  <c r="L541" i="34"/>
  <c r="P561" i="34"/>
  <c r="O265" i="34"/>
  <c r="P534" i="34"/>
  <c r="P524" i="34"/>
  <c r="P537" i="34"/>
  <c r="I541" i="34"/>
  <c r="N445" i="34"/>
  <c r="N444" i="34"/>
  <c r="N446" i="34"/>
  <c r="O432" i="34"/>
  <c r="O414" i="34"/>
  <c r="O396" i="34"/>
  <c r="O411" i="34"/>
  <c r="O393" i="34"/>
  <c r="O410" i="34"/>
  <c r="O392" i="34"/>
  <c r="O409" i="34"/>
  <c r="M453" i="34"/>
  <c r="M455" i="34" s="1"/>
  <c r="M423" i="34"/>
  <c r="M425" i="34" s="1"/>
  <c r="O431" i="34"/>
  <c r="N400" i="34"/>
  <c r="P400" i="34" s="1"/>
  <c r="N398" i="34"/>
  <c r="P398" i="34" s="1"/>
  <c r="N399" i="34"/>
  <c r="P399" i="34" s="1"/>
  <c r="N418" i="34"/>
  <c r="N91" i="34" s="1"/>
  <c r="P91" i="34" s="1"/>
  <c r="N416" i="34"/>
  <c r="N435" i="34"/>
  <c r="N436" i="34"/>
  <c r="N434" i="34"/>
  <c r="M404" i="34"/>
  <c r="O413" i="34"/>
  <c r="O395" i="34"/>
  <c r="O424" i="34"/>
  <c r="O419" i="34"/>
  <c r="O421" i="34"/>
  <c r="O420" i="34"/>
  <c r="O405" i="34"/>
  <c r="O402" i="34"/>
  <c r="O401" i="34"/>
  <c r="O362" i="34"/>
  <c r="O315" i="34"/>
  <c r="O288" i="34"/>
  <c r="O294" i="34"/>
  <c r="N267" i="34"/>
  <c r="N219" i="34"/>
  <c r="O50" i="34"/>
  <c r="O103" i="34"/>
  <c r="O95" i="34"/>
  <c r="O11" i="34"/>
  <c r="O157" i="34"/>
  <c r="O73" i="34"/>
  <c r="O115" i="34"/>
  <c r="M181" i="34"/>
  <c r="O40" i="34"/>
  <c r="O32" i="34"/>
  <c r="C76" i="31"/>
  <c r="O232" i="34"/>
  <c r="O227" i="34"/>
  <c r="P231" i="34"/>
  <c r="M223" i="34"/>
  <c r="L236" i="34"/>
  <c r="L240" i="34" s="1"/>
  <c r="O185" i="34"/>
  <c r="O209" i="34"/>
  <c r="O213" i="34"/>
  <c r="O219" i="34" s="1"/>
  <c r="O186" i="34"/>
  <c r="O197" i="34" s="1"/>
  <c r="O189" i="34"/>
  <c r="N187" i="34"/>
  <c r="C62" i="31"/>
  <c r="L70" i="31"/>
  <c r="L487" i="34"/>
  <c r="AJ78" i="31"/>
  <c r="L510" i="34"/>
  <c r="P510" i="34" s="1"/>
  <c r="N481" i="34"/>
  <c r="N461" i="34"/>
  <c r="N474" i="34" s="1"/>
  <c r="M69" i="31"/>
  <c r="L78" i="31"/>
  <c r="M494" i="34"/>
  <c r="M507" i="34" s="1"/>
  <c r="M510" i="34" s="1"/>
  <c r="N477" i="34"/>
  <c r="N492" i="34"/>
  <c r="N509" i="34" s="1"/>
  <c r="O469" i="34"/>
  <c r="O386" i="34"/>
  <c r="O501" i="34"/>
  <c r="O500" i="34"/>
  <c r="O468" i="34"/>
  <c r="E62" i="31"/>
  <c r="M462" i="34"/>
  <c r="M475" i="34" s="1"/>
  <c r="M478" i="34" s="1"/>
  <c r="M480" i="34" s="1"/>
  <c r="M482" i="34" s="1"/>
  <c r="M487" i="34" s="1"/>
  <c r="N513" i="34"/>
  <c r="N493" i="34"/>
  <c r="N506" i="34" s="1"/>
  <c r="M73" i="31"/>
  <c r="C73" i="31" s="1"/>
  <c r="O508" i="34"/>
  <c r="O502" i="34"/>
  <c r="O485" i="34"/>
  <c r="O473" i="34"/>
  <c r="O460" i="34" s="1"/>
  <c r="O463" i="34"/>
  <c r="O505" i="34"/>
  <c r="O476" i="34"/>
  <c r="O470" i="34"/>
  <c r="O511" i="34"/>
  <c r="O479" i="34"/>
  <c r="O454" i="34"/>
  <c r="O495" i="34"/>
  <c r="AJ70" i="31"/>
  <c r="BM92" i="33"/>
  <c r="BN90" i="33"/>
  <c r="BM89" i="33"/>
  <c r="C118" i="33"/>
  <c r="C114" i="33"/>
  <c r="C115" i="33"/>
  <c r="C117" i="33"/>
  <c r="C116" i="33"/>
  <c r="AY105" i="33"/>
  <c r="BN105" i="33"/>
  <c r="AX105" i="33"/>
  <c r="AV105" i="33"/>
  <c r="AW105" i="33"/>
  <c r="AW104" i="33"/>
  <c r="AV104" i="33"/>
  <c r="AY104" i="33"/>
  <c r="AX104" i="33"/>
  <c r="BN104" i="33"/>
  <c r="BM91" i="33"/>
  <c r="BM90" i="33"/>
  <c r="BM93" i="33"/>
  <c r="BC73" i="33"/>
  <c r="BC72" i="33"/>
  <c r="BC80" i="33"/>
  <c r="AE14" i="32"/>
  <c r="AV109" i="33"/>
  <c r="AD109" i="33"/>
  <c r="AS109" i="33" s="1"/>
  <c r="AC109" i="33"/>
  <c r="AR109" i="33" s="1"/>
  <c r="AP109" i="33"/>
  <c r="AW109" i="33"/>
  <c r="AX109" i="33"/>
  <c r="AY109" i="33"/>
  <c r="BM100" i="33"/>
  <c r="AC103" i="33"/>
  <c r="AR103" i="33" s="1"/>
  <c r="AC112" i="33"/>
  <c r="AR112" i="33" s="1"/>
  <c r="AW112" i="33"/>
  <c r="AV112" i="33"/>
  <c r="AD112" i="33"/>
  <c r="AS112" i="33" s="1"/>
  <c r="AD103" i="33"/>
  <c r="AS103" i="33" s="1"/>
  <c r="AW106" i="33"/>
  <c r="AS106" i="33"/>
  <c r="AV106" i="33"/>
  <c r="AR106" i="33"/>
  <c r="AX106" i="33"/>
  <c r="AY106" i="33"/>
  <c r="AW107" i="33"/>
  <c r="AY107" i="33"/>
  <c r="AD107" i="33"/>
  <c r="AS107" i="33" s="1"/>
  <c r="AP107" i="33"/>
  <c r="AV107" i="33"/>
  <c r="AX107" i="33"/>
  <c r="BM94" i="33"/>
  <c r="BM88" i="33"/>
  <c r="AQ10" i="33"/>
  <c r="AT18" i="33"/>
  <c r="AS19" i="33"/>
  <c r="AS170" i="33" s="1"/>
  <c r="AT11" i="33"/>
  <c r="AP11" i="33"/>
  <c r="AS9" i="33"/>
  <c r="AT10" i="33"/>
  <c r="AS18" i="33"/>
  <c r="AS10" i="33"/>
  <c r="AP19" i="33"/>
  <c r="AR10" i="33"/>
  <c r="AR18" i="33"/>
  <c r="AR169" i="33" s="1"/>
  <c r="AT12" i="33"/>
  <c r="AQ11" i="33"/>
  <c r="AR19" i="33"/>
  <c r="AQ19" i="33"/>
  <c r="AP18" i="33"/>
  <c r="AR9" i="33"/>
  <c r="AQ18" i="33"/>
  <c r="C113" i="33"/>
  <c r="C119" i="33"/>
  <c r="C121" i="33"/>
  <c r="AP10" i="33"/>
  <c r="AQ12" i="33"/>
  <c r="AS11" i="33"/>
  <c r="AP12" i="33"/>
  <c r="AT19" i="33"/>
  <c r="AT9" i="33"/>
  <c r="AS12" i="33"/>
  <c r="AO90" i="31"/>
  <c r="AO91" i="31" s="1"/>
  <c r="AQ90" i="31"/>
  <c r="AQ91" i="31" s="1"/>
  <c r="AN90" i="31"/>
  <c r="AN91" i="31" s="1"/>
  <c r="AM90" i="31"/>
  <c r="AM91" i="31" s="1"/>
  <c r="AL91" i="31"/>
  <c r="AP90" i="31"/>
  <c r="AP91" i="31" s="1"/>
  <c r="BH51" i="31"/>
  <c r="BH75" i="31" l="1"/>
  <c r="G155" i="6"/>
  <c r="F119" i="6"/>
  <c r="M22" i="32"/>
  <c r="G271" i="6" s="1"/>
  <c r="J271" i="6" s="1"/>
  <c r="M20" i="32"/>
  <c r="M46" i="32"/>
  <c r="G239" i="6" s="1"/>
  <c r="J239" i="6" s="1"/>
  <c r="M19" i="32"/>
  <c r="H172" i="33"/>
  <c r="H176" i="33" s="1"/>
  <c r="G8" i="32"/>
  <c r="H160" i="33"/>
  <c r="G10" i="32"/>
  <c r="J318" i="6"/>
  <c r="G38" i="32"/>
  <c r="G349" i="6"/>
  <c r="AA12" i="32"/>
  <c r="AP162" i="33"/>
  <c r="P133" i="34"/>
  <c r="AW73" i="31"/>
  <c r="N175" i="34"/>
  <c r="P175" i="34" s="1"/>
  <c r="C60" i="31"/>
  <c r="N223" i="34"/>
  <c r="P219" i="34"/>
  <c r="P29" i="34"/>
  <c r="J236" i="34"/>
  <c r="J240" i="34" s="1"/>
  <c r="N341" i="34"/>
  <c r="P340" i="34"/>
  <c r="AS70" i="31"/>
  <c r="N198" i="34"/>
  <c r="P187" i="34"/>
  <c r="M353" i="34"/>
  <c r="M359" i="34" s="1"/>
  <c r="P351" i="34"/>
  <c r="AD29" i="32" s="1"/>
  <c r="P330" i="34"/>
  <c r="H29" i="32"/>
  <c r="N279" i="34"/>
  <c r="P267" i="34"/>
  <c r="O29" i="32" s="1"/>
  <c r="H122" i="6" s="1"/>
  <c r="P69" i="34"/>
  <c r="AP13" i="32"/>
  <c r="AP12" i="32"/>
  <c r="AT171" i="33"/>
  <c r="AF22" i="32"/>
  <c r="AE101" i="33"/>
  <c r="AT101" i="33" s="1"/>
  <c r="AF46" i="32" s="1"/>
  <c r="L172" i="33"/>
  <c r="BA91" i="33"/>
  <c r="BC91" i="33" s="1"/>
  <c r="BN92" i="33"/>
  <c r="BA92" i="33"/>
  <c r="N453" i="34"/>
  <c r="N455" i="34" s="1"/>
  <c r="P455" i="34" s="1"/>
  <c r="AS169" i="33"/>
  <c r="O417" i="34"/>
  <c r="M512" i="34"/>
  <c r="M514" i="34" s="1"/>
  <c r="M519" i="34"/>
  <c r="H108" i="6"/>
  <c r="L109" i="34"/>
  <c r="M46" i="34"/>
  <c r="J514" i="34"/>
  <c r="O257" i="34"/>
  <c r="O256" i="34"/>
  <c r="BA9" i="33"/>
  <c r="AP169" i="33"/>
  <c r="N42" i="34"/>
  <c r="P42" i="34" s="1"/>
  <c r="AV16" i="31"/>
  <c r="AP170" i="33"/>
  <c r="BA12" i="33"/>
  <c r="BC12" i="33" s="1"/>
  <c r="J487" i="34"/>
  <c r="P487" i="34" s="1"/>
  <c r="P482" i="34"/>
  <c r="O351" i="34"/>
  <c r="O22" i="34"/>
  <c r="AA13" i="32"/>
  <c r="AP163" i="33"/>
  <c r="AB11" i="32"/>
  <c r="AQ161" i="33"/>
  <c r="AZ101" i="33"/>
  <c r="AL46" i="32" s="1"/>
  <c r="BK171" i="33"/>
  <c r="BK159" i="33"/>
  <c r="BK161" i="33"/>
  <c r="BK164" i="33"/>
  <c r="BK162" i="33"/>
  <c r="BK169" i="33"/>
  <c r="BK168" i="33"/>
  <c r="BK160" i="33"/>
  <c r="BK170" i="33"/>
  <c r="BK165" i="33"/>
  <c r="BK167" i="33"/>
  <c r="BK163" i="33"/>
  <c r="BK166" i="33"/>
  <c r="BK173" i="33"/>
  <c r="BI163" i="33"/>
  <c r="BI171" i="33"/>
  <c r="BI166" i="33"/>
  <c r="BI165" i="33"/>
  <c r="BI162" i="33"/>
  <c r="BI167" i="33"/>
  <c r="BI169" i="33"/>
  <c r="BI159" i="33"/>
  <c r="BI168" i="33"/>
  <c r="BI170" i="33"/>
  <c r="BI160" i="33"/>
  <c r="BI161" i="33"/>
  <c r="BI164" i="33"/>
  <c r="AU46" i="32"/>
  <c r="BI173" i="33"/>
  <c r="AW46" i="32"/>
  <c r="AB12" i="32"/>
  <c r="AQ162" i="33"/>
  <c r="AF11" i="32"/>
  <c r="AT161" i="33"/>
  <c r="AF12" i="32"/>
  <c r="AT162" i="33"/>
  <c r="AF10" i="32"/>
  <c r="AT160" i="33"/>
  <c r="AB13" i="32"/>
  <c r="AQ163" i="33"/>
  <c r="AF13" i="32"/>
  <c r="AT163" i="33"/>
  <c r="BA103" i="33"/>
  <c r="AW101" i="33"/>
  <c r="BH156" i="33"/>
  <c r="BH165" i="33"/>
  <c r="BH171" i="33"/>
  <c r="BH160" i="33"/>
  <c r="BH161" i="33"/>
  <c r="BH166" i="33"/>
  <c r="BH162" i="33"/>
  <c r="BH164" i="33"/>
  <c r="BH170" i="33"/>
  <c r="BH169" i="33"/>
  <c r="BH163" i="33"/>
  <c r="BH159" i="33"/>
  <c r="BH168" i="33"/>
  <c r="BH167" i="33"/>
  <c r="BD161" i="33"/>
  <c r="BD168" i="33"/>
  <c r="BD166" i="33"/>
  <c r="BD170" i="33"/>
  <c r="BD162" i="33"/>
  <c r="BD160" i="33"/>
  <c r="BD163" i="33"/>
  <c r="BD171" i="33"/>
  <c r="BD165" i="33"/>
  <c r="BD167" i="33"/>
  <c r="BD169" i="33"/>
  <c r="BD164" i="33"/>
  <c r="BD159" i="33"/>
  <c r="AP46" i="32"/>
  <c r="BD173" i="33"/>
  <c r="AC30" i="32"/>
  <c r="AM30" i="32" s="1"/>
  <c r="AU101" i="33"/>
  <c r="AG46" i="32" s="1"/>
  <c r="BL160" i="33"/>
  <c r="BL170" i="33"/>
  <c r="BL161" i="33"/>
  <c r="BL162" i="33"/>
  <c r="BL163" i="33"/>
  <c r="BL165" i="33"/>
  <c r="BL167" i="33"/>
  <c r="BL168" i="33"/>
  <c r="BL166" i="33"/>
  <c r="BL169" i="33"/>
  <c r="BL171" i="33"/>
  <c r="BL164" i="33"/>
  <c r="BL159" i="33"/>
  <c r="BL173" i="33"/>
  <c r="BF166" i="33"/>
  <c r="BF163" i="33"/>
  <c r="BF164" i="33"/>
  <c r="BF171" i="33"/>
  <c r="BF161" i="33"/>
  <c r="BF169" i="33"/>
  <c r="BF170" i="33"/>
  <c r="BF159" i="33"/>
  <c r="BF167" i="33"/>
  <c r="BF162" i="33"/>
  <c r="BF160" i="33"/>
  <c r="BF168" i="33"/>
  <c r="BF165" i="33"/>
  <c r="BF173" i="33"/>
  <c r="AX46" i="32"/>
  <c r="AR46" i="32"/>
  <c r="AF20" i="32"/>
  <c r="AT170" i="33"/>
  <c r="AA11" i="32"/>
  <c r="AP161" i="33"/>
  <c r="AB19" i="32"/>
  <c r="AQ169" i="33"/>
  <c r="AB20" i="32"/>
  <c r="AQ170" i="33"/>
  <c r="AB10" i="32"/>
  <c r="AQ160" i="33"/>
  <c r="AF19" i="32"/>
  <c r="AT169" i="33"/>
  <c r="AV101" i="33"/>
  <c r="BG165" i="33"/>
  <c r="BG156" i="33"/>
  <c r="BG170" i="33"/>
  <c r="BG160" i="33"/>
  <c r="BG169" i="33"/>
  <c r="BG162" i="33"/>
  <c r="BG166" i="33"/>
  <c r="BG171" i="33"/>
  <c r="BG163" i="33"/>
  <c r="BG159" i="33"/>
  <c r="BG167" i="33"/>
  <c r="BG168" i="33"/>
  <c r="BG164" i="33"/>
  <c r="BG161" i="33"/>
  <c r="BE169" i="33"/>
  <c r="BE162" i="33"/>
  <c r="BE160" i="33"/>
  <c r="BE170" i="33"/>
  <c r="BE165" i="33"/>
  <c r="BE168" i="33"/>
  <c r="BE163" i="33"/>
  <c r="BE171" i="33"/>
  <c r="BE159" i="33"/>
  <c r="BE161" i="33"/>
  <c r="BE164" i="33"/>
  <c r="BE166" i="33"/>
  <c r="BE167" i="33"/>
  <c r="AQ46" i="32"/>
  <c r="AY101" i="33"/>
  <c r="BJ163" i="33"/>
  <c r="BJ166" i="33"/>
  <c r="BJ156" i="33"/>
  <c r="BJ164" i="33"/>
  <c r="BJ170" i="33"/>
  <c r="BJ162" i="33"/>
  <c r="BJ167" i="33"/>
  <c r="BJ161" i="33"/>
  <c r="BJ165" i="33"/>
  <c r="BJ171" i="33"/>
  <c r="BJ168" i="33"/>
  <c r="BJ160" i="33"/>
  <c r="BJ169" i="33"/>
  <c r="BJ159" i="33"/>
  <c r="BJ173" i="33"/>
  <c r="BG173" i="33"/>
  <c r="BH173" i="33"/>
  <c r="I41" i="7"/>
  <c r="I42" i="7" s="1"/>
  <c r="BA105" i="33"/>
  <c r="BC105" i="33" s="1"/>
  <c r="J161" i="33"/>
  <c r="J159" i="33"/>
  <c r="K17" i="32"/>
  <c r="J172" i="33"/>
  <c r="J176" i="33" s="1"/>
  <c r="K18" i="32"/>
  <c r="C27" i="81" s="1"/>
  <c r="E27" i="81" s="1"/>
  <c r="J169" i="33"/>
  <c r="J165" i="33"/>
  <c r="J166" i="33"/>
  <c r="J170" i="33"/>
  <c r="J162" i="33"/>
  <c r="K16" i="32"/>
  <c r="K11" i="32"/>
  <c r="J164" i="33"/>
  <c r="K19" i="32"/>
  <c r="J167" i="33"/>
  <c r="K12" i="32"/>
  <c r="K14" i="32"/>
  <c r="K13" i="32"/>
  <c r="J171" i="33"/>
  <c r="J160" i="33"/>
  <c r="K20" i="32"/>
  <c r="K22" i="32"/>
  <c r="G270" i="6" s="1"/>
  <c r="C25" i="81" s="1"/>
  <c r="K10" i="32"/>
  <c r="AP166" i="33"/>
  <c r="AE13" i="32"/>
  <c r="AS163" i="33"/>
  <c r="AD11" i="32"/>
  <c r="AR161" i="33"/>
  <c r="AE11" i="32"/>
  <c r="AS161" i="33"/>
  <c r="AR170" i="33"/>
  <c r="AD13" i="32"/>
  <c r="AR163" i="33"/>
  <c r="BM96" i="33"/>
  <c r="AP167" i="33"/>
  <c r="BN100" i="33"/>
  <c r="AS165" i="33"/>
  <c r="AS171" i="33"/>
  <c r="AS168" i="33"/>
  <c r="AS164" i="33"/>
  <c r="AS159" i="33"/>
  <c r="AS167" i="33"/>
  <c r="AS166" i="33"/>
  <c r="F83" i="31"/>
  <c r="AJ90" i="31"/>
  <c r="AJ91" i="31" s="1"/>
  <c r="BH69" i="31"/>
  <c r="BH77" i="31"/>
  <c r="BH73" i="31"/>
  <c r="BH72" i="31"/>
  <c r="BH65" i="31"/>
  <c r="BH61" i="31"/>
  <c r="BH60" i="31"/>
  <c r="BH67" i="31"/>
  <c r="BH66" i="31"/>
  <c r="BH62" i="31"/>
  <c r="BH76" i="31"/>
  <c r="BH68" i="31"/>
  <c r="BH74" i="31"/>
  <c r="BH63" i="31"/>
  <c r="BH64" i="31"/>
  <c r="AU78" i="31"/>
  <c r="J218" i="6"/>
  <c r="E29" i="7"/>
  <c r="AD38" i="32"/>
  <c r="J210" i="6"/>
  <c r="AM40" i="32"/>
  <c r="AD41" i="32"/>
  <c r="M105" i="34"/>
  <c r="M109" i="34" s="1"/>
  <c r="N593" i="34"/>
  <c r="P593" i="34" s="1"/>
  <c r="M580" i="34"/>
  <c r="M595" i="34" s="1"/>
  <c r="P566" i="34"/>
  <c r="AV22" i="31"/>
  <c r="BA104" i="33"/>
  <c r="BA109" i="33"/>
  <c r="AO30" i="32"/>
  <c r="P615" i="34"/>
  <c r="M619" i="34"/>
  <c r="M635" i="34" s="1"/>
  <c r="M639" i="34" s="1"/>
  <c r="P576" i="34"/>
  <c r="N633" i="34"/>
  <c r="P633" i="34" s="1"/>
  <c r="N376" i="34"/>
  <c r="P376" i="34" s="1"/>
  <c r="P604" i="34"/>
  <c r="M280" i="34"/>
  <c r="J18" i="7"/>
  <c r="BN89" i="33"/>
  <c r="AD14" i="32"/>
  <c r="J359" i="6"/>
  <c r="G31" i="5" s="1"/>
  <c r="H56" i="6"/>
  <c r="BB101" i="33"/>
  <c r="BB156" i="33" s="1"/>
  <c r="B29" i="81"/>
  <c r="J347" i="6"/>
  <c r="AC101" i="33"/>
  <c r="AR101" i="33" s="1"/>
  <c r="AA101" i="33"/>
  <c r="AP101" i="33" s="1"/>
  <c r="H169" i="33"/>
  <c r="G22" i="32"/>
  <c r="F268" i="6" s="1"/>
  <c r="B25" i="81" s="1"/>
  <c r="H168" i="33"/>
  <c r="G16" i="32"/>
  <c r="F154" i="6" s="1"/>
  <c r="AG8" i="32"/>
  <c r="AG9" i="32"/>
  <c r="I17" i="7"/>
  <c r="I19" i="7" s="1"/>
  <c r="J132" i="6"/>
  <c r="G19" i="5" s="1"/>
  <c r="G46" i="32"/>
  <c r="F237" i="6" s="1"/>
  <c r="AL8" i="32"/>
  <c r="AL16" i="32"/>
  <c r="AL9" i="32"/>
  <c r="AL22" i="32"/>
  <c r="AL14" i="32"/>
  <c r="AX101" i="33"/>
  <c r="BC85" i="33"/>
  <c r="K46" i="32"/>
  <c r="G238" i="6" s="1"/>
  <c r="C23" i="81" s="1"/>
  <c r="J82" i="6"/>
  <c r="G17" i="5" s="1"/>
  <c r="I13" i="7"/>
  <c r="I15" i="7" s="1"/>
  <c r="J176" i="6"/>
  <c r="G21" i="5" s="1"/>
  <c r="I21" i="7"/>
  <c r="I23" i="7" s="1"/>
  <c r="AN3" i="87"/>
  <c r="AO3" i="87" s="1"/>
  <c r="AQ3" i="87" s="1"/>
  <c r="AR3" i="87" s="1"/>
  <c r="AS3" i="87" s="1"/>
  <c r="AT3" i="87" s="1"/>
  <c r="AU3" i="87" s="1"/>
  <c r="AV3" i="87" s="1"/>
  <c r="AW3" i="87" s="1"/>
  <c r="AX3" i="87" s="1"/>
  <c r="AY3" i="87" s="1"/>
  <c r="AZ3" i="87" s="1"/>
  <c r="BA3" i="87" s="1"/>
  <c r="BB3" i="87" s="1"/>
  <c r="BC3" i="87" s="1"/>
  <c r="BD3" i="87" s="1"/>
  <c r="BE3" i="87" s="1"/>
  <c r="BF3" i="87" s="1"/>
  <c r="E25" i="7"/>
  <c r="E26" i="7" s="1"/>
  <c r="J211" i="6"/>
  <c r="E23" i="5" s="1"/>
  <c r="G25" i="7"/>
  <c r="BA100" i="33"/>
  <c r="BA93" i="33"/>
  <c r="BC93" i="33" s="1"/>
  <c r="BA89" i="33"/>
  <c r="BA96" i="33"/>
  <c r="BA95" i="33"/>
  <c r="BA98" i="33"/>
  <c r="BA94" i="33"/>
  <c r="BC94" i="33" s="1"/>
  <c r="BA97" i="33"/>
  <c r="BA99" i="33"/>
  <c r="BA90" i="33"/>
  <c r="BC90" i="33" s="1"/>
  <c r="BA88" i="33"/>
  <c r="K635" i="34"/>
  <c r="AT21" i="31"/>
  <c r="L580" i="34"/>
  <c r="L595" i="34" s="1"/>
  <c r="AC39" i="32"/>
  <c r="AM39" i="32" s="1"/>
  <c r="N524" i="34"/>
  <c r="N534" i="34" s="1"/>
  <c r="N537" i="34" s="1"/>
  <c r="AO40" i="32"/>
  <c r="AR70" i="31"/>
  <c r="AX112" i="33"/>
  <c r="O266" i="34"/>
  <c r="O330" i="34"/>
  <c r="O175" i="34"/>
  <c r="N92" i="34"/>
  <c r="AW76" i="31" s="1"/>
  <c r="AW81" i="31"/>
  <c r="F81" i="31" s="1"/>
  <c r="O370" i="34"/>
  <c r="F82" i="31"/>
  <c r="O61" i="34"/>
  <c r="O126" i="34"/>
  <c r="AU15" i="31"/>
  <c r="N439" i="34"/>
  <c r="P439" i="34" s="1"/>
  <c r="N451" i="34"/>
  <c r="P451" i="34" s="1"/>
  <c r="M541" i="34"/>
  <c r="O81" i="31"/>
  <c r="N81" i="31"/>
  <c r="N85" i="31" s="1"/>
  <c r="C82" i="31"/>
  <c r="M85" i="31"/>
  <c r="M406" i="34"/>
  <c r="P541" i="34"/>
  <c r="O582" i="34"/>
  <c r="O593" i="34"/>
  <c r="O523" i="34"/>
  <c r="O533" i="34" s="1"/>
  <c r="N567" i="34"/>
  <c r="N577" i="34" s="1"/>
  <c r="N580" i="34" s="1"/>
  <c r="O566" i="34"/>
  <c r="O576" i="34" s="1"/>
  <c r="O565" i="34"/>
  <c r="N548" i="34"/>
  <c r="N558" i="34" s="1"/>
  <c r="N561" i="34" s="1"/>
  <c r="O604" i="34"/>
  <c r="O615" i="34" s="1"/>
  <c r="O622" i="34"/>
  <c r="O633" i="34"/>
  <c r="O547" i="34"/>
  <c r="O557" i="34" s="1"/>
  <c r="N605" i="34"/>
  <c r="N616" i="34" s="1"/>
  <c r="N619" i="34" s="1"/>
  <c r="N423" i="34"/>
  <c r="P423" i="34" s="1"/>
  <c r="O400" i="34"/>
  <c r="O398" i="34"/>
  <c r="O399" i="34"/>
  <c r="O418" i="34"/>
  <c r="O91" i="34" s="1"/>
  <c r="O416" i="34"/>
  <c r="O436" i="34"/>
  <c r="O434" i="34"/>
  <c r="O435" i="34"/>
  <c r="N404" i="34"/>
  <c r="O341" i="34"/>
  <c r="C64" i="31"/>
  <c r="C67" i="31"/>
  <c r="C69" i="31"/>
  <c r="M78" i="31"/>
  <c r="O187" i="34"/>
  <c r="O198" i="34" s="1"/>
  <c r="O199" i="34" s="1"/>
  <c r="O201" i="34" s="1"/>
  <c r="O204" i="34" s="1"/>
  <c r="O223" i="34"/>
  <c r="O234" i="34" s="1"/>
  <c r="AW65" i="31" s="1"/>
  <c r="E72" i="31"/>
  <c r="M234" i="34"/>
  <c r="AU65" i="31" s="1"/>
  <c r="BA10" i="33"/>
  <c r="O477" i="34"/>
  <c r="E65" i="31"/>
  <c r="E61" i="31"/>
  <c r="O492" i="34"/>
  <c r="O509" i="34" s="1"/>
  <c r="E76" i="31"/>
  <c r="AK78" i="31"/>
  <c r="E64" i="31"/>
  <c r="E21" i="31"/>
  <c r="O513" i="34"/>
  <c r="O493" i="34"/>
  <c r="N494" i="34"/>
  <c r="N507" i="34" s="1"/>
  <c r="N510" i="34" s="1"/>
  <c r="AK70" i="31"/>
  <c r="E60" i="31"/>
  <c r="E66" i="31"/>
  <c r="M70" i="31"/>
  <c r="C70" i="31" s="1"/>
  <c r="E77" i="31"/>
  <c r="O481" i="34"/>
  <c r="O461" i="34"/>
  <c r="E67" i="31"/>
  <c r="N462" i="34"/>
  <c r="N475" i="34" s="1"/>
  <c r="N478" i="34" s="1"/>
  <c r="N480" i="34" s="1"/>
  <c r="N482" i="34" s="1"/>
  <c r="N487" i="34" s="1"/>
  <c r="L519" i="34"/>
  <c r="P519" i="34" s="1"/>
  <c r="L512" i="34"/>
  <c r="L514" i="34" s="1"/>
  <c r="BA11" i="33"/>
  <c r="BA18" i="33"/>
  <c r="BA19" i="33"/>
  <c r="BM105" i="33"/>
  <c r="AX117" i="33"/>
  <c r="BN117" i="33"/>
  <c r="AV117" i="33"/>
  <c r="AW117" i="33"/>
  <c r="BN116" i="33"/>
  <c r="AX116" i="33"/>
  <c r="AV116" i="33"/>
  <c r="AW116" i="33"/>
  <c r="AX118" i="33"/>
  <c r="AW118" i="33"/>
  <c r="BN118" i="33"/>
  <c r="AV118" i="33"/>
  <c r="BM104" i="33"/>
  <c r="BN115" i="33"/>
  <c r="AW115" i="33"/>
  <c r="AV115" i="33"/>
  <c r="AX115" i="33"/>
  <c r="C126" i="33"/>
  <c r="C125" i="33"/>
  <c r="C127" i="33"/>
  <c r="C124" i="33"/>
  <c r="C123" i="33"/>
  <c r="AV114" i="33"/>
  <c r="BN114" i="33"/>
  <c r="AW114" i="33"/>
  <c r="AX114" i="33"/>
  <c r="BN18" i="33"/>
  <c r="BN106" i="33"/>
  <c r="BN109" i="33"/>
  <c r="BM107" i="33"/>
  <c r="BM112" i="33"/>
  <c r="AP106" i="33"/>
  <c r="BA106" i="33" s="1"/>
  <c r="AR107" i="33"/>
  <c r="BA107" i="33" s="1"/>
  <c r="BC107" i="33" s="1"/>
  <c r="AV119" i="33"/>
  <c r="AD119" i="33"/>
  <c r="AS119" i="33" s="1"/>
  <c r="AW119" i="33"/>
  <c r="AC119" i="33"/>
  <c r="AR119" i="33" s="1"/>
  <c r="AP119" i="33"/>
  <c r="AX119" i="33"/>
  <c r="BM109" i="33"/>
  <c r="BN112" i="33"/>
  <c r="AW121" i="33"/>
  <c r="AV121" i="33"/>
  <c r="AC121" i="33"/>
  <c r="AR121" i="33" s="1"/>
  <c r="BM121" i="33"/>
  <c r="AD121" i="33"/>
  <c r="AS121" i="33" s="1"/>
  <c r="AX121" i="33"/>
  <c r="AY121" i="33"/>
  <c r="AD113" i="33"/>
  <c r="AS113" i="33" s="1"/>
  <c r="AC113" i="33"/>
  <c r="AR113" i="33" s="1"/>
  <c r="AP113" i="33"/>
  <c r="AW113" i="33"/>
  <c r="AX113" i="33"/>
  <c r="BN103" i="33"/>
  <c r="BM12" i="33"/>
  <c r="BN9" i="33"/>
  <c r="BM9" i="33"/>
  <c r="BN19" i="33"/>
  <c r="BN11" i="33"/>
  <c r="BN12" i="33"/>
  <c r="BN10" i="33"/>
  <c r="BM10" i="33"/>
  <c r="BM18" i="33"/>
  <c r="BM11" i="33"/>
  <c r="BM19" i="33"/>
  <c r="C128" i="33"/>
  <c r="C130" i="33"/>
  <c r="C122" i="33"/>
  <c r="BF51" i="31"/>
  <c r="BF60" i="31" l="1"/>
  <c r="BF75" i="31"/>
  <c r="BF72" i="31"/>
  <c r="BF62" i="31"/>
  <c r="BG63" i="31"/>
  <c r="BG75" i="31"/>
  <c r="J119" i="6"/>
  <c r="M48" i="32"/>
  <c r="G107" i="6"/>
  <c r="J175" i="33"/>
  <c r="N177" i="34"/>
  <c r="P177" i="34" s="1"/>
  <c r="J349" i="6"/>
  <c r="H48" i="32"/>
  <c r="P453" i="34"/>
  <c r="AW77" i="31"/>
  <c r="AS90" i="31"/>
  <c r="AS91" i="31" s="1"/>
  <c r="P279" i="34"/>
  <c r="N280" i="34"/>
  <c r="N286" i="34" s="1"/>
  <c r="AR90" i="31"/>
  <c r="K48" i="32"/>
  <c r="N46" i="34"/>
  <c r="P46" i="34" s="1"/>
  <c r="N352" i="34"/>
  <c r="P341" i="34"/>
  <c r="N199" i="34"/>
  <c r="P198" i="34"/>
  <c r="AU64" i="31"/>
  <c r="AU70" i="31" s="1"/>
  <c r="BI75" i="31" s="1"/>
  <c r="F116" i="6"/>
  <c r="M286" i="34"/>
  <c r="BG61" i="31"/>
  <c r="BG60" i="31"/>
  <c r="BG64" i="31"/>
  <c r="BG67" i="31"/>
  <c r="BG65" i="31"/>
  <c r="BG74" i="31"/>
  <c r="BG68" i="31"/>
  <c r="BG77" i="31"/>
  <c r="BG66" i="31"/>
  <c r="BG69" i="31"/>
  <c r="BG76" i="31"/>
  <c r="BG62" i="31"/>
  <c r="BG72" i="31"/>
  <c r="BG73" i="31"/>
  <c r="N234" i="34"/>
  <c r="AV65" i="31" s="1"/>
  <c r="P223" i="34"/>
  <c r="P48" i="32"/>
  <c r="O453" i="34"/>
  <c r="O455" i="34" s="1"/>
  <c r="N512" i="34"/>
  <c r="N514" i="34" s="1"/>
  <c r="N519" i="34"/>
  <c r="P512" i="34"/>
  <c r="P514" i="34"/>
  <c r="O258" i="34"/>
  <c r="AF48" i="32"/>
  <c r="O29" i="34"/>
  <c r="N635" i="34"/>
  <c r="N639" i="34" s="1"/>
  <c r="AW16" i="31"/>
  <c r="G348" i="6"/>
  <c r="C29" i="81" s="1"/>
  <c r="G55" i="6"/>
  <c r="AW22" i="31"/>
  <c r="AU168" i="33"/>
  <c r="AU160" i="33"/>
  <c r="AU171" i="33"/>
  <c r="AU170" i="33"/>
  <c r="AU162" i="33"/>
  <c r="AU158" i="33"/>
  <c r="AU167" i="33"/>
  <c r="AU159" i="33"/>
  <c r="AU165" i="33"/>
  <c r="AU161" i="33"/>
  <c r="AU164" i="33"/>
  <c r="AU166" i="33"/>
  <c r="AU163" i="33"/>
  <c r="AU169" i="33"/>
  <c r="BA119" i="33"/>
  <c r="BC119" i="33" s="1"/>
  <c r="BA114" i="33"/>
  <c r="BC114" i="33" s="1"/>
  <c r="BA115" i="33"/>
  <c r="BC115" i="33" s="1"/>
  <c r="BA118" i="33"/>
  <c r="BC118" i="33" s="1"/>
  <c r="H175" i="33"/>
  <c r="AP168" i="33"/>
  <c r="AP165" i="33"/>
  <c r="AR165" i="33"/>
  <c r="AR171" i="33"/>
  <c r="AR164" i="33"/>
  <c r="AR166" i="33"/>
  <c r="AR167" i="33"/>
  <c r="AR168" i="33"/>
  <c r="AR159" i="33"/>
  <c r="AK90" i="31"/>
  <c r="E90" i="31" s="1"/>
  <c r="BF61" i="31"/>
  <c r="BF67" i="31"/>
  <c r="BF66" i="31"/>
  <c r="BF65" i="31"/>
  <c r="BF74" i="31"/>
  <c r="BF69" i="31"/>
  <c r="BF68" i="31"/>
  <c r="BF64" i="31"/>
  <c r="BF76" i="31"/>
  <c r="BF73" i="31"/>
  <c r="BF77" i="31"/>
  <c r="BF63" i="31"/>
  <c r="D23" i="5"/>
  <c r="AW85" i="31"/>
  <c r="AW38" i="31"/>
  <c r="F198" i="6"/>
  <c r="J198" i="6" s="1"/>
  <c r="P605" i="34"/>
  <c r="AV21" i="31"/>
  <c r="G48" i="32"/>
  <c r="BC109" i="33"/>
  <c r="BA121" i="33"/>
  <c r="BC121" i="33" s="1"/>
  <c r="BA116" i="33"/>
  <c r="BC116" i="33" s="1"/>
  <c r="BA117" i="33"/>
  <c r="BA112" i="33"/>
  <c r="BC112" i="33" s="1"/>
  <c r="AG48" i="32"/>
  <c r="J213" i="6"/>
  <c r="G23" i="5" s="1"/>
  <c r="I25" i="7"/>
  <c r="I26" i="7" s="1"/>
  <c r="AV69" i="31"/>
  <c r="P577" i="34"/>
  <c r="P567" i="34"/>
  <c r="P619" i="34"/>
  <c r="P616" i="34"/>
  <c r="O267" i="34"/>
  <c r="F163" i="6"/>
  <c r="K639" i="34"/>
  <c r="P404" i="34"/>
  <c r="AW68" i="31"/>
  <c r="BM101" i="33"/>
  <c r="BA101" i="33"/>
  <c r="B23" i="81"/>
  <c r="E23" i="81" s="1"/>
  <c r="J237" i="6"/>
  <c r="I10" i="7"/>
  <c r="I11" i="7" s="1"/>
  <c r="J33" i="6"/>
  <c r="G15" i="5" s="1"/>
  <c r="J317" i="6"/>
  <c r="I32" i="7"/>
  <c r="I33" i="7" s="1"/>
  <c r="J249" i="6"/>
  <c r="G25" i="5" s="1"/>
  <c r="BN101" i="33"/>
  <c r="J166" i="6"/>
  <c r="BC11" i="33"/>
  <c r="BC96" i="33"/>
  <c r="BC92" i="33"/>
  <c r="BC100" i="33"/>
  <c r="BC88" i="33"/>
  <c r="BC97" i="33"/>
  <c r="BC89" i="33"/>
  <c r="G26" i="7"/>
  <c r="AU21" i="31"/>
  <c r="L599" i="34"/>
  <c r="O278" i="34"/>
  <c r="O92" i="34"/>
  <c r="BN107" i="33"/>
  <c r="N105" i="34"/>
  <c r="N109" i="34" s="1"/>
  <c r="P109" i="34" s="1"/>
  <c r="O376" i="34"/>
  <c r="AW69" i="31" s="1"/>
  <c r="O352" i="34"/>
  <c r="O133" i="34"/>
  <c r="O69" i="34"/>
  <c r="M599" i="34"/>
  <c r="AV15" i="31"/>
  <c r="AW21" i="31"/>
  <c r="O451" i="34"/>
  <c r="O439" i="34"/>
  <c r="BC10" i="33"/>
  <c r="BC9" i="33"/>
  <c r="O85" i="31"/>
  <c r="C85" i="31" s="1"/>
  <c r="C81" i="31"/>
  <c r="F217" i="6" s="1"/>
  <c r="N406" i="34"/>
  <c r="P406" i="34" s="1"/>
  <c r="N595" i="34"/>
  <c r="N425" i="34"/>
  <c r="P425" i="34" s="1"/>
  <c r="O567" i="34"/>
  <c r="O577" i="34" s="1"/>
  <c r="O580" i="34" s="1"/>
  <c r="O595" i="34" s="1"/>
  <c r="O524" i="34"/>
  <c r="O534" i="34" s="1"/>
  <c r="O537" i="34" s="1"/>
  <c r="N541" i="34"/>
  <c r="M15" i="31"/>
  <c r="O548" i="34"/>
  <c r="O558" i="34" s="1"/>
  <c r="O561" i="34" s="1"/>
  <c r="O605" i="34"/>
  <c r="O616" i="34" s="1"/>
  <c r="BC103" i="33"/>
  <c r="O423" i="34"/>
  <c r="O425" i="34" s="1"/>
  <c r="O404" i="34"/>
  <c r="M378" i="34"/>
  <c r="J118" i="6"/>
  <c r="AT90" i="31"/>
  <c r="AT91" i="31" s="1"/>
  <c r="C78" i="31"/>
  <c r="O236" i="34"/>
  <c r="O240" i="34" s="1"/>
  <c r="M236" i="34"/>
  <c r="M240" i="34" s="1"/>
  <c r="O494" i="34"/>
  <c r="O507" i="34" s="1"/>
  <c r="O506" i="34"/>
  <c r="E78" i="31"/>
  <c r="O462" i="34"/>
  <c r="O475" i="34" s="1"/>
  <c r="O474" i="34"/>
  <c r="E70" i="31"/>
  <c r="BC104" i="33"/>
  <c r="AW125" i="33"/>
  <c r="AV125" i="33"/>
  <c r="AX125" i="33"/>
  <c r="AY125" i="33"/>
  <c r="BN125" i="33"/>
  <c r="BM118" i="33"/>
  <c r="BC117" i="33"/>
  <c r="BM117" i="33"/>
  <c r="AX123" i="33"/>
  <c r="BN123" i="33"/>
  <c r="AY123" i="33"/>
  <c r="AV123" i="33"/>
  <c r="AW123" i="33"/>
  <c r="AY126" i="33"/>
  <c r="AV126" i="33"/>
  <c r="AX126" i="33"/>
  <c r="AW126" i="33"/>
  <c r="BN126" i="33"/>
  <c r="C135" i="33"/>
  <c r="C136" i="33"/>
  <c r="C134" i="33"/>
  <c r="C137" i="33"/>
  <c r="C133" i="33"/>
  <c r="AY124" i="33"/>
  <c r="BN124" i="33"/>
  <c r="AW124" i="33"/>
  <c r="AX124" i="33"/>
  <c r="AV124" i="33"/>
  <c r="BM115" i="33"/>
  <c r="BM116" i="33"/>
  <c r="BM114" i="33"/>
  <c r="AV127" i="33"/>
  <c r="AW127" i="33"/>
  <c r="AX127" i="33"/>
  <c r="AY127" i="33"/>
  <c r="BN127" i="33"/>
  <c r="BN119" i="33"/>
  <c r="BM119" i="33"/>
  <c r="AV130" i="33"/>
  <c r="AD130" i="33"/>
  <c r="AS130" i="33" s="1"/>
  <c r="AW130" i="33"/>
  <c r="BM130" i="33"/>
  <c r="AX130" i="33"/>
  <c r="AC130" i="33"/>
  <c r="AR130" i="33" s="1"/>
  <c r="AY130" i="33"/>
  <c r="BN113" i="33"/>
  <c r="BN121" i="33"/>
  <c r="BM106" i="33"/>
  <c r="AW128" i="33"/>
  <c r="AC128" i="33"/>
  <c r="AR128" i="33" s="1"/>
  <c r="AP128" i="33"/>
  <c r="AA15" i="32" s="1"/>
  <c r="AY128" i="33"/>
  <c r="AV128" i="33"/>
  <c r="AD128" i="33"/>
  <c r="AS128" i="33" s="1"/>
  <c r="AE15" i="32" s="1"/>
  <c r="AX128" i="33"/>
  <c r="AV113" i="33"/>
  <c r="AP122" i="33"/>
  <c r="AY122" i="33"/>
  <c r="AC122" i="33"/>
  <c r="AR122" i="33" s="1"/>
  <c r="AV122" i="33"/>
  <c r="AX122" i="33"/>
  <c r="AD122" i="33"/>
  <c r="AS122" i="33" s="1"/>
  <c r="BM113" i="33"/>
  <c r="C139" i="33"/>
  <c r="C131" i="33"/>
  <c r="C132" i="33"/>
  <c r="J238" i="6"/>
  <c r="BG51" i="31"/>
  <c r="AR91" i="31" l="1"/>
  <c r="N181" i="34"/>
  <c r="P181" i="34" s="1"/>
  <c r="G49" i="32"/>
  <c r="P286" i="34"/>
  <c r="AV63" i="31"/>
  <c r="N332" i="34"/>
  <c r="AW63" i="31"/>
  <c r="P280" i="34"/>
  <c r="F165" i="6"/>
  <c r="J165" i="6" s="1"/>
  <c r="J163" i="6"/>
  <c r="P234" i="34"/>
  <c r="M332" i="34"/>
  <c r="C90" i="31"/>
  <c r="F200" i="6"/>
  <c r="J200" i="6" s="1"/>
  <c r="BG78" i="31"/>
  <c r="BG70" i="31"/>
  <c r="P352" i="34"/>
  <c r="AE29" i="32" s="1"/>
  <c r="N353" i="34"/>
  <c r="N201" i="34"/>
  <c r="P199" i="34"/>
  <c r="P105" i="34"/>
  <c r="BA127" i="33"/>
  <c r="BC127" i="33" s="1"/>
  <c r="O510" i="34"/>
  <c r="O512" i="34" s="1"/>
  <c r="O514" i="34" s="1"/>
  <c r="O478" i="34"/>
  <c r="O480" i="34" s="1"/>
  <c r="O482" i="34" s="1"/>
  <c r="O487" i="34" s="1"/>
  <c r="O263" i="34"/>
  <c r="O42" i="34"/>
  <c r="J348" i="6"/>
  <c r="J351" i="6" s="1"/>
  <c r="J353" i="6" s="1"/>
  <c r="B31" i="5" s="1"/>
  <c r="AY49" i="87"/>
  <c r="P635" i="34"/>
  <c r="P639" i="34"/>
  <c r="I47" i="7"/>
  <c r="BC101" i="33"/>
  <c r="BI60" i="31"/>
  <c r="BI67" i="31"/>
  <c r="BI66" i="31"/>
  <c r="BI62" i="31"/>
  <c r="BI61" i="31"/>
  <c r="BI69" i="31"/>
  <c r="BI72" i="31"/>
  <c r="BI73" i="31"/>
  <c r="BI77" i="31"/>
  <c r="BI76" i="31"/>
  <c r="BI74" i="31"/>
  <c r="BI68" i="31"/>
  <c r="BI65" i="31"/>
  <c r="BI64" i="31"/>
  <c r="AV78" i="31"/>
  <c r="BI63" i="31"/>
  <c r="J116" i="6"/>
  <c r="AY51" i="87"/>
  <c r="O105" i="34"/>
  <c r="O109" i="34" s="1"/>
  <c r="B19" i="81"/>
  <c r="J135" i="6"/>
  <c r="N30" i="7" s="1"/>
  <c r="BA130" i="33"/>
  <c r="BC130" i="33" s="1"/>
  <c r="BA123" i="33"/>
  <c r="BA128" i="33"/>
  <c r="BC128" i="33" s="1"/>
  <c r="BA126" i="33"/>
  <c r="BA124" i="33"/>
  <c r="BC124" i="33" s="1"/>
  <c r="BA125" i="33"/>
  <c r="BC125" i="33" s="1"/>
  <c r="BA113" i="33"/>
  <c r="BC113" i="33" s="1"/>
  <c r="P92" i="34"/>
  <c r="AY50" i="87" s="1"/>
  <c r="AY55" i="87"/>
  <c r="O279" i="34"/>
  <c r="AO36" i="32"/>
  <c r="E29" i="81"/>
  <c r="I29" i="81" s="1"/>
  <c r="AD46" i="32"/>
  <c r="AE46" i="32"/>
  <c r="AA46" i="32"/>
  <c r="G35" i="5"/>
  <c r="G42" i="5" s="1"/>
  <c r="J121" i="6"/>
  <c r="AK91" i="31"/>
  <c r="O353" i="34"/>
  <c r="AL41" i="32"/>
  <c r="BF78" i="31"/>
  <c r="BF70" i="31"/>
  <c r="BH78" i="31"/>
  <c r="BC106" i="33"/>
  <c r="O177" i="34"/>
  <c r="N599" i="34"/>
  <c r="O599" i="34"/>
  <c r="O406" i="34"/>
  <c r="O541" i="34"/>
  <c r="AW15" i="31"/>
  <c r="BH70" i="31"/>
  <c r="O619" i="34"/>
  <c r="M382" i="34"/>
  <c r="B21" i="81"/>
  <c r="J217" i="6"/>
  <c r="AU90" i="31"/>
  <c r="AU91" i="31" s="1"/>
  <c r="BM124" i="33"/>
  <c r="AW134" i="33"/>
  <c r="AX134" i="33"/>
  <c r="BN134" i="33"/>
  <c r="AV134" i="33"/>
  <c r="AY134" i="33"/>
  <c r="BC126" i="33"/>
  <c r="BM126" i="33"/>
  <c r="AV136" i="33"/>
  <c r="BN136" i="33"/>
  <c r="AW136" i="33"/>
  <c r="AX136" i="33"/>
  <c r="AY136" i="33"/>
  <c r="BM125" i="33"/>
  <c r="BM127" i="33"/>
  <c r="C143" i="33"/>
  <c r="C146" i="33"/>
  <c r="C142" i="33"/>
  <c r="C145" i="33"/>
  <c r="C144" i="33"/>
  <c r="AY133" i="33"/>
  <c r="AV133" i="33"/>
  <c r="BN133" i="33"/>
  <c r="AW133" i="33"/>
  <c r="AX133" i="33"/>
  <c r="AV135" i="33"/>
  <c r="BN135" i="33"/>
  <c r="AW135" i="33"/>
  <c r="AY135" i="33"/>
  <c r="AX135" i="33"/>
  <c r="AV137" i="33"/>
  <c r="AW137" i="33"/>
  <c r="AY137" i="33"/>
  <c r="AX137" i="33"/>
  <c r="BN137" i="33"/>
  <c r="BM123" i="33"/>
  <c r="BN128" i="33"/>
  <c r="AW122" i="33"/>
  <c r="BM122" i="33"/>
  <c r="BN130" i="33"/>
  <c r="AD139" i="33"/>
  <c r="AS139" i="33" s="1"/>
  <c r="AX139" i="33"/>
  <c r="BM139" i="33"/>
  <c r="AC139" i="33"/>
  <c r="AR139" i="33" s="1"/>
  <c r="AW139" i="33"/>
  <c r="AY139" i="33"/>
  <c r="AV139" i="33"/>
  <c r="AV132" i="33"/>
  <c r="AW132" i="33"/>
  <c r="AD132" i="33"/>
  <c r="AS132" i="33" s="1"/>
  <c r="AX132" i="33"/>
  <c r="AY132" i="33"/>
  <c r="AC132" i="33"/>
  <c r="AR132" i="33" s="1"/>
  <c r="BN122" i="33"/>
  <c r="BM128" i="33"/>
  <c r="AC131" i="33"/>
  <c r="AR131" i="33" s="1"/>
  <c r="AW131" i="33"/>
  <c r="AX131" i="33"/>
  <c r="AV131" i="33"/>
  <c r="AD131" i="33"/>
  <c r="AS131" i="33" s="1"/>
  <c r="C148" i="33"/>
  <c r="AZ7" i="31" s="1"/>
  <c r="AZ9" i="31" s="1"/>
  <c r="C141" i="33"/>
  <c r="C140" i="33"/>
  <c r="Q33" i="7"/>
  <c r="P332" i="34" l="1"/>
  <c r="M336" i="34"/>
  <c r="N204" i="34"/>
  <c r="P201" i="34"/>
  <c r="N359" i="34"/>
  <c r="P353" i="34"/>
  <c r="BA134" i="33"/>
  <c r="BC134" i="33" s="1"/>
  <c r="BA136" i="33"/>
  <c r="O519" i="34"/>
  <c r="O46" i="34"/>
  <c r="O181" i="34"/>
  <c r="O280" i="34"/>
  <c r="BA7" i="31"/>
  <c r="BA9" i="31" s="1"/>
  <c r="AY7" i="31"/>
  <c r="AY9" i="31" s="1"/>
  <c r="AX7" i="31"/>
  <c r="AX9" i="31" s="1"/>
  <c r="BC123" i="33"/>
  <c r="BA122" i="33"/>
  <c r="BC122" i="33" s="1"/>
  <c r="AW78" i="31"/>
  <c r="L48" i="32"/>
  <c r="K49" i="32" s="1"/>
  <c r="J219" i="6"/>
  <c r="N29" i="7"/>
  <c r="AL48" i="32"/>
  <c r="AM41" i="32"/>
  <c r="O359" i="34"/>
  <c r="BA139" i="33"/>
  <c r="BC139" i="33" s="1"/>
  <c r="BC136" i="33"/>
  <c r="BA132" i="33"/>
  <c r="BC132" i="33" s="1"/>
  <c r="BA135" i="33"/>
  <c r="BA133" i="33"/>
  <c r="BC133" i="33" s="1"/>
  <c r="BA137" i="33"/>
  <c r="J209" i="6"/>
  <c r="C23" i="5" s="1"/>
  <c r="J25" i="7"/>
  <c r="J26" i="7" s="1"/>
  <c r="AO41" i="32"/>
  <c r="O635" i="34"/>
  <c r="O639" i="34" s="1"/>
  <c r="BI78" i="31"/>
  <c r="BI70" i="31"/>
  <c r="N336" i="34"/>
  <c r="J201" i="6"/>
  <c r="C21" i="81"/>
  <c r="E21" i="81" s="1"/>
  <c r="F65" i="31"/>
  <c r="AW146" i="33"/>
  <c r="AY146" i="33"/>
  <c r="AV146" i="33"/>
  <c r="AX146" i="33"/>
  <c r="BN146" i="33"/>
  <c r="BM133" i="33"/>
  <c r="AY142" i="33"/>
  <c r="AX142" i="33"/>
  <c r="BN142" i="33"/>
  <c r="AW142" i="33"/>
  <c r="AV142" i="33"/>
  <c r="BM137" i="33"/>
  <c r="BC135" i="33"/>
  <c r="BM135" i="33"/>
  <c r="BN144" i="33"/>
  <c r="AX144" i="33"/>
  <c r="AY144" i="33"/>
  <c r="AV144" i="33"/>
  <c r="AW144" i="33"/>
  <c r="AX143" i="33"/>
  <c r="AY143" i="33"/>
  <c r="BN143" i="33"/>
  <c r="AW143" i="33"/>
  <c r="AV143" i="33"/>
  <c r="BM134" i="33"/>
  <c r="C155" i="33"/>
  <c r="C151" i="33"/>
  <c r="AX34" i="31" s="1"/>
  <c r="C154" i="33"/>
  <c r="AZ25" i="31" s="1"/>
  <c r="AZ26" i="31" s="1"/>
  <c r="C152" i="33"/>
  <c r="AZ28" i="31" s="1"/>
  <c r="AZ29" i="31" s="1"/>
  <c r="C153" i="33"/>
  <c r="AV145" i="33"/>
  <c r="BN145" i="33"/>
  <c r="AX145" i="33"/>
  <c r="AW145" i="33"/>
  <c r="AY145" i="33"/>
  <c r="BM136" i="33"/>
  <c r="BN131" i="33"/>
  <c r="AY141" i="33"/>
  <c r="AC141" i="33"/>
  <c r="AR141" i="33" s="1"/>
  <c r="AX141" i="33"/>
  <c r="AD141" i="33"/>
  <c r="AS141" i="33" s="1"/>
  <c r="AV141" i="33"/>
  <c r="AW141" i="33"/>
  <c r="BN139" i="33"/>
  <c r="AX148" i="33"/>
  <c r="AW148" i="33"/>
  <c r="AD148" i="33"/>
  <c r="AS148" i="33" s="1"/>
  <c r="BM148" i="33"/>
  <c r="AC148" i="33"/>
  <c r="AR148" i="33" s="1"/>
  <c r="AR158" i="33" s="1"/>
  <c r="AV148" i="33"/>
  <c r="AY148" i="33"/>
  <c r="AY158" i="33" s="1"/>
  <c r="AP131" i="33"/>
  <c r="BN132" i="33"/>
  <c r="BM132" i="33"/>
  <c r="AW140" i="33"/>
  <c r="AV140" i="33"/>
  <c r="AC140" i="33"/>
  <c r="AR140" i="33" s="1"/>
  <c r="AP140" i="33"/>
  <c r="AX140" i="33"/>
  <c r="AY140" i="33"/>
  <c r="AY131" i="33"/>
  <c r="C150" i="33"/>
  <c r="AY19" i="31" s="1"/>
  <c r="AY23" i="31" s="1"/>
  <c r="C149" i="33"/>
  <c r="BJ51" i="31"/>
  <c r="AL34" i="31" l="1"/>
  <c r="AG28" i="31"/>
  <c r="AJ28" i="31"/>
  <c r="AJ34" i="31"/>
  <c r="AG36" i="31"/>
  <c r="AN34" i="31"/>
  <c r="AQ34" i="31"/>
  <c r="AL28" i="31"/>
  <c r="AP34" i="31"/>
  <c r="AG34" i="31"/>
  <c r="AQ28" i="31"/>
  <c r="AH28" i="31"/>
  <c r="AH29" i="31" s="1"/>
  <c r="AO34" i="31"/>
  <c r="AP28" i="31"/>
  <c r="AI28" i="31"/>
  <c r="AJ36" i="31"/>
  <c r="AN28" i="31"/>
  <c r="AH36" i="31"/>
  <c r="AO28" i="31"/>
  <c r="AI34" i="31"/>
  <c r="AI36" i="31"/>
  <c r="AM34" i="31"/>
  <c r="AK28" i="31"/>
  <c r="AK36" i="31"/>
  <c r="AH34" i="31"/>
  <c r="AM28" i="31"/>
  <c r="AK34" i="31"/>
  <c r="AF28" i="31"/>
  <c r="AF34" i="31"/>
  <c r="AF36" i="31"/>
  <c r="AF7" i="31"/>
  <c r="AM11" i="31"/>
  <c r="AF11" i="31"/>
  <c r="AR7" i="31"/>
  <c r="P336" i="34"/>
  <c r="AV64" i="31"/>
  <c r="P359" i="34"/>
  <c r="AY54" i="87" s="1"/>
  <c r="N378" i="34"/>
  <c r="N236" i="34"/>
  <c r="N240" i="34" s="1"/>
  <c r="P204" i="34"/>
  <c r="W14" i="31"/>
  <c r="Y11" i="31"/>
  <c r="T12" i="31"/>
  <c r="U8" i="31"/>
  <c r="U7" i="31"/>
  <c r="U20" i="31"/>
  <c r="R14" i="31"/>
  <c r="W19" i="31"/>
  <c r="X20" i="31"/>
  <c r="T19" i="31"/>
  <c r="AE8" i="31"/>
  <c r="N12" i="31"/>
  <c r="W20" i="31"/>
  <c r="U12" i="31"/>
  <c r="P12" i="31"/>
  <c r="S12" i="31"/>
  <c r="T20" i="31"/>
  <c r="Z7" i="31"/>
  <c r="Y20" i="31"/>
  <c r="V20" i="31"/>
  <c r="P14" i="31"/>
  <c r="AC14" i="31"/>
  <c r="AC12" i="31"/>
  <c r="O14" i="31"/>
  <c r="O12" i="31"/>
  <c r="U19" i="31"/>
  <c r="Y7" i="31"/>
  <c r="S14" i="31"/>
  <c r="X11" i="31"/>
  <c r="Z14" i="31"/>
  <c r="N14" i="31"/>
  <c r="V8" i="31"/>
  <c r="Y19" i="31"/>
  <c r="AB8" i="31"/>
  <c r="V7" i="31"/>
  <c r="U11" i="31"/>
  <c r="V11" i="31"/>
  <c r="X12" i="31"/>
  <c r="X14" i="31"/>
  <c r="AD14" i="31"/>
  <c r="AA8" i="31"/>
  <c r="W7" i="31"/>
  <c r="V14" i="31"/>
  <c r="Z12" i="31"/>
  <c r="X7" i="31"/>
  <c r="AE12" i="31"/>
  <c r="W12" i="31"/>
  <c r="R12" i="31"/>
  <c r="I7" i="31"/>
  <c r="AA14" i="31"/>
  <c r="Q14" i="31"/>
  <c r="T8" i="31"/>
  <c r="W8" i="31"/>
  <c r="AA12" i="31"/>
  <c r="V12" i="31"/>
  <c r="W11" i="31"/>
  <c r="N11" i="31"/>
  <c r="AD8" i="31"/>
  <c r="Q12" i="31"/>
  <c r="AB14" i="31"/>
  <c r="Y14" i="31"/>
  <c r="X19" i="31"/>
  <c r="AD12" i="31"/>
  <c r="AE14" i="31"/>
  <c r="T11" i="31"/>
  <c r="U14" i="31"/>
  <c r="T7" i="31"/>
  <c r="T14" i="31"/>
  <c r="AB12" i="31"/>
  <c r="Y12" i="31"/>
  <c r="Z8" i="31"/>
  <c r="AC8" i="31"/>
  <c r="S7" i="31"/>
  <c r="Y8" i="31"/>
  <c r="V19" i="31"/>
  <c r="X8" i="31"/>
  <c r="AA11" i="31"/>
  <c r="AD19" i="31"/>
  <c r="AD23" i="31" s="1"/>
  <c r="AC19" i="31"/>
  <c r="AC23" i="31" s="1"/>
  <c r="AB7" i="31"/>
  <c r="AE19" i="31"/>
  <c r="AE23" i="31" s="1"/>
  <c r="AC7" i="31"/>
  <c r="AE7" i="31"/>
  <c r="AE9" i="31" s="1"/>
  <c r="AC11" i="31"/>
  <c r="AB19" i="31"/>
  <c r="AB23" i="31" s="1"/>
  <c r="AD7" i="31"/>
  <c r="AB11" i="31"/>
  <c r="Z11" i="31"/>
  <c r="AE11" i="31"/>
  <c r="AD11" i="31"/>
  <c r="AA7" i="31"/>
  <c r="Z19" i="31"/>
  <c r="Z23" i="31" s="1"/>
  <c r="AA19" i="31"/>
  <c r="AA23" i="31" s="1"/>
  <c r="O286" i="34"/>
  <c r="BA28" i="31"/>
  <c r="BA29" i="31" s="1"/>
  <c r="AR31" i="31"/>
  <c r="AR32" i="31" s="1"/>
  <c r="AY50" i="31"/>
  <c r="AY51" i="31" s="1"/>
  <c r="AY56" i="31" s="1"/>
  <c r="AY58" i="31" s="1"/>
  <c r="N8" i="31"/>
  <c r="N7" i="31"/>
  <c r="AW64" i="31"/>
  <c r="BA34" i="31"/>
  <c r="BA25" i="31"/>
  <c r="BA26" i="31" s="1"/>
  <c r="AY11" i="31"/>
  <c r="AY17" i="31" s="1"/>
  <c r="BA19" i="31"/>
  <c r="BA23" i="31" s="1"/>
  <c r="AV31" i="31"/>
  <c r="AV32" i="31" s="1"/>
  <c r="AZ19" i="31"/>
  <c r="AZ23" i="31" s="1"/>
  <c r="AX25" i="31"/>
  <c r="AX26" i="31" s="1"/>
  <c r="AK31" i="31"/>
  <c r="AK32" i="31" s="1"/>
  <c r="BC31" i="31"/>
  <c r="BC32" i="31" s="1"/>
  <c r="S31" i="31"/>
  <c r="S32" i="31" s="1"/>
  <c r="AZ31" i="31"/>
  <c r="AZ32" i="31" s="1"/>
  <c r="P31" i="31"/>
  <c r="P32" i="31" s="1"/>
  <c r="O11" i="31"/>
  <c r="O31" i="31"/>
  <c r="O32" i="31" s="1"/>
  <c r="R25" i="31"/>
  <c r="R26" i="31" s="1"/>
  <c r="Q31" i="31"/>
  <c r="Q32" i="31" s="1"/>
  <c r="AN31" i="31"/>
  <c r="AN32" i="31" s="1"/>
  <c r="AP31" i="31"/>
  <c r="AP32" i="31" s="1"/>
  <c r="AM31" i="31"/>
  <c r="AM32" i="31" s="1"/>
  <c r="S50" i="31"/>
  <c r="S51" i="31" s="1"/>
  <c r="S56" i="31" s="1"/>
  <c r="AO31" i="31"/>
  <c r="AO32" i="31" s="1"/>
  <c r="AX31" i="31"/>
  <c r="AX32" i="31" s="1"/>
  <c r="BA31" i="31"/>
  <c r="BA32" i="31" s="1"/>
  <c r="BB31" i="31"/>
  <c r="BB32" i="31" s="1"/>
  <c r="AQ31" i="31"/>
  <c r="AQ32" i="31" s="1"/>
  <c r="R31" i="31"/>
  <c r="R32" i="31" s="1"/>
  <c r="AY31" i="31"/>
  <c r="AY32" i="31" s="1"/>
  <c r="AL31" i="31"/>
  <c r="AL32" i="31" s="1"/>
  <c r="AN11" i="31"/>
  <c r="Q50" i="31"/>
  <c r="Q51" i="31" s="1"/>
  <c r="Q56" i="31" s="1"/>
  <c r="AM25" i="31"/>
  <c r="R19" i="31"/>
  <c r="AP50" i="31"/>
  <c r="AP51" i="31" s="1"/>
  <c r="H31" i="31"/>
  <c r="Q19" i="31"/>
  <c r="AQ25" i="31"/>
  <c r="AL50" i="31"/>
  <c r="AL51" i="31" s="1"/>
  <c r="O25" i="31"/>
  <c r="O19" i="31"/>
  <c r="N50" i="31"/>
  <c r="N51" i="31" s="1"/>
  <c r="N56" i="31" s="1"/>
  <c r="N25" i="31"/>
  <c r="R34" i="31"/>
  <c r="AO25" i="31"/>
  <c r="AN25" i="31"/>
  <c r="P28" i="31"/>
  <c r="P29" i="31" s="1"/>
  <c r="AO29" i="31"/>
  <c r="O34" i="31"/>
  <c r="AQ19" i="31"/>
  <c r="S25" i="31"/>
  <c r="AO19" i="31"/>
  <c r="AP11" i="31"/>
  <c r="AQ29" i="31"/>
  <c r="N31" i="31"/>
  <c r="N32" i="31" s="1"/>
  <c r="AL29" i="31"/>
  <c r="P19" i="31"/>
  <c r="Q11" i="31"/>
  <c r="AM19" i="31"/>
  <c r="N28" i="31"/>
  <c r="N29" i="31" s="1"/>
  <c r="R50" i="31"/>
  <c r="R51" i="31" s="1"/>
  <c r="R56" i="31" s="1"/>
  <c r="AM29" i="31"/>
  <c r="P50" i="31"/>
  <c r="P51" i="31" s="1"/>
  <c r="P56" i="31" s="1"/>
  <c r="R11" i="31"/>
  <c r="R28" i="31"/>
  <c r="R29" i="31" s="1"/>
  <c r="S19" i="31"/>
  <c r="S23" i="31" s="1"/>
  <c r="S11" i="31"/>
  <c r="S34" i="31"/>
  <c r="P11" i="31"/>
  <c r="N19" i="31"/>
  <c r="AP25" i="31"/>
  <c r="S28" i="31"/>
  <c r="S29" i="31" s="1"/>
  <c r="AL19" i="31"/>
  <c r="AN19" i="31"/>
  <c r="AN29" i="31"/>
  <c r="O50" i="31"/>
  <c r="O51" i="31" s="1"/>
  <c r="O56" i="31" s="1"/>
  <c r="P25" i="31"/>
  <c r="AO50" i="31"/>
  <c r="AO51" i="31" s="1"/>
  <c r="Q34" i="31"/>
  <c r="AN50" i="31"/>
  <c r="AN51" i="31" s="1"/>
  <c r="AQ50" i="31"/>
  <c r="AQ51" i="31" s="1"/>
  <c r="AQ11" i="31"/>
  <c r="AL11" i="31"/>
  <c r="P34" i="31"/>
  <c r="AP19" i="31"/>
  <c r="O28" i="31"/>
  <c r="O29" i="31" s="1"/>
  <c r="AL25" i="31"/>
  <c r="Q25" i="31"/>
  <c r="Q26" i="31" s="1"/>
  <c r="N34" i="31"/>
  <c r="Q28" i="31"/>
  <c r="Q29" i="31" s="1"/>
  <c r="AM50" i="31"/>
  <c r="AM51" i="31" s="1"/>
  <c r="AP29" i="31"/>
  <c r="AO11" i="31"/>
  <c r="AX50" i="31"/>
  <c r="AX51" i="31" s="1"/>
  <c r="AX56" i="31" s="1"/>
  <c r="AX58" i="31" s="1"/>
  <c r="AF31" i="31"/>
  <c r="AG31" i="31"/>
  <c r="AG32" i="31" s="1"/>
  <c r="I31" i="31"/>
  <c r="I32" i="31" s="1"/>
  <c r="AS31" i="31"/>
  <c r="AS32" i="31" s="1"/>
  <c r="AH31" i="31"/>
  <c r="AH32" i="31" s="1"/>
  <c r="J31" i="31"/>
  <c r="J32" i="31" s="1"/>
  <c r="AT31" i="31"/>
  <c r="AT32" i="31" s="1"/>
  <c r="AI31" i="31"/>
  <c r="AI32" i="31" s="1"/>
  <c r="AJ31" i="31"/>
  <c r="AJ32" i="31" s="1"/>
  <c r="AZ50" i="31"/>
  <c r="AZ51" i="31" s="1"/>
  <c r="AZ56" i="31" s="1"/>
  <c r="AZ58" i="31" s="1"/>
  <c r="K31" i="31"/>
  <c r="K32" i="31" s="1"/>
  <c r="AU31" i="31"/>
  <c r="AU32" i="31" s="1"/>
  <c r="L31" i="31"/>
  <c r="L32" i="31" s="1"/>
  <c r="AZ34" i="31"/>
  <c r="M31" i="31"/>
  <c r="M32" i="31" s="1"/>
  <c r="AX19" i="31"/>
  <c r="AX23" i="31" s="1"/>
  <c r="AY34" i="31"/>
  <c r="AY25" i="31"/>
  <c r="AY26" i="31" s="1"/>
  <c r="AX28" i="31"/>
  <c r="AX29" i="31" s="1"/>
  <c r="AW31" i="31"/>
  <c r="AW32" i="31" s="1"/>
  <c r="AX11" i="31"/>
  <c r="AX17" i="31" s="1"/>
  <c r="AY28" i="31"/>
  <c r="AY29" i="31" s="1"/>
  <c r="AK29" i="31"/>
  <c r="AZ11" i="31"/>
  <c r="AZ17" i="31" s="1"/>
  <c r="BB7" i="31"/>
  <c r="BB9" i="31" s="1"/>
  <c r="BA143" i="33"/>
  <c r="BC143" i="33" s="1"/>
  <c r="BC137" i="33"/>
  <c r="BA131" i="33"/>
  <c r="BA11" i="31" s="1"/>
  <c r="BA17" i="31" s="1"/>
  <c r="BA144" i="33"/>
  <c r="BA142" i="33"/>
  <c r="BC142" i="33" s="1"/>
  <c r="J122" i="6"/>
  <c r="O643" i="34"/>
  <c r="O378" i="34"/>
  <c r="O382" i="34" s="1"/>
  <c r="BA148" i="33"/>
  <c r="BC148" i="33" s="1"/>
  <c r="BA141" i="33"/>
  <c r="BC141" i="33" s="1"/>
  <c r="BA146" i="33"/>
  <c r="BC146" i="33" s="1"/>
  <c r="BA145" i="33"/>
  <c r="BC145" i="33" s="1"/>
  <c r="BA50" i="31"/>
  <c r="AY52" i="87"/>
  <c r="L34" i="31"/>
  <c r="AW11" i="31"/>
  <c r="AW25" i="31"/>
  <c r="AW26" i="31" s="1"/>
  <c r="AI12" i="31"/>
  <c r="AI8" i="31"/>
  <c r="AW35" i="31"/>
  <c r="K50" i="31"/>
  <c r="AW8" i="31"/>
  <c r="AU12" i="31"/>
  <c r="AV35" i="31"/>
  <c r="AW14" i="31"/>
  <c r="AW12" i="31"/>
  <c r="AW28" i="31"/>
  <c r="AW29" i="31" s="1"/>
  <c r="AV14" i="31"/>
  <c r="AI35" i="31"/>
  <c r="AV19" i="31"/>
  <c r="M34" i="31"/>
  <c r="AT50" i="31"/>
  <c r="AR19" i="31"/>
  <c r="AR20" i="31"/>
  <c r="AV34" i="31"/>
  <c r="AV7" i="31"/>
  <c r="AV12" i="31"/>
  <c r="AV28" i="31"/>
  <c r="AV29" i="31" s="1"/>
  <c r="M35" i="31"/>
  <c r="AV25" i="31"/>
  <c r="AV36" i="31"/>
  <c r="AS50" i="31"/>
  <c r="AV20" i="31"/>
  <c r="AF25" i="31"/>
  <c r="AF14" i="31"/>
  <c r="J15" i="31"/>
  <c r="AH7" i="31"/>
  <c r="AF12" i="31"/>
  <c r="AG14" i="31"/>
  <c r="AF35" i="31"/>
  <c r="AF19" i="31"/>
  <c r="AF20" i="31"/>
  <c r="AM14" i="31"/>
  <c r="AI7" i="31"/>
  <c r="J8" i="31"/>
  <c r="AG11" i="31"/>
  <c r="H12" i="31"/>
  <c r="M12" i="31"/>
  <c r="I14" i="31"/>
  <c r="H37" i="31"/>
  <c r="I37" i="31"/>
  <c r="J37" i="31"/>
  <c r="J11" i="31"/>
  <c r="M11" i="31"/>
  <c r="AK11" i="31"/>
  <c r="H38" i="31"/>
  <c r="AK8" i="31"/>
  <c r="AK7" i="31"/>
  <c r="AO14" i="31"/>
  <c r="H21" i="31"/>
  <c r="AK19" i="31"/>
  <c r="AJ14" i="31"/>
  <c r="AK35" i="31"/>
  <c r="AK25" i="31"/>
  <c r="AO7" i="31"/>
  <c r="AH25" i="31"/>
  <c r="J13" i="31"/>
  <c r="AK13" i="31"/>
  <c r="AI19" i="31"/>
  <c r="I22" i="31"/>
  <c r="P8" i="31"/>
  <c r="AL7" i="31"/>
  <c r="AT13" i="31"/>
  <c r="AP14" i="31"/>
  <c r="L16" i="31"/>
  <c r="AJ19" i="31"/>
  <c r="J22" i="31"/>
  <c r="H16" i="31"/>
  <c r="AJ50" i="31"/>
  <c r="H7" i="31"/>
  <c r="Q7" i="31"/>
  <c r="AK12" i="31"/>
  <c r="AF8" i="31"/>
  <c r="K22" i="31"/>
  <c r="I21" i="31"/>
  <c r="K15" i="31"/>
  <c r="AH12" i="31"/>
  <c r="M7" i="31"/>
  <c r="M20" i="31"/>
  <c r="J19" i="31"/>
  <c r="L11" i="31"/>
  <c r="K20" i="31"/>
  <c r="I15" i="31"/>
  <c r="R7" i="31"/>
  <c r="J21" i="31"/>
  <c r="AI29" i="31"/>
  <c r="AK14" i="31"/>
  <c r="K7" i="31"/>
  <c r="H19" i="31"/>
  <c r="I12" i="31"/>
  <c r="AH8" i="31"/>
  <c r="AK20" i="31"/>
  <c r="AJ20" i="31"/>
  <c r="AH35" i="31"/>
  <c r="AG25" i="31"/>
  <c r="L7" i="31"/>
  <c r="AR13" i="31"/>
  <c r="AG35" i="31"/>
  <c r="AI11" i="31"/>
  <c r="K38" i="31"/>
  <c r="K12" i="31"/>
  <c r="I20" i="31"/>
  <c r="I16" i="31"/>
  <c r="H11" i="31"/>
  <c r="M37" i="31"/>
  <c r="AU13" i="31"/>
  <c r="AK50" i="31"/>
  <c r="AG12" i="31"/>
  <c r="L20" i="31"/>
  <c r="M50" i="31"/>
  <c r="H50" i="31"/>
  <c r="AG13" i="31"/>
  <c r="J14" i="31"/>
  <c r="AJ11" i="31"/>
  <c r="K11" i="31"/>
  <c r="AF50" i="31"/>
  <c r="AO8" i="31"/>
  <c r="L38" i="31"/>
  <c r="J20" i="31"/>
  <c r="L22" i="31"/>
  <c r="L37" i="31"/>
  <c r="AG7" i="31"/>
  <c r="I19" i="31"/>
  <c r="J12" i="31"/>
  <c r="AH14" i="31"/>
  <c r="AW13" i="31"/>
  <c r="H20" i="31"/>
  <c r="M22" i="31"/>
  <c r="H15" i="31"/>
  <c r="AJ8" i="31"/>
  <c r="K14" i="31"/>
  <c r="AG29" i="31"/>
  <c r="AJ12" i="31"/>
  <c r="AH11" i="31"/>
  <c r="AS13" i="31"/>
  <c r="AJ25" i="31"/>
  <c r="O8" i="31"/>
  <c r="L50" i="31"/>
  <c r="AI20" i="31"/>
  <c r="L12" i="31"/>
  <c r="M8" i="31"/>
  <c r="AJ29" i="31"/>
  <c r="M14" i="31"/>
  <c r="M38" i="31"/>
  <c r="R8" i="31"/>
  <c r="L15" i="31"/>
  <c r="J16" i="31"/>
  <c r="K21" i="31"/>
  <c r="M16" i="31"/>
  <c r="M25" i="31"/>
  <c r="AG19" i="31"/>
  <c r="K16" i="31"/>
  <c r="AI25" i="31"/>
  <c r="AH20" i="31"/>
  <c r="K19" i="31"/>
  <c r="S8" i="31"/>
  <c r="AI14" i="31"/>
  <c r="AQ8" i="31"/>
  <c r="AN8" i="31"/>
  <c r="I38" i="31"/>
  <c r="AL14" i="31"/>
  <c r="M21" i="31"/>
  <c r="H13" i="31"/>
  <c r="K13" i="31"/>
  <c r="AP8" i="31"/>
  <c r="AI13" i="31"/>
  <c r="M13" i="31"/>
  <c r="AH19" i="31"/>
  <c r="L19" i="31"/>
  <c r="L8" i="31"/>
  <c r="AV13" i="31"/>
  <c r="AI50" i="31"/>
  <c r="J7" i="31"/>
  <c r="AL8" i="31"/>
  <c r="H14" i="31"/>
  <c r="K8" i="31"/>
  <c r="L14" i="31"/>
  <c r="AG8" i="31"/>
  <c r="AM7" i="31"/>
  <c r="AQ14" i="31"/>
  <c r="AN7" i="31"/>
  <c r="I13" i="31"/>
  <c r="J38" i="31"/>
  <c r="H22" i="31"/>
  <c r="AJ7" i="31"/>
  <c r="AN14" i="31"/>
  <c r="AJ35" i="31"/>
  <c r="L13" i="31"/>
  <c r="Q8" i="31"/>
  <c r="M19" i="31"/>
  <c r="AF13" i="31"/>
  <c r="AQ7" i="31"/>
  <c r="AH13" i="31"/>
  <c r="AP7" i="31"/>
  <c r="P7" i="31"/>
  <c r="AM8" i="31"/>
  <c r="K37" i="31"/>
  <c r="AJ13" i="31"/>
  <c r="L21" i="31"/>
  <c r="I11" i="31"/>
  <c r="O7" i="31"/>
  <c r="H34" i="31"/>
  <c r="H25" i="31"/>
  <c r="J50" i="31"/>
  <c r="AR50" i="31"/>
  <c r="H35" i="31"/>
  <c r="AG20" i="31"/>
  <c r="I50" i="31"/>
  <c r="H8" i="31"/>
  <c r="AR36" i="31"/>
  <c r="H36" i="31"/>
  <c r="AR28" i="31"/>
  <c r="AR29" i="31" s="1"/>
  <c r="AW50" i="31"/>
  <c r="H28" i="31"/>
  <c r="H29" i="31" s="1"/>
  <c r="AG50" i="31"/>
  <c r="AH50" i="31"/>
  <c r="AS12" i="31"/>
  <c r="AS7" i="31"/>
  <c r="AR25" i="31"/>
  <c r="AU19" i="31"/>
  <c r="AR8" i="31"/>
  <c r="I36" i="31"/>
  <c r="AR35" i="31"/>
  <c r="I25" i="31"/>
  <c r="J28" i="31"/>
  <c r="J29" i="31" s="1"/>
  <c r="AR34" i="31"/>
  <c r="AR14" i="31"/>
  <c r="I35" i="31"/>
  <c r="AS11" i="31"/>
  <c r="I8" i="31"/>
  <c r="J34" i="31"/>
  <c r="J36" i="31"/>
  <c r="AS19" i="31"/>
  <c r="AS34" i="31"/>
  <c r="AS25" i="31"/>
  <c r="AS26" i="31" s="1"/>
  <c r="AT7" i="31"/>
  <c r="AS36" i="31"/>
  <c r="I34" i="31"/>
  <c r="AS35" i="31"/>
  <c r="I28" i="31"/>
  <c r="I29" i="31" s="1"/>
  <c r="AS20" i="31"/>
  <c r="AS14" i="31"/>
  <c r="J35" i="31"/>
  <c r="J25" i="31"/>
  <c r="AT8" i="31"/>
  <c r="AT19" i="31"/>
  <c r="AT12" i="31"/>
  <c r="AT25" i="31"/>
  <c r="AU7" i="31"/>
  <c r="AT34" i="31"/>
  <c r="K34" i="31"/>
  <c r="AT35" i="31"/>
  <c r="AS28" i="31"/>
  <c r="AS29" i="31" s="1"/>
  <c r="AT36" i="31"/>
  <c r="AT11" i="31"/>
  <c r="AU20" i="31"/>
  <c r="AT28" i="31"/>
  <c r="AT29" i="31" s="1"/>
  <c r="AS8" i="31"/>
  <c r="AT20" i="31"/>
  <c r="AT14" i="31"/>
  <c r="K25" i="31"/>
  <c r="L36" i="31"/>
  <c r="K36" i="31"/>
  <c r="AU25" i="31"/>
  <c r="L35" i="31"/>
  <c r="L28" i="31"/>
  <c r="L29" i="31" s="1"/>
  <c r="AU34" i="31"/>
  <c r="AU36" i="31"/>
  <c r="AU8" i="31"/>
  <c r="AU28" i="31"/>
  <c r="AU29" i="31" s="1"/>
  <c r="AU11" i="31"/>
  <c r="AU14" i="31"/>
  <c r="K35" i="31"/>
  <c r="AU35" i="31"/>
  <c r="K28" i="31"/>
  <c r="K29" i="31" s="1"/>
  <c r="AV11" i="31"/>
  <c r="L25" i="31"/>
  <c r="M36" i="31"/>
  <c r="AW36" i="31"/>
  <c r="AW7" i="31"/>
  <c r="AR11" i="31"/>
  <c r="AW20" i="31"/>
  <c r="AW19" i="31"/>
  <c r="AR12" i="31"/>
  <c r="AV8" i="31"/>
  <c r="AW34" i="31"/>
  <c r="M28" i="31"/>
  <c r="M29" i="31" s="1"/>
  <c r="O332" i="34"/>
  <c r="O336" i="34" s="1"/>
  <c r="BM131" i="33"/>
  <c r="AX153" i="33"/>
  <c r="BN153" i="33"/>
  <c r="AY153" i="33"/>
  <c r="AV153" i="33"/>
  <c r="AW153" i="33"/>
  <c r="AY155" i="33"/>
  <c r="AW155" i="33"/>
  <c r="AV155" i="33"/>
  <c r="AX155" i="33"/>
  <c r="BN155" i="33"/>
  <c r="BM146" i="33"/>
  <c r="AW152" i="33"/>
  <c r="AX152" i="33"/>
  <c r="AV152" i="33"/>
  <c r="BN152" i="33"/>
  <c r="AY152" i="33"/>
  <c r="BM143" i="33"/>
  <c r="BC144" i="33"/>
  <c r="BM144" i="33"/>
  <c r="BM142" i="33"/>
  <c r="BM145" i="33"/>
  <c r="AV154" i="33"/>
  <c r="AW154" i="33"/>
  <c r="BN154" i="33"/>
  <c r="AX154" i="33"/>
  <c r="AY154" i="33"/>
  <c r="AX151" i="33"/>
  <c r="AY151" i="33"/>
  <c r="BN151" i="33"/>
  <c r="AW151" i="33"/>
  <c r="AV151" i="33"/>
  <c r="AA19" i="32"/>
  <c r="AY150" i="33"/>
  <c r="AC150" i="33"/>
  <c r="AR150" i="33" s="1"/>
  <c r="AX150" i="33"/>
  <c r="AD150" i="33"/>
  <c r="AS150" i="33" s="1"/>
  <c r="AS162" i="33" s="1"/>
  <c r="AV150" i="33"/>
  <c r="AW150" i="33"/>
  <c r="AD140" i="33"/>
  <c r="AS140" i="33" s="1"/>
  <c r="BN140" i="33" s="1"/>
  <c r="BN148" i="33"/>
  <c r="BM141" i="33"/>
  <c r="BM140" i="33"/>
  <c r="AC149" i="33"/>
  <c r="AR149" i="33" s="1"/>
  <c r="AV149" i="33"/>
  <c r="AY149" i="33"/>
  <c r="AW149" i="33"/>
  <c r="AX149" i="33"/>
  <c r="AD149" i="33"/>
  <c r="AS149" i="33" s="1"/>
  <c r="AD18" i="32"/>
  <c r="BN141" i="33"/>
  <c r="BI51" i="31"/>
  <c r="AD15" i="32" l="1"/>
  <c r="AD8" i="32"/>
  <c r="AD9" i="32"/>
  <c r="S17" i="31"/>
  <c r="AB9" i="31"/>
  <c r="AD9" i="31"/>
  <c r="AC17" i="31"/>
  <c r="V23" i="31"/>
  <c r="AA9" i="31"/>
  <c r="U9" i="31"/>
  <c r="W17" i="31"/>
  <c r="Z17" i="31"/>
  <c r="AB17" i="31"/>
  <c r="AC9" i="31"/>
  <c r="D14" i="31"/>
  <c r="AY57" i="87"/>
  <c r="AU57" i="87" s="1"/>
  <c r="N382" i="34"/>
  <c r="P382" i="34" s="1"/>
  <c r="P378" i="34"/>
  <c r="AV70" i="31"/>
  <c r="Y23" i="31"/>
  <c r="X23" i="31"/>
  <c r="U23" i="31"/>
  <c r="W23" i="31"/>
  <c r="AD17" i="31"/>
  <c r="W9" i="31"/>
  <c r="U17" i="31"/>
  <c r="Z9" i="31"/>
  <c r="AE17" i="31"/>
  <c r="AA17" i="31"/>
  <c r="T17" i="31"/>
  <c r="D11" i="31"/>
  <c r="V9" i="31"/>
  <c r="X17" i="31"/>
  <c r="D20" i="31"/>
  <c r="T9" i="31"/>
  <c r="D8" i="31"/>
  <c r="T23" i="31"/>
  <c r="D19" i="31"/>
  <c r="X9" i="31"/>
  <c r="Y9" i="31"/>
  <c r="D12" i="31"/>
  <c r="Y17" i="31"/>
  <c r="D7" i="31"/>
  <c r="V17" i="31"/>
  <c r="C7" i="31"/>
  <c r="BB50" i="31"/>
  <c r="BB51" i="31" s="1"/>
  <c r="BB56" i="31" s="1"/>
  <c r="BB58" i="31" s="1"/>
  <c r="AM17" i="31"/>
  <c r="BC7" i="31"/>
  <c r="BC9" i="31" s="1"/>
  <c r="AL58" i="31"/>
  <c r="AL56" i="31"/>
  <c r="AW159" i="33"/>
  <c r="AW166" i="33"/>
  <c r="AW164" i="33"/>
  <c r="AW167" i="33"/>
  <c r="AW161" i="33"/>
  <c r="AW169" i="33"/>
  <c r="AW163" i="33"/>
  <c r="AY163" i="33"/>
  <c r="AY164" i="33"/>
  <c r="AY166" i="33"/>
  <c r="AY159" i="33"/>
  <c r="AY161" i="33"/>
  <c r="AY169" i="33"/>
  <c r="AY167" i="33"/>
  <c r="AQ56" i="31"/>
  <c r="AQ58" i="31"/>
  <c r="AO58" i="31"/>
  <c r="AO56" i="31"/>
  <c r="H32" i="31"/>
  <c r="C32" i="31" s="1"/>
  <c r="C31" i="31"/>
  <c r="AF32" i="31"/>
  <c r="E32" i="31" s="1"/>
  <c r="E31" i="31"/>
  <c r="AM58" i="31"/>
  <c r="AM56" i="31"/>
  <c r="AN58" i="31"/>
  <c r="AN56" i="31"/>
  <c r="AP56" i="31"/>
  <c r="AP58" i="31"/>
  <c r="AE12" i="32"/>
  <c r="AS160" i="33"/>
  <c r="AS158" i="33"/>
  <c r="AX169" i="33"/>
  <c r="AX164" i="33"/>
  <c r="AX159" i="33"/>
  <c r="AX163" i="33"/>
  <c r="AX167" i="33"/>
  <c r="AX161" i="33"/>
  <c r="AX166" i="33"/>
  <c r="AD12" i="32"/>
  <c r="AR160" i="33"/>
  <c r="AV166" i="33"/>
  <c r="AV167" i="33"/>
  <c r="AV163" i="33"/>
  <c r="AV159" i="33"/>
  <c r="AV161" i="33"/>
  <c r="AV169" i="33"/>
  <c r="AV164" i="33"/>
  <c r="AR162" i="33"/>
  <c r="AV162" i="33"/>
  <c r="AY168" i="33"/>
  <c r="AV160" i="33"/>
  <c r="BB25" i="31"/>
  <c r="BB26" i="31" s="1"/>
  <c r="BC131" i="33"/>
  <c r="AJ46" i="32"/>
  <c r="H32" i="7" s="1"/>
  <c r="H33" i="7" s="1"/>
  <c r="AX171" i="33"/>
  <c r="AX158" i="33"/>
  <c r="AX168" i="33"/>
  <c r="AX165" i="33"/>
  <c r="AX160" i="33"/>
  <c r="AX170" i="33"/>
  <c r="AX162" i="33"/>
  <c r="BB34" i="31"/>
  <c r="BB39" i="31" s="1"/>
  <c r="BA155" i="33"/>
  <c r="BA173" i="33" s="1"/>
  <c r="BA177" i="33" s="1"/>
  <c r="AV171" i="33"/>
  <c r="AV158" i="33"/>
  <c r="AV170" i="33"/>
  <c r="AV168" i="33"/>
  <c r="AV156" i="33"/>
  <c r="AV165" i="33"/>
  <c r="BA153" i="33"/>
  <c r="BB28" i="31"/>
  <c r="BB29" i="31" s="1"/>
  <c r="AI46" i="32"/>
  <c r="J246" i="6" s="1"/>
  <c r="D25" i="5" s="1"/>
  <c r="AW158" i="33"/>
  <c r="AW168" i="33"/>
  <c r="AW170" i="33"/>
  <c r="AW171" i="33"/>
  <c r="AW162" i="33"/>
  <c r="AW156" i="33"/>
  <c r="AW165" i="33"/>
  <c r="BA151" i="33"/>
  <c r="BC151" i="33" s="1"/>
  <c r="AK46" i="32"/>
  <c r="J245" i="6" s="1"/>
  <c r="C25" i="5" s="1"/>
  <c r="AY156" i="33"/>
  <c r="AY170" i="33"/>
  <c r="AY162" i="33"/>
  <c r="AY165" i="33"/>
  <c r="AY171" i="33"/>
  <c r="AY160" i="33"/>
  <c r="AW160" i="33"/>
  <c r="AW70" i="31"/>
  <c r="BK75" i="31" s="1"/>
  <c r="P9" i="31"/>
  <c r="C29" i="31"/>
  <c r="BB19" i="31"/>
  <c r="BB23" i="31" s="1"/>
  <c r="BA140" i="33"/>
  <c r="BC140" i="33" s="1"/>
  <c r="BA154" i="33"/>
  <c r="BC154" i="33" s="1"/>
  <c r="BA150" i="33"/>
  <c r="BC150" i="33" s="1"/>
  <c r="BA152" i="33"/>
  <c r="BC152" i="33" s="1"/>
  <c r="BA51" i="31"/>
  <c r="BA56" i="31" s="1"/>
  <c r="BA58" i="31" s="1"/>
  <c r="AK39" i="31"/>
  <c r="AL9" i="31"/>
  <c r="AP9" i="31"/>
  <c r="AN9" i="31"/>
  <c r="AE10" i="32"/>
  <c r="S9" i="31"/>
  <c r="AL17" i="31"/>
  <c r="N9" i="31"/>
  <c r="AM9" i="31"/>
  <c r="Q9" i="31"/>
  <c r="AO9" i="31"/>
  <c r="R9" i="31"/>
  <c r="M23" i="31"/>
  <c r="AP17" i="31"/>
  <c r="AQ9" i="31"/>
  <c r="AG39" i="31"/>
  <c r="O9" i="31"/>
  <c r="AH17" i="31"/>
  <c r="AH23" i="31"/>
  <c r="AN17" i="31"/>
  <c r="AQ17" i="31"/>
  <c r="AW51" i="31"/>
  <c r="AW56" i="31" s="1"/>
  <c r="AW58" i="31" s="1"/>
  <c r="I17" i="31"/>
  <c r="C22" i="31"/>
  <c r="Q17" i="31"/>
  <c r="N17" i="31"/>
  <c r="K23" i="31"/>
  <c r="AG51" i="31"/>
  <c r="L51" i="31"/>
  <c r="L56" i="31" s="1"/>
  <c r="AF51" i="31"/>
  <c r="E50" i="31"/>
  <c r="J23" i="31"/>
  <c r="AH39" i="31"/>
  <c r="M17" i="31"/>
  <c r="C37" i="31"/>
  <c r="AF23" i="31"/>
  <c r="AT51" i="31"/>
  <c r="AT56" i="31" s="1"/>
  <c r="AT58" i="31" s="1"/>
  <c r="C28" i="31"/>
  <c r="C34" i="31"/>
  <c r="C14" i="31"/>
  <c r="AI51" i="31"/>
  <c r="L23" i="31"/>
  <c r="AG23" i="31"/>
  <c r="R17" i="31"/>
  <c r="P17" i="31"/>
  <c r="K17" i="31"/>
  <c r="H17" i="31"/>
  <c r="H23" i="31"/>
  <c r="E7" i="31"/>
  <c r="L17" i="31"/>
  <c r="AK23" i="31"/>
  <c r="J17" i="31"/>
  <c r="AR51" i="31"/>
  <c r="AR56" i="31" s="1"/>
  <c r="AR58" i="31" s="1"/>
  <c r="O17" i="31"/>
  <c r="H51" i="31"/>
  <c r="C50" i="31"/>
  <c r="C56" i="31" s="1"/>
  <c r="AK51" i="31"/>
  <c r="AI39" i="31"/>
  <c r="AJ51" i="31"/>
  <c r="AJ23" i="31"/>
  <c r="AI23" i="31"/>
  <c r="C38" i="31"/>
  <c r="AS51" i="31"/>
  <c r="AS56" i="31" s="1"/>
  <c r="AS58" i="31" s="1"/>
  <c r="AH51" i="31"/>
  <c r="I51" i="31"/>
  <c r="I56" i="31" s="1"/>
  <c r="J51" i="31"/>
  <c r="J56" i="31" s="1"/>
  <c r="AF29" i="31"/>
  <c r="E29" i="31" s="1"/>
  <c r="E28" i="31"/>
  <c r="C15" i="31"/>
  <c r="M51" i="31"/>
  <c r="M56" i="31" s="1"/>
  <c r="AJ39" i="31"/>
  <c r="C16" i="31"/>
  <c r="E14" i="31"/>
  <c r="K51" i="31"/>
  <c r="K56" i="31" s="1"/>
  <c r="AR18" i="32"/>
  <c r="AR10" i="32"/>
  <c r="AR16" i="32"/>
  <c r="AR12" i="32"/>
  <c r="AR14" i="32"/>
  <c r="AR20" i="32"/>
  <c r="AR15" i="32"/>
  <c r="AR19" i="32"/>
  <c r="AR13" i="32"/>
  <c r="AR17" i="32"/>
  <c r="AR8" i="32"/>
  <c r="AR9" i="32"/>
  <c r="AR11" i="32"/>
  <c r="AR22" i="32"/>
  <c r="AP8" i="32"/>
  <c r="AP18" i="32"/>
  <c r="AP14" i="32"/>
  <c r="AP22" i="32"/>
  <c r="AP17" i="32"/>
  <c r="AP20" i="32"/>
  <c r="AP9" i="32"/>
  <c r="AP19" i="32"/>
  <c r="AP11" i="32"/>
  <c r="AP15" i="32"/>
  <c r="AP16" i="32"/>
  <c r="AP10" i="32"/>
  <c r="AV8" i="32"/>
  <c r="AV11" i="32"/>
  <c r="AV22" i="32"/>
  <c r="AV19" i="32"/>
  <c r="AV18" i="32"/>
  <c r="AV17" i="32"/>
  <c r="AV13" i="32"/>
  <c r="AV14" i="32"/>
  <c r="AV16" i="32"/>
  <c r="AV15" i="32"/>
  <c r="AV9" i="32"/>
  <c r="AV10" i="32"/>
  <c r="AV20" i="32"/>
  <c r="AV12" i="32"/>
  <c r="AQ8" i="32"/>
  <c r="AQ17" i="32"/>
  <c r="AQ18" i="32"/>
  <c r="AQ11" i="32"/>
  <c r="AQ22" i="32"/>
  <c r="AQ15" i="32"/>
  <c r="AQ20" i="32"/>
  <c r="AQ9" i="32"/>
  <c r="AQ14" i="32"/>
  <c r="AQ10" i="32"/>
  <c r="AQ12" i="32"/>
  <c r="AQ13" i="32"/>
  <c r="AQ19" i="32"/>
  <c r="AQ16" i="32"/>
  <c r="AT8" i="32"/>
  <c r="AT10" i="32"/>
  <c r="AT19" i="32"/>
  <c r="AT12" i="32"/>
  <c r="AT14" i="32"/>
  <c r="AT9" i="32"/>
  <c r="AT20" i="32"/>
  <c r="AT16" i="32"/>
  <c r="AT22" i="32"/>
  <c r="AT13" i="32"/>
  <c r="AT17" i="32"/>
  <c r="AT15" i="32"/>
  <c r="AT18" i="32"/>
  <c r="AT11" i="32"/>
  <c r="AU9" i="32"/>
  <c r="AU15" i="32"/>
  <c r="AU18" i="32"/>
  <c r="AU17" i="32"/>
  <c r="AU13" i="32"/>
  <c r="AU8" i="32"/>
  <c r="AU19" i="32"/>
  <c r="AU16" i="32"/>
  <c r="AU20" i="32"/>
  <c r="AU10" i="32"/>
  <c r="AU22" i="32"/>
  <c r="AU11" i="32"/>
  <c r="AU12" i="32"/>
  <c r="AU14" i="32"/>
  <c r="AS8" i="32"/>
  <c r="AS9" i="32"/>
  <c r="AS11" i="32"/>
  <c r="AS14" i="32"/>
  <c r="AS15" i="32"/>
  <c r="AS19" i="32"/>
  <c r="AS17" i="32"/>
  <c r="AS12" i="32"/>
  <c r="AS16" i="32"/>
  <c r="AS22" i="32"/>
  <c r="AS13" i="32"/>
  <c r="AS10" i="32"/>
  <c r="AS18" i="32"/>
  <c r="AS20" i="32"/>
  <c r="AA17" i="32"/>
  <c r="AA18" i="32"/>
  <c r="AA16" i="32"/>
  <c r="AA22" i="32"/>
  <c r="AA20" i="32"/>
  <c r="AL23" i="31"/>
  <c r="AN23" i="31"/>
  <c r="AQ23" i="31"/>
  <c r="AP23" i="31"/>
  <c r="AO23" i="31"/>
  <c r="AM23" i="31"/>
  <c r="P23" i="31"/>
  <c r="AW17" i="31"/>
  <c r="AT17" i="31"/>
  <c r="AS17" i="31"/>
  <c r="AG17" i="31"/>
  <c r="AI17" i="31"/>
  <c r="AR17" i="31"/>
  <c r="AU17" i="31"/>
  <c r="AK17" i="31"/>
  <c r="AJ17" i="31"/>
  <c r="AF17" i="31"/>
  <c r="AV17" i="31"/>
  <c r="AO17" i="31"/>
  <c r="AW23" i="31"/>
  <c r="Q23" i="31"/>
  <c r="AV23" i="31"/>
  <c r="AT23" i="31"/>
  <c r="AU23" i="31"/>
  <c r="O23" i="31"/>
  <c r="N23" i="31"/>
  <c r="R23" i="31"/>
  <c r="BM154" i="33"/>
  <c r="BC153" i="33"/>
  <c r="BM153" i="33"/>
  <c r="BM152" i="33"/>
  <c r="BM151" i="33"/>
  <c r="BM155" i="33"/>
  <c r="AP149" i="33"/>
  <c r="BN150" i="33"/>
  <c r="BN149" i="33"/>
  <c r="BM150" i="33"/>
  <c r="I9" i="31"/>
  <c r="L9" i="31"/>
  <c r="AY39" i="31"/>
  <c r="J9" i="31"/>
  <c r="M9" i="31"/>
  <c r="AS9" i="31"/>
  <c r="K9" i="31"/>
  <c r="AT26" i="31"/>
  <c r="R39" i="31"/>
  <c r="C19" i="31"/>
  <c r="J26" i="31"/>
  <c r="AF39" i="31"/>
  <c r="E35" i="31"/>
  <c r="AK26" i="31"/>
  <c r="AJ9" i="31"/>
  <c r="AI26" i="31"/>
  <c r="AO39" i="31"/>
  <c r="E8" i="31"/>
  <c r="E36" i="31"/>
  <c r="AK9" i="31"/>
  <c r="AI9" i="31"/>
  <c r="AO26" i="31"/>
  <c r="C13" i="31"/>
  <c r="J39" i="31"/>
  <c r="C8" i="31"/>
  <c r="I39" i="31"/>
  <c r="C12" i="31"/>
  <c r="K26" i="31"/>
  <c r="N26" i="31"/>
  <c r="Q39" i="31"/>
  <c r="AZ39" i="31"/>
  <c r="AU39" i="31"/>
  <c r="E12" i="31"/>
  <c r="AM26" i="31"/>
  <c r="AP26" i="31"/>
  <c r="E25" i="31"/>
  <c r="AF26" i="31"/>
  <c r="AR26" i="31"/>
  <c r="M26" i="31"/>
  <c r="AV39" i="31"/>
  <c r="L39" i="31"/>
  <c r="AS39" i="31"/>
  <c r="AW39" i="31"/>
  <c r="P26" i="31"/>
  <c r="C36" i="31"/>
  <c r="AT9" i="31"/>
  <c r="E34" i="31"/>
  <c r="E20" i="31"/>
  <c r="AQ39" i="31"/>
  <c r="AM39" i="31"/>
  <c r="AQ26" i="31"/>
  <c r="AH9" i="31"/>
  <c r="AG26" i="31"/>
  <c r="AL39" i="31"/>
  <c r="E11" i="31"/>
  <c r="BA39" i="31"/>
  <c r="BA41" i="31" s="1"/>
  <c r="H9" i="31"/>
  <c r="AR39" i="31"/>
  <c r="AX39" i="31"/>
  <c r="C35" i="31"/>
  <c r="O39" i="31"/>
  <c r="M39" i="31"/>
  <c r="AU9" i="31"/>
  <c r="I26" i="31"/>
  <c r="H39" i="31"/>
  <c r="AT39" i="31"/>
  <c r="C20" i="31"/>
  <c r="H26" i="31"/>
  <c r="C25" i="31"/>
  <c r="O26" i="31"/>
  <c r="N39" i="31"/>
  <c r="AN39" i="31"/>
  <c r="AR9" i="31"/>
  <c r="AP39" i="31"/>
  <c r="AN26" i="31"/>
  <c r="AH26" i="31"/>
  <c r="AJ26" i="31"/>
  <c r="AG9" i="31"/>
  <c r="E19" i="31"/>
  <c r="AF9" i="31"/>
  <c r="E13" i="31"/>
  <c r="AL26" i="31"/>
  <c r="S26" i="31"/>
  <c r="AV26" i="31"/>
  <c r="AV9" i="31"/>
  <c r="K39" i="31"/>
  <c r="AW9" i="31"/>
  <c r="C11" i="31"/>
  <c r="AU26" i="31"/>
  <c r="L26" i="31"/>
  <c r="P39" i="31"/>
  <c r="S39" i="31"/>
  <c r="BJ64" i="31" l="1"/>
  <c r="BJ75" i="31"/>
  <c r="BL75" i="31" s="1"/>
  <c r="F75" i="31" s="1"/>
  <c r="AF45" i="31"/>
  <c r="AW41" i="31"/>
  <c r="E9" i="31"/>
  <c r="H45" i="31"/>
  <c r="AV41" i="31"/>
  <c r="D23" i="31"/>
  <c r="AP171" i="33"/>
  <c r="AP160" i="33"/>
  <c r="AA10" i="32"/>
  <c r="AV45" i="31"/>
  <c r="AJ45" i="31"/>
  <c r="AJ47" i="31" s="1"/>
  <c r="D17" i="31"/>
  <c r="BJ61" i="31"/>
  <c r="BJ73" i="31"/>
  <c r="AV90" i="31"/>
  <c r="BJ68" i="31"/>
  <c r="BJ63" i="31"/>
  <c r="BJ60" i="31"/>
  <c r="BJ69" i="31"/>
  <c r="BJ74" i="31"/>
  <c r="BJ67" i="31"/>
  <c r="BJ65" i="31"/>
  <c r="BJ76" i="31"/>
  <c r="BJ66" i="31"/>
  <c r="BJ77" i="31"/>
  <c r="BJ62" i="31"/>
  <c r="BJ72" i="31"/>
  <c r="D9" i="31"/>
  <c r="F22" i="6" s="1"/>
  <c r="J22" i="6" s="1"/>
  <c r="M45" i="31"/>
  <c r="AL41" i="31"/>
  <c r="AJ41" i="31"/>
  <c r="C9" i="31"/>
  <c r="B13" i="81" s="1"/>
  <c r="BK63" i="31"/>
  <c r="BK60" i="31"/>
  <c r="BC34" i="31"/>
  <c r="BC39" i="31" s="1"/>
  <c r="AK41" i="31"/>
  <c r="E32" i="7"/>
  <c r="E33" i="7" s="1"/>
  <c r="AP159" i="33"/>
  <c r="BA149" i="33"/>
  <c r="BC149" i="33" s="1"/>
  <c r="BC19" i="31"/>
  <c r="BC23" i="31" s="1"/>
  <c r="J248" i="6"/>
  <c r="F25" i="5" s="1"/>
  <c r="J32" i="7"/>
  <c r="J33" i="7" s="1"/>
  <c r="BC50" i="31"/>
  <c r="BC51" i="31" s="1"/>
  <c r="BC56" i="31" s="1"/>
  <c r="BC58" i="31" s="1"/>
  <c r="BC155" i="33"/>
  <c r="BC25" i="31"/>
  <c r="BC26" i="31" s="1"/>
  <c r="BJ31" i="31"/>
  <c r="BJ32" i="31" s="1"/>
  <c r="BI31" i="31"/>
  <c r="BI32" i="31" s="1"/>
  <c r="BK31" i="31"/>
  <c r="BK32" i="31" s="1"/>
  <c r="BH31" i="31"/>
  <c r="BH32" i="31" s="1"/>
  <c r="BK7" i="31"/>
  <c r="BJ8" i="31"/>
  <c r="BH7" i="31"/>
  <c r="BI7" i="31"/>
  <c r="BI8" i="31"/>
  <c r="BH8" i="31"/>
  <c r="P45" i="31"/>
  <c r="BK8" i="31"/>
  <c r="BJ7" i="31"/>
  <c r="BK66" i="31"/>
  <c r="BK62" i="31"/>
  <c r="BK61" i="31"/>
  <c r="BK67" i="31"/>
  <c r="BK65" i="31"/>
  <c r="BK77" i="31"/>
  <c r="BK72" i="31"/>
  <c r="BK69" i="31"/>
  <c r="BK68" i="31"/>
  <c r="BK76" i="31"/>
  <c r="BK74" i="31"/>
  <c r="BK73" i="31"/>
  <c r="BK64" i="31"/>
  <c r="K45" i="31"/>
  <c r="N45" i="31"/>
  <c r="L45" i="31"/>
  <c r="J45" i="31"/>
  <c r="O45" i="31"/>
  <c r="Q45" i="31"/>
  <c r="S45" i="31"/>
  <c r="R45" i="31"/>
  <c r="BB11" i="31"/>
  <c r="BB17" i="31" s="1"/>
  <c r="BB45" i="31" s="1"/>
  <c r="BC28" i="31"/>
  <c r="BC29" i="31" s="1"/>
  <c r="AN46" i="32"/>
  <c r="AI45" i="31"/>
  <c r="AO45" i="31"/>
  <c r="AO95" i="31" s="1"/>
  <c r="AL45" i="31"/>
  <c r="AL95" i="31" s="1"/>
  <c r="AM45" i="31"/>
  <c r="AM95" i="31" s="1"/>
  <c r="AN45" i="31"/>
  <c r="AN95" i="31" s="1"/>
  <c r="AQ45" i="31"/>
  <c r="AQ95" i="31" s="1"/>
  <c r="AP45" i="31"/>
  <c r="AP95" i="31" s="1"/>
  <c r="AH45" i="31"/>
  <c r="AK45" i="31"/>
  <c r="AG45" i="31"/>
  <c r="AY41" i="31"/>
  <c r="AY45" i="31"/>
  <c r="AX41" i="31"/>
  <c r="AX45" i="31"/>
  <c r="BA45" i="31"/>
  <c r="AZ41" i="31"/>
  <c r="AZ45" i="31"/>
  <c r="AA9" i="32"/>
  <c r="AN41" i="31"/>
  <c r="AH56" i="31"/>
  <c r="AH58" i="31"/>
  <c r="AO41" i="31"/>
  <c r="AI58" i="31"/>
  <c r="AI56" i="31"/>
  <c r="AM41" i="31"/>
  <c r="AF41" i="31"/>
  <c r="AP41" i="31"/>
  <c r="AH46" i="32"/>
  <c r="AM46" i="32" s="1"/>
  <c r="AK56" i="31"/>
  <c r="AK58" i="31"/>
  <c r="H56" i="31"/>
  <c r="C51" i="31"/>
  <c r="AF56" i="31"/>
  <c r="AF58" i="31"/>
  <c r="E51" i="31"/>
  <c r="AG58" i="31"/>
  <c r="AG56" i="31"/>
  <c r="AH41" i="31"/>
  <c r="AI41" i="31"/>
  <c r="AQ41" i="31"/>
  <c r="AJ58" i="31"/>
  <c r="AJ56" i="31"/>
  <c r="AG41" i="31"/>
  <c r="E26" i="31"/>
  <c r="C26" i="31"/>
  <c r="AW90" i="31"/>
  <c r="AH8" i="32"/>
  <c r="AH22" i="32"/>
  <c r="AH13" i="32"/>
  <c r="AH9" i="32"/>
  <c r="AH15" i="32"/>
  <c r="AH16" i="32"/>
  <c r="AH20" i="32"/>
  <c r="AH12" i="32"/>
  <c r="J130" i="6" s="1"/>
  <c r="AH10" i="32"/>
  <c r="AH19" i="32"/>
  <c r="AH11" i="32"/>
  <c r="AH18" i="32"/>
  <c r="AH17" i="32"/>
  <c r="AH14" i="32"/>
  <c r="AN10" i="32"/>
  <c r="AN19" i="32"/>
  <c r="AO19" i="32" s="1"/>
  <c r="AN12" i="32"/>
  <c r="AN13" i="32"/>
  <c r="AN16" i="32"/>
  <c r="AN9" i="32"/>
  <c r="AN22" i="32"/>
  <c r="AN8" i="32"/>
  <c r="AW45" i="31"/>
  <c r="BK15" i="31"/>
  <c r="BK21" i="31"/>
  <c r="BK37" i="31"/>
  <c r="BK38" i="31"/>
  <c r="BK13" i="31"/>
  <c r="BK16" i="31"/>
  <c r="BK22" i="31"/>
  <c r="BK19" i="31"/>
  <c r="BK36" i="31"/>
  <c r="BK14" i="31"/>
  <c r="BK25" i="31"/>
  <c r="BK26" i="31" s="1"/>
  <c r="BK20" i="31"/>
  <c r="BK34" i="31"/>
  <c r="BK12" i="31"/>
  <c r="BK35" i="31"/>
  <c r="BK11" i="31"/>
  <c r="BK28" i="31"/>
  <c r="BK29" i="31" s="1"/>
  <c r="BJ22" i="31"/>
  <c r="BJ21" i="31"/>
  <c r="BJ16" i="31"/>
  <c r="BJ38" i="31"/>
  <c r="BJ37" i="31"/>
  <c r="BJ15" i="31"/>
  <c r="BJ13" i="31"/>
  <c r="BJ36" i="31"/>
  <c r="BJ12" i="31"/>
  <c r="BJ34" i="31"/>
  <c r="BJ28" i="31"/>
  <c r="BJ29" i="31" s="1"/>
  <c r="BJ25" i="31"/>
  <c r="BJ26" i="31" s="1"/>
  <c r="BJ35" i="31"/>
  <c r="BJ20" i="31"/>
  <c r="BJ19" i="31"/>
  <c r="BJ14" i="31"/>
  <c r="BJ11" i="31"/>
  <c r="AI17" i="32"/>
  <c r="AI11" i="32"/>
  <c r="AI13" i="32"/>
  <c r="AI22" i="32"/>
  <c r="AI9" i="32"/>
  <c r="AI10" i="32"/>
  <c r="AI16" i="32"/>
  <c r="AI20" i="32"/>
  <c r="AI18" i="32"/>
  <c r="AI15" i="32"/>
  <c r="AI19" i="32"/>
  <c r="AI12" i="32"/>
  <c r="AI14" i="32"/>
  <c r="AI8" i="32"/>
  <c r="AN15" i="32"/>
  <c r="AN20" i="32"/>
  <c r="AN14" i="32"/>
  <c r="BI22" i="31"/>
  <c r="AU45" i="31"/>
  <c r="BI21" i="31"/>
  <c r="BI16" i="31"/>
  <c r="AU41" i="31"/>
  <c r="BI38" i="31"/>
  <c r="BI37" i="31"/>
  <c r="BI15" i="31"/>
  <c r="BI13" i="31"/>
  <c r="BI36" i="31"/>
  <c r="BI20" i="31"/>
  <c r="BI12" i="31"/>
  <c r="BI11" i="31"/>
  <c r="BI28" i="31"/>
  <c r="BI29" i="31" s="1"/>
  <c r="BI25" i="31"/>
  <c r="BI26" i="31" s="1"/>
  <c r="BI19" i="31"/>
  <c r="BI34" i="31"/>
  <c r="BI14" i="31"/>
  <c r="BI35" i="31"/>
  <c r="BH38" i="31"/>
  <c r="BH37" i="31"/>
  <c r="BH15" i="31"/>
  <c r="BH22" i="31"/>
  <c r="AT45" i="31"/>
  <c r="BH21" i="31"/>
  <c r="BH16" i="31"/>
  <c r="AT41" i="31"/>
  <c r="BH13" i="31"/>
  <c r="BH25" i="31"/>
  <c r="BH26" i="31" s="1"/>
  <c r="BH20" i="31"/>
  <c r="BH34" i="31"/>
  <c r="BH12" i="31"/>
  <c r="BH11" i="31"/>
  <c r="BH35" i="31"/>
  <c r="BH28" i="31"/>
  <c r="BH29" i="31" s="1"/>
  <c r="BH14" i="31"/>
  <c r="BH36" i="31"/>
  <c r="BH19" i="31"/>
  <c r="AJ8" i="32"/>
  <c r="AJ22" i="32"/>
  <c r="AJ10" i="32"/>
  <c r="AJ13" i="32"/>
  <c r="AJ17" i="32"/>
  <c r="AJ9" i="32"/>
  <c r="AJ15" i="32"/>
  <c r="AJ20" i="32"/>
  <c r="AJ18" i="32"/>
  <c r="AJ12" i="32"/>
  <c r="AJ19" i="32"/>
  <c r="AJ16" i="32"/>
  <c r="AJ14" i="32"/>
  <c r="AJ11" i="32"/>
  <c r="AK8" i="32"/>
  <c r="AK19" i="32"/>
  <c r="AK15" i="32"/>
  <c r="AK16" i="32"/>
  <c r="AK17" i="32"/>
  <c r="AK13" i="32"/>
  <c r="AK12" i="32"/>
  <c r="AK14" i="32"/>
  <c r="AK11" i="32"/>
  <c r="AK18" i="32"/>
  <c r="AK9" i="32"/>
  <c r="AK20" i="32"/>
  <c r="AK10" i="32"/>
  <c r="AK22" i="32"/>
  <c r="AN11" i="32"/>
  <c r="AN17" i="32"/>
  <c r="AN18" i="32"/>
  <c r="AD16" i="32"/>
  <c r="AD20" i="32"/>
  <c r="AD19" i="32"/>
  <c r="AD22" i="32"/>
  <c r="AD17" i="32"/>
  <c r="AD10" i="32"/>
  <c r="AE19" i="32"/>
  <c r="AE9" i="32"/>
  <c r="AE17" i="32"/>
  <c r="AE22" i="32"/>
  <c r="AE16" i="32"/>
  <c r="AE8" i="32"/>
  <c r="AE20" i="32"/>
  <c r="AE18" i="32"/>
  <c r="BM149" i="33"/>
  <c r="E23" i="31"/>
  <c r="C39" i="31"/>
  <c r="E39" i="31"/>
  <c r="E17" i="31"/>
  <c r="BK51" i="31"/>
  <c r="BL50" i="31"/>
  <c r="AV91" i="31" l="1"/>
  <c r="F90" i="31"/>
  <c r="AG95" i="31"/>
  <c r="AG96" i="31" s="1"/>
  <c r="BL62" i="31"/>
  <c r="AM8" i="32"/>
  <c r="BL77" i="31"/>
  <c r="F77" i="31" s="1"/>
  <c r="BL73" i="31"/>
  <c r="F73" i="31" s="1"/>
  <c r="AF95" i="31"/>
  <c r="AF96" i="31" s="1"/>
  <c r="BL74" i="31"/>
  <c r="F74" i="31" s="1"/>
  <c r="BL68" i="31"/>
  <c r="BL61" i="31"/>
  <c r="BL67" i="31"/>
  <c r="BL76" i="31"/>
  <c r="F76" i="31" s="1"/>
  <c r="BL63" i="31"/>
  <c r="F63" i="31" s="1"/>
  <c r="BL65" i="31"/>
  <c r="BJ70" i="31"/>
  <c r="BL66" i="31"/>
  <c r="BJ78" i="31"/>
  <c r="AM13" i="32"/>
  <c r="AM9" i="32"/>
  <c r="BC11" i="31"/>
  <c r="BC17" i="31" s="1"/>
  <c r="BA156" i="33"/>
  <c r="G23" i="6"/>
  <c r="E46" i="31"/>
  <c r="H41" i="7"/>
  <c r="H42" i="7" s="1"/>
  <c r="G41" i="7"/>
  <c r="G42" i="7" s="1"/>
  <c r="E41" i="7"/>
  <c r="E42" i="7" s="1"/>
  <c r="J324" i="6"/>
  <c r="C29" i="5" s="1"/>
  <c r="J41" i="7"/>
  <c r="J42" i="7" s="1"/>
  <c r="BB41" i="31"/>
  <c r="AH48" i="32"/>
  <c r="AK48" i="32"/>
  <c r="AI48" i="32"/>
  <c r="AJ48" i="32"/>
  <c r="AJ95" i="31"/>
  <c r="AJ96" i="31" s="1"/>
  <c r="AK95" i="31"/>
  <c r="AK96" i="31" s="1"/>
  <c r="AH95" i="31"/>
  <c r="AH96" i="31" s="1"/>
  <c r="AI95" i="31"/>
  <c r="AI96" i="31" s="1"/>
  <c r="E19" i="5"/>
  <c r="E56" i="31"/>
  <c r="J247" i="6"/>
  <c r="E25" i="5" s="1"/>
  <c r="G32" i="7"/>
  <c r="G33" i="7" s="1"/>
  <c r="AO46" i="32"/>
  <c r="E58" i="31"/>
  <c r="BA167" i="33"/>
  <c r="BA168" i="33"/>
  <c r="BA171" i="33"/>
  <c r="BA164" i="33"/>
  <c r="BA159" i="33"/>
  <c r="BA166" i="33"/>
  <c r="BA165" i="33"/>
  <c r="BA160" i="33"/>
  <c r="BA163" i="33"/>
  <c r="BA170" i="33"/>
  <c r="BA169" i="33"/>
  <c r="BA161" i="33"/>
  <c r="BA162" i="33"/>
  <c r="J131" i="6"/>
  <c r="J128" i="6"/>
  <c r="C19" i="5" s="1"/>
  <c r="J129" i="6"/>
  <c r="D19" i="5" s="1"/>
  <c r="BL69" i="31"/>
  <c r="F69" i="31" s="1"/>
  <c r="BL64" i="31"/>
  <c r="H10" i="7"/>
  <c r="H11" i="7" s="1"/>
  <c r="G17" i="7"/>
  <c r="G10" i="7"/>
  <c r="G11" i="7" s="1"/>
  <c r="AO47" i="31"/>
  <c r="AP47" i="31"/>
  <c r="E10" i="7"/>
  <c r="E11" i="7" s="1"/>
  <c r="H17" i="7"/>
  <c r="H19" i="7" s="1"/>
  <c r="J10" i="7"/>
  <c r="J11" i="7" s="1"/>
  <c r="J17" i="7"/>
  <c r="J19" i="7" s="1"/>
  <c r="E17" i="7"/>
  <c r="J293" i="6"/>
  <c r="F27" i="5" s="1"/>
  <c r="H35" i="7"/>
  <c r="H36" i="7" s="1"/>
  <c r="J325" i="6"/>
  <c r="D29" i="5" s="1"/>
  <c r="E38" i="7"/>
  <c r="J292" i="6"/>
  <c r="E27" i="5" s="1"/>
  <c r="G35" i="7"/>
  <c r="G36" i="7" s="1"/>
  <c r="J21" i="7"/>
  <c r="J23" i="7" s="1"/>
  <c r="J172" i="6"/>
  <c r="C21" i="5" s="1"/>
  <c r="J327" i="6"/>
  <c r="F29" i="5" s="1"/>
  <c r="H38" i="7"/>
  <c r="H39" i="7" s="1"/>
  <c r="J291" i="6"/>
  <c r="D27" i="5" s="1"/>
  <c r="E35" i="7"/>
  <c r="E36" i="7" s="1"/>
  <c r="G13" i="7"/>
  <c r="G21" i="7"/>
  <c r="G23" i="7" s="1"/>
  <c r="J174" i="6"/>
  <c r="E21" i="5" s="1"/>
  <c r="J290" i="6"/>
  <c r="C27" i="5" s="1"/>
  <c r="J35" i="7"/>
  <c r="J38" i="7"/>
  <c r="J39" i="7" s="1"/>
  <c r="J326" i="6"/>
  <c r="E29" i="5" s="1"/>
  <c r="G38" i="7"/>
  <c r="G39" i="7" s="1"/>
  <c r="J13" i="7"/>
  <c r="J15" i="7" s="1"/>
  <c r="H21" i="7"/>
  <c r="H23" i="7" s="1"/>
  <c r="H13" i="7"/>
  <c r="H15" i="7" s="1"/>
  <c r="E21" i="7"/>
  <c r="E23" i="7" s="1"/>
  <c r="J173" i="6"/>
  <c r="D21" i="5" s="1"/>
  <c r="E13" i="7"/>
  <c r="E15" i="7" s="1"/>
  <c r="AV47" i="31"/>
  <c r="AW47" i="31"/>
  <c r="AW95" i="31"/>
  <c r="AU47" i="31"/>
  <c r="AT47" i="31"/>
  <c r="AT95" i="31"/>
  <c r="BK78" i="31"/>
  <c r="BL72" i="31"/>
  <c r="BK70" i="31"/>
  <c r="BL60" i="31"/>
  <c r="BK23" i="31"/>
  <c r="BK17" i="31"/>
  <c r="AW91" i="31"/>
  <c r="J356" i="6"/>
  <c r="D31" i="5" s="1"/>
  <c r="J357" i="6"/>
  <c r="E31" i="5" s="1"/>
  <c r="J78" i="6"/>
  <c r="C17" i="5" s="1"/>
  <c r="J358" i="6"/>
  <c r="F31" i="5" s="1"/>
  <c r="J175" i="6"/>
  <c r="BH23" i="31"/>
  <c r="BH17" i="31"/>
  <c r="BJ23" i="31"/>
  <c r="AM18" i="32"/>
  <c r="AO18" i="32" s="1"/>
  <c r="J29" i="6"/>
  <c r="C15" i="5" s="1"/>
  <c r="J81" i="6"/>
  <c r="F17" i="5" s="1"/>
  <c r="BI23" i="31"/>
  <c r="J30" i="6"/>
  <c r="D15" i="5" s="1"/>
  <c r="J79" i="6"/>
  <c r="D17" i="5" s="1"/>
  <c r="AM11" i="32"/>
  <c r="AO11" i="32" s="1"/>
  <c r="AM14" i="32"/>
  <c r="J32" i="6"/>
  <c r="F15" i="5" s="1"/>
  <c r="J80" i="6"/>
  <c r="E17" i="5" s="1"/>
  <c r="AM15" i="32"/>
  <c r="J31" i="6"/>
  <c r="E15" i="5" s="1"/>
  <c r="AM10" i="32"/>
  <c r="J355" i="6"/>
  <c r="C31" i="5" s="1"/>
  <c r="BI17" i="31"/>
  <c r="BJ17" i="31"/>
  <c r="AM12" i="32"/>
  <c r="AM22" i="32"/>
  <c r="AO22" i="32" s="1"/>
  <c r="AM17" i="32"/>
  <c r="AM20" i="32"/>
  <c r="AM16" i="32"/>
  <c r="AM19" i="32"/>
  <c r="BJ39" i="31"/>
  <c r="BJ9" i="31"/>
  <c r="BI9" i="31"/>
  <c r="BI39" i="31"/>
  <c r="BH9" i="31"/>
  <c r="AO96" i="31"/>
  <c r="AP96" i="31"/>
  <c r="AN47" i="31"/>
  <c r="AN96" i="31"/>
  <c r="AM47" i="31"/>
  <c r="AM96" i="31"/>
  <c r="AL47" i="31"/>
  <c r="AL96" i="31"/>
  <c r="J268" i="6"/>
  <c r="AG47" i="31"/>
  <c r="AK47" i="31"/>
  <c r="AI47" i="31"/>
  <c r="AQ47" i="31"/>
  <c r="AQ96" i="31"/>
  <c r="AF47" i="31"/>
  <c r="E45" i="31"/>
  <c r="AH47" i="31"/>
  <c r="J240" i="6"/>
  <c r="J241" i="6" s="1"/>
  <c r="N33" i="7" s="1"/>
  <c r="BL51" i="31"/>
  <c r="E95" i="31" l="1"/>
  <c r="E96" i="31" s="1"/>
  <c r="J123" i="6"/>
  <c r="BL78" i="31"/>
  <c r="J203" i="6" s="1"/>
  <c r="BL70" i="31"/>
  <c r="H47" i="7"/>
  <c r="D30" i="7"/>
  <c r="F30" i="7" s="1"/>
  <c r="K30" i="7" s="1"/>
  <c r="M30" i="7" s="1"/>
  <c r="J167" i="6"/>
  <c r="AO8" i="32"/>
  <c r="H31" i="5"/>
  <c r="G31" i="81" s="1"/>
  <c r="BC41" i="31"/>
  <c r="BC45" i="31"/>
  <c r="AU50" i="31"/>
  <c r="AV50" i="31"/>
  <c r="D29" i="7"/>
  <c r="F29" i="7" s="1"/>
  <c r="K29" i="7" s="1"/>
  <c r="M29" i="7" s="1"/>
  <c r="F64" i="31"/>
  <c r="J73" i="6"/>
  <c r="J74" i="6" s="1"/>
  <c r="E35" i="5"/>
  <c r="E42" i="5" s="1"/>
  <c r="F35" i="5"/>
  <c r="F42" i="5" s="1"/>
  <c r="E39" i="7"/>
  <c r="F85" i="31"/>
  <c r="J361" i="6"/>
  <c r="AO14" i="32"/>
  <c r="AO17" i="32"/>
  <c r="AO16" i="32"/>
  <c r="G19" i="7"/>
  <c r="AO10" i="32"/>
  <c r="E19" i="7"/>
  <c r="AO15" i="32"/>
  <c r="AO9" i="32"/>
  <c r="AO12" i="32"/>
  <c r="G15" i="7"/>
  <c r="AO20" i="32"/>
  <c r="AO13" i="32"/>
  <c r="E47" i="31"/>
  <c r="AT96" i="31"/>
  <c r="J270" i="6"/>
  <c r="E25" i="81"/>
  <c r="J36" i="7"/>
  <c r="J47" i="7" s="1"/>
  <c r="B33" i="82" l="1"/>
  <c r="I31" i="81"/>
  <c r="G29" i="81"/>
  <c r="B31" i="82" s="1"/>
  <c r="J205" i="6"/>
  <c r="N25" i="7" s="1"/>
  <c r="K50" i="32"/>
  <c r="K51" i="32" s="1"/>
  <c r="E47" i="7"/>
  <c r="G47" i="7"/>
  <c r="Q29" i="7"/>
  <c r="Q30" i="7"/>
  <c r="O30" i="7"/>
  <c r="O29" i="7"/>
  <c r="D35" i="5"/>
  <c r="D42" i="5" s="1"/>
  <c r="AV51" i="31"/>
  <c r="AV56" i="31" s="1"/>
  <c r="AU51" i="31"/>
  <c r="F50" i="31"/>
  <c r="C35" i="5"/>
  <c r="C42" i="5" s="1"/>
  <c r="J105" i="6"/>
  <c r="J104" i="6"/>
  <c r="J108" i="6"/>
  <c r="J107" i="6"/>
  <c r="J53" i="6"/>
  <c r="J155" i="6"/>
  <c r="C19" i="81"/>
  <c r="J154" i="6"/>
  <c r="J56" i="6"/>
  <c r="N26" i="7" l="1"/>
  <c r="AU56" i="31"/>
  <c r="F51" i="31"/>
  <c r="D32" i="7" s="1"/>
  <c r="AV58" i="31"/>
  <c r="AV95" i="31"/>
  <c r="C17" i="81"/>
  <c r="C33" i="81" s="1"/>
  <c r="C13" i="81"/>
  <c r="E13" i="81" s="1"/>
  <c r="J23" i="6"/>
  <c r="E19" i="81"/>
  <c r="J55" i="6"/>
  <c r="C15" i="81"/>
  <c r="F32" i="7" l="1"/>
  <c r="D33" i="7"/>
  <c r="F33" i="7" s="1"/>
  <c r="K33" i="7" s="1"/>
  <c r="AV96" i="31"/>
  <c r="AU58" i="31"/>
  <c r="F58" i="31" s="1"/>
  <c r="F56" i="31"/>
  <c r="AU95" i="31"/>
  <c r="AU96" i="31" l="1"/>
  <c r="M33" i="7"/>
  <c r="O33" i="7" l="1"/>
  <c r="I243" i="6" l="1"/>
  <c r="J243" i="6" s="1"/>
  <c r="B25" i="5" s="1"/>
  <c r="J251" i="6" l="1"/>
  <c r="H25" i="5" l="1"/>
  <c r="BK39" i="31"/>
  <c r="BK9" i="31"/>
  <c r="G23" i="81" l="1"/>
  <c r="I23" i="81" s="1"/>
  <c r="AW96" i="31"/>
  <c r="BA95" i="31"/>
  <c r="AX95" i="31"/>
  <c r="C17" i="31"/>
  <c r="B15" i="81" s="1"/>
  <c r="B25" i="82" l="1"/>
  <c r="E15" i="81"/>
  <c r="BB47" i="31"/>
  <c r="BB95" i="31"/>
  <c r="AY47" i="31"/>
  <c r="AZ47" i="31"/>
  <c r="AZ95" i="31"/>
  <c r="BC47" i="31"/>
  <c r="BC95" i="31"/>
  <c r="AX47" i="31"/>
  <c r="BA96" i="31"/>
  <c r="BA47" i="31"/>
  <c r="AX96" i="31" l="1"/>
  <c r="AZ96" i="31"/>
  <c r="BB96" i="31"/>
  <c r="BC96" i="31"/>
  <c r="J580" i="34"/>
  <c r="C21" i="31" l="1"/>
  <c r="I23" i="31"/>
  <c r="I45" i="31" s="1"/>
  <c r="C45" i="31" s="1"/>
  <c r="J595" i="34"/>
  <c r="AS21" i="31"/>
  <c r="AS23" i="31" l="1"/>
  <c r="J599" i="34"/>
  <c r="C23" i="31"/>
  <c r="C95" i="31" l="1"/>
  <c r="G50" i="32" s="1"/>
  <c r="G51" i="32" s="1"/>
  <c r="B17" i="81"/>
  <c r="B33" i="81" s="1"/>
  <c r="BG31" i="31"/>
  <c r="BG32" i="31" s="1"/>
  <c r="AS45" i="31"/>
  <c r="AS95" i="31" s="1"/>
  <c r="BG8" i="31"/>
  <c r="BG7" i="31"/>
  <c r="C46" i="31"/>
  <c r="BG21" i="31"/>
  <c r="BG37" i="31"/>
  <c r="BG13" i="31"/>
  <c r="BG35" i="31"/>
  <c r="BG14" i="31"/>
  <c r="BG16" i="31"/>
  <c r="BG15" i="31"/>
  <c r="BG36" i="31"/>
  <c r="BG34" i="31"/>
  <c r="BH39" i="31" s="1"/>
  <c r="AS41" i="31"/>
  <c r="BG22" i="31"/>
  <c r="BG20" i="31"/>
  <c r="BG12" i="31"/>
  <c r="BG28" i="31"/>
  <c r="BG38" i="31"/>
  <c r="BG11" i="31"/>
  <c r="BG25" i="31"/>
  <c r="BG26" i="31" s="1"/>
  <c r="BG19" i="31"/>
  <c r="E17" i="81" l="1"/>
  <c r="E33" i="81" s="1"/>
  <c r="BG17" i="31"/>
  <c r="BG23" i="31"/>
  <c r="BG29" i="31"/>
  <c r="BG9" i="31"/>
  <c r="AS47" i="31"/>
  <c r="BG39" i="31"/>
  <c r="J124" i="6" l="1"/>
  <c r="F14" i="7"/>
  <c r="AS96" i="31"/>
  <c r="N18" i="7" l="1"/>
  <c r="W15" i="87"/>
  <c r="W18" i="87"/>
  <c r="AK18" i="87" s="1"/>
  <c r="W16" i="87"/>
  <c r="AK16" i="87" s="1"/>
  <c r="AC36" i="32" s="1"/>
  <c r="AK14" i="87"/>
  <c r="W17" i="87"/>
  <c r="AK17" i="87" s="1"/>
  <c r="V14" i="87"/>
  <c r="AJ14" i="87" s="1"/>
  <c r="Y15" i="87"/>
  <c r="U17" i="87"/>
  <c r="AI17" i="87" s="1"/>
  <c r="U16" i="87"/>
  <c r="AI16" i="87" s="1"/>
  <c r="AA36" i="32" s="1"/>
  <c r="AK13" i="87"/>
  <c r="U13" i="87"/>
  <c r="U14" i="87"/>
  <c r="AI14" i="87" s="1"/>
  <c r="X15" i="87"/>
  <c r="U15" i="87"/>
  <c r="U18" i="87"/>
  <c r="AI18" i="87" s="1"/>
  <c r="AI13" i="87" l="1"/>
  <c r="AU13" i="87" s="1"/>
  <c r="AU49" i="87" s="1"/>
  <c r="U49" i="87"/>
  <c r="AK49" i="87"/>
  <c r="AC38" i="32"/>
  <c r="AM38" i="32" s="1"/>
  <c r="Y51" i="87"/>
  <c r="AE28" i="32"/>
  <c r="AI15" i="87"/>
  <c r="U51" i="87"/>
  <c r="X51" i="87"/>
  <c r="AD28" i="32"/>
  <c r="AD48" i="32" s="1"/>
  <c r="W51" i="87"/>
  <c r="AC28" i="32"/>
  <c r="AM28" i="32" s="1"/>
  <c r="AM36" i="32"/>
  <c r="AY72" i="31"/>
  <c r="AY78" i="31" s="1"/>
  <c r="F78" i="31" s="1"/>
  <c r="AO38" i="32"/>
  <c r="AK15" i="87"/>
  <c r="AK51" i="87" s="1"/>
  <c r="AU18" i="87"/>
  <c r="AJ15" i="87"/>
  <c r="BJ17" i="87"/>
  <c r="AU17" i="87"/>
  <c r="AU53" i="87" s="1"/>
  <c r="AU14" i="87"/>
  <c r="AU50" i="87" s="1"/>
  <c r="AA48" i="32"/>
  <c r="AM15" i="87"/>
  <c r="AM51" i="87" s="1"/>
  <c r="AM29" i="32"/>
  <c r="AL15" i="87"/>
  <c r="AL51" i="87" s="1"/>
  <c r="BJ16" i="87"/>
  <c r="AU16" i="87"/>
  <c r="AY67" i="31" s="1"/>
  <c r="F67" i="31" s="1"/>
  <c r="BJ14" i="87"/>
  <c r="BJ13" i="87"/>
  <c r="BJ18" i="87"/>
  <c r="AM48" i="32" l="1"/>
  <c r="AC48" i="32"/>
  <c r="BJ15" i="87"/>
  <c r="AJ51" i="87"/>
  <c r="BK15" i="87"/>
  <c r="F72" i="31"/>
  <c r="BI17" i="87"/>
  <c r="F68" i="31"/>
  <c r="AU52" i="87"/>
  <c r="BI14" i="87"/>
  <c r="BI18" i="87"/>
  <c r="AU54" i="87"/>
  <c r="AE48" i="32"/>
  <c r="AB48" i="32"/>
  <c r="D25" i="7"/>
  <c r="AU15" i="87"/>
  <c r="AW16" i="87"/>
  <c r="BI16" i="87"/>
  <c r="AW13" i="87"/>
  <c r="BI13" i="87"/>
  <c r="AU51" i="87" l="1"/>
  <c r="AU56" i="87" s="1"/>
  <c r="AU58" i="87" s="1"/>
  <c r="AY62" i="31"/>
  <c r="F62" i="31" s="1"/>
  <c r="AW15" i="87"/>
  <c r="BI15" i="87"/>
  <c r="AO29" i="32"/>
  <c r="D26" i="7"/>
  <c r="F26" i="7" s="1"/>
  <c r="F25" i="7"/>
  <c r="K25" i="7" s="1"/>
  <c r="M25" i="7" s="1"/>
  <c r="D22" i="7"/>
  <c r="D18" i="7" l="1"/>
  <c r="F18" i="7" s="1"/>
  <c r="AY70" i="31"/>
  <c r="AY90" i="31" s="1"/>
  <c r="K26" i="7"/>
  <c r="M26" i="7" s="1"/>
  <c r="O26" i="7" s="1"/>
  <c r="I207" i="6" s="1"/>
  <c r="O25" i="7"/>
  <c r="Q25" i="7"/>
  <c r="Q26" i="7" s="1"/>
  <c r="F22" i="7"/>
  <c r="K22" i="7" s="1"/>
  <c r="M22" i="7" s="1"/>
  <c r="J207" i="6" l="1"/>
  <c r="J221" i="6" s="1"/>
  <c r="F70" i="31"/>
  <c r="AY91" i="31"/>
  <c r="AY95" i="31"/>
  <c r="B23" i="5" l="1"/>
  <c r="K18" i="7"/>
  <c r="M18" i="7" s="1"/>
  <c r="AY96" i="31"/>
  <c r="H23" i="5" l="1"/>
  <c r="O18" i="7"/>
  <c r="I126" i="6" s="1"/>
  <c r="J126" i="6" s="1"/>
  <c r="Q18" i="7"/>
  <c r="G21" i="81" l="1"/>
  <c r="B23" i="82" s="1"/>
  <c r="BH158" i="33"/>
  <c r="BJ158" i="33"/>
  <c r="BL158" i="33"/>
  <c r="BF158" i="33"/>
  <c r="BG158" i="33"/>
  <c r="BI158" i="33"/>
  <c r="BD158" i="33"/>
  <c r="BE158" i="33"/>
  <c r="BK158" i="33"/>
  <c r="BA158" i="33"/>
  <c r="BA176" i="33" s="1"/>
  <c r="I21" i="81" l="1"/>
  <c r="E18" i="92"/>
  <c r="E19" i="92" s="1"/>
  <c r="F19" i="92" s="1"/>
  <c r="I565" i="34"/>
  <c r="P565" i="34" s="1"/>
  <c r="I580" i="34"/>
  <c r="AR21" i="31" l="1"/>
  <c r="P580" i="34"/>
  <c r="I595" i="34"/>
  <c r="I599" i="34" s="1"/>
  <c r="P599" i="34" s="1"/>
  <c r="AR23" i="31"/>
  <c r="BF7" i="31" l="1"/>
  <c r="BF34" i="31"/>
  <c r="P595" i="34"/>
  <c r="AR45" i="31"/>
  <c r="AR95" i="31" s="1"/>
  <c r="AR41" i="31"/>
  <c r="BF12" i="31"/>
  <c r="BL12" i="31" s="1"/>
  <c r="F12" i="31" s="1"/>
  <c r="BF38" i="31"/>
  <c r="BL38" i="31" s="1"/>
  <c r="F38" i="31" s="1"/>
  <c r="BF14" i="31"/>
  <c r="BL14" i="31" s="1"/>
  <c r="F14" i="31" s="1"/>
  <c r="BF8" i="31"/>
  <c r="BL8" i="31" s="1"/>
  <c r="F8" i="31" s="1"/>
  <c r="BF22" i="31"/>
  <c r="BL22" i="31" s="1"/>
  <c r="F22" i="31" s="1"/>
  <c r="BF11" i="31"/>
  <c r="BF13" i="31"/>
  <c r="BL13" i="31" s="1"/>
  <c r="F13" i="31" s="1"/>
  <c r="BF28" i="31"/>
  <c r="BF37" i="31"/>
  <c r="BL37" i="31" s="1"/>
  <c r="F37" i="31" s="1"/>
  <c r="BF35" i="31"/>
  <c r="BL35" i="31" s="1"/>
  <c r="F35" i="31" s="1"/>
  <c r="BF31" i="31"/>
  <c r="BF25" i="31"/>
  <c r="BF15" i="31"/>
  <c r="BL15" i="31" s="1"/>
  <c r="F15" i="31" s="1"/>
  <c r="BF36" i="31"/>
  <c r="BL36" i="31" s="1"/>
  <c r="F36" i="31" s="1"/>
  <c r="BF20" i="31"/>
  <c r="BL20" i="31" s="1"/>
  <c r="F20" i="31" s="1"/>
  <c r="BF16" i="31"/>
  <c r="BL16" i="31" s="1"/>
  <c r="F16" i="31" s="1"/>
  <c r="BF19" i="31"/>
  <c r="BF21" i="31"/>
  <c r="BL21" i="31" s="1"/>
  <c r="F21" i="31" s="1"/>
  <c r="AR47" i="31" l="1"/>
  <c r="F45" i="31"/>
  <c r="F95" i="31" s="1"/>
  <c r="F96" i="31" s="1"/>
  <c r="J157" i="6"/>
  <c r="J168" i="6" s="1"/>
  <c r="J110" i="6"/>
  <c r="J57" i="6"/>
  <c r="BL34" i="31"/>
  <c r="F34" i="31" s="1"/>
  <c r="BF39" i="31"/>
  <c r="BL39" i="31" s="1"/>
  <c r="BF29" i="31"/>
  <c r="BL29" i="31" s="1"/>
  <c r="J319" i="6" s="1"/>
  <c r="BL28" i="31"/>
  <c r="F28" i="31" s="1"/>
  <c r="BF9" i="31"/>
  <c r="BL9" i="31" s="1"/>
  <c r="J24" i="6" s="1"/>
  <c r="BL7" i="31"/>
  <c r="F7" i="31" s="1"/>
  <c r="AR96" i="31"/>
  <c r="F47" i="31"/>
  <c r="BL19" i="31"/>
  <c r="F19" i="31" s="1"/>
  <c r="BF23" i="31"/>
  <c r="BL23" i="31" s="1"/>
  <c r="BL25" i="31"/>
  <c r="F25" i="31" s="1"/>
  <c r="BF26" i="31"/>
  <c r="BL26" i="31" s="1"/>
  <c r="BF32" i="31"/>
  <c r="BL32" i="31" s="1"/>
  <c r="F32" i="31" s="1"/>
  <c r="D41" i="7" s="1"/>
  <c r="BL31" i="31"/>
  <c r="F31" i="31" s="1"/>
  <c r="BL11" i="31"/>
  <c r="F11" i="31" s="1"/>
  <c r="BF17" i="31"/>
  <c r="BL17" i="31" s="1"/>
  <c r="J58" i="6" s="1"/>
  <c r="F23" i="31" l="1"/>
  <c r="D17" i="7" s="1"/>
  <c r="J109" i="6"/>
  <c r="J111" i="6" s="1"/>
  <c r="N22" i="7"/>
  <c r="F29" i="31"/>
  <c r="D38" i="7" s="1"/>
  <c r="J320" i="6"/>
  <c r="J156" i="6"/>
  <c r="J158" i="6" s="1"/>
  <c r="F39" i="31"/>
  <c r="F41" i="7"/>
  <c r="D42" i="7"/>
  <c r="F42" i="7" s="1"/>
  <c r="K42" i="7" s="1"/>
  <c r="M42" i="7" s="1"/>
  <c r="Q42" i="7" s="1"/>
  <c r="J273" i="6"/>
  <c r="J274" i="6" s="1"/>
  <c r="F26" i="31"/>
  <c r="D35" i="7" s="1"/>
  <c r="F17" i="31"/>
  <c r="D13" i="7" s="1"/>
  <c r="J59" i="6"/>
  <c r="J25" i="6"/>
  <c r="F9" i="31"/>
  <c r="D10" i="7" s="1"/>
  <c r="D21" i="7" l="1"/>
  <c r="D23" i="7" s="1"/>
  <c r="F98" i="31"/>
  <c r="O22" i="7"/>
  <c r="I170" i="6" s="1"/>
  <c r="J170" i="6" s="1"/>
  <c r="Q22" i="7"/>
  <c r="N19" i="7"/>
  <c r="N17" i="7"/>
  <c r="D19" i="7"/>
  <c r="F19" i="7" s="1"/>
  <c r="K19" i="7" s="1"/>
  <c r="M19" i="7" s="1"/>
  <c r="F17" i="7"/>
  <c r="K17" i="7" s="1"/>
  <c r="M17" i="7" s="1"/>
  <c r="N15" i="7"/>
  <c r="D15" i="7"/>
  <c r="F13" i="7"/>
  <c r="N21" i="7"/>
  <c r="N23" i="7" s="1"/>
  <c r="F10" i="7"/>
  <c r="D11" i="7"/>
  <c r="D36" i="7"/>
  <c r="F36" i="7" s="1"/>
  <c r="K36" i="7" s="1"/>
  <c r="M36" i="7" s="1"/>
  <c r="F35" i="7"/>
  <c r="N39" i="7"/>
  <c r="N11" i="7"/>
  <c r="N36" i="7"/>
  <c r="F38" i="7"/>
  <c r="D39" i="7"/>
  <c r="F39" i="7" s="1"/>
  <c r="K39" i="7" s="1"/>
  <c r="M39" i="7" s="1"/>
  <c r="F21" i="7" l="1"/>
  <c r="Q17" i="7"/>
  <c r="O39" i="7"/>
  <c r="I322" i="6" s="1"/>
  <c r="J322" i="6" s="1"/>
  <c r="F15" i="7"/>
  <c r="K15" i="7" s="1"/>
  <c r="M15" i="7" s="1"/>
  <c r="O15" i="7" s="1"/>
  <c r="K21" i="7"/>
  <c r="F23" i="7"/>
  <c r="Q19" i="7"/>
  <c r="O19" i="7"/>
  <c r="O36" i="7"/>
  <c r="Q36" i="7"/>
  <c r="F11" i="7"/>
  <c r="D47" i="7"/>
  <c r="N47" i="7"/>
  <c r="Q39" i="7"/>
  <c r="O17" i="7"/>
  <c r="I113" i="6" s="1"/>
  <c r="J113" i="6" s="1"/>
  <c r="I61" i="6" l="1"/>
  <c r="J61" i="6" s="1"/>
  <c r="Q15" i="7"/>
  <c r="J330" i="6"/>
  <c r="B29" i="5"/>
  <c r="I288" i="6"/>
  <c r="J288" i="6" s="1"/>
  <c r="I276" i="6"/>
  <c r="J276" i="6" s="1"/>
  <c r="J137" i="6"/>
  <c r="B19" i="5"/>
  <c r="K11" i="7"/>
  <c r="M11" i="7" s="1"/>
  <c r="F47" i="7"/>
  <c r="M21" i="7"/>
  <c r="K23" i="7"/>
  <c r="M23" i="7" s="1"/>
  <c r="I76" i="6" l="1"/>
  <c r="J76" i="6" s="1"/>
  <c r="J87" i="6" s="1"/>
  <c r="J299" i="6"/>
  <c r="B27" i="5"/>
  <c r="Q21" i="7"/>
  <c r="O21" i="7"/>
  <c r="I160" i="6" s="1"/>
  <c r="J160" i="6" s="1"/>
  <c r="Q11" i="7"/>
  <c r="K47" i="7"/>
  <c r="M47" i="7" s="1"/>
  <c r="O47" i="7" s="1"/>
  <c r="H29" i="5"/>
  <c r="H19" i="5"/>
  <c r="O23" i="7"/>
  <c r="Q23" i="7"/>
  <c r="G27" i="81" l="1"/>
  <c r="B29" i="82" s="1"/>
  <c r="G17" i="81"/>
  <c r="B17" i="5"/>
  <c r="Q47" i="7"/>
  <c r="O11" i="7"/>
  <c r="I27" i="6" s="1"/>
  <c r="J27" i="6" s="1"/>
  <c r="J182" i="6"/>
  <c r="B21" i="5"/>
  <c r="H27" i="5"/>
  <c r="I27" i="81" l="1"/>
  <c r="B19" i="82"/>
  <c r="G25" i="81"/>
  <c r="I17" i="81"/>
  <c r="H17" i="5"/>
  <c r="J35" i="6"/>
  <c r="H21" i="5"/>
  <c r="B15" i="5"/>
  <c r="H15" i="5" l="1"/>
  <c r="G19" i="81"/>
  <c r="B27" i="82"/>
  <c r="G15" i="81"/>
  <c r="I25" i="81"/>
  <c r="B35" i="5"/>
  <c r="B42" i="5" s="1"/>
  <c r="B17" i="82" l="1"/>
  <c r="I15" i="81"/>
  <c r="B21" i="82"/>
  <c r="I19" i="81"/>
  <c r="G13" i="81"/>
  <c r="G33" i="81" s="1"/>
  <c r="I33" i="81" s="1"/>
  <c r="H35" i="5"/>
  <c r="H42" i="5" s="1"/>
  <c r="I13" i="81" l="1"/>
  <c r="B15" i="82"/>
  <c r="B35" i="82" l="1"/>
  <c r="B43" i="8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F42" authorId="0" shapeId="0" xr:uid="{78A0AA4B-4F50-42D3-8D9C-7487A7C474B2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 Adjustments CCF on Mar20-Aug20 Billed-Retail tab
</t>
        </r>
      </text>
    </comment>
    <comment ref="AF78" authorId="0" shapeId="0" xr:uid="{464C8E39-BDAC-4CB1-95A7-75B0E16F4BFB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April revenue month Mcf to tie out to RVA. </t>
        </r>
      </text>
    </comment>
  </commentList>
</comments>
</file>

<file path=xl/sharedStrings.xml><?xml version="1.0" encoding="utf-8"?>
<sst xmlns="http://schemas.openxmlformats.org/spreadsheetml/2006/main" count="15950" uniqueCount="1108">
  <si>
    <t>Revenue Amount</t>
  </si>
  <si>
    <t>Distribution Charge</t>
  </si>
  <si>
    <t xml:space="preserve"> DSM</t>
  </si>
  <si>
    <t xml:space="preserve"> GSC</t>
  </si>
  <si>
    <t xml:space="preserve"> WNA</t>
  </si>
  <si>
    <t>VDT</t>
  </si>
  <si>
    <t xml:space="preserve"> HEA</t>
  </si>
  <si>
    <t>Contract Group ADID</t>
  </si>
  <si>
    <t>Rate Category</t>
  </si>
  <si>
    <t>Tariff</t>
  </si>
  <si>
    <t>CCF</t>
  </si>
  <si>
    <t>$</t>
  </si>
  <si>
    <t>Large Commercial Customers</t>
  </si>
  <si>
    <t>LGCMG865</t>
  </si>
  <si>
    <t>As-Available Gas Service, Commercial</t>
  </si>
  <si>
    <t>Public Authorities Customers</t>
  </si>
  <si>
    <t>Industrial Customers</t>
  </si>
  <si>
    <t>LGING866</t>
  </si>
  <si>
    <t>As-Available Gas Service, Industrial</t>
  </si>
  <si>
    <t>LGCMG851</t>
  </si>
  <si>
    <t>Firm Commercial Gas Service</t>
  </si>
  <si>
    <t>Residential Customers</t>
  </si>
  <si>
    <t>LGUMG861</t>
  </si>
  <si>
    <t>Insight Gas Generators</t>
  </si>
  <si>
    <t>LGING855</t>
  </si>
  <si>
    <t>Firm Industrial Gas Service</t>
  </si>
  <si>
    <t>LGRSG811</t>
  </si>
  <si>
    <t>Residential Gas Service</t>
  </si>
  <si>
    <t>LGRSG840</t>
  </si>
  <si>
    <t>Volunteer Fire Department Gas</t>
  </si>
  <si>
    <t>LGCMG881</t>
  </si>
  <si>
    <t>LGING882</t>
  </si>
  <si>
    <t>LGING996</t>
  </si>
  <si>
    <t>Gas Special Contracts - LG&amp;E</t>
  </si>
  <si>
    <t>LGCMG895</t>
  </si>
  <si>
    <t>Gas Transport Service, FT Commercial</t>
  </si>
  <si>
    <t>LGING896</t>
  </si>
  <si>
    <t>Gas Transport Service, FT Industrial</t>
  </si>
  <si>
    <t>LGING896PM</t>
  </si>
  <si>
    <t>Gas Transport Service, PS-FT Industrial</t>
  </si>
  <si>
    <t>LGING997</t>
  </si>
  <si>
    <t>Gas Transport Service, Paddy's Run</t>
  </si>
  <si>
    <t>Description</t>
  </si>
  <si>
    <t>LGCMG875</t>
  </si>
  <si>
    <t>Distributed Generation Gas Service</t>
  </si>
  <si>
    <t>LGCMG881PM</t>
  </si>
  <si>
    <t>Gas Transport Service, PS-TS (CGS)</t>
  </si>
  <si>
    <t>LGCMG891</t>
  </si>
  <si>
    <t>LGCMG891PM</t>
  </si>
  <si>
    <t>LGCMG895PM</t>
  </si>
  <si>
    <t>Gas Transport Service, PS-FT Commercial</t>
  </si>
  <si>
    <t>Off System Gas Sales</t>
  </si>
  <si>
    <t>LGING882PM</t>
  </si>
  <si>
    <t>LGING892</t>
  </si>
  <si>
    <t>LGING892PM</t>
  </si>
  <si>
    <t>LGING995</t>
  </si>
  <si>
    <t>CGS</t>
  </si>
  <si>
    <t>FT-C</t>
  </si>
  <si>
    <t>FT-C-PM</t>
  </si>
  <si>
    <t>IGS</t>
  </si>
  <si>
    <t>FT-I</t>
  </si>
  <si>
    <t>FT-I-PM</t>
  </si>
  <si>
    <t>RGS</t>
  </si>
  <si>
    <t>851</t>
  </si>
  <si>
    <t>865</t>
  </si>
  <si>
    <t>875</t>
  </si>
  <si>
    <t>881</t>
  </si>
  <si>
    <t>891</t>
  </si>
  <si>
    <t>895</t>
  </si>
  <si>
    <t>855</t>
  </si>
  <si>
    <t>866</t>
  </si>
  <si>
    <t>882</t>
  </si>
  <si>
    <t>892</t>
  </si>
  <si>
    <t>896</t>
  </si>
  <si>
    <t>811</t>
  </si>
  <si>
    <t>840</t>
  </si>
  <si>
    <t>861</t>
  </si>
  <si>
    <t>Taxes</t>
  </si>
  <si>
    <t>Wholesale</t>
  </si>
  <si>
    <t>Receivable Amount</t>
  </si>
  <si>
    <t>Other</t>
  </si>
  <si>
    <t>Revenue Period</t>
  </si>
  <si>
    <t>MCF</t>
  </si>
  <si>
    <t>Revenue</t>
  </si>
  <si>
    <t>Month</t>
  </si>
  <si>
    <t>Intra-company</t>
  </si>
  <si>
    <t>PK</t>
  </si>
  <si>
    <t>Rate Class</t>
  </si>
  <si>
    <t>Rate Code</t>
  </si>
  <si>
    <t>CustChg</t>
  </si>
  <si>
    <t>Admin Chg</t>
  </si>
  <si>
    <t>UCDI Storage</t>
  </si>
  <si>
    <t>Demand Chg</t>
  </si>
  <si>
    <t>CustChrg</t>
  </si>
  <si>
    <t xml:space="preserve">ACTUALS </t>
  </si>
  <si>
    <t>CCF OnPeak</t>
  </si>
  <si>
    <t>CCF OffPeak</t>
  </si>
  <si>
    <t>CustChrg &gt;5000cf/hr</t>
  </si>
  <si>
    <t>Dist OnPeak CCF</t>
  </si>
  <si>
    <t>Dist OffPeak CCF</t>
  </si>
  <si>
    <t>CustRev &gt;5000cf/hr</t>
  </si>
  <si>
    <t>SumCalc Revenue</t>
  </si>
  <si>
    <t>BilledRevenue</t>
  </si>
  <si>
    <t>CorrFactor</t>
  </si>
  <si>
    <t>ADJUSTMENTS</t>
  </si>
  <si>
    <t>CustRev</t>
  </si>
  <si>
    <t>Distribution Revenue</t>
  </si>
  <si>
    <t>GSC</t>
  </si>
  <si>
    <t xml:space="preserve">                     MONTHLY GAS ADJUSTMENTS</t>
  </si>
  <si>
    <t>DSM</t>
  </si>
  <si>
    <t>RATES</t>
  </si>
  <si>
    <t>100 Cu. Ft.)</t>
  </si>
  <si>
    <t>Gas Supply</t>
  </si>
  <si>
    <t>Residential</t>
  </si>
  <si>
    <t>Commercial</t>
  </si>
  <si>
    <t>Clause</t>
  </si>
  <si>
    <t>Rate</t>
  </si>
  <si>
    <t xml:space="preserve">CGS, </t>
  </si>
  <si>
    <t>AAGS,</t>
  </si>
  <si>
    <t>Cubic Feet)</t>
  </si>
  <si>
    <t>&amp; VFD</t>
  </si>
  <si>
    <t>TS and FT</t>
  </si>
  <si>
    <t># of Contracts-Low Capacity</t>
  </si>
  <si>
    <t># of Contracts-High Capacity</t>
  </si>
  <si>
    <t># of Cust - Low Cap.</t>
  </si>
  <si>
    <t># of Cust - High Cap.</t>
  </si>
  <si>
    <t>CustRev &lt;5000cf/hr</t>
  </si>
  <si>
    <t>DistRev</t>
  </si>
  <si>
    <t>( $ Per 100</t>
  </si>
  <si>
    <t>( $ Per</t>
  </si>
  <si>
    <t>Total Revenue</t>
  </si>
  <si>
    <t>Total</t>
  </si>
  <si>
    <t>Gas Supply Expense</t>
  </si>
  <si>
    <t>Purchased Gas</t>
  </si>
  <si>
    <t>Gas to Storage</t>
  </si>
  <si>
    <t>Gas from Storage</t>
  </si>
  <si>
    <t>Other Supply Expenses</t>
  </si>
  <si>
    <t>Other Electric Credits</t>
  </si>
  <si>
    <t xml:space="preserve"> Total Gas Supply Expenses</t>
  </si>
  <si>
    <t>Purchased Gas - Wholesale Sales</t>
  </si>
  <si>
    <t>Wholesale Sales Margin</t>
  </si>
  <si>
    <t>Acquisition and Transportation Incentive</t>
  </si>
  <si>
    <t>Performanced-Based Ratemaking Recovery</t>
  </si>
  <si>
    <t>Other Gas Credits</t>
  </si>
  <si>
    <t>Refunds</t>
  </si>
  <si>
    <t>Gas Supply Actual Adjustment</t>
  </si>
  <si>
    <t>Gas Cost Balance Adjustment</t>
  </si>
  <si>
    <t>Net Gas Supply Expense</t>
  </si>
  <si>
    <t>Pipeline Supplier Demand Component</t>
  </si>
  <si>
    <t>Total Rate CGS</t>
  </si>
  <si>
    <t>Total Rate AAGS</t>
  </si>
  <si>
    <t>Total Rate FT</t>
  </si>
  <si>
    <t>Difference</t>
  </si>
  <si>
    <t>($ per Mcf)</t>
  </si>
  <si>
    <t>Demand</t>
  </si>
  <si>
    <t>LOUISVILLE GAS AND ELECTRIC COMPANY</t>
  </si>
  <si>
    <t>TOTAL</t>
  </si>
  <si>
    <t>Customers</t>
  </si>
  <si>
    <t>Mcf</t>
  </si>
  <si>
    <t>Admin. Chg.</t>
  </si>
  <si>
    <t>Distribution Component</t>
  </si>
  <si>
    <t>DSM Charge</t>
  </si>
  <si>
    <t>Billings</t>
  </si>
  <si>
    <t>Admin. Chgs.</t>
  </si>
  <si>
    <t>Distrib. Chgs.</t>
  </si>
  <si>
    <t>Sub-total</t>
  </si>
  <si>
    <t>DSM Chgs.</t>
  </si>
  <si>
    <t>Calculated Revenue</t>
  </si>
  <si>
    <t>Demand Charge</t>
  </si>
  <si>
    <t>Total Calculated Revenue</t>
  </si>
  <si>
    <t>12-month</t>
  </si>
  <si>
    <t>WNA</t>
  </si>
  <si>
    <t>Net Revenue</t>
  </si>
  <si>
    <t>Rate FT</t>
  </si>
  <si>
    <t>Less:</t>
  </si>
  <si>
    <t xml:space="preserve">(10)    </t>
  </si>
  <si>
    <t>Net</t>
  </si>
  <si>
    <t>As Available Gas Service (AAGS)</t>
  </si>
  <si>
    <t xml:space="preserve">(1)    </t>
  </si>
  <si>
    <t xml:space="preserve">(2)    </t>
  </si>
  <si>
    <t xml:space="preserve">(3)    </t>
  </si>
  <si>
    <t xml:space="preserve">(4)    </t>
  </si>
  <si>
    <t xml:space="preserve">(6)    </t>
  </si>
  <si>
    <t xml:space="preserve">(7)    </t>
  </si>
  <si>
    <t xml:space="preserve">Less:  </t>
  </si>
  <si>
    <t>Calculated</t>
  </si>
  <si>
    <t>excluding</t>
  </si>
  <si>
    <t>Demand-Side</t>
  </si>
  <si>
    <t>Adjusted to</t>
  </si>
  <si>
    <t>Cost (GSC)</t>
  </si>
  <si>
    <t xml:space="preserve">GSC </t>
  </si>
  <si>
    <t>Mgmt. (DSM)</t>
  </si>
  <si>
    <t>divided by</t>
  </si>
  <si>
    <t>as Billed Basis</t>
  </si>
  <si>
    <t>Page 1, Col. 7</t>
  </si>
  <si>
    <t>Pages 3 thru 9</t>
  </si>
  <si>
    <t>GAS SALES AND TRANSPORTATION</t>
  </si>
  <si>
    <t xml:space="preserve">     Total Residential Gas Service Rate RGS </t>
  </si>
  <si>
    <t xml:space="preserve">Firm Commercial Gas Service Rate CGS </t>
  </si>
  <si>
    <t>Gas Transportation Service/Standby Rider to Rate CGS</t>
  </si>
  <si>
    <t xml:space="preserve">     Total Firm Commercial Gas Service Rate CGS</t>
  </si>
  <si>
    <t xml:space="preserve">Firm Industrial Gas Service Rate IGS </t>
  </si>
  <si>
    <t>Gas Transportation Service/Standby Rider to Rate IGS</t>
  </si>
  <si>
    <t xml:space="preserve">     Total Firm Industrial Gas Service Rate IGS</t>
  </si>
  <si>
    <t>As Available Gas Service</t>
  </si>
  <si>
    <t xml:space="preserve">     Total Rate AAGS</t>
  </si>
  <si>
    <t>Firm Transportation Service Rate FT</t>
  </si>
  <si>
    <t xml:space="preserve">     Total Rate FT</t>
  </si>
  <si>
    <t xml:space="preserve">     Pooling Service Rate PS-FT</t>
  </si>
  <si>
    <t xml:space="preserve">     Total Intra-Company</t>
  </si>
  <si>
    <t>Total Ultimate Consumers</t>
  </si>
  <si>
    <t>Billing Adjustments</t>
  </si>
  <si>
    <t>Rates</t>
  </si>
  <si>
    <t>Customer Charges</t>
  </si>
  <si>
    <t>Distribution Cost Component</t>
  </si>
  <si>
    <t>RATE CGS:</t>
  </si>
  <si>
    <t>On Peak Mcf</t>
  </si>
  <si>
    <t>Off Peak Mcf</t>
  </si>
  <si>
    <t>Administrative Charges</t>
  </si>
  <si>
    <t>RATE IGS:</t>
  </si>
  <si>
    <t>RATE FT:</t>
  </si>
  <si>
    <t>RATE PS-FT:</t>
  </si>
  <si>
    <t>Pooling Service Rate PS - FT</t>
  </si>
  <si>
    <t>AAGS</t>
  </si>
  <si>
    <t>Customer-Mos.</t>
  </si>
  <si>
    <t xml:space="preserve">Mcf      </t>
  </si>
  <si>
    <t>SALES</t>
  </si>
  <si>
    <t>Total Residential</t>
  </si>
  <si>
    <t>AAGS - Commercial</t>
  </si>
  <si>
    <t>Total Commercial</t>
  </si>
  <si>
    <t>AAGS - Industrial</t>
  </si>
  <si>
    <t>Total Industrial</t>
  </si>
  <si>
    <t>Billing Adjustments (see below for detail)</t>
  </si>
  <si>
    <t xml:space="preserve">INTRA-COMPANY </t>
  </si>
  <si>
    <t>Intra-Company - Mill Creek/Cane Run</t>
  </si>
  <si>
    <t>Total Intra-Company (unadjusted)</t>
  </si>
  <si>
    <t>TOTAL - Intra-Company -adjusted</t>
  </si>
  <si>
    <t>TRANSPORTATION</t>
  </si>
  <si>
    <t>Rate TS / IGS</t>
  </si>
  <si>
    <t>Rate FT Commercial</t>
  </si>
  <si>
    <t>Rate FT Industrial</t>
  </si>
  <si>
    <t>Total Rate FT - Transportation</t>
  </si>
  <si>
    <t>TOTAL Transportation</t>
  </si>
  <si>
    <t>Total AAGS</t>
  </si>
  <si>
    <t>CGS Mcf / 1st 100</t>
  </si>
  <si>
    <t>Off-Peak Mcf - (&gt; 100)</t>
  </si>
  <si>
    <t>Total Mcf</t>
  </si>
  <si>
    <t>Distrib. Component - (1st 100 Mcf)</t>
  </si>
  <si>
    <t>Distrib. Component - (&gt;100 Mcf)</t>
  </si>
  <si>
    <t>Distrib. Chgs. - (CGS Mcf / 1st 100)</t>
  </si>
  <si>
    <t>Distrib. Chgs. - (Off-Peak Mcf &gt;100)</t>
  </si>
  <si>
    <t>Billing Adjustments (see SBR)</t>
  </si>
  <si>
    <t>Off-Peak</t>
  </si>
  <si>
    <t>INTRA-COMPANY SPECIAL CONTRACTS</t>
  </si>
  <si>
    <t>Customers for the 12-Month Period</t>
  </si>
  <si>
    <t>Underground Gas Storage Losses</t>
  </si>
  <si>
    <t>UCDI-Demand</t>
  </si>
  <si>
    <t>UCDI-Storage</t>
  </si>
  <si>
    <t xml:space="preserve">Key Column for </t>
  </si>
  <si>
    <t>Lookups</t>
  </si>
  <si>
    <t>UCDI</t>
  </si>
  <si>
    <t>FT Commercial</t>
  </si>
  <si>
    <t>FT Industrial</t>
  </si>
  <si>
    <t>Intercompany</t>
  </si>
  <si>
    <t>Key Lookup</t>
  </si>
  <si>
    <t>GDISTR</t>
  </si>
  <si>
    <t>Gas Transport</t>
  </si>
  <si>
    <t>StatisticGrp Amount</t>
  </si>
  <si>
    <t>GTPADM</t>
  </si>
  <si>
    <t>GCASHO</t>
  </si>
  <si>
    <t>Gas Distribution Charge D</t>
  </si>
  <si>
    <t>GMMBTU</t>
  </si>
  <si>
    <t>GCSTCH</t>
  </si>
  <si>
    <t>GPLSDC</t>
  </si>
  <si>
    <t>Revenue Reporting</t>
  </si>
  <si>
    <t>Billed Month</t>
  </si>
  <si>
    <t>Revenue Month</t>
  </si>
  <si>
    <t>Pipeline</t>
  </si>
  <si>
    <t>Suppliers</t>
  </si>
  <si>
    <t>Component</t>
  </si>
  <si>
    <t>GSC Chgs</t>
  </si>
  <si>
    <t>GSC Chg</t>
  </si>
  <si>
    <t>Rate TS / IGS CASHOUTS</t>
  </si>
  <si>
    <t>GDEMAN</t>
  </si>
  <si>
    <t xml:space="preserve">  Total Retail -Adjusted</t>
  </si>
  <si>
    <t>Cashout</t>
  </si>
  <si>
    <t>TOTAL - PVA</t>
  </si>
  <si>
    <t>TOTAL - Billing Determinants</t>
  </si>
  <si>
    <t>Base Rate</t>
  </si>
  <si>
    <t>Basic Service Charge</t>
  </si>
  <si>
    <t>Subtotal</t>
  </si>
  <si>
    <t>Cust Chg</t>
  </si>
  <si>
    <t>Total Retail - Unadjusted</t>
  </si>
  <si>
    <t>Correction Factor</t>
  </si>
  <si>
    <t>Basic Service Charge (meters &lt; 5000 cfh)</t>
  </si>
  <si>
    <t>Basic Service Charge (meters 5000 cfh or &gt;)</t>
  </si>
  <si>
    <t>Total Intra-Company Special Contract - Sales Service</t>
  </si>
  <si>
    <t>Intra-Company Special Contract - Sales Service</t>
  </si>
  <si>
    <t xml:space="preserve">  Subtotal</t>
  </si>
  <si>
    <t>Special Contract - Intra-Company Sales</t>
  </si>
  <si>
    <t>Total Sales to Ultimate Consumers and Inter-Company</t>
  </si>
  <si>
    <t>Current</t>
  </si>
  <si>
    <t>Other Gas Revenue</t>
  </si>
  <si>
    <t>Miscellaneous Service Revenue</t>
  </si>
  <si>
    <t>Subtotal Sales to Ultimate Consumers and Inter-Company</t>
  </si>
  <si>
    <t xml:space="preserve">(8)    </t>
  </si>
  <si>
    <t xml:space="preserve">(9)    </t>
  </si>
  <si>
    <t>(11)</t>
  </si>
  <si>
    <t>Monthly Transport Customer Charge</t>
  </si>
  <si>
    <t>Gas Transport Service, TS /TS-2  (AAGS Comm)</t>
  </si>
  <si>
    <t>Gas Transport Service, PS-TS/PS-TS-2  (AAGS Comm)</t>
  </si>
  <si>
    <t>Gas Transport Service,  PS-TS/TS-2 (AAGS Ind)</t>
  </si>
  <si>
    <t>On-Peak Distribution</t>
  </si>
  <si>
    <t>Off-Peak Distribution</t>
  </si>
  <si>
    <t>Gas Transport Service, TS/TS-2 (CGS)</t>
  </si>
  <si>
    <t>Gas Transport Service, PS-TS/TS-2 (IGS)</t>
  </si>
  <si>
    <t>Gas Line Tracker</t>
  </si>
  <si>
    <t>Telemetry</t>
  </si>
  <si>
    <t>Gas Trans Large Comm Cust</t>
  </si>
  <si>
    <t>Gas Trans Pub Auth Cust</t>
  </si>
  <si>
    <t>Gas Trans Ind Cust</t>
  </si>
  <si>
    <t xml:space="preserve">Gas </t>
  </si>
  <si>
    <t>Line</t>
  </si>
  <si>
    <t>Tracker</t>
  </si>
  <si>
    <t>GLT</t>
  </si>
  <si>
    <t>GMNDTH</t>
  </si>
  <si>
    <t>GOFO</t>
  </si>
  <si>
    <t>GWNA</t>
  </si>
  <si>
    <t>TS-2: Gas Transport/Firm Balancing (IGS)</t>
  </si>
  <si>
    <t>UCDIDD</t>
  </si>
  <si>
    <t>UCDIST</t>
  </si>
  <si>
    <t>Customer Charge</t>
  </si>
  <si>
    <t>Min Daily Threshold</t>
  </si>
  <si>
    <t>MMBTU</t>
  </si>
  <si>
    <t>OFO</t>
  </si>
  <si>
    <t>UCDI DD</t>
  </si>
  <si>
    <t>Pipeline Storage</t>
  </si>
  <si>
    <t>Franchise Fees</t>
  </si>
  <si>
    <t>Retail</t>
  </si>
  <si>
    <t>Gas Transport Sales and Purchases</t>
  </si>
  <si>
    <t>Min Daily Threshold Charge</t>
  </si>
  <si>
    <t>Min Annual Threshold</t>
  </si>
  <si>
    <t>Action Alert Charge</t>
  </si>
  <si>
    <t>Gas True Up</t>
  </si>
  <si>
    <t>CCFOSS</t>
  </si>
  <si>
    <t>Grand Total  All Structures</t>
  </si>
  <si>
    <t>Rate FT Commercial Public Authority</t>
  </si>
  <si>
    <t>Calculated Revenue 896</t>
  </si>
  <si>
    <t>Rate FT Industrial Public Authority</t>
  </si>
  <si>
    <t>SUMMARY OF BRUISE REPORT FROM REVENUE ACCOUNTING</t>
  </si>
  <si>
    <t>LGCMG851LT</t>
  </si>
  <si>
    <t>Commercial Gas Service (Lights)</t>
  </si>
  <si>
    <t>DSM Charges</t>
  </si>
  <si>
    <t xml:space="preserve">Rate FT / Commercial </t>
  </si>
  <si>
    <t>Rate FT / Industrial</t>
  </si>
  <si>
    <t>PS-TS-2: Pooling Service Rider TS-2 IGS</t>
  </si>
  <si>
    <t>FRNFEE</t>
  </si>
  <si>
    <t>GASTRU</t>
  </si>
  <si>
    <t>On-Peak Rate &lt;= 100 Mcf</t>
  </si>
  <si>
    <t>Distrib. Component - On Peak &lt;= 100 Mcf</t>
  </si>
  <si>
    <t>Distrib. Component - Off Peak &gt;100 Mcf</t>
  </si>
  <si>
    <t>All volumes On Peak</t>
  </si>
  <si>
    <t>Prorated Volumes at prior rate for PSDC</t>
  </si>
  <si>
    <t>Prorated Volumes at current rate for PSDC</t>
  </si>
  <si>
    <t>Cashout - Sales D</t>
  </si>
  <si>
    <t>Rate FT / Commercial Public Authority</t>
  </si>
  <si>
    <t>GLT Charge</t>
  </si>
  <si>
    <t>Rate TS / CGS CASHOUTS Public Authority</t>
  </si>
  <si>
    <t>Rate TS / CGS CASHOUTS Large Commercial</t>
  </si>
  <si>
    <t>Rate FT / Industrial Public Authority</t>
  </si>
  <si>
    <t>Gas Cost True-Up</t>
  </si>
  <si>
    <t>Administration Charge</t>
  </si>
  <si>
    <t>Total Pooling Service</t>
  </si>
  <si>
    <t>Variance</t>
  </si>
  <si>
    <t>Distribution</t>
  </si>
  <si>
    <t>GSC Portion of Bad Debt Expense</t>
  </si>
  <si>
    <t xml:space="preserve">(5)    </t>
  </si>
  <si>
    <t xml:space="preserve">     Pooling Service Rate PS-TS-2</t>
  </si>
  <si>
    <t>TS-2: Gas Trans/Firm Balancing (AAGS In)</t>
  </si>
  <si>
    <t>TOTAL - Intra-Company (PVA)/Total Retail Budget</t>
  </si>
  <si>
    <t>Low Cap</t>
  </si>
  <si>
    <t>Hi Cap</t>
  </si>
  <si>
    <t>Full</t>
  </si>
  <si>
    <t>Discount</t>
  </si>
  <si>
    <t>TOTAL Retail (PVA) or Total Retail Budget</t>
  </si>
  <si>
    <t>Admin. Charge</t>
  </si>
  <si>
    <t>Admin. Charge Revenue</t>
  </si>
  <si>
    <t>Calculated Revenue 892</t>
  </si>
  <si>
    <t>Calculated Revenue 896PM</t>
  </si>
  <si>
    <t>Total Calculated Revenue for 896</t>
  </si>
  <si>
    <t>Revenue Reporting All 896</t>
  </si>
  <si>
    <t>6-mo Total</t>
  </si>
  <si>
    <t>Bill Adjustments</t>
  </si>
  <si>
    <t>Gas Transportation Service/Standby Rider to Rate AAGS</t>
  </si>
  <si>
    <t>BUDGET NUMBERS INSERTED FROM HERE DOWN</t>
  </si>
  <si>
    <t>Forecasted/Billed</t>
  </si>
  <si>
    <t xml:space="preserve">Actual </t>
  </si>
  <si>
    <t>DATA:  __X__ BASE PERIOD  ____  FORECAST PERIOD</t>
  </si>
  <si>
    <t>TYPE OF FILING: __X__ ORIGINAL  _____ UPDATED  _____ REVISED</t>
  </si>
  <si>
    <t>WORK PAPER REFERENCE NO(S):</t>
  </si>
  <si>
    <t>Gas Supply Clause</t>
  </si>
  <si>
    <t>Demand-Side Management</t>
  </si>
  <si>
    <t>Weather Normalization Adjustment</t>
  </si>
  <si>
    <t xml:space="preserve">GLT </t>
  </si>
  <si>
    <t>SCHEDULE M</t>
  </si>
  <si>
    <t>BASE PERIOD:</t>
  </si>
  <si>
    <t>SCHEDULE</t>
  </si>
  <si>
    <t>DESCRIPTION</t>
  </si>
  <si>
    <t>Page 1</t>
  </si>
  <si>
    <t>BILLING DETERMINANTS AND EXHIBITS FOR THE BASE PERIOD</t>
  </si>
  <si>
    <t>M-1.1-G</t>
  </si>
  <si>
    <t>M-1.2-G</t>
  </si>
  <si>
    <t>M-1.3-G</t>
  </si>
  <si>
    <t>Commercial Gas Service (CGS)</t>
  </si>
  <si>
    <t>Industrial Gas Service (IGS)</t>
  </si>
  <si>
    <t>Special Contract Intra-Company Sales</t>
  </si>
  <si>
    <t>Firm Transportation (FT)</t>
  </si>
  <si>
    <t>Distributed Generation Gas Service (DGGS)</t>
  </si>
  <si>
    <t>SCHEDULE M-1.1-G</t>
  </si>
  <si>
    <t>Page 1 of 1</t>
  </si>
  <si>
    <t>Customer Months</t>
  </si>
  <si>
    <t>Annual Revenue at Current Rates</t>
  </si>
  <si>
    <t>Average Current Bill</t>
  </si>
  <si>
    <t>@ Current Rates</t>
  </si>
  <si>
    <t>SCHEDULE M-1.3-G</t>
  </si>
  <si>
    <t>Billed Mcf</t>
  </si>
  <si>
    <t>Average Consumption Mcf</t>
  </si>
  <si>
    <t>SCHEDULE M-1.2-G</t>
  </si>
  <si>
    <t>DGGS</t>
  </si>
  <si>
    <t>LGING866DS</t>
  </si>
  <si>
    <t>AAGS - Industrial, DSM</t>
  </si>
  <si>
    <t>CGS: Firm Commercial Gas Service</t>
  </si>
  <si>
    <t>CGS: Gas Lights</t>
  </si>
  <si>
    <t>DGGS: Distributed Generation Gas Service</t>
  </si>
  <si>
    <t>LGING855DS</t>
  </si>
  <si>
    <t>IGS: Industrial Gas Service, DSM</t>
  </si>
  <si>
    <t>IGS: Industrial Gas Service DSM Opt-out</t>
  </si>
  <si>
    <t>FT - Commercial</t>
  </si>
  <si>
    <t>FT - Industrial DSM opt-out</t>
  </si>
  <si>
    <t>IGS-TS-2</t>
  </si>
  <si>
    <t>Calculated Revenue 895PM</t>
  </si>
  <si>
    <t>Total Calculated Revenue for 895</t>
  </si>
  <si>
    <t>Revenue Reporting All 895</t>
  </si>
  <si>
    <t>TS-2 Commercial</t>
  </si>
  <si>
    <t>TS-2 Industrial</t>
  </si>
  <si>
    <t>AAGS TS-2</t>
  </si>
  <si>
    <t>Customer Charge Revenue</t>
  </si>
  <si>
    <t>LGING896DS</t>
  </si>
  <si>
    <t>FT-I-DSM</t>
  </si>
  <si>
    <t>AAGS TS-2-PM</t>
  </si>
  <si>
    <t>Start Summer Discount</t>
  </si>
  <si>
    <t>Total Calculated Revenue 892</t>
  </si>
  <si>
    <t>Total TS-2 Industrial Revenue</t>
  </si>
  <si>
    <t>Total Calculated Revenue 881</t>
  </si>
  <si>
    <t>Gas True-up</t>
  </si>
  <si>
    <t>Rate TS-2 / CGS</t>
  </si>
  <si>
    <t>Transportation Service/Firm Balancing Service</t>
  </si>
  <si>
    <t>Rate TS-2 AAGS</t>
  </si>
  <si>
    <t>AAGS-TS-2</t>
  </si>
  <si>
    <t>Distrib. Component</t>
  </si>
  <si>
    <t>TS-2 Public Authority</t>
  </si>
  <si>
    <t>Related to Rate Category</t>
  </si>
  <si>
    <t>FT Public Authority</t>
  </si>
  <si>
    <t>882, 892</t>
  </si>
  <si>
    <t>895, 896</t>
  </si>
  <si>
    <t>Total FT Public Authority</t>
  </si>
  <si>
    <t>Rate TS / IGS CASHOUTS PUBLIC AUTHORITY</t>
  </si>
  <si>
    <t>Total TS-2 Public Authority Revenue</t>
  </si>
  <si>
    <t>Total TS-2 Public Authority</t>
  </si>
  <si>
    <t>Ft Public Authority</t>
  </si>
  <si>
    <t>Gas Trans Comm Cust</t>
  </si>
  <si>
    <t>AAGS-C-TS/TS-2</t>
  </si>
  <si>
    <t>AAGS-C-TS/TS-2-PM</t>
  </si>
  <si>
    <t>Total TS-2 Commercial</t>
  </si>
  <si>
    <t>Rate TS-2 /IGS Public Authority</t>
  </si>
  <si>
    <t>Rider TS-2 / CGS</t>
  </si>
  <si>
    <t>Rider TS-2 / IGS</t>
  </si>
  <si>
    <t>Rider TS-2 / AAGS Commercial</t>
  </si>
  <si>
    <t>Rider TS-2 / AAGS Industrial</t>
  </si>
  <si>
    <t>Total Rider TS-2 - Transportation</t>
  </si>
  <si>
    <t>Rate TS-2 / AAGS</t>
  </si>
  <si>
    <t xml:space="preserve">LGING892 </t>
  </si>
  <si>
    <t>Rider TS-2/ AAGS Industrial Public Authority</t>
  </si>
  <si>
    <t>Rider TS-2 / IGS Industrial Public Authority</t>
  </si>
  <si>
    <t>Rider TS-2 / CGS Commercial Public Authority</t>
  </si>
  <si>
    <t>Rider TS-2 / AAGS Commercial Public Authority</t>
  </si>
  <si>
    <t>Gas Transport Service, TS-2 (CGS) - Cashouts</t>
  </si>
  <si>
    <t>Gas Transport Service, TS-2 (AAGS) - Cashouts</t>
  </si>
  <si>
    <t>Gas Transport Service, TS-2 (IGS) - Cashouts</t>
  </si>
  <si>
    <t>DGGS-Commercial</t>
  </si>
  <si>
    <t>As-Available Gas Service, Industrial Opt Out</t>
  </si>
  <si>
    <t>LGING882DS</t>
  </si>
  <si>
    <t>TS-2 Firm Balancing IGS, DSM</t>
  </si>
  <si>
    <t>LGING892DS</t>
  </si>
  <si>
    <t>FT - Industrial with DSM</t>
  </si>
  <si>
    <t>MC</t>
  </si>
  <si>
    <t>PR</t>
  </si>
  <si>
    <t>Witness:  W. S. SEELYE</t>
  </si>
  <si>
    <t>WITNESS:   W. S. SEELYE</t>
  </si>
  <si>
    <t>LG&amp;E Natural Gas Volume Forecast (Calendar Volumes, MCF)</t>
  </si>
  <si>
    <t>Revenue Class</t>
  </si>
  <si>
    <t>Fcst Agg</t>
  </si>
  <si>
    <t>CCS Tariff Name</t>
  </si>
  <si>
    <t>CAAGS</t>
  </si>
  <si>
    <t>CGS &lt; 5000 cf/hr</t>
  </si>
  <si>
    <t>CGS &gt; 5000 cf/hr</t>
  </si>
  <si>
    <t>IAAGS</t>
  </si>
  <si>
    <t>IGS &lt; 5000 cf/hr</t>
  </si>
  <si>
    <t>IGS &gt; 5000 cf/hr</t>
  </si>
  <si>
    <t>TS-2</t>
  </si>
  <si>
    <t>Firm Sales - Cane Run/Mill Creek</t>
  </si>
  <si>
    <t xml:space="preserve"> </t>
  </si>
  <si>
    <t>Transportation Subtotals for Gas Supply:</t>
  </si>
  <si>
    <t>Total TS Transportation</t>
  </si>
  <si>
    <t>Total FT Transportation</t>
  </si>
  <si>
    <t>Total SP Transportation (includes Paddy's Run)</t>
  </si>
  <si>
    <t>CGS &lt; 100 Mcf</t>
  </si>
  <si>
    <t>CGS &gt; 100 Mcf</t>
  </si>
  <si>
    <t>IGS &lt; 100 Mcf</t>
  </si>
  <si>
    <t>IGS &gt; 100 Mcf</t>
  </si>
  <si>
    <t>Admin</t>
  </si>
  <si>
    <t>Pool</t>
  </si>
  <si>
    <t>LOAD FORECAST</t>
  </si>
  <si>
    <t>CURRENT CHARGES</t>
  </si>
  <si>
    <t>CALCULATED REVENUES</t>
  </si>
  <si>
    <t># PM Cust</t>
  </si>
  <si>
    <t>Pool Mgr Fee</t>
  </si>
  <si>
    <t>Admin Rev</t>
  </si>
  <si>
    <t>Pool Mgr Rev</t>
  </si>
  <si>
    <t>Forecasted</t>
  </si>
  <si>
    <t>No discount</t>
  </si>
  <si>
    <t>BASE PERIOD REVENUES AT CURRENT GAS RATES</t>
  </si>
  <si>
    <t xml:space="preserve">AVERAGE BILL AT CURRENT GAS RATES </t>
  </si>
  <si>
    <t>SUMMARY OF BASE GAS REVENUES</t>
  </si>
  <si>
    <t>DETAILED CALCULATION OF BASE PERIOD GAS REVENUES</t>
  </si>
  <si>
    <t>Total Retail</t>
  </si>
  <si>
    <t>6-MO TOTAL</t>
  </si>
  <si>
    <t>Total DGGS</t>
  </si>
  <si>
    <t>Subtotal after application of Correction Factor</t>
  </si>
  <si>
    <t>Rider PS-TS-2</t>
  </si>
  <si>
    <t>Pool Manager Fee</t>
  </si>
  <si>
    <t xml:space="preserve">     Total Rate DGGS</t>
  </si>
  <si>
    <t>SUBTOTAL</t>
  </si>
  <si>
    <t>Other Operating Revenues:</t>
  </si>
  <si>
    <t>Rent from Gas Property</t>
  </si>
  <si>
    <t>Total Rate DGGS</t>
  </si>
  <si>
    <t>CGS TS-2</t>
  </si>
  <si>
    <t xml:space="preserve">CGS TS-2-PM </t>
  </si>
  <si>
    <t>FT-PM</t>
  </si>
  <si>
    <t>IGS TS-2</t>
  </si>
  <si>
    <t>IGS TS-2-PM</t>
  </si>
  <si>
    <t>LGDS</t>
  </si>
  <si>
    <t>Local Gas Delivery Service</t>
  </si>
  <si>
    <t>SGSS-C</t>
  </si>
  <si>
    <t>Substitute Gas Sales Service-Commercial</t>
  </si>
  <si>
    <t>SGSS-I</t>
  </si>
  <si>
    <t>CustChrg &lt;5000cf/hr</t>
  </si>
  <si>
    <t>Total Variance</t>
  </si>
  <si>
    <t>CustRev Variance</t>
  </si>
  <si>
    <t>DistRev Variance</t>
  </si>
  <si>
    <t>Demand Variance</t>
  </si>
  <si>
    <t>Pool Mgr Variance</t>
  </si>
  <si>
    <t>LGCMG872</t>
  </si>
  <si>
    <t>LGCMG870</t>
  </si>
  <si>
    <t>LGING871DO</t>
  </si>
  <si>
    <t>LGING871DS</t>
  </si>
  <si>
    <t>Distributed Generation Gas Service, Commercial</t>
  </si>
  <si>
    <t>LGCMG883</t>
  </si>
  <si>
    <t>LGCMG883PM</t>
  </si>
  <si>
    <t>Distributed Generation Gas Service, Commercial,TS-2</t>
  </si>
  <si>
    <t>872</t>
  </si>
  <si>
    <t>996</t>
  </si>
  <si>
    <t>997</t>
  </si>
  <si>
    <t>870</t>
  </si>
  <si>
    <t>871</t>
  </si>
  <si>
    <t>883</t>
  </si>
  <si>
    <t>DGGS TS-2</t>
  </si>
  <si>
    <t>DGGS TS-2 PM</t>
  </si>
  <si>
    <t>Rate Description</t>
  </si>
  <si>
    <t>Firm Industrial Gas Service-DSM Opt-In</t>
  </si>
  <si>
    <t>Firm Industrial Gas Service-DSM Opt-Out</t>
  </si>
  <si>
    <t>As-Available Gas Service, Industrial Opt In</t>
  </si>
  <si>
    <t>Gas Transport Service, TS/TS-2 (IGS)-Opt Out</t>
  </si>
  <si>
    <t>Gas Transport Service, TS/TS-2 (IGS)-Opt In</t>
  </si>
  <si>
    <t>Gas Transport Service, TS/TS-2 (AAGS Ind)-Opt Out</t>
  </si>
  <si>
    <t>Gas Transport Service, TS/TS-2 (AAGS Ind)-Opt In</t>
  </si>
  <si>
    <t>Gas Transport Service, FT Industrial-Opt Out</t>
  </si>
  <si>
    <t>Gas Transport Service, FT Industrial-Opt In</t>
  </si>
  <si>
    <t>Substitute Gas Sales Service-Industrial Opt Out</t>
  </si>
  <si>
    <t>Substitute Gas Sales Service-Industrial Opt In</t>
  </si>
  <si>
    <t>Demand Chg CCF</t>
  </si>
  <si>
    <t>TARIFF RATES</t>
  </si>
  <si>
    <t>CALCULATED ADJUSTMENTS</t>
  </si>
  <si>
    <t>TOTAL CALCULATED REVENUES</t>
  </si>
  <si>
    <t>BOOKED MECHANISM REVENUES</t>
  </si>
  <si>
    <t>REVENUE AS REPORTED IN SALES BY RATES</t>
  </si>
  <si>
    <t>VARIANCES</t>
  </si>
  <si>
    <t>BILLING DETERMINANTS</t>
  </si>
  <si>
    <t>Billing Period</t>
  </si>
  <si>
    <t>LGCMG863</t>
  </si>
  <si>
    <t>CGS: Unmetered Gas Generators</t>
  </si>
  <si>
    <t>Base Revenue</t>
  </si>
  <si>
    <t>Total GSC</t>
  </si>
  <si>
    <t>Gas Line Tracker Distr</t>
  </si>
  <si>
    <t>Gas Line Tracker Trans</t>
  </si>
  <si>
    <t>SPEC</t>
  </si>
  <si>
    <t>VFD</t>
  </si>
  <si>
    <t>SGSS: Substitute Gas Sales Service, Comm</t>
  </si>
  <si>
    <t>SGSS</t>
  </si>
  <si>
    <t>Not Assigned Rate Category (s)</t>
  </si>
  <si>
    <t>FT</t>
  </si>
  <si>
    <t>PS-FT</t>
  </si>
  <si>
    <t>PS-TS</t>
  </si>
  <si>
    <t>TS</t>
  </si>
  <si>
    <t>GLT - Distr</t>
  </si>
  <si>
    <t>GLT - Trans</t>
  </si>
  <si>
    <t>Gas MCF Consumption</t>
  </si>
  <si>
    <t>Gas Demand MCF</t>
  </si>
  <si>
    <t>GLT Distribution Project Charge</t>
  </si>
  <si>
    <t>GLT Transmission Project Charge</t>
  </si>
  <si>
    <t>GLTDPC</t>
  </si>
  <si>
    <t>GLTTPC</t>
  </si>
  <si>
    <t>GLT Distr</t>
  </si>
  <si>
    <t>GLT Trans</t>
  </si>
  <si>
    <t>Mill Creek</t>
  </si>
  <si>
    <t>Total Calculated Revenue for FT Public Authority</t>
  </si>
  <si>
    <t xml:space="preserve">PSDC </t>
  </si>
  <si>
    <t>Action Alert</t>
  </si>
  <si>
    <t>GLT Dist</t>
  </si>
  <si>
    <t>Cashout Sales</t>
  </si>
  <si>
    <t>Total FT Commercial Cashouts</t>
  </si>
  <si>
    <t>Unmetered Insight Gas Generators</t>
  </si>
  <si>
    <t>2018/03</t>
  </si>
  <si>
    <t>Rate CGS/SGSS</t>
  </si>
  <si>
    <t>Rate RGS/VFD</t>
  </si>
  <si>
    <t>Rate IGS/AAGS/DGGS</t>
  </si>
  <si>
    <t>Rate FT/LGDS</t>
  </si>
  <si>
    <t>Distribution Charges</t>
  </si>
  <si>
    <t>GLT Charges</t>
  </si>
  <si>
    <t>Pool Cashout</t>
  </si>
  <si>
    <t>Distrib. Charge</t>
  </si>
  <si>
    <t>Full Price Month</t>
  </si>
  <si>
    <t>FT-Commercial - cashouts</t>
  </si>
  <si>
    <t xml:space="preserve">FT - Industrial - cashouts </t>
  </si>
  <si>
    <t>2018/04</t>
  </si>
  <si>
    <t>TCJA Surcredit</t>
  </si>
  <si>
    <t>Substitute Gas Sales Service - Commercial</t>
  </si>
  <si>
    <t>Pooling Service Rate FT</t>
  </si>
  <si>
    <t>Pooling Service Rate TS-2 IGS</t>
  </si>
  <si>
    <t xml:space="preserve">Pooling Service Rate TS-2 AAGS </t>
  </si>
  <si>
    <t>TCJA Credit</t>
  </si>
  <si>
    <t>TCJA Credit CCF</t>
  </si>
  <si>
    <t>TCJA</t>
  </si>
  <si>
    <t>2018/05</t>
  </si>
  <si>
    <t>REVENUES</t>
  </si>
  <si>
    <t>DETERMINANTS</t>
  </si>
  <si>
    <t>GLT-Dstir</t>
  </si>
  <si>
    <t>GLT-Trans</t>
  </si>
  <si>
    <t>RETAIL</t>
  </si>
  <si>
    <t>TRANSPORT</t>
  </si>
  <si>
    <t>Need to add the forecast 6 months when ready</t>
  </si>
  <si>
    <t>FT-PS</t>
  </si>
  <si>
    <t>Total Rate LGDS</t>
  </si>
  <si>
    <t>Total Rate SGSS</t>
  </si>
  <si>
    <t>Credit</t>
  </si>
  <si>
    <t>Substitute Gas Sales Service - Industrial</t>
  </si>
  <si>
    <t>SPECIAL CONTRACTS</t>
  </si>
  <si>
    <t>Admin Revenue</t>
  </si>
  <si>
    <t>Basic Service Charge - Low Capacity</t>
  </si>
  <si>
    <t>Basic Service Charge - High Capacity</t>
  </si>
  <si>
    <t>Subtotal - Retail</t>
  </si>
  <si>
    <t>Subtotal - TS-2 Rider</t>
  </si>
  <si>
    <t>Cashouts</t>
  </si>
  <si>
    <t>CGS TS-2-PM</t>
  </si>
  <si>
    <t>2018/06</t>
  </si>
  <si>
    <t>Total - Transportation (PVA)Total Retail Budget</t>
  </si>
  <si>
    <r>
      <t>RATE AAGS:</t>
    </r>
    <r>
      <rPr>
        <sz val="10"/>
        <rFont val="Calibri"/>
        <family val="2"/>
        <scheme val="minor"/>
      </rPr>
      <t xml:space="preserve">  </t>
    </r>
  </si>
  <si>
    <t xml:space="preserve">     Total Rate LGDS</t>
  </si>
  <si>
    <t xml:space="preserve">Correction Factor = </t>
  </si>
  <si>
    <t>Correction Factor=</t>
  </si>
  <si>
    <t>Correction Factor =</t>
  </si>
  <si>
    <t>Column 8</t>
  </si>
  <si>
    <t>Column 9</t>
  </si>
  <si>
    <t>Cashouts (TS-2 BSC)</t>
  </si>
  <si>
    <t>LG&amp;E Customer Forecast (Calendar Customers)</t>
  </si>
  <si>
    <t>Substitute Gas Sales Service</t>
  </si>
  <si>
    <t>Added by Rates Dept</t>
  </si>
  <si>
    <t>CGS &lt; (100 Mcf)</t>
  </si>
  <si>
    <t>IGS (&lt; 100 Mcf)</t>
  </si>
  <si>
    <t>12-Month Summary Total</t>
  </si>
  <si>
    <t>SBR Totals</t>
  </si>
  <si>
    <t>Combined Totals</t>
  </si>
  <si>
    <t>LGE-As Available Gas Service AAGS </t>
  </si>
  <si>
    <t>Customer Count Meter&lt;5000 cf/hr</t>
  </si>
  <si>
    <t>Customer Count Meter&gt;5000 cf/hr</t>
  </si>
  <si>
    <t>Customer Rate Meter&lt;5000 cf/hr</t>
  </si>
  <si>
    <t>Customer Rate Meter&gt;5000 cf/hr</t>
  </si>
  <si>
    <t>Customer Revenue &lt;5000 cf/hr</t>
  </si>
  <si>
    <t>Customer Revenue &gt;5000 cf/hr</t>
  </si>
  <si>
    <t xml:space="preserve">     Total Customer Revenue</t>
  </si>
  <si>
    <t>Distribution Usage&lt;100 Mcf</t>
  </si>
  <si>
    <t>Distribution Usage&gt;100 Mcf</t>
  </si>
  <si>
    <t>Distribution Rate &lt;100 Mcf $/Mcf</t>
  </si>
  <si>
    <t>Distribution Rate &gt;100 Mcf $/Mcf</t>
  </si>
  <si>
    <t>Distribution Revenue &lt;100 Mcf</t>
  </si>
  <si>
    <t>Distribution Revenue &gt;100 Mcf</t>
  </si>
  <si>
    <t xml:space="preserve">     Total Distribution Revenue</t>
  </si>
  <si>
    <t>Admin Charge per Meter</t>
  </si>
  <si>
    <t xml:space="preserve">     Admin Charge Revenue</t>
  </si>
  <si>
    <t>Contract Demand Mcf</t>
  </si>
  <si>
    <t>Demand Charge $/Mcf</t>
  </si>
  <si>
    <t xml:space="preserve">     Demand Revenue</t>
  </si>
  <si>
    <t xml:space="preserve">     Pool Manager Revenue</t>
  </si>
  <si>
    <t>GSC Mechanism Revenue</t>
  </si>
  <si>
    <t>GLT Mechanism Revenue</t>
  </si>
  <si>
    <t>DSM Mechanism Revenue</t>
  </si>
  <si>
    <t xml:space="preserve">     Total Mechanism Revenue</t>
  </si>
  <si>
    <t xml:space="preserve">     Total Revenue</t>
  </si>
  <si>
    <t>LGE-As Available Gas Transportation Service AAGS-TS-2 </t>
  </si>
  <si>
    <t>LGE-Commercial Gas Service CGS </t>
  </si>
  <si>
    <t>LGE-Commercial Gas Transportation Service CGS-TS-2 </t>
  </si>
  <si>
    <t>LGE-Distributed Generation Gas Service DGGS </t>
  </si>
  <si>
    <t>LGE-Industrial Gas Service IGS </t>
  </si>
  <si>
    <t>LGE-Industrial Gas Transportation Service IGS-TS-2 </t>
  </si>
  <si>
    <t>LGE-Residential Gas Service RGS </t>
  </si>
  <si>
    <t>LGE-Substitute Gas Sales Services (Commercial) SGSS </t>
  </si>
  <si>
    <t>LGE-Transportation Firm Service FT </t>
  </si>
  <si>
    <t>LGE-Utility Generation Special Contract (Mill Creek) </t>
  </si>
  <si>
    <t>KY Gas Tariff Schedule Total </t>
  </si>
  <si>
    <t>TCJA Rev</t>
  </si>
  <si>
    <t>Transport</t>
  </si>
  <si>
    <t>Total MC</t>
  </si>
  <si>
    <t>Forecasted Trans</t>
  </si>
  <si>
    <t>Actual Trans</t>
  </si>
  <si>
    <t>FT PA</t>
  </si>
  <si>
    <t>882 TS</t>
  </si>
  <si>
    <t>892 TS</t>
  </si>
  <si>
    <t>882 PA</t>
  </si>
  <si>
    <t>892 PA</t>
  </si>
  <si>
    <t>Total Actuals</t>
  </si>
  <si>
    <t xml:space="preserve">This is the cashout volumes needed to </t>
  </si>
  <si>
    <t>tie out to RVA on retail section</t>
  </si>
  <si>
    <t>Not used in calculated revenues</t>
  </si>
  <si>
    <t>Total SGSS-C</t>
  </si>
  <si>
    <t>Total SGSS-I</t>
  </si>
  <si>
    <t xml:space="preserve">     Total Rate SGSS-C</t>
  </si>
  <si>
    <t xml:space="preserve">     Total Rate SGSS-I</t>
  </si>
  <si>
    <t>Residential Gas Service Rate RGS (Includes Rate VFD)</t>
  </si>
  <si>
    <t>Residential Gas Service (RGS) and Volunteer Fire Department (VFD)</t>
  </si>
  <si>
    <t>Residential Gas Service (RGS) and Volunteer Fire Dept (VFD)</t>
  </si>
  <si>
    <t>Special Contract - Intra-Company Sales Customers</t>
  </si>
  <si>
    <t>Firm Commercial Gas Service Rate (CGS)</t>
  </si>
  <si>
    <t>Firm Industrial Gas Service Rate (IGS)</t>
  </si>
  <si>
    <t>Total Rate (IGS)</t>
  </si>
  <si>
    <t>As Available Gas Service Rate (AAGS)</t>
  </si>
  <si>
    <t>Firm Transportation Service (Transportation Only) Rate (FT)</t>
  </si>
  <si>
    <t>Rate DGGS:</t>
  </si>
  <si>
    <t>Distributed Generation Gas Service (DGGS) - Sales Service</t>
  </si>
  <si>
    <t>Page 2 of 11</t>
  </si>
  <si>
    <t>Page 3 of 11</t>
  </si>
  <si>
    <t>Page 4 of 11</t>
  </si>
  <si>
    <t>Page 5 of 11</t>
  </si>
  <si>
    <t>Page 6 of 11</t>
  </si>
  <si>
    <t>Page 7 of 11</t>
  </si>
  <si>
    <t>Page 8 of 11</t>
  </si>
  <si>
    <t>Page 9 of 11</t>
  </si>
  <si>
    <t>Page 10 of 11</t>
  </si>
  <si>
    <t>Page 11 of 11</t>
  </si>
  <si>
    <t>Local Gas Delivery Service (LGDS)</t>
  </si>
  <si>
    <t>RATE LGDS:</t>
  </si>
  <si>
    <t>RATE SGSS-I:</t>
  </si>
  <si>
    <t>RATE SGSS-C:</t>
  </si>
  <si>
    <t>RATE RGS and VFD:</t>
  </si>
  <si>
    <t>PAGE 1 OF 11</t>
  </si>
  <si>
    <t>Gas Operations</t>
  </si>
  <si>
    <t>Customer Months for the 12-Month Period</t>
  </si>
  <si>
    <t>Total Rate RGS and VFD</t>
  </si>
  <si>
    <t xml:space="preserve">Subtotal </t>
  </si>
  <si>
    <t>Subtotal Rate IGS after application of Correction Factor</t>
  </si>
  <si>
    <t>Customers Months for the 12-Month Period</t>
  </si>
  <si>
    <t>Misc Service Revenue</t>
  </si>
  <si>
    <t>Operating Revenues - Schedule C-2.1 B</t>
  </si>
  <si>
    <t>Late Payment Charges</t>
  </si>
  <si>
    <t>Sales to Ultimate Customers</t>
  </si>
  <si>
    <t>Billed Revenues, Rate Case SBR</t>
  </si>
  <si>
    <t>Less Adjustments:</t>
  </si>
  <si>
    <t>Unbilled</t>
  </si>
  <si>
    <t>Accrual</t>
  </si>
  <si>
    <t>Reversal</t>
  </si>
  <si>
    <t xml:space="preserve">Other </t>
  </si>
  <si>
    <t>Accrued Rev</t>
  </si>
  <si>
    <t>RVA</t>
  </si>
  <si>
    <t>SBR Recon</t>
  </si>
  <si>
    <t>Bill Intergrity &amp;</t>
  </si>
  <si>
    <t>Other Adjustments</t>
  </si>
  <si>
    <t>Substitute Gas Sales Service - Commercial (SGSS)</t>
  </si>
  <si>
    <t>Substitute Gas Sales Service - Industrial (SGSS)</t>
  </si>
  <si>
    <t>Residential Gas Service and Volunteer Fire Dept - Rate (RGS) and Rate (VFD)</t>
  </si>
  <si>
    <t>Commercial Gas Service - Rate (CGS)</t>
  </si>
  <si>
    <t>Industrial Gas Service - Rate (IGS)</t>
  </si>
  <si>
    <t>As-Available Gas Service - Rate (AAGS)</t>
  </si>
  <si>
    <t>Firm Transportation Service (Non-Standby) Rate (FT)</t>
  </si>
  <si>
    <t>Gas Transportation Service/Firm Balancing Service Rider to Rate (CGS)</t>
  </si>
  <si>
    <t>Gas Transportation Service/Firm Balancing Service Rider to Rate (IGS)</t>
  </si>
  <si>
    <t>Gas Transportation Service Rider TS-2 to Rate (AAGS)</t>
  </si>
  <si>
    <t>Gas Transportation Service Rider TS-2 to Rate (DGGS)</t>
  </si>
  <si>
    <t>Pages 2-11</t>
  </si>
  <si>
    <t>#
Contracts</t>
  </si>
  <si>
    <t>CCF
On Peak</t>
  </si>
  <si>
    <t>CCF
Off Peak</t>
  </si>
  <si>
    <t>Low Capacity Basic 
Service Charges</t>
  </si>
  <si>
    <t>High Capacity Basic 
Service Charges</t>
  </si>
  <si>
    <t>Base
Energy</t>
  </si>
  <si>
    <t>Gas Line
Tracker</t>
  </si>
  <si>
    <t xml:space="preserve"> Gas
 Demand</t>
  </si>
  <si>
    <t>Gas True
Up</t>
  </si>
  <si>
    <t>Gas
Transport</t>
  </si>
  <si>
    <t>Gas Transport
Sales</t>
  </si>
  <si>
    <t>Gas Transport
Purchases</t>
  </si>
  <si>
    <t>Administrative 
Charges Revenue</t>
  </si>
  <si>
    <t>Utilization Charge 
for Daily Imbalance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</si>
  <si>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</si>
  <si>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</si>
  <si>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</si>
  <si>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</si>
  <si>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</si>
  <si>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</si>
  <si>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</si>
  <si>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</si>
  <si>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</si>
  <si>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</si>
  <si>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</si>
  <si>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</si>
  <si>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2020/01</t>
  </si>
  <si>
    <t>2020/02</t>
  </si>
  <si>
    <t>TS-2 Firm Balancing IGS, DSM Opt-out</t>
  </si>
  <si>
    <t>TS-2 Firm Balancing AAGS Ind, DSM Optout</t>
  </si>
  <si>
    <t>2018/07</t>
  </si>
  <si>
    <t>2018/08</t>
  </si>
  <si>
    <t>2018/09</t>
  </si>
  <si>
    <t>2018/10</t>
  </si>
  <si>
    <t>2018/11</t>
  </si>
  <si>
    <t>2018/12</t>
  </si>
  <si>
    <t>PSC Gas No. 12, Effective May 1, 2019</t>
  </si>
  <si>
    <t>MAR 2020</t>
  </si>
  <si>
    <t>2017/03</t>
  </si>
  <si>
    <t>2017/04</t>
  </si>
  <si>
    <t>2017/05</t>
  </si>
  <si>
    <t>2017/06</t>
  </si>
  <si>
    <t>2017/07</t>
  </si>
  <si>
    <t>2017/08</t>
  </si>
  <si>
    <t>2017/09</t>
  </si>
  <si>
    <t>2017/10</t>
  </si>
  <si>
    <t>2017/11</t>
  </si>
  <si>
    <t>2017/12</t>
  </si>
  <si>
    <t>2018/01</t>
  </si>
  <si>
    <t>2018/02</t>
  </si>
  <si>
    <t>2020/03</t>
  </si>
  <si>
    <t>2015/05</t>
  </si>
  <si>
    <t>2015/06</t>
  </si>
  <si>
    <t>2015/07</t>
  </si>
  <si>
    <t>2015/08</t>
  </si>
  <si>
    <t>2015/09</t>
  </si>
  <si>
    <t>2015/10</t>
  </si>
  <si>
    <t>2015/11</t>
  </si>
  <si>
    <t>2015/12</t>
  </si>
  <si>
    <t>2016/01</t>
  </si>
  <si>
    <t>2016/02</t>
  </si>
  <si>
    <t>2016/03</t>
  </si>
  <si>
    <t>2016/04</t>
  </si>
  <si>
    <t>2016/05</t>
  </si>
  <si>
    <t>2016/06</t>
  </si>
  <si>
    <t>2016/07</t>
  </si>
  <si>
    <t>2016/08</t>
  </si>
  <si>
    <t>2016/09</t>
  </si>
  <si>
    <t>2016/10</t>
  </si>
  <si>
    <t>2016/11</t>
  </si>
  <si>
    <t>2016/12</t>
  </si>
  <si>
    <t>2017/01</t>
  </si>
  <si>
    <t>2017/02</t>
  </si>
  <si>
    <t>7/1/2020</t>
  </si>
  <si>
    <t>Book</t>
  </si>
  <si>
    <t>Sub-Tariff</t>
  </si>
  <si>
    <t>RC</t>
  </si>
  <si>
    <t>RC Description</t>
  </si>
  <si>
    <t>LG&amp;E GAS</t>
  </si>
  <si>
    <t>GAS LIGHTS</t>
  </si>
  <si>
    <t>Firm Commercial Gas Service (Lights)</t>
  </si>
  <si>
    <t>GENERATORS</t>
  </si>
  <si>
    <t>Firm Commercial Gas Service (Generators)</t>
  </si>
  <si>
    <t>Substitute Gas Sales Service, Commercial</t>
  </si>
  <si>
    <t>TS-2: Gas Transport/Firm Balancing (CGS)</t>
  </si>
  <si>
    <t>PS-TS2</t>
  </si>
  <si>
    <t>PS-TS-2: Pooling Service Rider TS-2 CGS</t>
  </si>
  <si>
    <t>TS-2: Gas Trans/Firm Balancing (DGGS Cm)</t>
  </si>
  <si>
    <t>PS-TS-2: Pooling Svc Rider TS-2 DGGS Com</t>
  </si>
  <si>
    <t>TS-2: Gas Trans/Firm Balancing (AAGS Cm)</t>
  </si>
  <si>
    <t>PS-TS-2: Pooling Svc Rider TS-2 AAGS Com</t>
  </si>
  <si>
    <t>Substitute Gas Sales Service, Industrial</t>
  </si>
  <si>
    <t>PS-TS-2: Pooling Svc Rider TS-2 AAGS Ind</t>
  </si>
  <si>
    <t>CANE RUN</t>
  </si>
  <si>
    <t>EF</t>
  </si>
  <si>
    <t>LGUM_825</t>
  </si>
  <si>
    <t>Gas Excess Facilities</t>
  </si>
  <si>
    <t>LGUM_826</t>
  </si>
  <si>
    <t>Gas Excess Facilities CIAC</t>
  </si>
  <si>
    <t>ODL</t>
  </si>
  <si>
    <t>LGUM_828</t>
  </si>
  <si>
    <t>Excess Facilities Gas ODL</t>
  </si>
  <si>
    <t>LGUM_829</t>
  </si>
  <si>
    <t>Excess Facilities Gas ODL CIAC</t>
  </si>
  <si>
    <t>SFC</t>
  </si>
  <si>
    <t>LGUM_GSFCR</t>
  </si>
  <si>
    <t>Standard Facility Contribution Rider</t>
  </si>
  <si>
    <t>GTPDEM</t>
  </si>
  <si>
    <t>Gas Transport Sales
and Purchases</t>
  </si>
  <si>
    <t>GLTTPS</t>
  </si>
  <si>
    <t>Sep 2020</t>
  </si>
  <si>
    <t>Sep 2021</t>
  </si>
  <si>
    <t>Oct 2020</t>
  </si>
  <si>
    <t>Nov 2020</t>
  </si>
  <si>
    <t>Dec 2020</t>
  </si>
  <si>
    <t>Jan 2021</t>
  </si>
  <si>
    <t>Feb 2021</t>
  </si>
  <si>
    <t>Mar 2021</t>
  </si>
  <si>
    <t>Apr 2021</t>
  </si>
  <si>
    <t>May 2021</t>
  </si>
  <si>
    <t>Jun 2021</t>
  </si>
  <si>
    <t>Jul 2021</t>
  </si>
  <si>
    <t>Aug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</si>
  <si>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</si>
  <si>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</si>
  <si>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</si>
  <si>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</si>
  <si>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</si>
  <si>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</si>
  <si>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</si>
  <si>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</si>
  <si>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 2022</t>
  </si>
  <si>
    <t>2021BP</t>
  </si>
  <si>
    <t>Gas Transport Service, FT</t>
  </si>
  <si>
    <t>Gas Trans Cust</t>
  </si>
  <si>
    <t xml:space="preserve"> Franchise 
 Fees</t>
  </si>
  <si>
    <t>Excess Facility 
Charges</t>
  </si>
  <si>
    <t>Revenue
Amount</t>
  </si>
  <si>
    <t>Min Daily
Min Annual
Thresholds</t>
  </si>
  <si>
    <t>Receivable
Amount</t>
  </si>
  <si>
    <t>Overall Result</t>
  </si>
  <si>
    <t>APR 2020</t>
  </si>
  <si>
    <t>2020/04</t>
  </si>
  <si>
    <t>Discount Season</t>
  </si>
  <si>
    <t>MAY 2020</t>
  </si>
  <si>
    <t>2020/05</t>
  </si>
  <si>
    <t>JUN 2020</t>
  </si>
  <si>
    <t>JUL 2020</t>
  </si>
  <si>
    <t>Distribution
Charge</t>
  </si>
  <si>
    <t>Min Daily
Threshold</t>
  </si>
  <si>
    <t>Min Annual
Threshold</t>
  </si>
  <si>
    <t>Pipeline
Storage</t>
  </si>
  <si>
    <t>Franchise
Fees</t>
  </si>
  <si>
    <t>Intercompany Sales
and Purchases</t>
  </si>
  <si>
    <t>Basic Servic Charge</t>
  </si>
  <si>
    <t>2020/06</t>
  </si>
  <si>
    <t>2020/07</t>
  </si>
  <si>
    <t>Billed Days-Low Capacity</t>
  </si>
  <si>
    <t>Billed Days-High Capacity</t>
  </si>
  <si>
    <t>Billed Days</t>
  </si>
  <si>
    <t>Sub-Transaction</t>
  </si>
  <si>
    <t>Gas Transport DSM d</t>
  </si>
  <si>
    <t>Gas Transport Customer Charge</t>
  </si>
  <si>
    <t>GLT Transport Trns Prj Db</t>
  </si>
  <si>
    <t>Admin Charge Gas Transport D</t>
  </si>
  <si>
    <t>Cashout - Purchases C</t>
  </si>
  <si>
    <t>MMBTU Purchases C</t>
  </si>
  <si>
    <t>Minimum Daily Threshold Charge</t>
  </si>
  <si>
    <t>OFO, UCDI - Gas transport D</t>
  </si>
  <si>
    <t>UCDI - Storage D</t>
  </si>
  <si>
    <t>Gas True-up Charge</t>
  </si>
  <si>
    <t>GLT Distribution Proj Db</t>
  </si>
  <si>
    <t>TS - Pipline Supplier</t>
  </si>
  <si>
    <t>MMBTU Purchases D</t>
  </si>
  <si>
    <t>MMBTU Sales C</t>
  </si>
  <si>
    <t>GLT Transmission Proj Db</t>
  </si>
  <si>
    <t>Admin Charge - Gas Transport D</t>
  </si>
  <si>
    <t>Gas True-up Charge C</t>
  </si>
  <si>
    <t>MMBTU Sales D</t>
  </si>
  <si>
    <t>DSM Debit</t>
  </si>
  <si>
    <t>Jul 2020</t>
  </si>
  <si>
    <t>Aug 2020</t>
  </si>
  <si>
    <t>Jul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</si>
  <si>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</si>
  <si>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</si>
  <si>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</si>
  <si>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</si>
  <si>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</si>
  <si>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</si>
  <si>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</si>
  <si>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</si>
  <si>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</si>
  <si>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</si>
  <si>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</si>
  <si>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</si>
  <si>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</si>
  <si>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</si>
  <si>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</si>
  <si>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</si>
  <si>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</si>
  <si>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</si>
  <si>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</si>
  <si>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</si>
  <si>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</si>
  <si>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</si>
  <si>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</si>
  <si>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</si>
  <si>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</si>
  <si>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</si>
  <si>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</si>
  <si>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</si>
  <si>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</si>
  <si>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>3/1/2020</t>
  </si>
  <si>
    <t>Billed-Days</t>
  </si>
  <si>
    <t>Days</t>
  </si>
  <si>
    <t>AUG 2020</t>
  </si>
  <si>
    <t>Cashout - Sales Credit</t>
  </si>
  <si>
    <t>Cashout - Sales Debit</t>
  </si>
  <si>
    <t>2020/08</t>
  </si>
  <si>
    <t>Billed Days Low Capacity</t>
  </si>
  <si>
    <t>Billed Days High Capacity</t>
  </si>
  <si>
    <t>6-Month Period March 2020 through August 2020</t>
  </si>
  <si>
    <t>Source:  LG&amp;E Financial Report, page 46 -- MCF Sendout and Supply Cost</t>
  </si>
  <si>
    <t>SEP 2020</t>
  </si>
  <si>
    <t>LGGTCFT</t>
  </si>
  <si>
    <t>FT - Commercial, not in pool</t>
  </si>
  <si>
    <t>BTUAOD</t>
  </si>
  <si>
    <t>CSHOOD</t>
  </si>
  <si>
    <t>GDSMTG</t>
  </si>
  <si>
    <t>GDSTTG</t>
  </si>
  <si>
    <t>GLTTPT</t>
  </si>
  <si>
    <t>GUCDI</t>
  </si>
  <si>
    <t>LGGTCFTIP</t>
  </si>
  <si>
    <t>FT - Commercial, In Pool</t>
  </si>
  <si>
    <t>LGGTIFTDIP</t>
  </si>
  <si>
    <t>FT - Industrial, DSM, In Pool</t>
  </si>
  <si>
    <t>LGGTIFTO</t>
  </si>
  <si>
    <t>FT - Industrial, No DSM, Not in Pool</t>
  </si>
  <si>
    <t>BTUAUD</t>
  </si>
  <si>
    <t>CSHOUD</t>
  </si>
  <si>
    <t>GDSTSG</t>
  </si>
  <si>
    <t>LGGTIFTOIP</t>
  </si>
  <si>
    <t>FT - Industrial, No DSM, In Pool</t>
  </si>
  <si>
    <t>LGGTITS2AO</t>
  </si>
  <si>
    <t>TS-2: Firm Balancing AAGS Ind, No DSM</t>
  </si>
  <si>
    <t>GLTDPT</t>
  </si>
  <si>
    <t>LGGTITS2ID</t>
  </si>
  <si>
    <t>TS-2: Firm Balancing IGS, DSM</t>
  </si>
  <si>
    <t>LGGTITS2IO</t>
  </si>
  <si>
    <t>TS-2: Firm Balancing IGS, No DSM</t>
  </si>
  <si>
    <t>LGGTPSFT</t>
  </si>
  <si>
    <t>PS-FT: Pooling Serivce for FT Rate</t>
  </si>
  <si>
    <t>LGGTPSTS2</t>
  </si>
  <si>
    <t>PS-TS-2: Pooling Service for TS-2 Rider</t>
  </si>
  <si>
    <t>Cashout - Purchases Cr</t>
  </si>
  <si>
    <t>Days Factor &lt;5000 cf/hr</t>
  </si>
  <si>
    <t>Days Factor &gt;5000 cf/hr</t>
  </si>
  <si>
    <t>GLT - DISTR</t>
  </si>
  <si>
    <t>12 Months Ended February 28, 2021</t>
  </si>
  <si>
    <t>21896</t>
  </si>
  <si>
    <t>Cashout CCF</t>
  </si>
  <si>
    <t>rgs</t>
  </si>
  <si>
    <t>cgs</t>
  </si>
  <si>
    <t>igs</t>
  </si>
  <si>
    <t>Procurement Expenses 6-Month Period ended August 2020</t>
  </si>
  <si>
    <t>Customer Days</t>
  </si>
  <si>
    <t>Partial Months and Billing Adjustments</t>
  </si>
  <si>
    <t>FOR THE 12 MONTHS ENDED FEBRUARY 28, 2021</t>
  </si>
  <si>
    <t>CCF Demand</t>
  </si>
  <si>
    <t>MCF OnPeak</t>
  </si>
  <si>
    <t>MCF OffPeak</t>
  </si>
  <si>
    <t>MCF Demand</t>
  </si>
  <si>
    <t>Billed Volumes Per Tariff</t>
  </si>
  <si>
    <t>Dist OnPeak MCF</t>
  </si>
  <si>
    <t>Dist OffPeak MCF</t>
  </si>
  <si>
    <t>Demand Chg MCF</t>
  </si>
  <si>
    <t xml:space="preserve">Dist OnPeak </t>
  </si>
  <si>
    <t xml:space="preserve">Dist OffPeak </t>
  </si>
  <si>
    <t xml:space="preserve">Demand Chg </t>
  </si>
  <si>
    <t>Demand Revenue</t>
  </si>
  <si>
    <t>OnPeak</t>
  </si>
  <si>
    <t>OffPeak</t>
  </si>
  <si>
    <t>Dist OnPeak</t>
  </si>
  <si>
    <t>Dist OffPeak</t>
  </si>
  <si>
    <t>Billed Volumes per Tariff</t>
  </si>
  <si>
    <t xml:space="preserve">Demand </t>
  </si>
  <si>
    <t xml:space="preserve">TCJA Credit </t>
  </si>
  <si>
    <t>On-Peak</t>
  </si>
  <si>
    <t>CASE NO. 2020-00350</t>
  </si>
  <si>
    <t>2020-08</t>
  </si>
  <si>
    <t>2020-03</t>
  </si>
  <si>
    <t>2020-04</t>
  </si>
  <si>
    <t>2020-05</t>
  </si>
  <si>
    <t>2020-06</t>
  </si>
  <si>
    <t>2020-07</t>
  </si>
  <si>
    <t>Unbilled Reversal, BOP Mar 2020</t>
  </si>
  <si>
    <t>Unbilled Accrual, EOP Aug 2020</t>
  </si>
  <si>
    <t>Other Accrued Revenue, Mar - Aug 2020</t>
  </si>
  <si>
    <t>Totals</t>
  </si>
  <si>
    <t>Total Revenue at Current Rates</t>
  </si>
  <si>
    <t>@ Current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</si>
</sst>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;\-#,##0;#,##0;@"/>
    <numFmt numFmtId="166" formatCode="#,##0.00;\-#,##0.00;#,##0.00;@"/>
    <numFmt numFmtId="167" formatCode="_(&quot;$&quot;* #,##0_);_(&quot;$&quot;* \(#,##0\);_(&quot;$&quot;* &quot;-&quot;??_);_(@_)"/>
    <numFmt numFmtId="168" formatCode="[$-409]mmm\-yy;@"/>
    <numFmt numFmtId="169" formatCode="0.00000"/>
    <numFmt numFmtId="170" formatCode="_(&quot;$&quot;* #,##0.00000_);_(&quot;$&quot;* \(#,##0.00000\);_(&quot;$&quot;* &quot;-&quot;??_);_(@_)"/>
    <numFmt numFmtId="171" formatCode="_(* #,##0.000000_);_(* \(#,##0.000000\);_(* &quot;-&quot;??_);_(@_)"/>
    <numFmt numFmtId="172" formatCode="[$-409]mmmm\-yy;@"/>
    <numFmt numFmtId="173" formatCode="_(* #,##0.0_);_(* \(#,##0.0\);_(* &quot;-&quot;??_);_(@_)"/>
    <numFmt numFmtId="174" formatCode="General_)"/>
    <numFmt numFmtId="175" formatCode="#,##0.0_);\(#,##0.0\)"/>
    <numFmt numFmtId="176" formatCode="&quot;$&quot;#,##0.0000_);[Red]\(&quot;$&quot;#,##0.0000\)"/>
    <numFmt numFmtId="177" formatCode="_(&quot;$&quot;* #,##0.0000_);_(&quot;$&quot;* \(#,##0.0000\);_(&quot;$&quot;* &quot;-&quot;??_);_(@_)"/>
    <numFmt numFmtId="178" formatCode="_(* #,##0.0000_);_(* \(#,##0.0000\);_(* &quot;-&quot;??_);_(@_)"/>
    <numFmt numFmtId="179" formatCode="&quot;$&quot;#,##0\ ;\(&quot;$&quot;#,##0\)"/>
    <numFmt numFmtId="180" formatCode="_([$€-2]* #,##0.00_);_([$€-2]* \(#,##0.00\);_([$€-2]* &quot;-&quot;??_)"/>
    <numFmt numFmtId="181" formatCode="0_);\(0\)"/>
    <numFmt numFmtId="182" formatCode="0.0000"/>
    <numFmt numFmtId="183" formatCode="&quot;$&quot;#,##0.00000_);[Red]\(&quot;$&quot;#,##0.00000\)"/>
    <numFmt numFmtId="184" formatCode="#,##0_);[Red]\(#,##0\);&quot; &quot;"/>
    <numFmt numFmtId="185" formatCode="#,##0.00000_);[Red]\(#,##0.00000\);&quot; &quot;"/>
    <numFmt numFmtId="186" formatCode="_(&quot;$&quot;* #,##0.0000000_);_(&quot;$&quot;* \(#,##0.0000000\);_(&quot;$&quot;* &quot;-&quot;??_);_(@_)"/>
    <numFmt numFmtId="187" formatCode="#,##0.0000000_);\(#,##0.0000000\)"/>
    <numFmt numFmtId="188" formatCode="_(&quot;$&quot;* #,##0.00_);_(&quot;$&quot;* \(#,##0.00\);_(&quot;$&quot;* &quot;-&quot;_);_(@_)"/>
    <numFmt numFmtId="189" formatCode="0.000000"/>
    <numFmt numFmtId="190" formatCode="m/d/yy;@"/>
    <numFmt numFmtId="191" formatCode="#,##0.00_);[Red]\(#,##0.00\);&quot; &quot;"/>
    <numFmt numFmtId="192" formatCode="0.00000%"/>
    <numFmt numFmtId="193" formatCode="0.000%"/>
    <numFmt numFmtId="194" formatCode="&quot;$&quot;#,##0.00000"/>
    <numFmt numFmtId="195" formatCode="0.000"/>
  </numFmts>
  <fonts count="9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0"/>
      <color indexed="8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indexed="10"/>
      <name val="Calibri"/>
      <family val="2"/>
    </font>
    <font>
      <sz val="11"/>
      <color rgb="FFFF0000"/>
      <name val="Times New Roman"/>
      <family val="2"/>
    </font>
    <font>
      <sz val="10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8"/>
      <color rgb="FF000000"/>
      <name val="Arial"/>
      <family val="2"/>
    </font>
    <font>
      <u/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u val="singleAccounting"/>
      <sz val="10"/>
      <name val="Arial Narrow"/>
      <family val="2"/>
    </font>
    <font>
      <b/>
      <sz val="10"/>
      <color indexed="10"/>
      <name val="Arial Narrow"/>
      <family val="2"/>
    </font>
    <font>
      <b/>
      <u/>
      <sz val="10"/>
      <name val="Arial Narrow"/>
      <family val="2"/>
    </font>
    <font>
      <sz val="10"/>
      <color indexed="8"/>
      <name val="Arial Narrow"/>
      <family val="2"/>
    </font>
    <font>
      <sz val="10"/>
      <color indexed="12"/>
      <name val="Arial Narrow"/>
      <family val="2"/>
    </font>
    <font>
      <sz val="10"/>
      <color rgb="FFFF0000"/>
      <name val="Arial Narrow"/>
      <family val="2"/>
    </font>
    <font>
      <sz val="10"/>
      <color rgb="FF0070C0"/>
      <name val="Arial Narrow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Arial Narrow"/>
      <family val="2"/>
    </font>
    <font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u val="singleAccounting"/>
      <sz val="10"/>
      <name val="Calibri"/>
      <family val="2"/>
      <scheme val="minor"/>
    </font>
  </fonts>
  <fills count="9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ECC8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B7CFE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55">
    <xf numFmtId="0" fontId="0" fillId="0" borderId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0" fontId="3" fillId="0" borderId="0"/>
    <xf numFmtId="174" fontId="12" fillId="0" borderId="0"/>
    <xf numFmtId="0" fontId="3" fillId="0" borderId="0"/>
    <xf numFmtId="0" fontId="3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168" fontId="20" fillId="28" borderId="0" applyNumberFormat="0" applyBorder="0" applyAlignment="0" applyProtection="0"/>
    <xf numFmtId="168" fontId="20" fillId="28" borderId="0" applyNumberFormat="0" applyBorder="0" applyAlignment="0" applyProtection="0"/>
    <xf numFmtId="172" fontId="19" fillId="51" borderId="0" applyNumberFormat="0" applyBorder="0" applyAlignment="0" applyProtection="0"/>
    <xf numFmtId="172" fontId="19" fillId="51" borderId="0" applyNumberFormat="0" applyBorder="0" applyAlignment="0" applyProtection="0"/>
    <xf numFmtId="172" fontId="19" fillId="51" borderId="0" applyNumberFormat="0" applyBorder="0" applyAlignment="0" applyProtection="0"/>
    <xf numFmtId="172" fontId="19" fillId="51" borderId="0" applyNumberFormat="0" applyBorder="0" applyAlignment="0" applyProtection="0"/>
    <xf numFmtId="172" fontId="19" fillId="51" borderId="0" applyNumberFormat="0" applyBorder="0" applyAlignment="0" applyProtection="0"/>
    <xf numFmtId="172" fontId="19" fillId="51" borderId="0" applyNumberFormat="0" applyBorder="0" applyAlignment="0" applyProtection="0"/>
    <xf numFmtId="172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168" fontId="20" fillId="32" borderId="0" applyNumberFormat="0" applyBorder="0" applyAlignment="0" applyProtection="0"/>
    <xf numFmtId="168" fontId="20" fillId="32" borderId="0" applyNumberFormat="0" applyBorder="0" applyAlignment="0" applyProtection="0"/>
    <xf numFmtId="172" fontId="19" fillId="52" borderId="0" applyNumberFormat="0" applyBorder="0" applyAlignment="0" applyProtection="0"/>
    <xf numFmtId="172" fontId="19" fillId="52" borderId="0" applyNumberFormat="0" applyBorder="0" applyAlignment="0" applyProtection="0"/>
    <xf numFmtId="172" fontId="19" fillId="52" borderId="0" applyNumberFormat="0" applyBorder="0" applyAlignment="0" applyProtection="0"/>
    <xf numFmtId="172" fontId="19" fillId="52" borderId="0" applyNumberFormat="0" applyBorder="0" applyAlignment="0" applyProtection="0"/>
    <xf numFmtId="172" fontId="19" fillId="52" borderId="0" applyNumberFormat="0" applyBorder="0" applyAlignment="0" applyProtection="0"/>
    <xf numFmtId="172" fontId="19" fillId="52" borderId="0" applyNumberFormat="0" applyBorder="0" applyAlignment="0" applyProtection="0"/>
    <xf numFmtId="172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168" fontId="20" fillId="36" borderId="0" applyNumberFormat="0" applyBorder="0" applyAlignment="0" applyProtection="0"/>
    <xf numFmtId="168" fontId="20" fillId="36" borderId="0" applyNumberFormat="0" applyBorder="0" applyAlignment="0" applyProtection="0"/>
    <xf numFmtId="172" fontId="19" fillId="53" borderId="0" applyNumberFormat="0" applyBorder="0" applyAlignment="0" applyProtection="0"/>
    <xf numFmtId="172" fontId="19" fillId="53" borderId="0" applyNumberFormat="0" applyBorder="0" applyAlignment="0" applyProtection="0"/>
    <xf numFmtId="172" fontId="19" fillId="53" borderId="0" applyNumberFormat="0" applyBorder="0" applyAlignment="0" applyProtection="0"/>
    <xf numFmtId="172" fontId="19" fillId="53" borderId="0" applyNumberFormat="0" applyBorder="0" applyAlignment="0" applyProtection="0"/>
    <xf numFmtId="172" fontId="19" fillId="53" borderId="0" applyNumberFormat="0" applyBorder="0" applyAlignment="0" applyProtection="0"/>
    <xf numFmtId="172" fontId="19" fillId="53" borderId="0" applyNumberFormat="0" applyBorder="0" applyAlignment="0" applyProtection="0"/>
    <xf numFmtId="172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168" fontId="20" fillId="40" borderId="0" applyNumberFormat="0" applyBorder="0" applyAlignment="0" applyProtection="0"/>
    <xf numFmtId="168" fontId="20" fillId="40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168" fontId="20" fillId="44" borderId="0" applyNumberFormat="0" applyBorder="0" applyAlignment="0" applyProtection="0"/>
    <xf numFmtId="168" fontId="20" fillId="44" borderId="0" applyNumberFormat="0" applyBorder="0" applyAlignment="0" applyProtection="0"/>
    <xf numFmtId="172" fontId="19" fillId="55" borderId="0" applyNumberFormat="0" applyBorder="0" applyAlignment="0" applyProtection="0"/>
    <xf numFmtId="172" fontId="19" fillId="55" borderId="0" applyNumberFormat="0" applyBorder="0" applyAlignment="0" applyProtection="0"/>
    <xf numFmtId="172" fontId="19" fillId="55" borderId="0" applyNumberFormat="0" applyBorder="0" applyAlignment="0" applyProtection="0"/>
    <xf numFmtId="172" fontId="19" fillId="55" borderId="0" applyNumberFormat="0" applyBorder="0" applyAlignment="0" applyProtection="0"/>
    <xf numFmtId="172" fontId="19" fillId="55" borderId="0" applyNumberFormat="0" applyBorder="0" applyAlignment="0" applyProtection="0"/>
    <xf numFmtId="172" fontId="19" fillId="55" borderId="0" applyNumberFormat="0" applyBorder="0" applyAlignment="0" applyProtection="0"/>
    <xf numFmtId="172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168" fontId="20" fillId="48" borderId="0" applyNumberFormat="0" applyBorder="0" applyAlignment="0" applyProtection="0"/>
    <xf numFmtId="168" fontId="20" fillId="48" borderId="0" applyNumberFormat="0" applyBorder="0" applyAlignment="0" applyProtection="0"/>
    <xf numFmtId="172" fontId="19" fillId="56" borderId="0" applyNumberFormat="0" applyBorder="0" applyAlignment="0" applyProtection="0"/>
    <xf numFmtId="172" fontId="19" fillId="56" borderId="0" applyNumberFormat="0" applyBorder="0" applyAlignment="0" applyProtection="0"/>
    <xf numFmtId="172" fontId="19" fillId="56" borderId="0" applyNumberFormat="0" applyBorder="0" applyAlignment="0" applyProtection="0"/>
    <xf numFmtId="172" fontId="19" fillId="56" borderId="0" applyNumberFormat="0" applyBorder="0" applyAlignment="0" applyProtection="0"/>
    <xf numFmtId="172" fontId="19" fillId="56" borderId="0" applyNumberFormat="0" applyBorder="0" applyAlignment="0" applyProtection="0"/>
    <xf numFmtId="172" fontId="19" fillId="56" borderId="0" applyNumberFormat="0" applyBorder="0" applyAlignment="0" applyProtection="0"/>
    <xf numFmtId="172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168" fontId="20" fillId="29" borderId="0" applyNumberFormat="0" applyBorder="0" applyAlignment="0" applyProtection="0"/>
    <xf numFmtId="168" fontId="20" fillId="29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168" fontId="20" fillId="33" borderId="0" applyNumberFormat="0" applyBorder="0" applyAlignment="0" applyProtection="0"/>
    <xf numFmtId="168" fontId="20" fillId="33" borderId="0" applyNumberFormat="0" applyBorder="0" applyAlignment="0" applyProtection="0"/>
    <xf numFmtId="172" fontId="19" fillId="58" borderId="0" applyNumberFormat="0" applyBorder="0" applyAlignment="0" applyProtection="0"/>
    <xf numFmtId="172" fontId="19" fillId="58" borderId="0" applyNumberFormat="0" applyBorder="0" applyAlignment="0" applyProtection="0"/>
    <xf numFmtId="172" fontId="19" fillId="58" borderId="0" applyNumberFormat="0" applyBorder="0" applyAlignment="0" applyProtection="0"/>
    <xf numFmtId="172" fontId="19" fillId="58" borderId="0" applyNumberFormat="0" applyBorder="0" applyAlignment="0" applyProtection="0"/>
    <xf numFmtId="172" fontId="19" fillId="58" borderId="0" applyNumberFormat="0" applyBorder="0" applyAlignment="0" applyProtection="0"/>
    <xf numFmtId="172" fontId="19" fillId="58" borderId="0" applyNumberFormat="0" applyBorder="0" applyAlignment="0" applyProtection="0"/>
    <xf numFmtId="172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168" fontId="20" fillId="37" borderId="0" applyNumberFormat="0" applyBorder="0" applyAlignment="0" applyProtection="0"/>
    <xf numFmtId="168" fontId="20" fillId="37" borderId="0" applyNumberFormat="0" applyBorder="0" applyAlignment="0" applyProtection="0"/>
    <xf numFmtId="172" fontId="19" fillId="59" borderId="0" applyNumberFormat="0" applyBorder="0" applyAlignment="0" applyProtection="0"/>
    <xf numFmtId="172" fontId="19" fillId="59" borderId="0" applyNumberFormat="0" applyBorder="0" applyAlignment="0" applyProtection="0"/>
    <xf numFmtId="172" fontId="19" fillId="59" borderId="0" applyNumberFormat="0" applyBorder="0" applyAlignment="0" applyProtection="0"/>
    <xf numFmtId="172" fontId="19" fillId="59" borderId="0" applyNumberFormat="0" applyBorder="0" applyAlignment="0" applyProtection="0"/>
    <xf numFmtId="172" fontId="19" fillId="59" borderId="0" applyNumberFormat="0" applyBorder="0" applyAlignment="0" applyProtection="0"/>
    <xf numFmtId="172" fontId="19" fillId="59" borderId="0" applyNumberFormat="0" applyBorder="0" applyAlignment="0" applyProtection="0"/>
    <xf numFmtId="172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168" fontId="20" fillId="41" borderId="0" applyNumberFormat="0" applyBorder="0" applyAlignment="0" applyProtection="0"/>
    <xf numFmtId="168" fontId="20" fillId="41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172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168" fontId="20" fillId="45" borderId="0" applyNumberFormat="0" applyBorder="0" applyAlignment="0" applyProtection="0"/>
    <xf numFmtId="168" fontId="20" fillId="45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172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168" fontId="20" fillId="49" borderId="0" applyNumberFormat="0" applyBorder="0" applyAlignment="0" applyProtection="0"/>
    <xf numFmtId="168" fontId="20" fillId="49" borderId="0" applyNumberFormat="0" applyBorder="0" applyAlignment="0" applyProtection="0"/>
    <xf numFmtId="172" fontId="19" fillId="60" borderId="0" applyNumberFormat="0" applyBorder="0" applyAlignment="0" applyProtection="0"/>
    <xf numFmtId="172" fontId="19" fillId="60" borderId="0" applyNumberFormat="0" applyBorder="0" applyAlignment="0" applyProtection="0"/>
    <xf numFmtId="172" fontId="19" fillId="60" borderId="0" applyNumberFormat="0" applyBorder="0" applyAlignment="0" applyProtection="0"/>
    <xf numFmtId="172" fontId="19" fillId="60" borderId="0" applyNumberFormat="0" applyBorder="0" applyAlignment="0" applyProtection="0"/>
    <xf numFmtId="172" fontId="19" fillId="60" borderId="0" applyNumberFormat="0" applyBorder="0" applyAlignment="0" applyProtection="0"/>
    <xf numFmtId="172" fontId="19" fillId="60" borderId="0" applyNumberFormat="0" applyBorder="0" applyAlignment="0" applyProtection="0"/>
    <xf numFmtId="172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168" fontId="22" fillId="30" borderId="0" applyNumberFormat="0" applyBorder="0" applyAlignment="0" applyProtection="0"/>
    <xf numFmtId="168" fontId="22" fillId="30" borderId="0" applyNumberFormat="0" applyBorder="0" applyAlignment="0" applyProtection="0"/>
    <xf numFmtId="172" fontId="21" fillId="61" borderId="0" applyNumberFormat="0" applyBorder="0" applyAlignment="0" applyProtection="0"/>
    <xf numFmtId="172" fontId="21" fillId="61" borderId="0" applyNumberFormat="0" applyBorder="0" applyAlignment="0" applyProtection="0"/>
    <xf numFmtId="172" fontId="21" fillId="61" borderId="0" applyNumberFormat="0" applyBorder="0" applyAlignment="0" applyProtection="0"/>
    <xf numFmtId="172" fontId="21" fillId="61" borderId="0" applyNumberFormat="0" applyBorder="0" applyAlignment="0" applyProtection="0"/>
    <xf numFmtId="172" fontId="21" fillId="61" borderId="0" applyNumberFormat="0" applyBorder="0" applyAlignment="0" applyProtection="0"/>
    <xf numFmtId="172" fontId="21" fillId="61" borderId="0" applyNumberFormat="0" applyBorder="0" applyAlignment="0" applyProtection="0"/>
    <xf numFmtId="172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168" fontId="22" fillId="34" borderId="0" applyNumberFormat="0" applyBorder="0" applyAlignment="0" applyProtection="0"/>
    <xf numFmtId="168" fontId="22" fillId="34" borderId="0" applyNumberFormat="0" applyBorder="0" applyAlignment="0" applyProtection="0"/>
    <xf numFmtId="172" fontId="21" fillId="58" borderId="0" applyNumberFormat="0" applyBorder="0" applyAlignment="0" applyProtection="0"/>
    <xf numFmtId="172" fontId="21" fillId="58" borderId="0" applyNumberFormat="0" applyBorder="0" applyAlignment="0" applyProtection="0"/>
    <xf numFmtId="172" fontId="21" fillId="58" borderId="0" applyNumberFormat="0" applyBorder="0" applyAlignment="0" applyProtection="0"/>
    <xf numFmtId="172" fontId="21" fillId="58" borderId="0" applyNumberFormat="0" applyBorder="0" applyAlignment="0" applyProtection="0"/>
    <xf numFmtId="172" fontId="21" fillId="58" borderId="0" applyNumberFormat="0" applyBorder="0" applyAlignment="0" applyProtection="0"/>
    <xf numFmtId="172" fontId="21" fillId="58" borderId="0" applyNumberFormat="0" applyBorder="0" applyAlignment="0" applyProtection="0"/>
    <xf numFmtId="172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168" fontId="22" fillId="38" borderId="0" applyNumberFormat="0" applyBorder="0" applyAlignment="0" applyProtection="0"/>
    <xf numFmtId="168" fontId="22" fillId="38" borderId="0" applyNumberFormat="0" applyBorder="0" applyAlignment="0" applyProtection="0"/>
    <xf numFmtId="172" fontId="21" fillId="59" borderId="0" applyNumberFormat="0" applyBorder="0" applyAlignment="0" applyProtection="0"/>
    <xf numFmtId="172" fontId="21" fillId="59" borderId="0" applyNumberFormat="0" applyBorder="0" applyAlignment="0" applyProtection="0"/>
    <xf numFmtId="172" fontId="21" fillId="59" borderId="0" applyNumberFormat="0" applyBorder="0" applyAlignment="0" applyProtection="0"/>
    <xf numFmtId="172" fontId="21" fillId="59" borderId="0" applyNumberFormat="0" applyBorder="0" applyAlignment="0" applyProtection="0"/>
    <xf numFmtId="172" fontId="21" fillId="59" borderId="0" applyNumberFormat="0" applyBorder="0" applyAlignment="0" applyProtection="0"/>
    <xf numFmtId="172" fontId="21" fillId="59" borderId="0" applyNumberFormat="0" applyBorder="0" applyAlignment="0" applyProtection="0"/>
    <xf numFmtId="172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168" fontId="22" fillId="42" borderId="0" applyNumberFormat="0" applyBorder="0" applyAlignment="0" applyProtection="0"/>
    <xf numFmtId="168" fontId="22" fillId="4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168" fontId="22" fillId="46" borderId="0" applyNumberFormat="0" applyBorder="0" applyAlignment="0" applyProtection="0"/>
    <xf numFmtId="168" fontId="22" fillId="46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168" fontId="22" fillId="50" borderId="0" applyNumberFormat="0" applyBorder="0" applyAlignment="0" applyProtection="0"/>
    <xf numFmtId="168" fontId="22" fillId="50" borderId="0" applyNumberFormat="0" applyBorder="0" applyAlignment="0" applyProtection="0"/>
    <xf numFmtId="172" fontId="21" fillId="64" borderId="0" applyNumberFormat="0" applyBorder="0" applyAlignment="0" applyProtection="0"/>
    <xf numFmtId="172" fontId="21" fillId="64" borderId="0" applyNumberFormat="0" applyBorder="0" applyAlignment="0" applyProtection="0"/>
    <xf numFmtId="172" fontId="21" fillId="64" borderId="0" applyNumberFormat="0" applyBorder="0" applyAlignment="0" applyProtection="0"/>
    <xf numFmtId="172" fontId="21" fillId="64" borderId="0" applyNumberFormat="0" applyBorder="0" applyAlignment="0" applyProtection="0"/>
    <xf numFmtId="172" fontId="21" fillId="64" borderId="0" applyNumberFormat="0" applyBorder="0" applyAlignment="0" applyProtection="0"/>
    <xf numFmtId="172" fontId="21" fillId="64" borderId="0" applyNumberFormat="0" applyBorder="0" applyAlignment="0" applyProtection="0"/>
    <xf numFmtId="172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168" fontId="22" fillId="27" borderId="0" applyNumberFormat="0" applyBorder="0" applyAlignment="0" applyProtection="0"/>
    <xf numFmtId="168" fontId="22" fillId="27" borderId="0" applyNumberFormat="0" applyBorder="0" applyAlignment="0" applyProtection="0"/>
    <xf numFmtId="172" fontId="21" fillId="65" borderId="0" applyNumberFormat="0" applyBorder="0" applyAlignment="0" applyProtection="0"/>
    <xf numFmtId="172" fontId="21" fillId="65" borderId="0" applyNumberFormat="0" applyBorder="0" applyAlignment="0" applyProtection="0"/>
    <xf numFmtId="172" fontId="21" fillId="65" borderId="0" applyNumberFormat="0" applyBorder="0" applyAlignment="0" applyProtection="0"/>
    <xf numFmtId="172" fontId="21" fillId="65" borderId="0" applyNumberFormat="0" applyBorder="0" applyAlignment="0" applyProtection="0"/>
    <xf numFmtId="172" fontId="21" fillId="65" borderId="0" applyNumberFormat="0" applyBorder="0" applyAlignment="0" applyProtection="0"/>
    <xf numFmtId="172" fontId="21" fillId="65" borderId="0" applyNumberFormat="0" applyBorder="0" applyAlignment="0" applyProtection="0"/>
    <xf numFmtId="172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168" fontId="22" fillId="31" borderId="0" applyNumberFormat="0" applyBorder="0" applyAlignment="0" applyProtection="0"/>
    <xf numFmtId="168" fontId="22" fillId="31" borderId="0" applyNumberFormat="0" applyBorder="0" applyAlignment="0" applyProtection="0"/>
    <xf numFmtId="172" fontId="21" fillId="66" borderId="0" applyNumberFormat="0" applyBorder="0" applyAlignment="0" applyProtection="0"/>
    <xf numFmtId="172" fontId="21" fillId="66" borderId="0" applyNumberFormat="0" applyBorder="0" applyAlignment="0" applyProtection="0"/>
    <xf numFmtId="172" fontId="21" fillId="66" borderId="0" applyNumberFormat="0" applyBorder="0" applyAlignment="0" applyProtection="0"/>
    <xf numFmtId="172" fontId="21" fillId="66" borderId="0" applyNumberFormat="0" applyBorder="0" applyAlignment="0" applyProtection="0"/>
    <xf numFmtId="172" fontId="21" fillId="66" borderId="0" applyNumberFormat="0" applyBorder="0" applyAlignment="0" applyProtection="0"/>
    <xf numFmtId="172" fontId="21" fillId="66" borderId="0" applyNumberFormat="0" applyBorder="0" applyAlignment="0" applyProtection="0"/>
    <xf numFmtId="172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168" fontId="22" fillId="35" borderId="0" applyNumberFormat="0" applyBorder="0" applyAlignment="0" applyProtection="0"/>
    <xf numFmtId="168" fontId="22" fillId="35" borderId="0" applyNumberFormat="0" applyBorder="0" applyAlignment="0" applyProtection="0"/>
    <xf numFmtId="172" fontId="21" fillId="67" borderId="0" applyNumberFormat="0" applyBorder="0" applyAlignment="0" applyProtection="0"/>
    <xf numFmtId="172" fontId="21" fillId="67" borderId="0" applyNumberFormat="0" applyBorder="0" applyAlignment="0" applyProtection="0"/>
    <xf numFmtId="172" fontId="21" fillId="67" borderId="0" applyNumberFormat="0" applyBorder="0" applyAlignment="0" applyProtection="0"/>
    <xf numFmtId="172" fontId="21" fillId="67" borderId="0" applyNumberFormat="0" applyBorder="0" applyAlignment="0" applyProtection="0"/>
    <xf numFmtId="172" fontId="21" fillId="67" borderId="0" applyNumberFormat="0" applyBorder="0" applyAlignment="0" applyProtection="0"/>
    <xf numFmtId="172" fontId="21" fillId="67" borderId="0" applyNumberFormat="0" applyBorder="0" applyAlignment="0" applyProtection="0"/>
    <xf numFmtId="172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172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168" fontId="22" fillId="43" borderId="0" applyNumberFormat="0" applyBorder="0" applyAlignment="0" applyProtection="0"/>
    <xf numFmtId="168" fontId="22" fillId="4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172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168" fontId="22" fillId="47" borderId="0" applyNumberFormat="0" applyBorder="0" applyAlignment="0" applyProtection="0"/>
    <xf numFmtId="168" fontId="22" fillId="47" borderId="0" applyNumberFormat="0" applyBorder="0" applyAlignment="0" applyProtection="0"/>
    <xf numFmtId="172" fontId="21" fillId="68" borderId="0" applyNumberFormat="0" applyBorder="0" applyAlignment="0" applyProtection="0"/>
    <xf numFmtId="172" fontId="21" fillId="68" borderId="0" applyNumberFormat="0" applyBorder="0" applyAlignment="0" applyProtection="0"/>
    <xf numFmtId="172" fontId="21" fillId="68" borderId="0" applyNumberFormat="0" applyBorder="0" applyAlignment="0" applyProtection="0"/>
    <xf numFmtId="172" fontId="21" fillId="68" borderId="0" applyNumberFormat="0" applyBorder="0" applyAlignment="0" applyProtection="0"/>
    <xf numFmtId="172" fontId="21" fillId="68" borderId="0" applyNumberFormat="0" applyBorder="0" applyAlignment="0" applyProtection="0"/>
    <xf numFmtId="172" fontId="21" fillId="68" borderId="0" applyNumberFormat="0" applyBorder="0" applyAlignment="0" applyProtection="0"/>
    <xf numFmtId="172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168" fontId="24" fillId="21" borderId="0" applyNumberFormat="0" applyBorder="0" applyAlignment="0" applyProtection="0"/>
    <xf numFmtId="168" fontId="24" fillId="21" borderId="0" applyNumberFormat="0" applyBorder="0" applyAlignment="0" applyProtection="0"/>
    <xf numFmtId="172" fontId="23" fillId="52" borderId="0" applyNumberFormat="0" applyBorder="0" applyAlignment="0" applyProtection="0"/>
    <xf numFmtId="172" fontId="23" fillId="52" borderId="0" applyNumberFormat="0" applyBorder="0" applyAlignment="0" applyProtection="0"/>
    <xf numFmtId="172" fontId="23" fillId="52" borderId="0" applyNumberFormat="0" applyBorder="0" applyAlignment="0" applyProtection="0"/>
    <xf numFmtId="172" fontId="23" fillId="52" borderId="0" applyNumberFormat="0" applyBorder="0" applyAlignment="0" applyProtection="0"/>
    <xf numFmtId="172" fontId="23" fillId="52" borderId="0" applyNumberFormat="0" applyBorder="0" applyAlignment="0" applyProtection="0"/>
    <xf numFmtId="172" fontId="23" fillId="52" borderId="0" applyNumberFormat="0" applyBorder="0" applyAlignment="0" applyProtection="0"/>
    <xf numFmtId="172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5" fillId="69" borderId="21" applyNumberFormat="0" applyAlignment="0" applyProtection="0"/>
    <xf numFmtId="0" fontId="25" fillId="69" borderId="21" applyNumberFormat="0" applyAlignment="0" applyProtection="0"/>
    <xf numFmtId="0" fontId="25" fillId="69" borderId="21" applyNumberFormat="0" applyAlignment="0" applyProtection="0"/>
    <xf numFmtId="0" fontId="25" fillId="69" borderId="21" applyNumberFormat="0" applyAlignment="0" applyProtection="0"/>
    <xf numFmtId="0" fontId="25" fillId="69" borderId="21" applyNumberFormat="0" applyAlignment="0" applyProtection="0"/>
    <xf numFmtId="168" fontId="26" fillId="24" borderId="13" applyNumberFormat="0" applyAlignment="0" applyProtection="0"/>
    <xf numFmtId="168" fontId="26" fillId="24" borderId="13" applyNumberFormat="0" applyAlignment="0" applyProtection="0"/>
    <xf numFmtId="172" fontId="25" fillId="69" borderId="21" applyNumberFormat="0" applyAlignment="0" applyProtection="0"/>
    <xf numFmtId="172" fontId="25" fillId="69" borderId="21" applyNumberFormat="0" applyAlignment="0" applyProtection="0"/>
    <xf numFmtId="172" fontId="25" fillId="69" borderId="21" applyNumberFormat="0" applyAlignment="0" applyProtection="0"/>
    <xf numFmtId="172" fontId="25" fillId="69" borderId="21" applyNumberFormat="0" applyAlignment="0" applyProtection="0"/>
    <xf numFmtId="172" fontId="25" fillId="69" borderId="21" applyNumberFormat="0" applyAlignment="0" applyProtection="0"/>
    <xf numFmtId="172" fontId="25" fillId="69" borderId="21" applyNumberFormat="0" applyAlignment="0" applyProtection="0"/>
    <xf numFmtId="172" fontId="25" fillId="69" borderId="21" applyNumberFormat="0" applyAlignment="0" applyProtection="0"/>
    <xf numFmtId="0" fontId="25" fillId="69" borderId="21" applyNumberFormat="0" applyAlignment="0" applyProtection="0"/>
    <xf numFmtId="0" fontId="27" fillId="70" borderId="22" applyNumberFormat="0" applyAlignment="0" applyProtection="0"/>
    <xf numFmtId="0" fontId="27" fillId="70" borderId="22" applyNumberFormat="0" applyAlignment="0" applyProtection="0"/>
    <xf numFmtId="0" fontId="27" fillId="70" borderId="22" applyNumberFormat="0" applyAlignment="0" applyProtection="0"/>
    <xf numFmtId="0" fontId="27" fillId="70" borderId="22" applyNumberFormat="0" applyAlignment="0" applyProtection="0"/>
    <xf numFmtId="0" fontId="27" fillId="70" borderId="22" applyNumberFormat="0" applyAlignment="0" applyProtection="0"/>
    <xf numFmtId="168" fontId="28" fillId="25" borderId="16" applyNumberFormat="0" applyAlignment="0" applyProtection="0"/>
    <xf numFmtId="168" fontId="28" fillId="25" borderId="16" applyNumberFormat="0" applyAlignment="0" applyProtection="0"/>
    <xf numFmtId="172" fontId="27" fillId="70" borderId="22" applyNumberFormat="0" applyAlignment="0" applyProtection="0"/>
    <xf numFmtId="172" fontId="27" fillId="70" borderId="22" applyNumberFormat="0" applyAlignment="0" applyProtection="0"/>
    <xf numFmtId="172" fontId="27" fillId="70" borderId="22" applyNumberFormat="0" applyAlignment="0" applyProtection="0"/>
    <xf numFmtId="172" fontId="27" fillId="70" borderId="22" applyNumberFormat="0" applyAlignment="0" applyProtection="0"/>
    <xf numFmtId="172" fontId="27" fillId="70" borderId="22" applyNumberFormat="0" applyAlignment="0" applyProtection="0"/>
    <xf numFmtId="172" fontId="27" fillId="70" borderId="22" applyNumberFormat="0" applyAlignment="0" applyProtection="0"/>
    <xf numFmtId="172" fontId="27" fillId="70" borderId="22" applyNumberFormat="0" applyAlignment="0" applyProtection="0"/>
    <xf numFmtId="0" fontId="27" fillId="70" borderId="22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2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168" fontId="1" fillId="0" borderId="0" applyProtection="0"/>
    <xf numFmtId="168" fontId="1" fillId="0" borderId="0" applyProtection="0"/>
    <xf numFmtId="0" fontId="1" fillId="0" borderId="0" applyProtection="0"/>
    <xf numFmtId="172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0" fontId="10" fillId="0" borderId="0" applyProtection="0"/>
    <xf numFmtId="168" fontId="10" fillId="0" borderId="0" applyProtection="0"/>
    <xf numFmtId="168" fontId="10" fillId="0" borderId="0" applyProtection="0"/>
    <xf numFmtId="0" fontId="10" fillId="0" borderId="0" applyProtection="0"/>
    <xf numFmtId="172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68" fontId="13" fillId="0" borderId="0" applyProtection="0"/>
    <xf numFmtId="168" fontId="13" fillId="0" borderId="0" applyProtection="0"/>
    <xf numFmtId="0" fontId="13" fillId="0" borderId="0" applyProtection="0"/>
    <xf numFmtId="172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168" fontId="2" fillId="0" borderId="0" applyProtection="0"/>
    <xf numFmtId="168" fontId="2" fillId="0" borderId="0" applyProtection="0"/>
    <xf numFmtId="0" fontId="2" fillId="0" borderId="0" applyProtection="0"/>
    <xf numFmtId="172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168" fontId="3" fillId="0" borderId="0" applyProtection="0"/>
    <xf numFmtId="168" fontId="3" fillId="0" borderId="0" applyProtection="0"/>
    <xf numFmtId="0" fontId="3" fillId="0" borderId="0" applyProtection="0"/>
    <xf numFmtId="172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168" fontId="1" fillId="0" borderId="0" applyProtection="0"/>
    <xf numFmtId="168" fontId="1" fillId="0" borderId="0" applyProtection="0"/>
    <xf numFmtId="0" fontId="1" fillId="0" borderId="0" applyProtection="0"/>
    <xf numFmtId="172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0" fontId="31" fillId="0" borderId="0" applyProtection="0"/>
    <xf numFmtId="168" fontId="31" fillId="0" borderId="0" applyProtection="0"/>
    <xf numFmtId="168" fontId="31" fillId="0" borderId="0" applyProtection="0"/>
    <xf numFmtId="0" fontId="31" fillId="0" borderId="0" applyProtection="0"/>
    <xf numFmtId="2" fontId="3" fillId="0" borderId="0" applyFont="0" applyFill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168" fontId="33" fillId="20" borderId="0" applyNumberFormat="0" applyBorder="0" applyAlignment="0" applyProtection="0"/>
    <xf numFmtId="168" fontId="33" fillId="20" borderId="0" applyNumberFormat="0" applyBorder="0" applyAlignment="0" applyProtection="0"/>
    <xf numFmtId="172" fontId="32" fillId="53" borderId="0" applyNumberFormat="0" applyBorder="0" applyAlignment="0" applyProtection="0"/>
    <xf numFmtId="172" fontId="32" fillId="53" borderId="0" applyNumberFormat="0" applyBorder="0" applyAlignment="0" applyProtection="0"/>
    <xf numFmtId="172" fontId="32" fillId="53" borderId="0" applyNumberFormat="0" applyBorder="0" applyAlignment="0" applyProtection="0"/>
    <xf numFmtId="172" fontId="32" fillId="53" borderId="0" applyNumberFormat="0" applyBorder="0" applyAlignment="0" applyProtection="0"/>
    <xf numFmtId="172" fontId="32" fillId="53" borderId="0" applyNumberFormat="0" applyBorder="0" applyAlignment="0" applyProtection="0"/>
    <xf numFmtId="172" fontId="32" fillId="53" borderId="0" applyNumberFormat="0" applyBorder="0" applyAlignment="0" applyProtection="0"/>
    <xf numFmtId="172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168" fontId="35" fillId="0" borderId="10" applyNumberFormat="0" applyFill="0" applyAlignment="0" applyProtection="0"/>
    <xf numFmtId="168" fontId="35" fillId="0" borderId="10" applyNumberFormat="0" applyFill="0" applyAlignment="0" applyProtection="0"/>
    <xf numFmtId="172" fontId="34" fillId="0" borderId="23" applyNumberFormat="0" applyFill="0" applyAlignment="0" applyProtection="0"/>
    <xf numFmtId="172" fontId="34" fillId="0" borderId="23" applyNumberFormat="0" applyFill="0" applyAlignment="0" applyProtection="0"/>
    <xf numFmtId="172" fontId="34" fillId="0" borderId="23" applyNumberFormat="0" applyFill="0" applyAlignment="0" applyProtection="0"/>
    <xf numFmtId="172" fontId="34" fillId="0" borderId="23" applyNumberFormat="0" applyFill="0" applyAlignment="0" applyProtection="0"/>
    <xf numFmtId="172" fontId="34" fillId="0" borderId="23" applyNumberFormat="0" applyFill="0" applyAlignment="0" applyProtection="0"/>
    <xf numFmtId="172" fontId="34" fillId="0" borderId="23" applyNumberFormat="0" applyFill="0" applyAlignment="0" applyProtection="0"/>
    <xf numFmtId="172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168" fontId="37" fillId="0" borderId="11" applyNumberFormat="0" applyFill="0" applyAlignment="0" applyProtection="0"/>
    <xf numFmtId="168" fontId="37" fillId="0" borderId="11" applyNumberFormat="0" applyFill="0" applyAlignment="0" applyProtection="0"/>
    <xf numFmtId="172" fontId="36" fillId="0" borderId="24" applyNumberFormat="0" applyFill="0" applyAlignment="0" applyProtection="0"/>
    <xf numFmtId="172" fontId="36" fillId="0" borderId="24" applyNumberFormat="0" applyFill="0" applyAlignment="0" applyProtection="0"/>
    <xf numFmtId="172" fontId="36" fillId="0" borderId="24" applyNumberFormat="0" applyFill="0" applyAlignment="0" applyProtection="0"/>
    <xf numFmtId="172" fontId="36" fillId="0" borderId="24" applyNumberFormat="0" applyFill="0" applyAlignment="0" applyProtection="0"/>
    <xf numFmtId="172" fontId="36" fillId="0" borderId="24" applyNumberFormat="0" applyFill="0" applyAlignment="0" applyProtection="0"/>
    <xf numFmtId="172" fontId="36" fillId="0" borderId="24" applyNumberFormat="0" applyFill="0" applyAlignment="0" applyProtection="0"/>
    <xf numFmtId="172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8" fillId="0" borderId="25" applyNumberFormat="0" applyFill="0" applyAlignment="0" applyProtection="0"/>
    <xf numFmtId="168" fontId="39" fillId="0" borderId="12" applyNumberFormat="0" applyFill="0" applyAlignment="0" applyProtection="0"/>
    <xf numFmtId="168" fontId="39" fillId="0" borderId="12" applyNumberFormat="0" applyFill="0" applyAlignment="0" applyProtection="0"/>
    <xf numFmtId="172" fontId="38" fillId="0" borderId="25" applyNumberFormat="0" applyFill="0" applyAlignment="0" applyProtection="0"/>
    <xf numFmtId="172" fontId="38" fillId="0" borderId="25" applyNumberFormat="0" applyFill="0" applyAlignment="0" applyProtection="0"/>
    <xf numFmtId="172" fontId="38" fillId="0" borderId="25" applyNumberFormat="0" applyFill="0" applyAlignment="0" applyProtection="0"/>
    <xf numFmtId="172" fontId="38" fillId="0" borderId="25" applyNumberFormat="0" applyFill="0" applyAlignment="0" applyProtection="0"/>
    <xf numFmtId="172" fontId="38" fillId="0" borderId="25" applyNumberFormat="0" applyFill="0" applyAlignment="0" applyProtection="0"/>
    <xf numFmtId="172" fontId="38" fillId="0" borderId="25" applyNumberFormat="0" applyFill="0" applyAlignment="0" applyProtection="0"/>
    <xf numFmtId="172" fontId="38" fillId="0" borderId="25" applyNumberFormat="0" applyFill="0" applyAlignment="0" applyProtection="0"/>
    <xf numFmtId="0" fontId="38" fillId="0" borderId="2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8" fontId="39" fillId="0" borderId="0" applyNumberFormat="0" applyFill="0" applyBorder="0" applyAlignment="0" applyProtection="0"/>
    <xf numFmtId="168" fontId="39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56" borderId="21" applyNumberFormat="0" applyAlignment="0" applyProtection="0"/>
    <xf numFmtId="0" fontId="40" fillId="56" borderId="21" applyNumberFormat="0" applyAlignment="0" applyProtection="0"/>
    <xf numFmtId="0" fontId="40" fillId="56" borderId="21" applyNumberFormat="0" applyAlignment="0" applyProtection="0"/>
    <xf numFmtId="0" fontId="40" fillId="56" borderId="21" applyNumberFormat="0" applyAlignment="0" applyProtection="0"/>
    <xf numFmtId="0" fontId="40" fillId="56" borderId="21" applyNumberFormat="0" applyAlignment="0" applyProtection="0"/>
    <xf numFmtId="168" fontId="41" fillId="23" borderId="13" applyNumberFormat="0" applyAlignment="0" applyProtection="0"/>
    <xf numFmtId="168" fontId="41" fillId="23" borderId="13" applyNumberFormat="0" applyAlignment="0" applyProtection="0"/>
    <xf numFmtId="172" fontId="40" fillId="56" borderId="21" applyNumberFormat="0" applyAlignment="0" applyProtection="0"/>
    <xf numFmtId="172" fontId="40" fillId="56" borderId="21" applyNumberFormat="0" applyAlignment="0" applyProtection="0"/>
    <xf numFmtId="172" fontId="40" fillId="56" borderId="21" applyNumberFormat="0" applyAlignment="0" applyProtection="0"/>
    <xf numFmtId="172" fontId="40" fillId="56" borderId="21" applyNumberFormat="0" applyAlignment="0" applyProtection="0"/>
    <xf numFmtId="172" fontId="40" fillId="56" borderId="21" applyNumberFormat="0" applyAlignment="0" applyProtection="0"/>
    <xf numFmtId="172" fontId="40" fillId="56" borderId="21" applyNumberFormat="0" applyAlignment="0" applyProtection="0"/>
    <xf numFmtId="172" fontId="40" fillId="56" borderId="21" applyNumberFormat="0" applyAlignment="0" applyProtection="0"/>
    <xf numFmtId="0" fontId="40" fillId="56" borderId="21" applyNumberFormat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168" fontId="43" fillId="0" borderId="15" applyNumberFormat="0" applyFill="0" applyAlignment="0" applyProtection="0"/>
    <xf numFmtId="168" fontId="43" fillId="0" borderId="15" applyNumberFormat="0" applyFill="0" applyAlignment="0" applyProtection="0"/>
    <xf numFmtId="172" fontId="42" fillId="0" borderId="26" applyNumberFormat="0" applyFill="0" applyAlignment="0" applyProtection="0"/>
    <xf numFmtId="172" fontId="42" fillId="0" borderId="26" applyNumberFormat="0" applyFill="0" applyAlignment="0" applyProtection="0"/>
    <xf numFmtId="172" fontId="42" fillId="0" borderId="26" applyNumberFormat="0" applyFill="0" applyAlignment="0" applyProtection="0"/>
    <xf numFmtId="172" fontId="42" fillId="0" borderId="26" applyNumberFormat="0" applyFill="0" applyAlignment="0" applyProtection="0"/>
    <xf numFmtId="172" fontId="42" fillId="0" borderId="26" applyNumberFormat="0" applyFill="0" applyAlignment="0" applyProtection="0"/>
    <xf numFmtId="172" fontId="42" fillId="0" borderId="26" applyNumberFormat="0" applyFill="0" applyAlignment="0" applyProtection="0"/>
    <xf numFmtId="172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172" fontId="44" fillId="71" borderId="0" applyNumberFormat="0" applyBorder="0" applyAlignment="0" applyProtection="0"/>
    <xf numFmtId="172" fontId="44" fillId="71" borderId="0" applyNumberFormat="0" applyBorder="0" applyAlignment="0" applyProtection="0"/>
    <xf numFmtId="172" fontId="44" fillId="71" borderId="0" applyNumberFormat="0" applyBorder="0" applyAlignment="0" applyProtection="0"/>
    <xf numFmtId="172" fontId="44" fillId="71" borderId="0" applyNumberFormat="0" applyBorder="0" applyAlignment="0" applyProtection="0"/>
    <xf numFmtId="172" fontId="44" fillId="71" borderId="0" applyNumberFormat="0" applyBorder="0" applyAlignment="0" applyProtection="0"/>
    <xf numFmtId="172" fontId="44" fillId="71" borderId="0" applyNumberFormat="0" applyBorder="0" applyAlignment="0" applyProtection="0"/>
    <xf numFmtId="172" fontId="44" fillId="71" borderId="0" applyNumberFormat="0" applyBorder="0" applyAlignment="0" applyProtection="0"/>
    <xf numFmtId="0" fontId="44" fillId="71" borderId="0" applyNumberFormat="0" applyBorder="0" applyAlignment="0" applyProtection="0"/>
    <xf numFmtId="172" fontId="3" fillId="0" borderId="0"/>
    <xf numFmtId="172" fontId="3" fillId="0" borderId="0"/>
    <xf numFmtId="17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68" fontId="3" fillId="0" borderId="0"/>
    <xf numFmtId="168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0" fontId="3" fillId="0" borderId="0"/>
    <xf numFmtId="41" fontId="18" fillId="0" borderId="0"/>
    <xf numFmtId="41" fontId="18" fillId="0" borderId="0"/>
    <xf numFmtId="41" fontId="18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68" fontId="20" fillId="0" borderId="0"/>
    <xf numFmtId="168" fontId="20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72" fontId="46" fillId="0" borderId="0"/>
    <xf numFmtId="168" fontId="20" fillId="0" borderId="0"/>
    <xf numFmtId="168" fontId="20" fillId="0" borderId="0"/>
    <xf numFmtId="0" fontId="3" fillId="0" borderId="0"/>
    <xf numFmtId="168" fontId="20" fillId="0" borderId="0"/>
    <xf numFmtId="168" fontId="20" fillId="0" borderId="0"/>
    <xf numFmtId="172" fontId="3" fillId="0" borderId="0"/>
    <xf numFmtId="168" fontId="20" fillId="0" borderId="0"/>
    <xf numFmtId="168" fontId="20" fillId="0" borderId="0"/>
    <xf numFmtId="172" fontId="3" fillId="0" borderId="0"/>
    <xf numFmtId="168" fontId="20" fillId="0" borderId="0"/>
    <xf numFmtId="168" fontId="20" fillId="0" borderId="0"/>
    <xf numFmtId="172" fontId="3" fillId="0" borderId="0"/>
    <xf numFmtId="168" fontId="20" fillId="0" borderId="0"/>
    <xf numFmtId="168" fontId="20" fillId="0" borderId="0"/>
    <xf numFmtId="172" fontId="3" fillId="0" borderId="0"/>
    <xf numFmtId="168" fontId="20" fillId="0" borderId="0"/>
    <xf numFmtId="168" fontId="20" fillId="0" borderId="0"/>
    <xf numFmtId="0" fontId="47" fillId="72" borderId="27" applyNumberFormat="0" applyFont="0" applyAlignment="0" applyProtection="0"/>
    <xf numFmtId="0" fontId="47" fillId="72" borderId="27" applyNumberFormat="0" applyFont="0" applyAlignment="0" applyProtection="0"/>
    <xf numFmtId="0" fontId="47" fillId="72" borderId="27" applyNumberFormat="0" applyFont="0" applyAlignment="0" applyProtection="0"/>
    <xf numFmtId="0" fontId="47" fillId="72" borderId="27" applyNumberFormat="0" applyFont="0" applyAlignment="0" applyProtection="0"/>
    <xf numFmtId="0" fontId="47" fillId="72" borderId="2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172" fontId="47" fillId="72" borderId="27" applyNumberFormat="0" applyFont="0" applyAlignment="0" applyProtection="0"/>
    <xf numFmtId="168" fontId="47" fillId="26" borderId="17" applyNumberFormat="0" applyFont="0" applyAlignment="0" applyProtection="0"/>
    <xf numFmtId="168" fontId="47" fillId="26" borderId="17" applyNumberFormat="0" applyFont="0" applyAlignment="0" applyProtection="0"/>
    <xf numFmtId="0" fontId="47" fillId="72" borderId="27" applyNumberFormat="0" applyFont="0" applyAlignment="0" applyProtection="0"/>
    <xf numFmtId="0" fontId="48" fillId="69" borderId="28" applyNumberFormat="0" applyAlignment="0" applyProtection="0"/>
    <xf numFmtId="0" fontId="48" fillId="69" borderId="28" applyNumberFormat="0" applyAlignment="0" applyProtection="0"/>
    <xf numFmtId="0" fontId="48" fillId="69" borderId="28" applyNumberFormat="0" applyAlignment="0" applyProtection="0"/>
    <xf numFmtId="0" fontId="48" fillId="69" borderId="28" applyNumberFormat="0" applyAlignment="0" applyProtection="0"/>
    <xf numFmtId="0" fontId="48" fillId="69" borderId="28" applyNumberFormat="0" applyAlignment="0" applyProtection="0"/>
    <xf numFmtId="168" fontId="49" fillId="24" borderId="14" applyNumberFormat="0" applyAlignment="0" applyProtection="0"/>
    <xf numFmtId="168" fontId="49" fillId="24" borderId="14" applyNumberFormat="0" applyAlignment="0" applyProtection="0"/>
    <xf numFmtId="172" fontId="48" fillId="69" borderId="28" applyNumberFormat="0" applyAlignment="0" applyProtection="0"/>
    <xf numFmtId="172" fontId="48" fillId="69" borderId="28" applyNumberFormat="0" applyAlignment="0" applyProtection="0"/>
    <xf numFmtId="172" fontId="48" fillId="69" borderId="28" applyNumberFormat="0" applyAlignment="0" applyProtection="0"/>
    <xf numFmtId="172" fontId="48" fillId="69" borderId="28" applyNumberFormat="0" applyAlignment="0" applyProtection="0"/>
    <xf numFmtId="172" fontId="48" fillId="69" borderId="28" applyNumberFormat="0" applyAlignment="0" applyProtection="0"/>
    <xf numFmtId="172" fontId="48" fillId="69" borderId="28" applyNumberFormat="0" applyAlignment="0" applyProtection="0"/>
    <xf numFmtId="172" fontId="48" fillId="69" borderId="28" applyNumberFormat="0" applyAlignment="0" applyProtection="0"/>
    <xf numFmtId="0" fontId="48" fillId="69" borderId="28" applyNumberFormat="0" applyAlignment="0" applyProtection="0"/>
    <xf numFmtId="4" fontId="14" fillId="2" borderId="0">
      <alignment horizontal="right"/>
    </xf>
    <xf numFmtId="172" fontId="50" fillId="2" borderId="0">
      <alignment horizontal="center" vertical="center"/>
    </xf>
    <xf numFmtId="0" fontId="50" fillId="2" borderId="0">
      <alignment horizontal="center" vertical="center"/>
    </xf>
    <xf numFmtId="0" fontId="50" fillId="2" borderId="0">
      <alignment horizontal="center" vertical="center"/>
    </xf>
    <xf numFmtId="0" fontId="50" fillId="2" borderId="0">
      <alignment horizontal="center" vertical="center"/>
    </xf>
    <xf numFmtId="0" fontId="50" fillId="2" borderId="0">
      <alignment horizontal="center" vertical="center"/>
    </xf>
    <xf numFmtId="0" fontId="50" fillId="2" borderId="0">
      <alignment horizontal="center" vertical="center"/>
    </xf>
    <xf numFmtId="0" fontId="50" fillId="2" borderId="0">
      <alignment horizontal="center" vertical="center"/>
    </xf>
    <xf numFmtId="168" fontId="50" fillId="2" borderId="0">
      <alignment horizontal="center" vertical="center"/>
    </xf>
    <xf numFmtId="168" fontId="50" fillId="2" borderId="0">
      <alignment horizontal="center" vertical="center"/>
    </xf>
    <xf numFmtId="0" fontId="50" fillId="2" borderId="0">
      <alignment horizontal="center" vertical="center"/>
    </xf>
    <xf numFmtId="172" fontId="11" fillId="2" borderId="9"/>
    <xf numFmtId="0" fontId="11" fillId="2" borderId="9"/>
    <xf numFmtId="0" fontId="11" fillId="2" borderId="9"/>
    <xf numFmtId="0" fontId="11" fillId="2" borderId="9"/>
    <xf numFmtId="0" fontId="11" fillId="2" borderId="9"/>
    <xf numFmtId="0" fontId="11" fillId="2" borderId="9"/>
    <xf numFmtId="0" fontId="11" fillId="2" borderId="9"/>
    <xf numFmtId="168" fontId="11" fillId="2" borderId="9"/>
    <xf numFmtId="168" fontId="11" fillId="2" borderId="9"/>
    <xf numFmtId="0" fontId="11" fillId="2" borderId="9"/>
    <xf numFmtId="172" fontId="50" fillId="2" borderId="0" applyBorder="0">
      <alignment horizontal="centerContinuous"/>
    </xf>
    <xf numFmtId="0" fontId="50" fillId="2" borderId="0" applyBorder="0">
      <alignment horizontal="centerContinuous"/>
    </xf>
    <xf numFmtId="0" fontId="50" fillId="2" borderId="0" applyBorder="0">
      <alignment horizontal="centerContinuous"/>
    </xf>
    <xf numFmtId="0" fontId="50" fillId="2" borderId="0" applyBorder="0">
      <alignment horizontal="centerContinuous"/>
    </xf>
    <xf numFmtId="0" fontId="50" fillId="2" borderId="0" applyBorder="0">
      <alignment horizontal="centerContinuous"/>
    </xf>
    <xf numFmtId="0" fontId="50" fillId="2" borderId="0" applyBorder="0">
      <alignment horizontal="centerContinuous"/>
    </xf>
    <xf numFmtId="0" fontId="50" fillId="2" borderId="0" applyBorder="0">
      <alignment horizontal="centerContinuous"/>
    </xf>
    <xf numFmtId="168" fontId="50" fillId="2" borderId="0" applyBorder="0">
      <alignment horizontal="centerContinuous"/>
    </xf>
    <xf numFmtId="168" fontId="50" fillId="2" borderId="0" applyBorder="0">
      <alignment horizontal="centerContinuous"/>
    </xf>
    <xf numFmtId="0" fontId="50" fillId="2" borderId="0" applyBorder="0">
      <alignment horizontal="centerContinuous"/>
    </xf>
    <xf numFmtId="172" fontId="51" fillId="2" borderId="0" applyBorder="0">
      <alignment horizontal="centerContinuous"/>
    </xf>
    <xf numFmtId="0" fontId="51" fillId="2" borderId="0" applyBorder="0">
      <alignment horizontal="centerContinuous"/>
    </xf>
    <xf numFmtId="0" fontId="51" fillId="2" borderId="0" applyBorder="0">
      <alignment horizontal="centerContinuous"/>
    </xf>
    <xf numFmtId="0" fontId="51" fillId="2" borderId="0" applyBorder="0">
      <alignment horizontal="centerContinuous"/>
    </xf>
    <xf numFmtId="0" fontId="51" fillId="2" borderId="0" applyBorder="0">
      <alignment horizontal="centerContinuous"/>
    </xf>
    <xf numFmtId="0" fontId="51" fillId="2" borderId="0" applyBorder="0">
      <alignment horizontal="centerContinuous"/>
    </xf>
    <xf numFmtId="0" fontId="51" fillId="2" borderId="0" applyBorder="0">
      <alignment horizontal="centerContinuous"/>
    </xf>
    <xf numFmtId="168" fontId="51" fillId="2" borderId="0" applyBorder="0">
      <alignment horizontal="centerContinuous"/>
    </xf>
    <xf numFmtId="168" fontId="51" fillId="2" borderId="0" applyBorder="0">
      <alignment horizontal="centerContinuous"/>
    </xf>
    <xf numFmtId="0" fontId="51" fillId="2" borderId="0" applyBorder="0">
      <alignment horizontal="centerContinuous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8" fontId="17" fillId="0" borderId="0" applyNumberFormat="0" applyFill="0" applyBorder="0" applyAlignment="0" applyProtection="0"/>
    <xf numFmtId="168" fontId="17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172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168" fontId="54" fillId="0" borderId="18" applyNumberFormat="0" applyFill="0" applyAlignment="0" applyProtection="0"/>
    <xf numFmtId="168" fontId="54" fillId="0" borderId="18" applyNumberFormat="0" applyFill="0" applyAlignment="0" applyProtection="0"/>
    <xf numFmtId="172" fontId="53" fillId="0" borderId="29" applyNumberFormat="0" applyFill="0" applyAlignment="0" applyProtection="0"/>
    <xf numFmtId="172" fontId="53" fillId="0" borderId="29" applyNumberFormat="0" applyFill="0" applyAlignment="0" applyProtection="0"/>
    <xf numFmtId="172" fontId="53" fillId="0" borderId="29" applyNumberFormat="0" applyFill="0" applyAlignment="0" applyProtection="0"/>
    <xf numFmtId="172" fontId="53" fillId="0" borderId="29" applyNumberFormat="0" applyFill="0" applyAlignment="0" applyProtection="0"/>
    <xf numFmtId="172" fontId="53" fillId="0" borderId="29" applyNumberFormat="0" applyFill="0" applyAlignment="0" applyProtection="0"/>
    <xf numFmtId="172" fontId="53" fillId="0" borderId="29" applyNumberFormat="0" applyFill="0" applyAlignment="0" applyProtection="0"/>
    <xf numFmtId="172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8" fontId="56" fillId="0" borderId="0" applyNumberFormat="0" applyFill="0" applyBorder="0" applyAlignment="0" applyProtection="0"/>
    <xf numFmtId="168" fontId="56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0" fontId="3" fillId="0" borderId="0"/>
    <xf numFmtId="44" fontId="19" fillId="0" borderId="0" applyFont="0" applyFill="0" applyBorder="0" applyAlignment="0" applyProtection="0"/>
    <xf numFmtId="172" fontId="3" fillId="0" borderId="0"/>
    <xf numFmtId="41" fontId="18" fillId="0" borderId="0"/>
    <xf numFmtId="0" fontId="4" fillId="0" borderId="0"/>
    <xf numFmtId="41" fontId="4" fillId="0" borderId="0" applyFont="0" applyFill="0" applyBorder="0" applyAlignment="0" applyProtection="0"/>
    <xf numFmtId="0" fontId="4" fillId="0" borderId="0"/>
  </cellStyleXfs>
  <cellXfs count="945">
    <xf numFmtId="0" fontId="0" fillId="0" borderId="0" xfId="0"/>
    <xf numFmtId="0" fontId="5" fillId="11" borderId="0" xfId="0" applyFont="1" applyFill="1"/>
    <xf numFmtId="0" fontId="5" fillId="11" borderId="0" xfId="0" applyFont="1" applyFill="1" applyAlignment="1">
      <alignment horizontal="center"/>
    </xf>
    <xf numFmtId="38" fontId="6" fillId="11" borderId="0" xfId="0" applyNumberFormat="1" applyFont="1" applyFill="1" applyAlignment="1">
      <alignment horizontal="center"/>
    </xf>
    <xf numFmtId="41" fontId="6" fillId="11" borderId="0" xfId="0" applyNumberFormat="1" applyFont="1" applyFill="1" applyAlignment="1">
      <alignment horizontal="center"/>
    </xf>
    <xf numFmtId="38" fontId="6" fillId="11" borderId="0" xfId="0" applyNumberFormat="1" applyFont="1" applyFill="1" applyAlignment="1">
      <alignment horizontal="center" wrapText="1"/>
    </xf>
    <xf numFmtId="41" fontId="6" fillId="11" borderId="0" xfId="0" applyNumberFormat="1" applyFont="1" applyFill="1" applyAlignment="1">
      <alignment horizontal="center" wrapText="1"/>
    </xf>
    <xf numFmtId="0" fontId="5" fillId="0" borderId="0" xfId="0" applyFont="1" applyFill="1" applyAlignment="1">
      <alignment horizontal="center"/>
    </xf>
    <xf numFmtId="0" fontId="5" fillId="0" borderId="0" xfId="0" applyFont="1"/>
    <xf numFmtId="168" fontId="5" fillId="11" borderId="0" xfId="0" applyNumberFormat="1" applyFont="1" applyFill="1"/>
    <xf numFmtId="41" fontId="6" fillId="12" borderId="0" xfId="0" quotePrefix="1" applyNumberFormat="1" applyFont="1" applyFill="1" applyBorder="1" applyAlignment="1">
      <alignment horizontal="center" wrapText="1"/>
    </xf>
    <xf numFmtId="41" fontId="6" fillId="12" borderId="0" xfId="0" applyNumberFormat="1" applyFont="1" applyFill="1" applyBorder="1" applyAlignment="1">
      <alignment horizontal="center" wrapText="1"/>
    </xf>
    <xf numFmtId="0" fontId="5" fillId="12" borderId="0" xfId="0" applyFont="1" applyFill="1"/>
    <xf numFmtId="41" fontId="7" fillId="12" borderId="0" xfId="0" quotePrefix="1" applyNumberFormat="1" applyFont="1" applyFill="1" applyAlignment="1">
      <alignment horizontal="left"/>
    </xf>
    <xf numFmtId="41" fontId="6" fillId="12" borderId="0" xfId="0" applyNumberFormat="1" applyFont="1" applyFill="1"/>
    <xf numFmtId="0" fontId="5" fillId="13" borderId="0" xfId="0" applyFont="1" applyFill="1"/>
    <xf numFmtId="41" fontId="7" fillId="13" borderId="0" xfId="0" quotePrefix="1" applyNumberFormat="1" applyFont="1" applyFill="1" applyAlignment="1">
      <alignment horizontal="left"/>
    </xf>
    <xf numFmtId="41" fontId="6" fillId="13" borderId="0" xfId="0" applyNumberFormat="1" applyFont="1" applyFill="1"/>
    <xf numFmtId="41" fontId="6" fillId="13" borderId="0" xfId="0" applyNumberFormat="1" applyFont="1" applyFill="1" applyBorder="1" applyAlignment="1">
      <alignment horizontal="center" wrapText="1"/>
    </xf>
    <xf numFmtId="41" fontId="6" fillId="13" borderId="0" xfId="0" quotePrefix="1" applyNumberFormat="1" applyFont="1" applyFill="1" applyBorder="1" applyAlignment="1">
      <alignment horizontal="center" wrapText="1"/>
    </xf>
    <xf numFmtId="164" fontId="5" fillId="12" borderId="0" xfId="3" applyNumberFormat="1" applyFont="1" applyFill="1"/>
    <xf numFmtId="44" fontId="5" fillId="13" borderId="0" xfId="4" applyFont="1" applyFill="1"/>
    <xf numFmtId="170" fontId="5" fillId="13" borderId="0" xfId="4" applyNumberFormat="1" applyFont="1" applyFill="1"/>
    <xf numFmtId="44" fontId="5" fillId="12" borderId="0" xfId="0" applyNumberFormat="1" applyFont="1" applyFill="1"/>
    <xf numFmtId="41" fontId="6" fillId="0" borderId="0" xfId="0" applyNumberFormat="1" applyFont="1"/>
    <xf numFmtId="43" fontId="6" fillId="13" borderId="0" xfId="3" applyFont="1" applyFill="1" applyBorder="1" applyAlignment="1">
      <alignment horizontal="center"/>
    </xf>
    <xf numFmtId="43" fontId="6" fillId="13" borderId="0" xfId="3" quotePrefix="1" applyFont="1" applyFill="1" applyBorder="1" applyAlignment="1">
      <alignment horizontal="center" wrapText="1"/>
    </xf>
    <xf numFmtId="43" fontId="6" fillId="13" borderId="0" xfId="3" applyFont="1" applyFill="1" applyBorder="1" applyAlignment="1">
      <alignment horizontal="center" wrapText="1"/>
    </xf>
    <xf numFmtId="44" fontId="5" fillId="13" borderId="0" xfId="0" applyNumberFormat="1" applyFont="1" applyFill="1"/>
    <xf numFmtId="171" fontId="0" fillId="10" borderId="0" xfId="9" applyNumberFormat="1" applyFont="1" applyFill="1"/>
    <xf numFmtId="0" fontId="5" fillId="14" borderId="0" xfId="0" applyFont="1" applyFill="1"/>
    <xf numFmtId="41" fontId="6" fillId="14" borderId="0" xfId="0" applyNumberFormat="1" applyFont="1" applyFill="1"/>
    <xf numFmtId="41" fontId="6" fillId="14" borderId="0" xfId="0" applyNumberFormat="1" applyFont="1" applyFill="1" applyBorder="1" applyAlignment="1">
      <alignment horizontal="center" wrapText="1"/>
    </xf>
    <xf numFmtId="44" fontId="5" fillId="14" borderId="0" xfId="0" applyNumberFormat="1" applyFont="1" applyFill="1"/>
    <xf numFmtId="41" fontId="7" fillId="14" borderId="0" xfId="0" applyNumberFormat="1" applyFont="1" applyFill="1"/>
    <xf numFmtId="0" fontId="0" fillId="0" borderId="0" xfId="0" applyBorder="1"/>
    <xf numFmtId="0" fontId="0" fillId="0" borderId="0" xfId="0" applyAlignment="1">
      <alignment horizontal="center"/>
    </xf>
    <xf numFmtId="167" fontId="5" fillId="0" borderId="0" xfId="0" applyNumberFormat="1" applyFont="1"/>
    <xf numFmtId="41" fontId="6" fillId="14" borderId="0" xfId="0" quotePrefix="1" applyNumberFormat="1" applyFont="1" applyFill="1" applyBorder="1" applyAlignment="1">
      <alignment horizontal="center" wrapText="1"/>
    </xf>
    <xf numFmtId="0" fontId="5" fillId="14" borderId="0" xfId="0" applyFont="1" applyFill="1" applyAlignment="1">
      <alignment horizontal="center"/>
    </xf>
    <xf numFmtId="0" fontId="5" fillId="12" borderId="0" xfId="0" applyFont="1" applyFill="1" applyAlignment="1">
      <alignment horizontal="center"/>
    </xf>
    <xf numFmtId="41" fontId="5" fillId="14" borderId="0" xfId="0" applyNumberFormat="1" applyFont="1" applyFill="1"/>
    <xf numFmtId="44" fontId="5" fillId="0" borderId="0" xfId="0" applyNumberFormat="1" applyFont="1"/>
    <xf numFmtId="0" fontId="5" fillId="0" borderId="0" xfId="0" applyFont="1" applyAlignment="1">
      <alignment horizontal="center"/>
    </xf>
    <xf numFmtId="164" fontId="5" fillId="0" borderId="0" xfId="0" applyNumberFormat="1" applyFont="1"/>
    <xf numFmtId="44" fontId="0" fillId="0" borderId="0" xfId="0" applyNumberFormat="1"/>
    <xf numFmtId="0" fontId="0" fillId="0" borderId="0" xfId="0" applyFill="1"/>
    <xf numFmtId="0" fontId="0" fillId="0" borderId="0" xfId="0" quotePrefix="1" applyFill="1" applyAlignment="1">
      <alignment horizontal="left"/>
    </xf>
    <xf numFmtId="49" fontId="60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/>
    <xf numFmtId="0" fontId="64" fillId="0" borderId="0" xfId="0" applyFont="1"/>
    <xf numFmtId="49" fontId="66" fillId="4" borderId="3" xfId="0" applyNumberFormat="1" applyFont="1" applyFill="1" applyBorder="1" applyAlignment="1">
      <alignment horizontal="left" vertical="center" wrapText="1"/>
    </xf>
    <xf numFmtId="49" fontId="66" fillId="4" borderId="3" xfId="0" applyNumberFormat="1" applyFont="1" applyFill="1" applyBorder="1" applyAlignment="1">
      <alignment horizontal="right" vertical="center" wrapText="1"/>
    </xf>
    <xf numFmtId="49" fontId="66" fillId="5" borderId="3" xfId="0" applyNumberFormat="1" applyFont="1" applyFill="1" applyBorder="1" applyAlignment="1">
      <alignment horizontal="right" vertical="center" wrapText="1"/>
    </xf>
    <xf numFmtId="166" fontId="66" fillId="5" borderId="3" xfId="0" applyNumberFormat="1" applyFont="1" applyFill="1" applyBorder="1" applyAlignment="1">
      <alignment horizontal="right" vertical="center" wrapText="1"/>
    </xf>
    <xf numFmtId="49" fontId="66" fillId="6" borderId="3" xfId="0" applyNumberFormat="1" applyFont="1" applyFill="1" applyBorder="1" applyAlignment="1">
      <alignment horizontal="right" vertical="center" wrapText="1"/>
    </xf>
    <xf numFmtId="166" fontId="66" fillId="6" borderId="3" xfId="0" applyNumberFormat="1" applyFont="1" applyFill="1" applyBorder="1" applyAlignment="1">
      <alignment horizontal="right" vertical="center" wrapText="1"/>
    </xf>
    <xf numFmtId="0" fontId="5" fillId="0" borderId="0" xfId="0" applyFont="1" applyFill="1"/>
    <xf numFmtId="0" fontId="61" fillId="0" borderId="0" xfId="848" applyFont="1"/>
    <xf numFmtId="164" fontId="61" fillId="0" borderId="0" xfId="1" applyNumberFormat="1" applyFont="1"/>
    <xf numFmtId="173" fontId="61" fillId="0" borderId="0" xfId="1" applyNumberFormat="1" applyFont="1"/>
    <xf numFmtId="164" fontId="61" fillId="0" borderId="0" xfId="1" applyNumberFormat="1" applyFont="1" applyAlignment="1">
      <alignment horizontal="right"/>
    </xf>
    <xf numFmtId="173" fontId="61" fillId="0" borderId="0" xfId="1" applyNumberFormat="1" applyFont="1" applyAlignment="1">
      <alignment horizontal="right"/>
    </xf>
    <xf numFmtId="164" fontId="61" fillId="0" borderId="0" xfId="1" applyNumberFormat="1" applyFont="1" applyAlignment="1"/>
    <xf numFmtId="164" fontId="63" fillId="0" borderId="0" xfId="1" applyNumberFormat="1" applyFont="1"/>
    <xf numFmtId="173" fontId="70" fillId="0" borderId="0" xfId="1" applyNumberFormat="1" applyFont="1" applyAlignment="1">
      <alignment horizontal="center"/>
    </xf>
    <xf numFmtId="0" fontId="61" fillId="0" borderId="0" xfId="848" applyFont="1" applyBorder="1"/>
    <xf numFmtId="164" fontId="61" fillId="0" borderId="0" xfId="1" applyNumberFormat="1" applyFont="1" applyBorder="1"/>
    <xf numFmtId="173" fontId="61" fillId="0" borderId="0" xfId="1" applyNumberFormat="1" applyFont="1" applyBorder="1"/>
    <xf numFmtId="1" fontId="61" fillId="3" borderId="0" xfId="1" applyNumberFormat="1" applyFont="1" applyFill="1" applyBorder="1" applyAlignment="1">
      <alignment horizontal="center"/>
    </xf>
    <xf numFmtId="43" fontId="61" fillId="18" borderId="0" xfId="1" applyFont="1" applyFill="1" applyBorder="1" applyAlignment="1">
      <alignment horizontal="center"/>
    </xf>
    <xf numFmtId="43" fontId="61" fillId="3" borderId="0" xfId="1" applyFont="1" applyFill="1" applyBorder="1" applyAlignment="1">
      <alignment horizontal="center"/>
    </xf>
    <xf numFmtId="168" fontId="61" fillId="3" borderId="4" xfId="1" quotePrefix="1" applyNumberFormat="1" applyFont="1" applyFill="1" applyBorder="1" applyAlignment="1">
      <alignment horizontal="center"/>
    </xf>
    <xf numFmtId="168" fontId="61" fillId="18" borderId="4" xfId="1" quotePrefix="1" applyNumberFormat="1" applyFont="1" applyFill="1" applyBorder="1" applyAlignment="1">
      <alignment horizontal="center"/>
    </xf>
    <xf numFmtId="164" fontId="61" fillId="0" borderId="4" xfId="1" applyNumberFormat="1" applyFont="1" applyBorder="1" applyAlignment="1">
      <alignment horizontal="right"/>
    </xf>
    <xf numFmtId="173" fontId="61" fillId="0" borderId="4" xfId="1" applyNumberFormat="1" applyFont="1" applyBorder="1" applyAlignment="1">
      <alignment horizontal="right"/>
    </xf>
    <xf numFmtId="164" fontId="61" fillId="0" borderId="0" xfId="1" applyNumberFormat="1" applyFont="1" applyBorder="1" applyAlignment="1">
      <alignment horizontal="right"/>
    </xf>
    <xf numFmtId="164" fontId="61" fillId="3" borderId="0" xfId="1" quotePrefix="1" applyNumberFormat="1" applyFont="1" applyFill="1" applyBorder="1" applyAlignment="1" applyProtection="1">
      <alignment horizontal="right"/>
    </xf>
    <xf numFmtId="164" fontId="61" fillId="3" borderId="0" xfId="1" quotePrefix="1" applyNumberFormat="1" applyFont="1" applyFill="1" applyBorder="1" applyAlignment="1">
      <alignment horizontal="right"/>
    </xf>
    <xf numFmtId="164" fontId="61" fillId="18" borderId="0" xfId="1" quotePrefix="1" applyNumberFormat="1" applyFont="1" applyFill="1" applyBorder="1" applyAlignment="1">
      <alignment horizontal="right"/>
    </xf>
    <xf numFmtId="0" fontId="61" fillId="3" borderId="0" xfId="848" applyFont="1" applyFill="1"/>
    <xf numFmtId="0" fontId="71" fillId="0" borderId="0" xfId="848" applyFont="1"/>
    <xf numFmtId="164" fontId="71" fillId="0" borderId="0" xfId="1" applyNumberFormat="1" applyFont="1"/>
    <xf numFmtId="173" fontId="71" fillId="0" borderId="0" xfId="1" applyNumberFormat="1" applyFont="1"/>
    <xf numFmtId="164" fontId="61" fillId="3" borderId="0" xfId="1" quotePrefix="1" applyNumberFormat="1" applyFont="1" applyFill="1" applyAlignment="1" applyProtection="1">
      <alignment horizontal="right"/>
    </xf>
    <xf numFmtId="164" fontId="61" fillId="3" borderId="0" xfId="1" quotePrefix="1" applyNumberFormat="1" applyFont="1" applyFill="1" applyAlignment="1">
      <alignment horizontal="right"/>
    </xf>
    <xf numFmtId="173" fontId="61" fillId="18" borderId="0" xfId="1" applyNumberFormat="1" applyFont="1" applyFill="1" applyAlignment="1">
      <alignment horizontal="right"/>
    </xf>
    <xf numFmtId="0" fontId="61" fillId="0" borderId="0" xfId="848" applyFont="1" applyAlignment="1"/>
    <xf numFmtId="164" fontId="61" fillId="0" borderId="0" xfId="1" applyNumberFormat="1" applyFont="1" applyAlignment="1" applyProtection="1">
      <alignment horizontal="left"/>
    </xf>
    <xf numFmtId="164" fontId="61" fillId="3" borderId="0" xfId="1" applyNumberFormat="1" applyFont="1" applyFill="1" applyAlignment="1" applyProtection="1">
      <alignment horizontal="left"/>
    </xf>
    <xf numFmtId="173" fontId="61" fillId="18" borderId="0" xfId="1" applyNumberFormat="1" applyFont="1" applyFill="1" applyAlignment="1" applyProtection="1">
      <alignment horizontal="right"/>
    </xf>
    <xf numFmtId="42" fontId="61" fillId="3" borderId="0" xfId="1" applyNumberFormat="1" applyFont="1" applyFill="1" applyAlignment="1" applyProtection="1">
      <alignment horizontal="left"/>
    </xf>
    <xf numFmtId="164" fontId="61" fillId="0" borderId="0" xfId="848" applyNumberFormat="1" applyFont="1"/>
    <xf numFmtId="164" fontId="61" fillId="0" borderId="4" xfId="1" applyNumberFormat="1" applyFont="1" applyBorder="1" applyAlignment="1" applyProtection="1">
      <alignment horizontal="left"/>
    </xf>
    <xf numFmtId="164" fontId="61" fillId="0" borderId="0" xfId="1" applyNumberFormat="1" applyFont="1" applyBorder="1" applyAlignment="1" applyProtection="1">
      <alignment horizontal="left"/>
    </xf>
    <xf numFmtId="164" fontId="61" fillId="3" borderId="4" xfId="1" applyNumberFormat="1" applyFont="1" applyFill="1" applyBorder="1" applyAlignment="1" applyProtection="1">
      <alignment horizontal="left"/>
    </xf>
    <xf numFmtId="173" fontId="61" fillId="18" borderId="4" xfId="1" applyNumberFormat="1" applyFont="1" applyFill="1" applyBorder="1" applyAlignment="1" applyProtection="1">
      <alignment horizontal="right"/>
    </xf>
    <xf numFmtId="42" fontId="61" fillId="3" borderId="4" xfId="1" applyNumberFormat="1" applyFont="1" applyFill="1" applyBorder="1" applyAlignment="1" applyProtection="1">
      <alignment horizontal="left"/>
    </xf>
    <xf numFmtId="174" fontId="61" fillId="0" borderId="0" xfId="848" applyNumberFormat="1" applyFont="1" applyAlignment="1" applyProtection="1">
      <alignment horizontal="center"/>
    </xf>
    <xf numFmtId="164" fontId="61" fillId="3" borderId="0" xfId="1" applyNumberFormat="1" applyFont="1" applyFill="1" applyAlignment="1" applyProtection="1">
      <alignment horizontal="center"/>
    </xf>
    <xf numFmtId="42" fontId="61" fillId="3" borderId="0" xfId="1" applyNumberFormat="1" applyFont="1" applyFill="1"/>
    <xf numFmtId="174" fontId="61" fillId="0" borderId="0" xfId="848" applyNumberFormat="1" applyFont="1" applyProtection="1"/>
    <xf numFmtId="174" fontId="61" fillId="3" borderId="0" xfId="848" applyNumberFormat="1" applyFont="1" applyFill="1" applyProtection="1"/>
    <xf numFmtId="164" fontId="61" fillId="18" borderId="0" xfId="1" applyNumberFormat="1" applyFont="1" applyFill="1" applyAlignment="1">
      <alignment horizontal="right"/>
    </xf>
    <xf numFmtId="173" fontId="61" fillId="18" borderId="0" xfId="1" applyNumberFormat="1" applyFont="1" applyFill="1" applyBorder="1" applyAlignment="1" applyProtection="1">
      <alignment horizontal="right"/>
    </xf>
    <xf numFmtId="42" fontId="61" fillId="3" borderId="0" xfId="1" applyNumberFormat="1" applyFont="1" applyFill="1" applyBorder="1" applyAlignment="1" applyProtection="1">
      <alignment horizontal="left"/>
    </xf>
    <xf numFmtId="174" fontId="61" fillId="0" borderId="0" xfId="848" quotePrefix="1" applyNumberFormat="1" applyFont="1" applyAlignment="1" applyProtection="1">
      <alignment horizontal="left"/>
    </xf>
    <xf numFmtId="164" fontId="61" fillId="3" borderId="4" xfId="1" applyNumberFormat="1" applyFont="1" applyFill="1" applyBorder="1" applyAlignment="1" applyProtection="1">
      <alignment horizontal="center"/>
    </xf>
    <xf numFmtId="174" fontId="61" fillId="0" borderId="0" xfId="848" applyNumberFormat="1" applyFont="1" applyAlignment="1" applyProtection="1">
      <alignment horizontal="left"/>
    </xf>
    <xf numFmtId="174" fontId="61" fillId="0" borderId="0" xfId="848" quotePrefix="1" applyNumberFormat="1" applyFont="1" applyAlignment="1" applyProtection="1">
      <alignment horizontal="center"/>
    </xf>
    <xf numFmtId="164" fontId="61" fillId="0" borderId="0" xfId="848" applyNumberFormat="1" applyFont="1" applyBorder="1"/>
    <xf numFmtId="0" fontId="72" fillId="0" borderId="0" xfId="848" applyFont="1" applyAlignment="1" applyProtection="1">
      <alignment horizontal="left"/>
      <protection locked="0"/>
    </xf>
    <xf numFmtId="164" fontId="61" fillId="0" borderId="0" xfId="1" applyNumberFormat="1" applyFont="1" applyFill="1" applyAlignment="1" applyProtection="1">
      <alignment horizontal="left"/>
    </xf>
    <xf numFmtId="174" fontId="61" fillId="3" borderId="0" xfId="848" applyNumberFormat="1" applyFont="1" applyFill="1" applyAlignment="1" applyProtection="1">
      <alignment horizontal="left"/>
    </xf>
    <xf numFmtId="164" fontId="61" fillId="18" borderId="0" xfId="1" applyNumberFormat="1" applyFont="1" applyFill="1" applyBorder="1" applyAlignment="1" applyProtection="1">
      <alignment horizontal="right"/>
    </xf>
    <xf numFmtId="167" fontId="61" fillId="3" borderId="0" xfId="1" applyNumberFormat="1" applyFont="1" applyFill="1"/>
    <xf numFmtId="174" fontId="61" fillId="0" borderId="0" xfId="848" applyNumberFormat="1" applyFont="1" applyAlignment="1" applyProtection="1"/>
    <xf numFmtId="164" fontId="61" fillId="3" borderId="0" xfId="1" applyNumberFormat="1" applyFont="1" applyFill="1" applyAlignment="1">
      <alignment horizontal="center"/>
    </xf>
    <xf numFmtId="164" fontId="61" fillId="18" borderId="0" xfId="1" applyNumberFormat="1" applyFont="1" applyFill="1"/>
    <xf numFmtId="167" fontId="61" fillId="3" borderId="0" xfId="849" applyNumberFormat="1" applyFont="1" applyFill="1"/>
    <xf numFmtId="164" fontId="61" fillId="0" borderId="0" xfId="848" applyNumberFormat="1" applyFont="1" applyFill="1"/>
    <xf numFmtId="0" fontId="61" fillId="0" borderId="0" xfId="848" applyFont="1" applyFill="1"/>
    <xf numFmtId="174" fontId="61" fillId="0" borderId="0" xfId="0" applyNumberFormat="1" applyFont="1" applyFill="1" applyAlignment="1" applyProtection="1">
      <alignment horizontal="left"/>
    </xf>
    <xf numFmtId="173" fontId="61" fillId="0" borderId="0" xfId="1" applyNumberFormat="1" applyFont="1" applyFill="1" applyAlignment="1" applyProtection="1">
      <alignment horizontal="left"/>
    </xf>
    <xf numFmtId="164" fontId="61" fillId="0" borderId="4" xfId="1" applyNumberFormat="1" applyFont="1" applyFill="1" applyBorder="1" applyAlignment="1" applyProtection="1">
      <alignment horizontal="left"/>
    </xf>
    <xf numFmtId="173" fontId="61" fillId="0" borderId="4" xfId="1" applyNumberFormat="1" applyFont="1" applyFill="1" applyBorder="1" applyAlignment="1" applyProtection="1">
      <alignment horizontal="left"/>
    </xf>
    <xf numFmtId="164" fontId="61" fillId="18" borderId="4" xfId="1" applyNumberFormat="1" applyFont="1" applyFill="1" applyBorder="1" applyAlignment="1">
      <alignment horizontal="right"/>
    </xf>
    <xf numFmtId="174" fontId="61" fillId="0" borderId="0" xfId="848" applyNumberFormat="1" applyFont="1" applyFill="1" applyAlignment="1" applyProtection="1">
      <alignment horizontal="center"/>
    </xf>
    <xf numFmtId="164" fontId="61" fillId="0" borderId="0" xfId="1" applyNumberFormat="1" applyFont="1" applyFill="1" applyAlignment="1" applyProtection="1">
      <alignment horizontal="center"/>
    </xf>
    <xf numFmtId="167" fontId="61" fillId="3" borderId="4" xfId="849" applyNumberFormat="1" applyFont="1" applyFill="1" applyBorder="1"/>
    <xf numFmtId="174" fontId="61" fillId="0" borderId="0" xfId="848" applyNumberFormat="1" applyFont="1" applyFill="1" applyAlignment="1" applyProtection="1"/>
    <xf numFmtId="164" fontId="61" fillId="7" borderId="0" xfId="1" applyNumberFormat="1" applyFont="1" applyFill="1" applyAlignment="1">
      <alignment horizontal="right"/>
    </xf>
    <xf numFmtId="164" fontId="73" fillId="0" borderId="0" xfId="1" applyNumberFormat="1" applyFont="1" applyFill="1" applyAlignment="1">
      <alignment horizontal="right"/>
    </xf>
    <xf numFmtId="173" fontId="61" fillId="0" borderId="0" xfId="1" applyNumberFormat="1" applyFont="1" applyFill="1" applyAlignment="1">
      <alignment horizontal="right"/>
    </xf>
    <xf numFmtId="173" fontId="61" fillId="0" borderId="0" xfId="848" applyNumberFormat="1" applyFont="1" applyFill="1"/>
    <xf numFmtId="164" fontId="61" fillId="0" borderId="0" xfId="1" applyNumberFormat="1" applyFont="1" applyFill="1" applyAlignment="1">
      <alignment horizontal="right"/>
    </xf>
    <xf numFmtId="164" fontId="73" fillId="0" borderId="0" xfId="1" applyNumberFormat="1" applyFont="1" applyFill="1" applyBorder="1" applyAlignment="1">
      <alignment horizontal="right"/>
    </xf>
    <xf numFmtId="164" fontId="61" fillId="0" borderId="0" xfId="1" applyNumberFormat="1" applyFont="1" applyFill="1" applyBorder="1" applyAlignment="1" applyProtection="1">
      <alignment horizontal="left"/>
    </xf>
    <xf numFmtId="164" fontId="61" fillId="0" borderId="0" xfId="1" applyNumberFormat="1" applyFont="1" applyFill="1"/>
    <xf numFmtId="6" fontId="61" fillId="0" borderId="0" xfId="1" applyNumberFormat="1" applyFont="1" applyAlignment="1">
      <alignment horizontal="right"/>
    </xf>
    <xf numFmtId="6" fontId="61" fillId="0" borderId="0" xfId="1" applyNumberFormat="1" applyFont="1"/>
    <xf numFmtId="168" fontId="61" fillId="0" borderId="0" xfId="848" applyNumberFormat="1" applyFont="1"/>
    <xf numFmtId="0" fontId="64" fillId="0" borderId="0" xfId="0" quotePrefix="1" applyFont="1" applyAlignment="1">
      <alignment horizontal="left"/>
    </xf>
    <xf numFmtId="37" fontId="61" fillId="18" borderId="4" xfId="1" applyNumberFormat="1" applyFont="1" applyFill="1" applyBorder="1" applyAlignment="1" applyProtection="1">
      <alignment horizontal="right"/>
    </xf>
    <xf numFmtId="0" fontId="0" fillId="0" borderId="0" xfId="0" applyFill="1" applyAlignment="1">
      <alignment horizontal="left"/>
    </xf>
    <xf numFmtId="164" fontId="62" fillId="0" borderId="0" xfId="1" applyNumberFormat="1" applyFont="1" applyAlignment="1"/>
    <xf numFmtId="0" fontId="5" fillId="17" borderId="0" xfId="0" applyFont="1" applyFill="1"/>
    <xf numFmtId="165" fontId="66" fillId="5" borderId="3" xfId="0" applyNumberFormat="1" applyFont="1" applyFill="1" applyBorder="1" applyAlignment="1">
      <alignment horizontal="right" vertical="center" wrapText="1"/>
    </xf>
    <xf numFmtId="165" fontId="66" fillId="6" borderId="3" xfId="0" applyNumberFormat="1" applyFont="1" applyFill="1" applyBorder="1" applyAlignment="1">
      <alignment horizontal="right" vertical="center" wrapText="1"/>
    </xf>
    <xf numFmtId="166" fontId="66" fillId="74" borderId="3" xfId="0" applyNumberFormat="1" applyFont="1" applyFill="1" applyBorder="1" applyAlignment="1">
      <alignment horizontal="right" vertical="center" wrapText="1"/>
    </xf>
    <xf numFmtId="49" fontId="0" fillId="4" borderId="3" xfId="0" applyNumberFormat="1" applyFill="1" applyBorder="1" applyAlignment="1">
      <alignment horizontal="right" vertical="center" wrapText="1"/>
    </xf>
    <xf numFmtId="168" fontId="65" fillId="0" borderId="0" xfId="0" applyNumberFormat="1" applyFont="1" applyAlignment="1">
      <alignment horizontal="center"/>
    </xf>
    <xf numFmtId="0" fontId="64" fillId="0" borderId="0" xfId="0" applyNumberFormat="1" applyFont="1"/>
    <xf numFmtId="0" fontId="65" fillId="0" borderId="0" xfId="0" applyNumberFormat="1" applyFont="1"/>
    <xf numFmtId="0" fontId="65" fillId="0" borderId="0" xfId="0" applyNumberFormat="1" applyFont="1" applyAlignment="1">
      <alignment horizontal="right"/>
    </xf>
    <xf numFmtId="0" fontId="69" fillId="0" borderId="0" xfId="0" applyNumberFormat="1" applyFont="1" applyFill="1" applyAlignment="1">
      <alignment horizontal="center" wrapText="1"/>
    </xf>
    <xf numFmtId="0" fontId="14" fillId="18" borderId="0" xfId="0" applyNumberFormat="1" applyFont="1" applyFill="1" applyAlignment="1">
      <alignment horizontal="center"/>
    </xf>
    <xf numFmtId="0" fontId="1" fillId="0" borderId="0" xfId="0" applyNumberFormat="1" applyFont="1" applyFill="1"/>
    <xf numFmtId="0" fontId="64" fillId="9" borderId="0" xfId="0" applyNumberFormat="1" applyFont="1" applyFill="1"/>
    <xf numFmtId="0" fontId="64" fillId="9" borderId="0" xfId="0" applyNumberFormat="1" applyFont="1" applyFill="1" applyAlignment="1">
      <alignment horizontal="center"/>
    </xf>
    <xf numFmtId="0" fontId="14" fillId="9" borderId="0" xfId="0" applyNumberFormat="1" applyFont="1" applyFill="1" applyAlignment="1">
      <alignment horizontal="right"/>
    </xf>
    <xf numFmtId="0" fontId="1" fillId="9" borderId="0" xfId="0" applyNumberFormat="1" applyFont="1" applyFill="1" applyAlignment="1">
      <alignment horizontal="right"/>
    </xf>
    <xf numFmtId="0" fontId="15" fillId="9" borderId="0" xfId="0" applyNumberFormat="1" applyFont="1" applyFill="1" applyAlignment="1">
      <alignment horizontal="right"/>
    </xf>
    <xf numFmtId="0" fontId="14" fillId="9" borderId="0" xfId="14" applyNumberFormat="1" applyFont="1" applyFill="1" applyAlignment="1" applyProtection="1">
      <alignment horizontal="right"/>
    </xf>
    <xf numFmtId="0" fontId="16" fillId="9" borderId="0" xfId="0" applyNumberFormat="1" applyFont="1" applyFill="1" applyAlignment="1">
      <alignment horizontal="right"/>
    </xf>
    <xf numFmtId="0" fontId="64" fillId="7" borderId="0" xfId="0" applyNumberFormat="1" applyFont="1" applyFill="1" applyBorder="1"/>
    <xf numFmtId="0" fontId="1" fillId="9" borderId="0" xfId="0" applyNumberFormat="1" applyFont="1" applyFill="1"/>
    <xf numFmtId="0" fontId="64" fillId="15" borderId="0" xfId="0" applyNumberFormat="1" applyFont="1" applyFill="1"/>
    <xf numFmtId="0" fontId="7" fillId="15" borderId="0" xfId="0" applyNumberFormat="1" applyFont="1" applyFill="1"/>
    <xf numFmtId="0" fontId="64" fillId="15" borderId="0" xfId="0" applyNumberFormat="1" applyFont="1" applyFill="1" applyAlignment="1">
      <alignment horizontal="center"/>
    </xf>
    <xf numFmtId="0" fontId="57" fillId="15" borderId="0" xfId="0" applyNumberFormat="1" applyFont="1" applyFill="1" applyAlignment="1">
      <alignment horizontal="right"/>
    </xf>
    <xf numFmtId="0" fontId="57" fillId="15" borderId="0" xfId="0" applyNumberFormat="1" applyFont="1" applyFill="1"/>
    <xf numFmtId="0" fontId="58" fillId="15" borderId="0" xfId="0" applyNumberFormat="1" applyFont="1" applyFill="1" applyAlignment="1">
      <alignment horizontal="right"/>
    </xf>
    <xf numFmtId="0" fontId="57" fillId="15" borderId="0" xfId="0" applyNumberFormat="1" applyFont="1" applyFill="1" applyBorder="1" applyAlignment="1">
      <alignment horizontal="right"/>
    </xf>
    <xf numFmtId="0" fontId="57" fillId="15" borderId="0" xfId="1" applyNumberFormat="1" applyFont="1" applyFill="1" applyAlignment="1">
      <alignment horizontal="right"/>
    </xf>
    <xf numFmtId="0" fontId="14" fillId="15" borderId="0" xfId="0" applyNumberFormat="1" applyFont="1" applyFill="1" applyAlignment="1">
      <alignment horizontal="right"/>
    </xf>
    <xf numFmtId="0" fontId="64" fillId="8" borderId="0" xfId="0" applyNumberFormat="1" applyFont="1" applyFill="1"/>
    <xf numFmtId="0" fontId="69" fillId="8" borderId="0" xfId="0" applyNumberFormat="1" applyFont="1" applyFill="1" applyAlignment="1">
      <alignment horizontal="center" wrapText="1"/>
    </xf>
    <xf numFmtId="0" fontId="14" fillId="18" borderId="0" xfId="0" applyNumberFormat="1" applyFont="1" applyFill="1" applyAlignment="1">
      <alignment horizontal="center" wrapText="1"/>
    </xf>
    <xf numFmtId="0" fontId="1" fillId="8" borderId="0" xfId="0" applyNumberFormat="1" applyFont="1" applyFill="1"/>
    <xf numFmtId="0" fontId="64" fillId="8" borderId="0" xfId="0" applyNumberFormat="1" applyFont="1" applyFill="1" applyAlignment="1">
      <alignment horizontal="center"/>
    </xf>
    <xf numFmtId="0" fontId="14" fillId="8" borderId="0" xfId="0" applyNumberFormat="1" applyFont="1" applyFill="1" applyAlignment="1">
      <alignment horizontal="right"/>
    </xf>
    <xf numFmtId="0" fontId="16" fillId="8" borderId="0" xfId="0" applyNumberFormat="1" applyFont="1" applyFill="1" applyAlignment="1">
      <alignment horizontal="right"/>
    </xf>
    <xf numFmtId="0" fontId="64" fillId="14" borderId="0" xfId="0" applyNumberFormat="1" applyFont="1" applyFill="1"/>
    <xf numFmtId="0" fontId="7" fillId="14" borderId="0" xfId="0" applyNumberFormat="1" applyFont="1" applyFill="1"/>
    <xf numFmtId="0" fontId="64" fillId="14" borderId="0" xfId="0" applyNumberFormat="1" applyFont="1" applyFill="1" applyAlignment="1">
      <alignment horizontal="center"/>
    </xf>
    <xf numFmtId="0" fontId="57" fillId="14" borderId="0" xfId="0" applyNumberFormat="1" applyFont="1" applyFill="1" applyAlignment="1">
      <alignment horizontal="right"/>
    </xf>
    <xf numFmtId="0" fontId="57" fillId="14" borderId="0" xfId="0" applyNumberFormat="1" applyFont="1" applyFill="1"/>
    <xf numFmtId="0" fontId="58" fillId="14" borderId="0" xfId="0" applyNumberFormat="1" applyFont="1" applyFill="1" applyAlignment="1">
      <alignment horizontal="right"/>
    </xf>
    <xf numFmtId="0" fontId="14" fillId="14" borderId="0" xfId="0" applyNumberFormat="1" applyFont="1" applyFill="1" applyAlignment="1">
      <alignment horizontal="right"/>
    </xf>
    <xf numFmtId="0" fontId="64" fillId="14" borderId="4" xfId="0" applyNumberFormat="1" applyFont="1" applyFill="1" applyBorder="1"/>
    <xf numFmtId="0" fontId="57" fillId="14" borderId="0" xfId="0" applyNumberFormat="1" applyFont="1" applyFill="1" applyBorder="1" applyAlignment="1">
      <alignment horizontal="right"/>
    </xf>
    <xf numFmtId="0" fontId="6" fillId="14" borderId="0" xfId="14" applyNumberFormat="1" applyFont="1" applyFill="1" applyAlignment="1" applyProtection="1">
      <alignment horizontal="right"/>
    </xf>
    <xf numFmtId="0" fontId="57" fillId="14" borderId="0" xfId="1" applyNumberFormat="1" applyFont="1" applyFill="1" applyAlignment="1">
      <alignment horizontal="right"/>
    </xf>
    <xf numFmtId="182" fontId="64" fillId="9" borderId="0" xfId="0" applyNumberFormat="1" applyFont="1" applyFill="1"/>
    <xf numFmtId="173" fontId="64" fillId="7" borderId="0" xfId="3" applyNumberFormat="1" applyFont="1" applyFill="1" applyAlignment="1">
      <alignment horizontal="right"/>
    </xf>
    <xf numFmtId="43" fontId="64" fillId="7" borderId="0" xfId="3" applyNumberFormat="1" applyFont="1" applyFill="1"/>
    <xf numFmtId="43" fontId="64" fillId="9" borderId="4" xfId="3" applyFont="1" applyFill="1" applyBorder="1"/>
    <xf numFmtId="43" fontId="64" fillId="9" borderId="0" xfId="3" applyFont="1" applyFill="1"/>
    <xf numFmtId="49" fontId="64" fillId="9" borderId="0" xfId="0" applyNumberFormat="1" applyFont="1" applyFill="1" applyAlignment="1">
      <alignment horizontal="center"/>
    </xf>
    <xf numFmtId="0" fontId="0" fillId="0" borderId="4" xfId="0" applyBorder="1" applyAlignment="1">
      <alignment horizontal="center"/>
    </xf>
    <xf numFmtId="14" fontId="0" fillId="0" borderId="0" xfId="0" applyNumberFormat="1"/>
    <xf numFmtId="8" fontId="0" fillId="0" borderId="0" xfId="0" applyNumberFormat="1"/>
    <xf numFmtId="43" fontId="64" fillId="0" borderId="0" xfId="0" applyNumberFormat="1" applyFont="1"/>
    <xf numFmtId="43" fontId="64" fillId="9" borderId="0" xfId="0" applyNumberFormat="1" applyFont="1" applyFill="1"/>
    <xf numFmtId="49" fontId="64" fillId="0" borderId="0" xfId="0" applyNumberFormat="1" applyFont="1" applyFill="1" applyAlignment="1">
      <alignment horizontal="center"/>
    </xf>
    <xf numFmtId="0" fontId="64" fillId="0" borderId="0" xfId="0" applyNumberFormat="1" applyFont="1" applyFill="1" applyAlignment="1">
      <alignment horizontal="center"/>
    </xf>
    <xf numFmtId="173" fontId="64" fillId="15" borderId="0" xfId="3" applyNumberFormat="1" applyFont="1" applyFill="1"/>
    <xf numFmtId="182" fontId="64" fillId="15" borderId="0" xfId="0" applyNumberFormat="1" applyFont="1" applyFill="1"/>
    <xf numFmtId="43" fontId="64" fillId="15" borderId="0" xfId="3" applyFont="1" applyFill="1"/>
    <xf numFmtId="173" fontId="64" fillId="7" borderId="0" xfId="3" applyNumberFormat="1" applyFont="1" applyFill="1"/>
    <xf numFmtId="43" fontId="64" fillId="7" borderId="4" xfId="3" applyFont="1" applyFill="1" applyBorder="1"/>
    <xf numFmtId="43" fontId="64" fillId="15" borderId="0" xfId="0" applyNumberFormat="1" applyFont="1" applyFill="1"/>
    <xf numFmtId="0" fontId="0" fillId="9" borderId="0" xfId="0" applyFill="1"/>
    <xf numFmtId="43" fontId="64" fillId="14" borderId="0" xfId="3" applyFont="1" applyFill="1"/>
    <xf numFmtId="43" fontId="64" fillId="7" borderId="0" xfId="3" applyFont="1" applyFill="1" applyBorder="1"/>
    <xf numFmtId="43" fontId="64" fillId="14" borderId="4" xfId="3" applyFont="1" applyFill="1" applyBorder="1"/>
    <xf numFmtId="43" fontId="64" fillId="8" borderId="0" xfId="3" applyFont="1" applyFill="1"/>
    <xf numFmtId="0" fontId="64" fillId="14" borderId="0" xfId="0" applyNumberFormat="1" applyFont="1" applyFill="1" applyBorder="1"/>
    <xf numFmtId="43" fontId="64" fillId="14" borderId="0" xfId="3" applyFont="1" applyFill="1" applyBorder="1"/>
    <xf numFmtId="0" fontId="3" fillId="8" borderId="0" xfId="0" applyNumberFormat="1" applyFont="1" applyFill="1"/>
    <xf numFmtId="164" fontId="64" fillId="14" borderId="0" xfId="3" applyNumberFormat="1" applyFont="1" applyFill="1"/>
    <xf numFmtId="0" fontId="5" fillId="13" borderId="0" xfId="0" applyFont="1" applyFill="1" applyAlignment="1">
      <alignment horizontal="center"/>
    </xf>
    <xf numFmtId="0" fontId="74" fillId="0" borderId="0" xfId="848" applyFont="1" applyBorder="1"/>
    <xf numFmtId="174" fontId="74" fillId="0" borderId="0" xfId="848" quotePrefix="1" applyNumberFormat="1" applyFont="1" applyAlignment="1" applyProtection="1">
      <alignment horizontal="right"/>
    </xf>
    <xf numFmtId="164" fontId="61" fillId="3" borderId="0" xfId="1" applyNumberFormat="1" applyFont="1" applyFill="1" applyBorder="1" applyAlignment="1" applyProtection="1">
      <alignment horizontal="left"/>
    </xf>
    <xf numFmtId="0" fontId="7" fillId="0" borderId="4" xfId="0" applyFont="1" applyFill="1" applyBorder="1"/>
    <xf numFmtId="0" fontId="5" fillId="0" borderId="4" xfId="0" applyFont="1" applyFill="1" applyBorder="1"/>
    <xf numFmtId="0" fontId="7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right"/>
    </xf>
    <xf numFmtId="0" fontId="5" fillId="0" borderId="4" xfId="0" quotePrefix="1" applyFont="1" applyFill="1" applyBorder="1" applyAlignment="1">
      <alignment horizontal="right"/>
    </xf>
    <xf numFmtId="0" fontId="67" fillId="0" borderId="0" xfId="0" applyFont="1" applyFill="1" applyAlignment="1">
      <alignment horizontal="center"/>
    </xf>
    <xf numFmtId="0" fontId="5" fillId="0" borderId="0" xfId="0" quotePrefix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68" fillId="0" borderId="0" xfId="0" applyFont="1" applyFill="1" applyAlignment="1">
      <alignment horizontal="center"/>
    </xf>
    <xf numFmtId="17" fontId="5" fillId="0" borderId="0" xfId="0" applyNumberFormat="1" applyFont="1" applyFill="1"/>
    <xf numFmtId="176" fontId="57" fillId="0" borderId="0" xfId="13" applyNumberFormat="1" applyFont="1" applyFill="1" applyProtection="1"/>
    <xf numFmtId="8" fontId="5" fillId="0" borderId="0" xfId="0" applyNumberFormat="1" applyFont="1" applyFill="1"/>
    <xf numFmtId="0" fontId="0" fillId="0" borderId="30" xfId="0" applyFont="1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0" fontId="4" fillId="0" borderId="0" xfId="2" applyFill="1"/>
    <xf numFmtId="2" fontId="0" fillId="0" borderId="0" xfId="0" applyNumberFormat="1" applyFill="1"/>
    <xf numFmtId="169" fontId="0" fillId="0" borderId="0" xfId="0" applyNumberFormat="1" applyFill="1"/>
    <xf numFmtId="176" fontId="6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1" fillId="9" borderId="0" xfId="848" applyFont="1" applyFill="1"/>
    <xf numFmtId="43" fontId="61" fillId="9" borderId="0" xfId="1" applyFont="1" applyFill="1" applyBorder="1" applyAlignment="1">
      <alignment horizontal="center"/>
    </xf>
    <xf numFmtId="168" fontId="61" fillId="9" borderId="4" xfId="1" quotePrefix="1" applyNumberFormat="1" applyFont="1" applyFill="1" applyBorder="1" applyAlignment="1">
      <alignment horizontal="center"/>
    </xf>
    <xf numFmtId="168" fontId="61" fillId="9" borderId="4" xfId="1" applyNumberFormat="1" applyFont="1" applyFill="1" applyBorder="1" applyAlignment="1">
      <alignment horizontal="center"/>
    </xf>
    <xf numFmtId="42" fontId="61" fillId="9" borderId="0" xfId="848" applyNumberFormat="1" applyFont="1" applyFill="1"/>
    <xf numFmtId="42" fontId="61" fillId="9" borderId="0" xfId="4" applyNumberFormat="1" applyFont="1" applyFill="1"/>
    <xf numFmtId="42" fontId="61" fillId="9" borderId="0" xfId="4" applyNumberFormat="1" applyFont="1" applyFill="1" applyBorder="1"/>
    <xf numFmtId="42" fontId="0" fillId="0" borderId="0" xfId="0" applyNumberFormat="1" applyBorder="1"/>
    <xf numFmtId="167" fontId="61" fillId="0" borderId="0" xfId="848" applyNumberFormat="1" applyFont="1" applyBorder="1"/>
    <xf numFmtId="42" fontId="61" fillId="9" borderId="8" xfId="4" applyNumberFormat="1" applyFont="1" applyFill="1" applyBorder="1"/>
    <xf numFmtId="42" fontId="61" fillId="9" borderId="8" xfId="848" applyNumberFormat="1" applyFont="1" applyFill="1" applyBorder="1"/>
    <xf numFmtId="167" fontId="61" fillId="9" borderId="4" xfId="848" applyNumberFormat="1" applyFont="1" applyFill="1" applyBorder="1"/>
    <xf numFmtId="167" fontId="61" fillId="9" borderId="0" xfId="848" applyNumberFormat="1" applyFont="1" applyFill="1" applyBorder="1"/>
    <xf numFmtId="164" fontId="61" fillId="9" borderId="8" xfId="848" applyNumberFormat="1" applyFont="1" applyFill="1" applyBorder="1"/>
    <xf numFmtId="167" fontId="61" fillId="9" borderId="0" xfId="848" applyNumberFormat="1" applyFont="1" applyFill="1"/>
    <xf numFmtId="164" fontId="62" fillId="0" borderId="0" xfId="1" applyNumberFormat="1" applyFont="1" applyAlignment="1">
      <alignment horizontal="center"/>
    </xf>
    <xf numFmtId="174" fontId="61" fillId="3" borderId="4" xfId="848" applyNumberFormat="1" applyFont="1" applyFill="1" applyBorder="1" applyAlignment="1" applyProtection="1">
      <alignment horizontal="left"/>
    </xf>
    <xf numFmtId="164" fontId="61" fillId="18" borderId="4" xfId="1" applyNumberFormat="1" applyFont="1" applyFill="1" applyBorder="1" applyAlignment="1" applyProtection="1">
      <alignment horizontal="right"/>
    </xf>
    <xf numFmtId="164" fontId="61" fillId="0" borderId="4" xfId="1" applyNumberFormat="1" applyFont="1" applyFill="1" applyBorder="1" applyAlignment="1" applyProtection="1">
      <alignment horizontal="center"/>
    </xf>
    <xf numFmtId="164" fontId="61" fillId="18" borderId="0" xfId="1" applyNumberFormat="1" applyFont="1" applyFill="1" applyBorder="1" applyAlignment="1" applyProtection="1">
      <alignment horizontal="center"/>
    </xf>
    <xf numFmtId="164" fontId="61" fillId="0" borderId="4" xfId="1" applyNumberFormat="1" applyFont="1" applyBorder="1" applyAlignment="1">
      <alignment horizontal="center"/>
    </xf>
    <xf numFmtId="173" fontId="61" fillId="0" borderId="0" xfId="1" applyNumberFormat="1" applyFont="1" applyFill="1"/>
    <xf numFmtId="183" fontId="57" fillId="0" borderId="0" xfId="13" applyNumberFormat="1" applyFont="1" applyFill="1" applyProtection="1"/>
    <xf numFmtId="173" fontId="61" fillId="0" borderId="4" xfId="1" applyNumberFormat="1" applyFont="1" applyBorder="1" applyAlignment="1">
      <alignment horizontal="center"/>
    </xf>
    <xf numFmtId="174" fontId="74" fillId="0" borderId="0" xfId="848" applyNumberFormat="1" applyFont="1" applyAlignment="1" applyProtection="1">
      <alignment horizontal="right"/>
    </xf>
    <xf numFmtId="0" fontId="74" fillId="0" borderId="0" xfId="848" quotePrefix="1" applyFont="1" applyAlignment="1">
      <alignment horizontal="right"/>
    </xf>
    <xf numFmtId="164" fontId="0" fillId="0" borderId="0" xfId="0" applyNumberFormat="1"/>
    <xf numFmtId="164" fontId="74" fillId="18" borderId="4" xfId="1" applyNumberFormat="1" applyFont="1" applyFill="1" applyBorder="1" applyAlignment="1" applyProtection="1">
      <alignment horizontal="left"/>
    </xf>
    <xf numFmtId="164" fontId="5" fillId="0" borderId="0" xfId="3" applyNumberFormat="1" applyFont="1"/>
    <xf numFmtId="0" fontId="77" fillId="0" borderId="0" xfId="0" applyNumberFormat="1" applyFont="1" applyAlignment="1">
      <alignment horizontal="center"/>
    </xf>
    <xf numFmtId="37" fontId="64" fillId="15" borderId="0" xfId="0" applyNumberFormat="1" applyFont="1" applyFill="1"/>
    <xf numFmtId="164" fontId="74" fillId="0" borderId="0" xfId="1" applyNumberFormat="1" applyFont="1" applyBorder="1"/>
    <xf numFmtId="164" fontId="61" fillId="0" borderId="4" xfId="1" applyNumberFormat="1" applyFont="1" applyBorder="1"/>
    <xf numFmtId="0" fontId="5" fillId="9" borderId="0" xfId="0" applyFont="1" applyFill="1"/>
    <xf numFmtId="0" fontId="5" fillId="9" borderId="0" xfId="0" applyFont="1" applyFill="1" applyAlignment="1">
      <alignment horizontal="center"/>
    </xf>
    <xf numFmtId="164" fontId="5" fillId="9" borderId="0" xfId="3" applyNumberFormat="1" applyFont="1" applyFill="1"/>
    <xf numFmtId="44" fontId="5" fillId="9" borderId="0" xfId="4" applyFont="1" applyFill="1"/>
    <xf numFmtId="170" fontId="5" fillId="9" borderId="0" xfId="4" applyNumberFormat="1" applyFont="1" applyFill="1"/>
    <xf numFmtId="44" fontId="5" fillId="9" borderId="0" xfId="0" applyNumberFormat="1" applyFont="1" applyFill="1"/>
    <xf numFmtId="41" fontId="5" fillId="9" borderId="0" xfId="0" applyNumberFormat="1" applyFont="1" applyFill="1"/>
    <xf numFmtId="171" fontId="0" fillId="9" borderId="0" xfId="9" applyNumberFormat="1" applyFont="1" applyFill="1"/>
    <xf numFmtId="173" fontId="5" fillId="9" borderId="0" xfId="3" applyNumberFormat="1" applyFont="1" applyFill="1"/>
    <xf numFmtId="164" fontId="64" fillId="9" borderId="0" xfId="3" applyNumberFormat="1" applyFont="1" applyFill="1"/>
    <xf numFmtId="164" fontId="64" fillId="9" borderId="0" xfId="0" applyNumberFormat="1" applyFont="1" applyFill="1"/>
    <xf numFmtId="164" fontId="0" fillId="9" borderId="0" xfId="0" applyNumberFormat="1" applyFill="1"/>
    <xf numFmtId="164" fontId="61" fillId="3" borderId="4" xfId="1" applyNumberFormat="1" applyFont="1" applyFill="1" applyBorder="1" applyAlignment="1">
      <alignment horizontal="center"/>
    </xf>
    <xf numFmtId="164" fontId="61" fillId="3" borderId="0" xfId="3" applyNumberFormat="1" applyFont="1" applyFill="1" applyAlignment="1" applyProtection="1">
      <alignment horizontal="left"/>
    </xf>
    <xf numFmtId="184" fontId="61" fillId="3" borderId="4" xfId="1" applyNumberFormat="1" applyFont="1" applyFill="1" applyBorder="1" applyAlignment="1">
      <alignment horizontal="right"/>
    </xf>
    <xf numFmtId="184" fontId="61" fillId="18" borderId="4" xfId="1" applyNumberFormat="1" applyFont="1" applyFill="1" applyBorder="1" applyAlignment="1" applyProtection="1">
      <alignment horizontal="right"/>
    </xf>
    <xf numFmtId="185" fontId="0" fillId="0" borderId="0" xfId="0" applyNumberFormat="1" applyFont="1" applyFill="1" applyAlignment="1">
      <alignment horizontal="right"/>
    </xf>
    <xf numFmtId="184" fontId="61" fillId="3" borderId="4" xfId="849" applyNumberFormat="1" applyFont="1" applyFill="1" applyBorder="1"/>
    <xf numFmtId="167" fontId="5" fillId="9" borderId="0" xfId="0" applyNumberFormat="1" applyFont="1" applyFill="1"/>
    <xf numFmtId="173" fontId="64" fillId="0" borderId="0" xfId="0" applyNumberFormat="1" applyFont="1"/>
    <xf numFmtId="0" fontId="5" fillId="75" borderId="0" xfId="0" applyFont="1" applyFill="1"/>
    <xf numFmtId="38" fontId="6" fillId="75" borderId="0" xfId="0" applyNumberFormat="1" applyFont="1" applyFill="1" applyAlignment="1">
      <alignment horizontal="center" wrapText="1"/>
    </xf>
    <xf numFmtId="41" fontId="6" fillId="75" borderId="0" xfId="0" applyNumberFormat="1" applyFont="1" applyFill="1" applyAlignment="1">
      <alignment horizontal="center" wrapText="1"/>
    </xf>
    <xf numFmtId="41" fontId="6" fillId="75" borderId="0" xfId="0" quotePrefix="1" applyNumberFormat="1" applyFont="1" applyFill="1" applyBorder="1" applyAlignment="1">
      <alignment horizontal="center" wrapText="1"/>
    </xf>
    <xf numFmtId="41" fontId="6" fillId="75" borderId="0" xfId="0" applyNumberFormat="1" applyFont="1" applyFill="1" applyBorder="1" applyAlignment="1">
      <alignment horizontal="center" wrapText="1"/>
    </xf>
    <xf numFmtId="43" fontId="6" fillId="75" borderId="0" xfId="3" quotePrefix="1" applyFont="1" applyFill="1" applyBorder="1" applyAlignment="1">
      <alignment horizontal="center" wrapText="1"/>
    </xf>
    <xf numFmtId="43" fontId="6" fillId="75" borderId="0" xfId="3" applyFont="1" applyFill="1" applyBorder="1" applyAlignment="1">
      <alignment horizontal="center" wrapText="1"/>
    </xf>
    <xf numFmtId="0" fontId="5" fillId="75" borderId="0" xfId="0" applyFont="1" applyFill="1" applyAlignment="1">
      <alignment horizontal="center"/>
    </xf>
    <xf numFmtId="168" fontId="5" fillId="11" borderId="0" xfId="0" applyNumberFormat="1" applyFont="1" applyFill="1" applyAlignment="1">
      <alignment horizontal="center"/>
    </xf>
    <xf numFmtId="168" fontId="5" fillId="9" borderId="0" xfId="0" applyNumberFormat="1" applyFont="1" applyFill="1" applyAlignment="1">
      <alignment horizontal="center"/>
    </xf>
    <xf numFmtId="0" fontId="0" fillId="9" borderId="0" xfId="0" applyFill="1" applyAlignment="1">
      <alignment horizontal="center"/>
    </xf>
    <xf numFmtId="0" fontId="59" fillId="0" borderId="0" xfId="0" applyFont="1" applyFill="1"/>
    <xf numFmtId="0" fontId="0" fillId="0" borderId="0" xfId="0" applyAlignment="1">
      <alignment horizontal="center"/>
    </xf>
    <xf numFmtId="43" fontId="64" fillId="15" borderId="0" xfId="3" applyNumberFormat="1" applyFont="1" applyFill="1"/>
    <xf numFmtId="0" fontId="16" fillId="15" borderId="0" xfId="0" applyNumberFormat="1" applyFont="1" applyFill="1" applyAlignment="1">
      <alignment horizontal="right"/>
    </xf>
    <xf numFmtId="173" fontId="64" fillId="15" borderId="0" xfId="3" applyNumberFormat="1" applyFont="1" applyFill="1" applyAlignment="1">
      <alignment horizontal="right"/>
    </xf>
    <xf numFmtId="178" fontId="64" fillId="15" borderId="0" xfId="0" applyNumberFormat="1" applyFont="1" applyFill="1"/>
    <xf numFmtId="0" fontId="14" fillId="15" borderId="0" xfId="0" applyNumberFormat="1" applyFont="1" applyFill="1" applyAlignment="1">
      <alignment horizontal="center"/>
    </xf>
    <xf numFmtId="0" fontId="14" fillId="15" borderId="0" xfId="0" applyNumberFormat="1" applyFont="1" applyFill="1" applyAlignment="1">
      <alignment horizontal="center" vertical="top"/>
    </xf>
    <xf numFmtId="0" fontId="11" fillId="9" borderId="0" xfId="0" applyNumberFormat="1" applyFont="1" applyFill="1" applyAlignment="1">
      <alignment horizontal="left"/>
    </xf>
    <xf numFmtId="0" fontId="1" fillId="15" borderId="0" xfId="0" quotePrefix="1" applyNumberFormat="1" applyFont="1" applyFill="1" applyAlignment="1">
      <alignment horizontal="left"/>
    </xf>
    <xf numFmtId="0" fontId="3" fillId="15" borderId="0" xfId="0" quotePrefix="1" applyNumberFormat="1" applyFont="1" applyFill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Border="1" applyAlignment="1">
      <alignment horizontal="left"/>
    </xf>
    <xf numFmtId="8" fontId="0" fillId="0" borderId="0" xfId="0" applyNumberFormat="1" applyAlignment="1">
      <alignment horizontal="right"/>
    </xf>
    <xf numFmtId="14" fontId="0" fillId="0" borderId="0" xfId="0" applyNumberFormat="1" applyAlignment="1">
      <alignment horizontal="center"/>
    </xf>
    <xf numFmtId="43" fontId="64" fillId="8" borderId="0" xfId="0" applyNumberFormat="1" applyFont="1" applyFill="1"/>
    <xf numFmtId="0" fontId="0" fillId="0" borderId="0" xfId="0" applyAlignment="1">
      <alignment horizontal="center"/>
    </xf>
    <xf numFmtId="173" fontId="61" fillId="0" borderId="0" xfId="1" applyNumberFormat="1" applyFont="1" applyFill="1" applyAlignment="1" applyProtection="1">
      <alignment horizontal="center"/>
    </xf>
    <xf numFmtId="164" fontId="61" fillId="0" borderId="0" xfId="1" applyNumberFormat="1" applyFont="1" applyFill="1" applyProtection="1"/>
    <xf numFmtId="173" fontId="61" fillId="0" borderId="0" xfId="1" applyNumberFormat="1" applyFont="1" applyFill="1" applyBorder="1" applyAlignment="1" applyProtection="1">
      <alignment horizontal="left"/>
    </xf>
    <xf numFmtId="164" fontId="71" fillId="0" borderId="0" xfId="1" applyNumberFormat="1" applyFont="1" applyFill="1"/>
    <xf numFmtId="173" fontId="71" fillId="0" borderId="0" xfId="1" applyNumberFormat="1" applyFont="1" applyFill="1"/>
    <xf numFmtId="164" fontId="61" fillId="18" borderId="4" xfId="1" applyNumberFormat="1" applyFont="1" applyFill="1" applyBorder="1" applyAlignment="1">
      <alignment horizontal="left"/>
    </xf>
    <xf numFmtId="173" fontId="61" fillId="0" borderId="0" xfId="1" applyNumberFormat="1" applyFont="1" applyBorder="1" applyAlignment="1">
      <alignment horizontal="right"/>
    </xf>
    <xf numFmtId="167" fontId="61" fillId="7" borderId="0" xfId="849" applyNumberFormat="1" applyFont="1" applyFill="1"/>
    <xf numFmtId="167" fontId="61" fillId="15" borderId="0" xfId="849" applyNumberFormat="1" applyFont="1" applyFill="1" applyBorder="1" applyAlignment="1">
      <alignment horizontal="right"/>
    </xf>
    <xf numFmtId="167" fontId="61" fillId="15" borderId="0" xfId="1" applyNumberFormat="1" applyFont="1" applyFill="1" applyBorder="1" applyAlignment="1">
      <alignment horizontal="right"/>
    </xf>
    <xf numFmtId="173" fontId="61" fillId="15" borderId="0" xfId="1" applyNumberFormat="1" applyFont="1" applyFill="1" applyBorder="1" applyAlignment="1">
      <alignment horizontal="right"/>
    </xf>
    <xf numFmtId="167" fontId="61" fillId="15" borderId="4" xfId="1" applyNumberFormat="1" applyFont="1" applyFill="1" applyBorder="1" applyAlignment="1">
      <alignment horizontal="right"/>
    </xf>
    <xf numFmtId="173" fontId="61" fillId="15" borderId="4" xfId="1" applyNumberFormat="1" applyFont="1" applyFill="1" applyBorder="1" applyAlignment="1">
      <alignment horizontal="right"/>
    </xf>
    <xf numFmtId="167" fontId="61" fillId="15" borderId="4" xfId="849" applyNumberFormat="1" applyFont="1" applyFill="1" applyBorder="1" applyAlignment="1">
      <alignment horizontal="right"/>
    </xf>
    <xf numFmtId="164" fontId="61" fillId="15" borderId="0" xfId="1" applyNumberFormat="1" applyFont="1" applyFill="1" applyAlignment="1">
      <alignment horizontal="right"/>
    </xf>
    <xf numFmtId="173" fontId="61" fillId="15" borderId="0" xfId="1" applyNumberFormat="1" applyFont="1" applyFill="1" applyAlignment="1">
      <alignment horizontal="right"/>
    </xf>
    <xf numFmtId="0" fontId="78" fillId="15" borderId="0" xfId="0" applyFont="1" applyFill="1"/>
    <xf numFmtId="164" fontId="61" fillId="15" borderId="0" xfId="1" applyNumberFormat="1" applyFont="1" applyFill="1" applyBorder="1" applyAlignment="1">
      <alignment horizontal="right"/>
    </xf>
    <xf numFmtId="0" fontId="61" fillId="15" borderId="0" xfId="848" applyFont="1" applyFill="1"/>
    <xf numFmtId="164" fontId="61" fillId="15" borderId="4" xfId="1" applyNumberFormat="1" applyFont="1" applyFill="1" applyBorder="1" applyAlignment="1">
      <alignment horizontal="right"/>
    </xf>
    <xf numFmtId="164" fontId="61" fillId="7" borderId="0" xfId="1" applyNumberFormat="1" applyFont="1" applyFill="1"/>
    <xf numFmtId="164" fontId="61" fillId="0" borderId="0" xfId="1" applyNumberFormat="1" applyFont="1" applyFill="1" applyBorder="1" applyAlignment="1" applyProtection="1">
      <alignment horizontal="center"/>
    </xf>
    <xf numFmtId="164" fontId="61" fillId="18" borderId="0" xfId="1" applyNumberFormat="1" applyFont="1" applyFill="1" applyBorder="1" applyAlignment="1">
      <alignment horizontal="right"/>
    </xf>
    <xf numFmtId="164" fontId="74" fillId="18" borderId="0" xfId="1" applyNumberFormat="1" applyFont="1" applyFill="1" applyBorder="1" applyAlignment="1" applyProtection="1">
      <alignment horizontal="left"/>
    </xf>
    <xf numFmtId="167" fontId="61" fillId="3" borderId="0" xfId="849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5" applyFont="1"/>
    <xf numFmtId="0" fontId="3" fillId="0" borderId="0" xfId="5"/>
    <xf numFmtId="0" fontId="3" fillId="0" borderId="0" xfId="5" applyFill="1"/>
    <xf numFmtId="164" fontId="3" fillId="0" borderId="0" xfId="5" applyNumberFormat="1"/>
    <xf numFmtId="0" fontId="3" fillId="0" borderId="0" xfId="5" applyFont="1"/>
    <xf numFmtId="0" fontId="3" fillId="0" borderId="32" xfId="5" applyFont="1" applyFill="1" applyBorder="1"/>
    <xf numFmtId="0" fontId="3" fillId="0" borderId="33" xfId="5" applyFont="1" applyFill="1" applyBorder="1"/>
    <xf numFmtId="0" fontId="3" fillId="0" borderId="0" xfId="5" applyFont="1" applyFill="1" applyBorder="1"/>
    <xf numFmtId="0" fontId="79" fillId="0" borderId="0" xfId="0" applyFont="1"/>
    <xf numFmtId="164" fontId="73" fillId="77" borderId="0" xfId="1" applyNumberFormat="1" applyFont="1" applyFill="1" applyAlignment="1">
      <alignment horizontal="right"/>
    </xf>
    <xf numFmtId="164" fontId="61" fillId="77" borderId="0" xfId="1" applyNumberFormat="1" applyFont="1" applyFill="1" applyAlignment="1" applyProtection="1">
      <alignment horizontal="left"/>
    </xf>
    <xf numFmtId="164" fontId="73" fillId="77" borderId="4" xfId="1" applyNumberFormat="1" applyFont="1" applyFill="1" applyBorder="1" applyAlignment="1">
      <alignment horizontal="right"/>
    </xf>
    <xf numFmtId="164" fontId="61" fillId="77" borderId="4" xfId="1" applyNumberFormat="1" applyFont="1" applyFill="1" applyBorder="1" applyAlignment="1" applyProtection="1">
      <alignment horizontal="left"/>
    </xf>
    <xf numFmtId="164" fontId="73" fillId="77" borderId="0" xfId="1" applyNumberFormat="1" applyFont="1" applyFill="1" applyBorder="1" applyAlignment="1">
      <alignment horizontal="right"/>
    </xf>
    <xf numFmtId="164" fontId="75" fillId="77" borderId="0" xfId="1" applyNumberFormat="1" applyFont="1" applyFill="1" applyAlignment="1" applyProtection="1">
      <alignment horizontal="left"/>
    </xf>
    <xf numFmtId="164" fontId="75" fillId="77" borderId="0" xfId="1" applyNumberFormat="1" applyFont="1" applyFill="1" applyBorder="1" applyAlignment="1" applyProtection="1">
      <alignment horizontal="left"/>
    </xf>
    <xf numFmtId="37" fontId="5" fillId="0" borderId="0" xfId="0" applyNumberFormat="1" applyFont="1"/>
    <xf numFmtId="164" fontId="5" fillId="9" borderId="0" xfId="0" applyNumberFormat="1" applyFont="1" applyFill="1"/>
    <xf numFmtId="167" fontId="5" fillId="0" borderId="0" xfId="4" applyNumberFormat="1" applyFont="1"/>
    <xf numFmtId="44" fontId="61" fillId="7" borderId="0" xfId="849" applyNumberFormat="1" applyFont="1" applyFill="1"/>
    <xf numFmtId="42" fontId="61" fillId="0" borderId="0" xfId="848" applyNumberFormat="1" applyFont="1"/>
    <xf numFmtId="0" fontId="5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49" fontId="0" fillId="0" borderId="0" xfId="0" applyNumberFormat="1" applyFill="1"/>
    <xf numFmtId="0" fontId="0" fillId="0" borderId="19" xfId="0" applyFill="1" applyBorder="1" applyAlignment="1">
      <alignment wrapText="1"/>
    </xf>
    <xf numFmtId="0" fontId="0" fillId="0" borderId="19" xfId="2" applyFont="1" applyFill="1" applyBorder="1" applyAlignment="1">
      <alignment horizontal="center" wrapText="1"/>
    </xf>
    <xf numFmtId="0" fontId="0" fillId="0" borderId="19" xfId="2" applyFont="1" applyFill="1" applyBorder="1" applyAlignment="1">
      <alignment wrapText="1"/>
    </xf>
    <xf numFmtId="0" fontId="0" fillId="0" borderId="19" xfId="0" applyFill="1" applyBorder="1"/>
    <xf numFmtId="0" fontId="5" fillId="0" borderId="19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 wrapText="1"/>
    </xf>
    <xf numFmtId="41" fontId="7" fillId="13" borderId="0" xfId="0" quotePrefix="1" applyNumberFormat="1" applyFont="1" applyFill="1" applyAlignment="1"/>
    <xf numFmtId="0" fontId="5" fillId="78" borderId="0" xfId="0" applyFont="1" applyFill="1"/>
    <xf numFmtId="0" fontId="5" fillId="78" borderId="0" xfId="0" applyFont="1" applyFill="1" applyAlignment="1">
      <alignment horizontal="center"/>
    </xf>
    <xf numFmtId="41" fontId="7" fillId="78" borderId="0" xfId="0" quotePrefix="1" applyNumberFormat="1" applyFont="1" applyFill="1" applyAlignment="1">
      <alignment horizontal="left"/>
    </xf>
    <xf numFmtId="41" fontId="6" fillId="78" borderId="0" xfId="0" applyNumberFormat="1" applyFont="1" applyFill="1"/>
    <xf numFmtId="44" fontId="5" fillId="78" borderId="0" xfId="0" applyNumberFormat="1" applyFont="1" applyFill="1"/>
    <xf numFmtId="0" fontId="5" fillId="0" borderId="19" xfId="0" applyFont="1" applyBorder="1" applyAlignment="1">
      <alignment horizontal="center"/>
    </xf>
    <xf numFmtId="0" fontId="5" fillId="0" borderId="19" xfId="0" applyFont="1" applyBorder="1"/>
    <xf numFmtId="44" fontId="6" fillId="0" borderId="0" xfId="0" applyNumberFormat="1" applyFont="1"/>
    <xf numFmtId="41" fontId="6" fillId="11" borderId="19" xfId="0" applyNumberFormat="1" applyFont="1" applyFill="1" applyBorder="1" applyAlignment="1">
      <alignment horizontal="center" wrapText="1"/>
    </xf>
    <xf numFmtId="38" fontId="6" fillId="11" borderId="19" xfId="0" applyNumberFormat="1" applyFont="1" applyFill="1" applyBorder="1" applyAlignment="1">
      <alignment horizontal="center" wrapText="1"/>
    </xf>
    <xf numFmtId="41" fontId="6" fillId="12" borderId="19" xfId="0" quotePrefix="1" applyNumberFormat="1" applyFont="1" applyFill="1" applyBorder="1" applyAlignment="1">
      <alignment horizontal="center" wrapText="1"/>
    </xf>
    <xf numFmtId="41" fontId="6" fillId="12" borderId="19" xfId="0" applyNumberFormat="1" applyFont="1" applyFill="1" applyBorder="1" applyAlignment="1">
      <alignment horizontal="center" wrapText="1"/>
    </xf>
    <xf numFmtId="41" fontId="6" fillId="13" borderId="19" xfId="0" applyNumberFormat="1" applyFont="1" applyFill="1" applyBorder="1" applyAlignment="1">
      <alignment horizontal="center" wrapText="1"/>
    </xf>
    <xf numFmtId="41" fontId="6" fillId="14" borderId="19" xfId="0" quotePrefix="1" applyNumberFormat="1" applyFont="1" applyFill="1" applyBorder="1" applyAlignment="1">
      <alignment horizontal="center" wrapText="1"/>
    </xf>
    <xf numFmtId="41" fontId="6" fillId="14" borderId="19" xfId="0" applyNumberFormat="1" applyFont="1" applyFill="1" applyBorder="1" applyAlignment="1">
      <alignment horizontal="center" wrapText="1"/>
    </xf>
    <xf numFmtId="41" fontId="6" fillId="78" borderId="19" xfId="0" quotePrefix="1" applyNumberFormat="1" applyFont="1" applyFill="1" applyBorder="1" applyAlignment="1">
      <alignment horizontal="center" wrapText="1"/>
    </xf>
    <xf numFmtId="43" fontId="6" fillId="13" borderId="19" xfId="3" quotePrefix="1" applyFont="1" applyFill="1" applyBorder="1" applyAlignment="1">
      <alignment horizontal="center" wrapText="1"/>
    </xf>
    <xf numFmtId="43" fontId="6" fillId="13" borderId="19" xfId="3" applyFont="1" applyFill="1" applyBorder="1" applyAlignment="1">
      <alignment horizontal="center"/>
    </xf>
    <xf numFmtId="43" fontId="6" fillId="13" borderId="19" xfId="3" applyFont="1" applyFill="1" applyBorder="1" applyAlignment="1">
      <alignment horizontal="center" wrapText="1"/>
    </xf>
    <xf numFmtId="41" fontId="6" fillId="13" borderId="19" xfId="0" quotePrefix="1" applyNumberFormat="1" applyFont="1" applyFill="1" applyBorder="1" applyAlignment="1">
      <alignment horizontal="center" wrapText="1"/>
    </xf>
    <xf numFmtId="0" fontId="5" fillId="11" borderId="0" xfId="0" applyFont="1" applyFill="1" applyAlignment="1">
      <alignment horizontal="left"/>
    </xf>
    <xf numFmtId="41" fontId="6" fillId="13" borderId="0" xfId="0" applyNumberFormat="1" applyFont="1" applyFill="1" applyAlignment="1">
      <alignment horizontal="center"/>
    </xf>
    <xf numFmtId="41" fontId="6" fillId="13" borderId="0" xfId="0" applyNumberFormat="1" applyFont="1" applyFill="1" applyAlignment="1"/>
    <xf numFmtId="0" fontId="5" fillId="11" borderId="0" xfId="0" applyNumberFormat="1" applyFont="1" applyFill="1" applyAlignment="1">
      <alignment horizontal="center"/>
    </xf>
    <xf numFmtId="0" fontId="0" fillId="19" borderId="0" xfId="0" applyFill="1"/>
    <xf numFmtId="169" fontId="0" fillId="0" borderId="0" xfId="0" applyNumberFormat="1"/>
    <xf numFmtId="167" fontId="5" fillId="12" borderId="0" xfId="0" applyNumberFormat="1" applyFont="1" applyFill="1"/>
    <xf numFmtId="0" fontId="5" fillId="79" borderId="0" xfId="0" applyFont="1" applyFill="1"/>
    <xf numFmtId="168" fontId="5" fillId="79" borderId="0" xfId="0" applyNumberFormat="1" applyFont="1" applyFill="1" applyAlignment="1">
      <alignment horizontal="center"/>
    </xf>
    <xf numFmtId="0" fontId="5" fillId="79" borderId="0" xfId="0" applyFont="1" applyFill="1" applyAlignment="1">
      <alignment horizontal="center"/>
    </xf>
    <xf numFmtId="164" fontId="5" fillId="79" borderId="0" xfId="3" applyNumberFormat="1" applyFont="1" applyFill="1"/>
    <xf numFmtId="44" fontId="5" fillId="79" borderId="0" xfId="4" applyFont="1" applyFill="1"/>
    <xf numFmtId="170" fontId="5" fillId="79" borderId="0" xfId="4" applyNumberFormat="1" applyFont="1" applyFill="1"/>
    <xf numFmtId="44" fontId="5" fillId="79" borderId="0" xfId="4" applyNumberFormat="1" applyFont="1" applyFill="1"/>
    <xf numFmtId="44" fontId="5" fillId="79" borderId="0" xfId="0" applyNumberFormat="1" applyFont="1" applyFill="1"/>
    <xf numFmtId="41" fontId="5" fillId="79" borderId="0" xfId="0" applyNumberFormat="1" applyFont="1" applyFill="1"/>
    <xf numFmtId="171" fontId="0" fillId="79" borderId="0" xfId="9" applyNumberFormat="1" applyFont="1" applyFill="1"/>
    <xf numFmtId="0" fontId="0" fillId="79" borderId="0" xfId="0" applyFill="1"/>
    <xf numFmtId="167" fontId="5" fillId="79" borderId="0" xfId="0" applyNumberFormat="1" applyFont="1" applyFill="1"/>
    <xf numFmtId="44" fontId="6" fillId="79" borderId="0" xfId="0" applyNumberFormat="1" applyFont="1" applyFill="1"/>
    <xf numFmtId="0" fontId="5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49" fontId="0" fillId="4" borderId="2" xfId="0" applyNumberFormat="1" applyFill="1" applyBorder="1" applyAlignment="1">
      <alignment horizontal="left" vertical="center" wrapText="1"/>
    </xf>
    <xf numFmtId="49" fontId="0" fillId="4" borderId="1" xfId="0" applyNumberFormat="1" applyFill="1" applyBorder="1" applyAlignment="1">
      <alignment horizontal="left" vertical="center" wrapText="1"/>
    </xf>
    <xf numFmtId="41" fontId="7" fillId="12" borderId="0" xfId="0" applyNumberFormat="1" applyFont="1" applyFill="1" applyAlignment="1">
      <alignment horizontal="center"/>
    </xf>
    <xf numFmtId="43" fontId="66" fillId="4" borderId="3" xfId="3" applyFont="1" applyFill="1" applyBorder="1" applyAlignment="1">
      <alignment horizontal="left" vertical="center" wrapText="1"/>
    </xf>
    <xf numFmtId="43" fontId="66" fillId="80" borderId="3" xfId="3" applyFont="1" applyFill="1" applyBorder="1" applyAlignment="1">
      <alignment horizontal="left" vertical="center" wrapText="1"/>
    </xf>
    <xf numFmtId="43" fontId="66" fillId="81" borderId="3" xfId="3" applyFont="1" applyFill="1" applyBorder="1" applyAlignment="1">
      <alignment horizontal="left" vertical="center" wrapText="1"/>
    </xf>
    <xf numFmtId="43" fontId="66" fillId="17" borderId="3" xfId="3" applyFont="1" applyFill="1" applyBorder="1" applyAlignment="1">
      <alignment horizontal="left" vertical="center" wrapText="1"/>
    </xf>
    <xf numFmtId="43" fontId="66" fillId="16" borderId="3" xfId="3" applyFont="1" applyFill="1" applyBorder="1" applyAlignment="1">
      <alignment horizontal="left" vertical="center" wrapText="1"/>
    </xf>
    <xf numFmtId="43" fontId="0" fillId="4" borderId="3" xfId="3" applyFont="1" applyFill="1" applyBorder="1" applyAlignment="1">
      <alignment horizontal="right" vertical="center" wrapText="1"/>
    </xf>
    <xf numFmtId="43" fontId="66" fillId="4" borderId="3" xfId="3" applyFont="1" applyFill="1" applyBorder="1" applyAlignment="1">
      <alignment horizontal="right" vertical="center" wrapText="1"/>
    </xf>
    <xf numFmtId="43" fontId="66" fillId="81" borderId="3" xfId="3" applyFont="1" applyFill="1" applyBorder="1" applyAlignment="1">
      <alignment horizontal="right" vertical="center" wrapText="1"/>
    </xf>
    <xf numFmtId="49" fontId="66" fillId="82" borderId="3" xfId="0" applyNumberFormat="1" applyFont="1" applyFill="1" applyBorder="1" applyAlignment="1">
      <alignment horizontal="left" vertical="center" wrapText="1" indent="1"/>
    </xf>
    <xf numFmtId="49" fontId="66" fillId="82" borderId="3" xfId="0" applyNumberFormat="1" applyFont="1" applyFill="1" applyBorder="1" applyAlignment="1">
      <alignment horizontal="left" vertical="center" wrapText="1"/>
    </xf>
    <xf numFmtId="43" fontId="66" fillId="16" borderId="3" xfId="3" applyFont="1" applyFill="1" applyBorder="1" applyAlignment="1">
      <alignment horizontal="right" vertical="center" wrapText="1"/>
    </xf>
    <xf numFmtId="49" fontId="66" fillId="83" borderId="3" xfId="0" applyNumberFormat="1" applyFont="1" applyFill="1" applyBorder="1" applyAlignment="1">
      <alignment horizontal="left" vertical="center" wrapText="1"/>
    </xf>
    <xf numFmtId="43" fontId="66" fillId="6" borderId="3" xfId="3" applyNumberFormat="1" applyFont="1" applyFill="1" applyBorder="1" applyAlignment="1">
      <alignment horizontal="right" vertical="center" wrapText="1"/>
    </xf>
    <xf numFmtId="43" fontId="66" fillId="5" borderId="3" xfId="3" applyNumberFormat="1" applyFont="1" applyFill="1" applyBorder="1" applyAlignment="1">
      <alignment horizontal="right" vertical="center" wrapText="1"/>
    </xf>
    <xf numFmtId="2" fontId="66" fillId="5" borderId="3" xfId="3" applyNumberFormat="1" applyFont="1" applyFill="1" applyBorder="1" applyAlignment="1">
      <alignment horizontal="right" vertical="center" wrapText="1"/>
    </xf>
    <xf numFmtId="2" fontId="66" fillId="6" borderId="3" xfId="3" applyNumberFormat="1" applyFont="1" applyFill="1" applyBorder="1" applyAlignment="1">
      <alignment horizontal="right" vertical="center" wrapText="1"/>
    </xf>
    <xf numFmtId="166" fontId="66" fillId="84" borderId="3" xfId="0" applyNumberFormat="1" applyFont="1" applyFill="1" applyBorder="1" applyAlignment="1">
      <alignment horizontal="right" vertical="center" wrapText="1"/>
    </xf>
    <xf numFmtId="43" fontId="66" fillId="84" borderId="3" xfId="3" applyFont="1" applyFill="1" applyBorder="1" applyAlignment="1">
      <alignment horizontal="right" vertical="center" wrapText="1"/>
    </xf>
    <xf numFmtId="43" fontId="66" fillId="84" borderId="3" xfId="3" applyNumberFormat="1" applyFont="1" applyFill="1" applyBorder="1" applyAlignment="1">
      <alignment horizontal="right" vertical="center" wrapText="1"/>
    </xf>
    <xf numFmtId="43" fontId="66" fillId="5" borderId="3" xfId="3" applyFont="1" applyFill="1" applyBorder="1" applyAlignment="1">
      <alignment horizontal="right" vertical="center" wrapText="1"/>
    </xf>
    <xf numFmtId="43" fontId="66" fillId="6" borderId="3" xfId="3" applyFont="1" applyFill="1" applyBorder="1" applyAlignment="1">
      <alignment horizontal="right" vertical="center" wrapText="1"/>
    </xf>
    <xf numFmtId="49" fontId="66" fillId="83" borderId="3" xfId="0" applyNumberFormat="1" applyFont="1" applyFill="1" applyBorder="1" applyAlignment="1">
      <alignment horizontal="left" vertical="center"/>
    </xf>
    <xf numFmtId="166" fontId="66" fillId="6" borderId="3" xfId="0" applyNumberFormat="1" applyFont="1" applyFill="1" applyBorder="1" applyAlignment="1">
      <alignment horizontal="right" vertical="center"/>
    </xf>
    <xf numFmtId="49" fontId="66" fillId="6" borderId="3" xfId="0" applyNumberFormat="1" applyFont="1" applyFill="1" applyBorder="1" applyAlignment="1">
      <alignment horizontal="right" vertical="center"/>
    </xf>
    <xf numFmtId="43" fontId="66" fillId="81" borderId="3" xfId="3" applyFont="1" applyFill="1" applyBorder="1" applyAlignment="1">
      <alignment horizontal="right" vertical="center"/>
    </xf>
    <xf numFmtId="43" fontId="66" fillId="6" borderId="3" xfId="3" applyFont="1" applyFill="1" applyBorder="1" applyAlignment="1">
      <alignment horizontal="right" vertical="center"/>
    </xf>
    <xf numFmtId="14" fontId="66" fillId="4" borderId="3" xfId="3" applyNumberFormat="1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/>
    </xf>
    <xf numFmtId="49" fontId="64" fillId="7" borderId="0" xfId="3" applyNumberFormat="1" applyFont="1" applyFill="1" applyAlignment="1">
      <alignment horizontal="right"/>
    </xf>
    <xf numFmtId="43" fontId="64" fillId="7" borderId="0" xfId="3" applyNumberFormat="1" applyFont="1" applyFill="1" applyAlignment="1">
      <alignment horizontal="center"/>
    </xf>
    <xf numFmtId="43" fontId="64" fillId="9" borderId="4" xfId="3" applyFont="1" applyFill="1" applyBorder="1" applyAlignment="1">
      <alignment horizontal="center"/>
    </xf>
    <xf numFmtId="43" fontId="64" fillId="9" borderId="0" xfId="3" applyFont="1" applyFill="1" applyAlignment="1">
      <alignment horizontal="center"/>
    </xf>
    <xf numFmtId="173" fontId="64" fillId="15" borderId="0" xfId="3" applyNumberFormat="1" applyFont="1" applyFill="1" applyAlignment="1">
      <alignment horizontal="center"/>
    </xf>
    <xf numFmtId="182" fontId="64" fillId="15" borderId="0" xfId="0" applyNumberFormat="1" applyFont="1" applyFill="1" applyAlignment="1">
      <alignment horizontal="center"/>
    </xf>
    <xf numFmtId="43" fontId="64" fillId="15" borderId="4" xfId="3" applyFont="1" applyFill="1" applyBorder="1" applyAlignment="1">
      <alignment horizontal="center"/>
    </xf>
    <xf numFmtId="43" fontId="64" fillId="15" borderId="0" xfId="3" applyNumberFormat="1" applyFont="1" applyFill="1" applyAlignment="1">
      <alignment horizontal="center"/>
    </xf>
    <xf numFmtId="43" fontId="64" fillId="15" borderId="0" xfId="3" applyFont="1" applyFill="1" applyAlignment="1">
      <alignment horizontal="center"/>
    </xf>
    <xf numFmtId="37" fontId="64" fillId="15" borderId="0" xfId="0" applyNumberFormat="1" applyFont="1" applyFill="1" applyAlignment="1">
      <alignment horizontal="center"/>
    </xf>
    <xf numFmtId="169" fontId="64" fillId="15" borderId="0" xfId="0" applyNumberFormat="1" applyFont="1" applyFill="1" applyAlignment="1">
      <alignment horizontal="center"/>
    </xf>
    <xf numFmtId="178" fontId="64" fillId="15" borderId="0" xfId="0" applyNumberFormat="1" applyFont="1" applyFill="1" applyAlignment="1">
      <alignment horizontal="center"/>
    </xf>
    <xf numFmtId="43" fontId="64" fillId="15" borderId="0" xfId="0" applyNumberFormat="1" applyFont="1" applyFill="1" applyAlignment="1">
      <alignment horizontal="center"/>
    </xf>
    <xf numFmtId="173" fontId="64" fillId="7" borderId="0" xfId="3" applyNumberFormat="1" applyFont="1" applyFill="1" applyAlignment="1">
      <alignment horizontal="center"/>
    </xf>
    <xf numFmtId="43" fontId="64" fillId="7" borderId="4" xfId="3" applyNumberFormat="1" applyFont="1" applyFill="1" applyBorder="1" applyAlignment="1">
      <alignment horizontal="center"/>
    </xf>
    <xf numFmtId="0" fontId="64" fillId="9" borderId="0" xfId="0" applyNumberFormat="1" applyFont="1" applyFill="1" applyAlignment="1">
      <alignment horizontal="right"/>
    </xf>
    <xf numFmtId="0" fontId="3" fillId="9" borderId="0" xfId="0" quotePrefix="1" applyNumberFormat="1" applyFont="1" applyFill="1" applyAlignment="1">
      <alignment horizontal="right"/>
    </xf>
    <xf numFmtId="43" fontId="64" fillId="9" borderId="0" xfId="0" applyNumberFormat="1" applyFont="1" applyFill="1" applyAlignment="1">
      <alignment horizontal="center"/>
    </xf>
    <xf numFmtId="0" fontId="14" fillId="73" borderId="0" xfId="0" applyNumberFormat="1" applyFont="1" applyFill="1" applyAlignment="1">
      <alignment horizontal="center"/>
    </xf>
    <xf numFmtId="0" fontId="64" fillId="15" borderId="0" xfId="0" applyNumberFormat="1" applyFont="1" applyFill="1" applyAlignment="1">
      <alignment horizontal="right"/>
    </xf>
    <xf numFmtId="43" fontId="64" fillId="7" borderId="0" xfId="3" applyNumberFormat="1" applyFont="1" applyFill="1" applyBorder="1" applyAlignment="1">
      <alignment horizontal="center"/>
    </xf>
    <xf numFmtId="173" fontId="64" fillId="7" borderId="0" xfId="3" applyNumberFormat="1" applyFont="1" applyFill="1" applyAlignment="1"/>
    <xf numFmtId="1" fontId="64" fillId="15" borderId="0" xfId="0" applyNumberFormat="1" applyFont="1" applyFill="1" applyAlignment="1">
      <alignment horizontal="right"/>
    </xf>
    <xf numFmtId="0" fontId="64" fillId="8" borderId="0" xfId="0" applyNumberFormat="1" applyFont="1" applyFill="1" applyAlignment="1">
      <alignment horizontal="right"/>
    </xf>
    <xf numFmtId="43" fontId="64" fillId="7" borderId="0" xfId="3" applyFont="1" applyFill="1" applyAlignment="1">
      <alignment horizontal="right"/>
    </xf>
    <xf numFmtId="43" fontId="64" fillId="8" borderId="0" xfId="3" applyFont="1" applyFill="1" applyAlignment="1">
      <alignment horizontal="right"/>
    </xf>
    <xf numFmtId="43" fontId="64" fillId="8" borderId="0" xfId="0" applyNumberFormat="1" applyFont="1" applyFill="1" applyAlignment="1">
      <alignment horizontal="right"/>
    </xf>
    <xf numFmtId="0" fontId="64" fillId="14" borderId="0" xfId="0" applyNumberFormat="1" applyFont="1" applyFill="1" applyAlignment="1">
      <alignment horizontal="right"/>
    </xf>
    <xf numFmtId="0" fontId="64" fillId="7" borderId="0" xfId="0" applyNumberFormat="1" applyFont="1" applyFill="1" applyBorder="1" applyAlignment="1">
      <alignment horizontal="right"/>
    </xf>
    <xf numFmtId="0" fontId="64" fillId="14" borderId="0" xfId="0" applyNumberFormat="1" applyFont="1" applyFill="1" applyBorder="1" applyAlignment="1">
      <alignment horizontal="right"/>
    </xf>
    <xf numFmtId="43" fontId="64" fillId="7" borderId="0" xfId="3" applyFont="1" applyFill="1" applyBorder="1" applyAlignment="1">
      <alignment horizontal="right"/>
    </xf>
    <xf numFmtId="43" fontId="64" fillId="14" borderId="0" xfId="3" applyFont="1" applyFill="1" applyBorder="1" applyAlignment="1">
      <alignment horizontal="right"/>
    </xf>
    <xf numFmtId="43" fontId="64" fillId="14" borderId="0" xfId="3" applyFont="1" applyFill="1" applyAlignment="1">
      <alignment horizontal="right"/>
    </xf>
    <xf numFmtId="43" fontId="64" fillId="7" borderId="4" xfId="3" applyFont="1" applyFill="1" applyBorder="1" applyAlignment="1">
      <alignment horizontal="right"/>
    </xf>
    <xf numFmtId="0" fontId="64" fillId="14" borderId="4" xfId="0" applyNumberFormat="1" applyFont="1" applyFill="1" applyBorder="1" applyAlignment="1">
      <alignment horizontal="right"/>
    </xf>
    <xf numFmtId="43" fontId="64" fillId="14" borderId="4" xfId="3" applyFont="1" applyFill="1" applyBorder="1" applyAlignment="1">
      <alignment horizontal="right"/>
    </xf>
    <xf numFmtId="0" fontId="64" fillId="7" borderId="0" xfId="3" applyNumberFormat="1" applyFont="1" applyFill="1" applyBorder="1" applyAlignment="1">
      <alignment horizontal="right"/>
    </xf>
    <xf numFmtId="0" fontId="74" fillId="9" borderId="0" xfId="0" applyNumberFormat="1" applyFont="1" applyFill="1" applyAlignment="1">
      <alignment horizontal="right"/>
    </xf>
    <xf numFmtId="49" fontId="64" fillId="7" borderId="0" xfId="3" applyNumberFormat="1" applyFont="1" applyFill="1" applyBorder="1" applyAlignment="1">
      <alignment horizontal="right"/>
    </xf>
    <xf numFmtId="0" fontId="68" fillId="0" borderId="0" xfId="0" applyFont="1" applyFill="1" applyAlignment="1">
      <alignment horizontal="center" wrapText="1"/>
    </xf>
    <xf numFmtId="176" fontId="5" fillId="0" borderId="0" xfId="0" applyNumberFormat="1" applyFont="1" applyFill="1"/>
    <xf numFmtId="183" fontId="5" fillId="0" borderId="0" xfId="0" applyNumberFormat="1" applyFont="1" applyFill="1"/>
    <xf numFmtId="182" fontId="64" fillId="8" borderId="0" xfId="0" applyNumberFormat="1" applyFont="1" applyFill="1" applyAlignment="1">
      <alignment horizontal="right"/>
    </xf>
    <xf numFmtId="49" fontId="14" fillId="8" borderId="0" xfId="0" applyNumberFormat="1" applyFont="1" applyFill="1" applyAlignment="1">
      <alignment horizontal="right"/>
    </xf>
    <xf numFmtId="49" fontId="64" fillId="8" borderId="0" xfId="0" applyNumberFormat="1" applyFont="1" applyFill="1" applyAlignment="1">
      <alignment horizontal="right"/>
    </xf>
    <xf numFmtId="182" fontId="64" fillId="14" borderId="0" xfId="0" applyNumberFormat="1" applyFont="1" applyFill="1"/>
    <xf numFmtId="0" fontId="74" fillId="14" borderId="0" xfId="0" applyNumberFormat="1" applyFont="1" applyFill="1" applyAlignment="1">
      <alignment horizontal="center"/>
    </xf>
    <xf numFmtId="43" fontId="64" fillId="14" borderId="0" xfId="0" applyNumberFormat="1" applyFont="1" applyFill="1"/>
    <xf numFmtId="43" fontId="14" fillId="8" borderId="0" xfId="0" applyNumberFormat="1" applyFont="1" applyFill="1" applyAlignment="1">
      <alignment horizontal="right"/>
    </xf>
    <xf numFmtId="37" fontId="61" fillId="18" borderId="4" xfId="1" applyNumberFormat="1" applyFont="1" applyFill="1" applyBorder="1" applyAlignment="1">
      <alignment horizontal="right"/>
    </xf>
    <xf numFmtId="184" fontId="61" fillId="18" borderId="4" xfId="1" applyNumberFormat="1" applyFont="1" applyFill="1" applyBorder="1" applyAlignment="1">
      <alignment horizontal="right"/>
    </xf>
    <xf numFmtId="0" fontId="76" fillId="0" borderId="0" xfId="0" applyFont="1"/>
    <xf numFmtId="164" fontId="79" fillId="9" borderId="0" xfId="3" applyNumberFormat="1" applyFont="1" applyFill="1"/>
    <xf numFmtId="41" fontId="7" fillId="12" borderId="0" xfId="0" quotePrefix="1" applyNumberFormat="1" applyFont="1" applyFill="1" applyAlignment="1">
      <alignment horizontal="center"/>
    </xf>
    <xf numFmtId="41" fontId="7" fillId="13" borderId="0" xfId="0" quotePrefix="1" applyNumberFormat="1" applyFont="1" applyFill="1" applyAlignment="1">
      <alignment horizontal="center"/>
    </xf>
    <xf numFmtId="168" fontId="61" fillId="0" borderId="0" xfId="848" applyNumberFormat="1" applyFont="1" applyAlignment="1">
      <alignment horizontal="right"/>
    </xf>
    <xf numFmtId="0" fontId="64" fillId="0" borderId="0" xfId="0" applyFont="1" applyAlignment="1">
      <alignment horizontal="right"/>
    </xf>
    <xf numFmtId="0" fontId="61" fillId="0" borderId="0" xfId="848" applyFont="1" applyAlignment="1">
      <alignment horizontal="right"/>
    </xf>
    <xf numFmtId="0" fontId="64" fillId="0" borderId="0" xfId="0" applyNumberFormat="1" applyFont="1" applyAlignment="1">
      <alignment horizontal="center"/>
    </xf>
    <xf numFmtId="173" fontId="61" fillId="73" borderId="0" xfId="1" applyNumberFormat="1" applyFont="1" applyFill="1" applyAlignment="1">
      <alignment horizontal="right"/>
    </xf>
    <xf numFmtId="173" fontId="61" fillId="73" borderId="0" xfId="1" applyNumberFormat="1" applyFont="1" applyFill="1" applyBorder="1" applyAlignment="1">
      <alignment horizontal="right"/>
    </xf>
    <xf numFmtId="173" fontId="61" fillId="73" borderId="4" xfId="1" applyNumberFormat="1" applyFont="1" applyFill="1" applyBorder="1" applyAlignment="1">
      <alignment horizontal="right"/>
    </xf>
    <xf numFmtId="164" fontId="61" fillId="73" borderId="0" xfId="1" applyNumberFormat="1" applyFont="1" applyFill="1" applyAlignment="1">
      <alignment horizontal="right"/>
    </xf>
    <xf numFmtId="173" fontId="73" fillId="73" borderId="0" xfId="1" applyNumberFormat="1" applyFont="1" applyFill="1" applyAlignment="1">
      <alignment horizontal="right"/>
    </xf>
    <xf numFmtId="164" fontId="73" fillId="73" borderId="0" xfId="1" applyNumberFormat="1" applyFont="1" applyFill="1" applyAlignment="1">
      <alignment horizontal="right"/>
    </xf>
    <xf numFmtId="0" fontId="0" fillId="73" borderId="0" xfId="0" applyFill="1"/>
    <xf numFmtId="173" fontId="73" fillId="73" borderId="0" xfId="1" applyNumberFormat="1" applyFont="1" applyFill="1" applyBorder="1" applyAlignment="1">
      <alignment horizontal="right"/>
    </xf>
    <xf numFmtId="41" fontId="6" fillId="12" borderId="37" xfId="0" quotePrefix="1" applyNumberFormat="1" applyFont="1" applyFill="1" applyBorder="1" applyAlignment="1">
      <alignment horizontal="center" wrapText="1"/>
    </xf>
    <xf numFmtId="41" fontId="6" fillId="12" borderId="38" xfId="0" applyNumberFormat="1" applyFont="1" applyFill="1" applyBorder="1" applyAlignment="1">
      <alignment horizontal="center" wrapText="1"/>
    </xf>
    <xf numFmtId="168" fontId="5" fillId="0" borderId="0" xfId="0" applyNumberFormat="1" applyFont="1" applyFill="1"/>
    <xf numFmtId="164" fontId="5" fillId="0" borderId="0" xfId="3" applyNumberFormat="1" applyFont="1" applyFill="1"/>
    <xf numFmtId="44" fontId="5" fillId="0" borderId="0" xfId="0" applyNumberFormat="1" applyFont="1" applyFill="1"/>
    <xf numFmtId="0" fontId="5" fillId="0" borderId="0" xfId="0" quotePrefix="1" applyFont="1" applyFill="1" applyAlignment="1">
      <alignment horizontal="fill"/>
    </xf>
    <xf numFmtId="165" fontId="5" fillId="0" borderId="0" xfId="0" applyNumberFormat="1" applyFont="1" applyFill="1"/>
    <xf numFmtId="164" fontId="5" fillId="0" borderId="0" xfId="0" applyNumberFormat="1" applyFont="1" applyFill="1"/>
    <xf numFmtId="41" fontId="82" fillId="11" borderId="0" xfId="0" applyNumberFormat="1" applyFont="1" applyFill="1" applyAlignment="1">
      <alignment horizontal="left"/>
    </xf>
    <xf numFmtId="0" fontId="79" fillId="11" borderId="0" xfId="0" applyFont="1" applyFill="1" applyAlignment="1">
      <alignment horizontal="left"/>
    </xf>
    <xf numFmtId="0" fontId="64" fillId="0" borderId="0" xfId="0" applyFont="1" applyFill="1"/>
    <xf numFmtId="42" fontId="61" fillId="9" borderId="4" xfId="4" applyNumberFormat="1" applyFont="1" applyFill="1" applyBorder="1"/>
    <xf numFmtId="44" fontId="79" fillId="13" borderId="0" xfId="0" applyNumberFormat="1" applyFont="1" applyFill="1"/>
    <xf numFmtId="190" fontId="66" fillId="4" borderId="3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left"/>
    </xf>
    <xf numFmtId="167" fontId="6" fillId="0" borderId="0" xfId="4" applyNumberFormat="1" applyFont="1" applyFill="1"/>
    <xf numFmtId="0" fontId="6" fillId="0" borderId="0" xfId="11" applyFont="1" applyFill="1"/>
    <xf numFmtId="0" fontId="6" fillId="0" borderId="0" xfId="847" applyFont="1" applyFill="1"/>
    <xf numFmtId="0" fontId="6" fillId="0" borderId="0" xfId="0" applyFont="1" applyFill="1"/>
    <xf numFmtId="167" fontId="6" fillId="0" borderId="0" xfId="4" applyNumberFormat="1" applyFont="1"/>
    <xf numFmtId="37" fontId="6" fillId="0" borderId="0" xfId="0" applyNumberFormat="1" applyFont="1" applyAlignment="1">
      <alignment horizontal="center"/>
    </xf>
    <xf numFmtId="43" fontId="9" fillId="0" borderId="0" xfId="0" applyNumberFormat="1" applyFont="1"/>
    <xf numFmtId="41" fontId="9" fillId="0" borderId="0" xfId="0" applyNumberFormat="1" applyFont="1" applyAlignment="1">
      <alignment horizontal="right"/>
    </xf>
    <xf numFmtId="41" fontId="9" fillId="0" borderId="0" xfId="0" applyNumberFormat="1" applyFont="1"/>
    <xf numFmtId="41" fontId="5" fillId="0" borderId="0" xfId="0" applyNumberFormat="1" applyFont="1"/>
    <xf numFmtId="41" fontId="5" fillId="0" borderId="0" xfId="0" applyNumberFormat="1" applyFont="1" applyAlignment="1">
      <alignment horizontal="right"/>
    </xf>
    <xf numFmtId="41" fontId="6" fillId="0" borderId="19" xfId="851" applyFont="1" applyBorder="1" applyAlignment="1">
      <alignment horizontal="center"/>
    </xf>
    <xf numFmtId="41" fontId="6" fillId="0" borderId="19" xfId="851" quotePrefix="1" applyFont="1" applyBorder="1" applyAlignment="1">
      <alignment horizontal="center" wrapText="1"/>
    </xf>
    <xf numFmtId="41" fontId="6" fillId="0" borderId="0" xfId="851" quotePrefix="1" applyFont="1" applyAlignment="1">
      <alignment horizontal="center"/>
    </xf>
    <xf numFmtId="41" fontId="6" fillId="0" borderId="0" xfId="851" quotePrefix="1" applyFont="1" applyAlignment="1">
      <alignment horizontal="left"/>
    </xf>
    <xf numFmtId="167" fontId="6" fillId="0" borderId="0" xfId="4" applyNumberFormat="1" applyFont="1" applyFill="1" applyBorder="1"/>
    <xf numFmtId="41" fontId="7" fillId="0" borderId="0" xfId="851" applyFont="1"/>
    <xf numFmtId="167" fontId="7" fillId="0" borderId="6" xfId="4" applyNumberFormat="1" applyFont="1" applyBorder="1"/>
    <xf numFmtId="41" fontId="6" fillId="0" borderId="0" xfId="851" quotePrefix="1" applyFont="1" applyAlignment="1">
      <alignment horizontal="left" indent="1"/>
    </xf>
    <xf numFmtId="43" fontId="7" fillId="0" borderId="0" xfId="9" quotePrefix="1" applyFont="1" applyAlignment="1">
      <alignment horizontal="left"/>
    </xf>
    <xf numFmtId="0" fontId="9" fillId="0" borderId="0" xfId="0" quotePrefix="1" applyFont="1" applyAlignment="1">
      <alignment horizontal="right"/>
    </xf>
    <xf numFmtId="41" fontId="7" fillId="0" borderId="0" xfId="851" applyFont="1" applyFill="1" applyAlignment="1">
      <alignment horizontal="left"/>
    </xf>
    <xf numFmtId="0" fontId="9" fillId="0" borderId="0" xfId="0" applyFont="1" applyAlignment="1">
      <alignment horizontal="right"/>
    </xf>
    <xf numFmtId="41" fontId="6" fillId="0" borderId="0" xfId="851" applyFont="1" applyFill="1" applyAlignment="1">
      <alignment horizontal="left"/>
    </xf>
    <xf numFmtId="0" fontId="5" fillId="0" borderId="19" xfId="0" applyFont="1" applyBorder="1" applyAlignment="1">
      <alignment horizontal="center" wrapText="1"/>
    </xf>
    <xf numFmtId="0" fontId="5" fillId="0" borderId="19" xfId="0" quotePrefix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181" fontId="5" fillId="0" borderId="0" xfId="0" applyNumberFormat="1" applyFont="1" applyAlignment="1">
      <alignment horizontal="center" wrapText="1"/>
    </xf>
    <xf numFmtId="37" fontId="5" fillId="0" borderId="0" xfId="0" applyNumberFormat="1" applyFont="1" applyAlignment="1">
      <alignment horizontal="center"/>
    </xf>
    <xf numFmtId="175" fontId="5" fillId="0" borderId="0" xfId="0" applyNumberFormat="1" applyFont="1" applyAlignment="1">
      <alignment horizontal="center"/>
    </xf>
    <xf numFmtId="44" fontId="5" fillId="0" borderId="0" xfId="4" applyFont="1"/>
    <xf numFmtId="1" fontId="5" fillId="0" borderId="0" xfId="0" applyNumberFormat="1" applyFont="1" applyAlignment="1">
      <alignment horizontal="center"/>
    </xf>
    <xf numFmtId="39" fontId="5" fillId="0" borderId="0" xfId="0" applyNumberFormat="1" applyFont="1"/>
    <xf numFmtId="41" fontId="6" fillId="0" borderId="0" xfId="851" applyFont="1" applyFill="1"/>
    <xf numFmtId="164" fontId="5" fillId="0" borderId="0" xfId="9" applyNumberFormat="1" applyFont="1" applyFill="1"/>
    <xf numFmtId="167" fontId="5" fillId="0" borderId="0" xfId="4" applyNumberFormat="1" applyFont="1" applyFill="1"/>
    <xf numFmtId="41" fontId="7" fillId="0" borderId="0" xfId="851" applyFont="1" applyFill="1"/>
    <xf numFmtId="164" fontId="5" fillId="0" borderId="0" xfId="9" applyNumberFormat="1" applyFont="1"/>
    <xf numFmtId="0" fontId="5" fillId="0" borderId="0" xfId="0" applyFont="1" applyAlignment="1">
      <alignment horizontal="left" indent="1"/>
    </xf>
    <xf numFmtId="164" fontId="83" fillId="0" borderId="0" xfId="9" applyNumberFormat="1" applyFont="1"/>
    <xf numFmtId="164" fontId="68" fillId="0" borderId="0" xfId="9" applyNumberFormat="1" applyFont="1"/>
    <xf numFmtId="164" fontId="84" fillId="0" borderId="0" xfId="9" applyNumberFormat="1" applyFont="1"/>
    <xf numFmtId="167" fontId="84" fillId="0" borderId="0" xfId="0" applyNumberFormat="1" applyFont="1"/>
    <xf numFmtId="37" fontId="5" fillId="76" borderId="0" xfId="0" applyNumberFormat="1" applyFont="1" applyFill="1"/>
    <xf numFmtId="0" fontId="5" fillId="76" borderId="0" xfId="0" applyFont="1" applyFill="1"/>
    <xf numFmtId="37" fontId="5" fillId="0" borderId="0" xfId="0" applyNumberFormat="1" applyFont="1" applyFill="1"/>
    <xf numFmtId="167" fontId="83" fillId="0" borderId="0" xfId="4" applyNumberFormat="1" applyFont="1"/>
    <xf numFmtId="0" fontId="5" fillId="0" borderId="0" xfId="0" quotePrefix="1" applyFont="1" applyAlignment="1">
      <alignment horizontal="left"/>
    </xf>
    <xf numFmtId="167" fontId="84" fillId="0" borderId="0" xfId="4" applyNumberFormat="1" applyFont="1"/>
    <xf numFmtId="43" fontId="7" fillId="0" borderId="0" xfId="9" applyFont="1" applyBorder="1" applyAlignment="1">
      <alignment horizontal="left"/>
    </xf>
    <xf numFmtId="41" fontId="6" fillId="0" borderId="0" xfId="851" applyFont="1" applyBorder="1"/>
    <xf numFmtId="41" fontId="7" fillId="0" borderId="0" xfId="851" quotePrefix="1" applyFont="1" applyBorder="1" applyAlignment="1">
      <alignment horizontal="right"/>
    </xf>
    <xf numFmtId="0" fontId="5" fillId="0" borderId="0" xfId="0" applyFont="1" applyBorder="1"/>
    <xf numFmtId="41" fontId="6" fillId="0" borderId="0" xfId="851" applyFont="1"/>
    <xf numFmtId="41" fontId="7" fillId="0" borderId="0" xfId="851" applyFont="1" applyBorder="1" applyAlignment="1">
      <alignment horizontal="left"/>
    </xf>
    <xf numFmtId="41" fontId="7" fillId="0" borderId="0" xfId="851" applyFont="1" applyBorder="1" applyAlignment="1">
      <alignment horizontal="right"/>
    </xf>
    <xf numFmtId="41" fontId="6" fillId="0" borderId="0" xfId="851" applyFont="1" applyBorder="1" applyAlignment="1">
      <alignment horizontal="left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center"/>
    </xf>
    <xf numFmtId="0" fontId="9" fillId="0" borderId="19" xfId="0" applyFont="1" applyBorder="1" applyAlignment="1">
      <alignment horizontal="left"/>
    </xf>
    <xf numFmtId="0" fontId="9" fillId="0" borderId="19" xfId="0" applyFont="1" applyBorder="1" applyAlignment="1">
      <alignment horizontal="center"/>
    </xf>
    <xf numFmtId="167" fontId="5" fillId="0" borderId="7" xfId="4" applyNumberFormat="1" applyFont="1" applyFill="1" applyBorder="1"/>
    <xf numFmtId="10" fontId="5" fillId="0" borderId="0" xfId="10" applyNumberFormat="1" applyFont="1"/>
    <xf numFmtId="9" fontId="5" fillId="0" borderId="0" xfId="0" applyNumberFormat="1" applyFont="1"/>
    <xf numFmtId="0" fontId="5" fillId="0" borderId="0" xfId="0" applyFont="1" applyBorder="1" applyAlignment="1">
      <alignment horizontal="center"/>
    </xf>
    <xf numFmtId="41" fontId="7" fillId="0" borderId="0" xfId="851" applyFont="1" applyFill="1" applyBorder="1" applyAlignment="1">
      <alignment horizontal="right"/>
    </xf>
    <xf numFmtId="172" fontId="6" fillId="0" borderId="0" xfId="850" applyFont="1" applyBorder="1"/>
    <xf numFmtId="172" fontId="6" fillId="0" borderId="0" xfId="850" applyFont="1" applyBorder="1" applyAlignment="1">
      <alignment horizontal="right"/>
    </xf>
    <xf numFmtId="174" fontId="6" fillId="0" borderId="0" xfId="850" applyNumberFormat="1" applyFont="1" applyBorder="1" applyAlignment="1" applyProtection="1">
      <alignment horizontal="center"/>
    </xf>
    <xf numFmtId="172" fontId="6" fillId="0" borderId="0" xfId="850" applyFont="1" applyBorder="1" applyAlignment="1">
      <alignment horizontal="center"/>
    </xf>
    <xf numFmtId="172" fontId="6" fillId="0" borderId="0" xfId="850" quotePrefix="1" applyFont="1" applyBorder="1" applyAlignment="1"/>
    <xf numFmtId="0" fontId="79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72" fontId="7" fillId="0" borderId="0" xfId="850" applyFont="1" applyFill="1" applyBorder="1" applyAlignment="1">
      <alignment horizontal="center"/>
    </xf>
    <xf numFmtId="0" fontId="85" fillId="0" borderId="0" xfId="847" applyFont="1" applyFill="1" applyBorder="1" applyAlignment="1">
      <alignment horizontal="center"/>
    </xf>
    <xf numFmtId="0" fontId="7" fillId="0" borderId="0" xfId="847" applyFont="1" applyFill="1" applyBorder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19" xfId="0" applyFont="1" applyFill="1" applyBorder="1"/>
    <xf numFmtId="0" fontId="7" fillId="0" borderId="19" xfId="0" applyFont="1" applyFill="1" applyBorder="1" applyAlignment="1">
      <alignment horizontal="center"/>
    </xf>
    <xf numFmtId="0" fontId="7" fillId="0" borderId="19" xfId="847" applyFont="1" applyFill="1" applyBorder="1" applyAlignment="1">
      <alignment horizont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86" fillId="0" borderId="0" xfId="0" applyFont="1" applyFill="1"/>
    <xf numFmtId="0" fontId="7" fillId="0" borderId="0" xfId="0" applyFont="1" applyFill="1"/>
    <xf numFmtId="0" fontId="6" fillId="0" borderId="0" xfId="0" applyFont="1" applyFill="1" applyAlignment="1">
      <alignment horizontal="right"/>
    </xf>
    <xf numFmtId="164" fontId="6" fillId="0" borderId="0" xfId="1" applyNumberFormat="1" applyFont="1" applyFill="1"/>
    <xf numFmtId="37" fontId="6" fillId="0" borderId="0" xfId="3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center"/>
    </xf>
    <xf numFmtId="44" fontId="6" fillId="0" borderId="0" xfId="4" applyFont="1" applyFill="1"/>
    <xf numFmtId="167" fontId="6" fillId="0" borderId="0" xfId="0" applyNumberFormat="1" applyFont="1" applyFill="1"/>
    <xf numFmtId="0" fontId="6" fillId="0" borderId="0" xfId="0" quotePrefix="1" applyFont="1" applyFill="1" applyAlignment="1">
      <alignment horizontal="left"/>
    </xf>
    <xf numFmtId="177" fontId="6" fillId="0" borderId="0" xfId="4" applyNumberFormat="1" applyFont="1" applyFill="1"/>
    <xf numFmtId="0" fontId="7" fillId="0" borderId="0" xfId="847" applyFont="1" applyFill="1"/>
    <xf numFmtId="37" fontId="7" fillId="0" borderId="0" xfId="0" applyNumberFormat="1" applyFont="1" applyFill="1" applyAlignment="1">
      <alignment horizontal="center"/>
    </xf>
    <xf numFmtId="167" fontId="7" fillId="0" borderId="0" xfId="847" applyNumberFormat="1" applyFont="1" applyFill="1" applyBorder="1"/>
    <xf numFmtId="0" fontId="6" fillId="0" borderId="0" xfId="847" applyFont="1" applyFill="1" applyAlignment="1">
      <alignment horizontal="left"/>
    </xf>
    <xf numFmtId="171" fontId="6" fillId="0" borderId="0" xfId="1" applyNumberFormat="1" applyFont="1" applyFill="1" applyBorder="1"/>
    <xf numFmtId="37" fontId="6" fillId="0" borderId="0" xfId="0" applyNumberFormat="1" applyFont="1" applyFill="1" applyAlignment="1">
      <alignment horizontal="center"/>
    </xf>
    <xf numFmtId="170" fontId="6" fillId="0" borderId="0" xfId="4" applyNumberFormat="1" applyFont="1" applyFill="1"/>
    <xf numFmtId="167" fontId="7" fillId="0" borderId="20" xfId="0" applyNumberFormat="1" applyFont="1" applyFill="1" applyBorder="1"/>
    <xf numFmtId="167" fontId="7" fillId="0" borderId="0" xfId="0" applyNumberFormat="1" applyFont="1" applyFill="1" applyBorder="1"/>
    <xf numFmtId="0" fontId="6" fillId="0" borderId="0" xfId="847" applyFont="1" applyFill="1" applyBorder="1"/>
    <xf numFmtId="0" fontId="6" fillId="0" borderId="0" xfId="0" applyFont="1" applyFill="1" applyBorder="1"/>
    <xf numFmtId="10" fontId="87" fillId="0" borderId="0" xfId="8" applyNumberFormat="1" applyFont="1" applyFill="1"/>
    <xf numFmtId="0" fontId="6" fillId="0" borderId="0" xfId="0" applyFont="1" applyFill="1" applyAlignment="1">
      <alignment horizontal="left" indent="1"/>
    </xf>
    <xf numFmtId="10" fontId="87" fillId="0" borderId="0" xfId="0" applyNumberFormat="1" applyFont="1" applyFill="1"/>
    <xf numFmtId="42" fontId="6" fillId="0" borderId="0" xfId="0" applyNumberFormat="1" applyFont="1" applyFill="1"/>
    <xf numFmtId="167" fontId="7" fillId="0" borderId="0" xfId="0" applyNumberFormat="1" applyFont="1" applyFill="1"/>
    <xf numFmtId="44" fontId="6" fillId="0" borderId="0" xfId="0" applyNumberFormat="1" applyFont="1" applyFill="1"/>
    <xf numFmtId="0" fontId="6" fillId="0" borderId="0" xfId="847" applyFont="1" applyFill="1" applyAlignment="1">
      <alignment horizontal="right"/>
    </xf>
    <xf numFmtId="167" fontId="6" fillId="0" borderId="0" xfId="847" applyNumberFormat="1" applyFont="1" applyFill="1" applyBorder="1"/>
    <xf numFmtId="167" fontId="7" fillId="0" borderId="20" xfId="847" applyNumberFormat="1" applyFont="1" applyFill="1" applyBorder="1"/>
    <xf numFmtId="10" fontId="5" fillId="0" borderId="0" xfId="0" applyNumberFormat="1" applyFont="1" applyFill="1"/>
    <xf numFmtId="42" fontId="5" fillId="0" borderId="0" xfId="0" applyNumberFormat="1" applyFont="1"/>
    <xf numFmtId="0" fontId="7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7" fontId="5" fillId="0" borderId="0" xfId="0" applyNumberFormat="1" applyFont="1" applyFill="1"/>
    <xf numFmtId="42" fontId="5" fillId="0" borderId="0" xfId="0" applyNumberFormat="1" applyFont="1" applyFill="1"/>
    <xf numFmtId="1" fontId="5" fillId="0" borderId="0" xfId="0" applyNumberFormat="1" applyFont="1"/>
    <xf numFmtId="0" fontId="86" fillId="0" borderId="0" xfId="0" quotePrefix="1" applyFont="1" applyFill="1" applyAlignment="1">
      <alignment horizontal="left"/>
    </xf>
    <xf numFmtId="0" fontId="5" fillId="0" borderId="0" xfId="0" quotePrefix="1" applyFont="1" applyFill="1" applyAlignment="1">
      <alignment horizontal="left"/>
    </xf>
    <xf numFmtId="0" fontId="6" fillId="0" borderId="0" xfId="0" applyFont="1" applyFill="1" applyBorder="1" applyAlignment="1">
      <alignment horizontal="center"/>
    </xf>
    <xf numFmtId="177" fontId="6" fillId="0" borderId="0" xfId="0" applyNumberFormat="1" applyFont="1" applyFill="1"/>
    <xf numFmtId="171" fontId="6" fillId="0" borderId="0" xfId="0" applyNumberFormat="1" applyFont="1" applyFill="1"/>
    <xf numFmtId="1" fontId="6" fillId="0" borderId="0" xfId="0" applyNumberFormat="1" applyFont="1" applyFill="1" applyBorder="1" applyAlignment="1">
      <alignment horizontal="center"/>
    </xf>
    <xf numFmtId="164" fontId="6" fillId="0" borderId="0" xfId="3" applyNumberFormat="1" applyFont="1" applyFill="1" applyBorder="1" applyAlignment="1">
      <alignment horizontal="center"/>
    </xf>
    <xf numFmtId="173" fontId="6" fillId="0" borderId="0" xfId="0" applyNumberFormat="1" applyFont="1" applyFill="1"/>
    <xf numFmtId="173" fontId="6" fillId="0" borderId="0" xfId="0" applyNumberFormat="1" applyFont="1" applyFill="1" applyAlignment="1">
      <alignment horizontal="center"/>
    </xf>
    <xf numFmtId="42" fontId="7" fillId="0" borderId="0" xfId="0" applyNumberFormat="1" applyFont="1" applyFill="1"/>
    <xf numFmtId="0" fontId="5" fillId="0" borderId="0" xfId="0" applyFont="1" applyFill="1" applyAlignment="1">
      <alignment horizontal="left"/>
    </xf>
    <xf numFmtId="0" fontId="6" fillId="0" borderId="0" xfId="847" applyFont="1" applyFill="1" applyAlignment="1">
      <alignment horizontal="center"/>
    </xf>
    <xf numFmtId="43" fontId="5" fillId="0" borderId="0" xfId="3" applyFont="1"/>
    <xf numFmtId="43" fontId="5" fillId="0" borderId="0" xfId="0" applyNumberFormat="1" applyFont="1"/>
    <xf numFmtId="0" fontId="6" fillId="0" borderId="0" xfId="847" applyFont="1" applyFill="1" applyBorder="1" applyAlignment="1">
      <alignment horizontal="center"/>
    </xf>
    <xf numFmtId="177" fontId="6" fillId="0" borderId="0" xfId="4" applyNumberFormat="1" applyFont="1" applyFill="1" applyBorder="1"/>
    <xf numFmtId="42" fontId="6" fillId="0" borderId="0" xfId="0" applyNumberFormat="1" applyFont="1" applyFill="1" applyBorder="1"/>
    <xf numFmtId="164" fontId="6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center"/>
    </xf>
    <xf numFmtId="167" fontId="7" fillId="0" borderId="20" xfId="849" applyNumberFormat="1" applyFont="1" applyFill="1" applyBorder="1"/>
    <xf numFmtId="167" fontId="7" fillId="0" borderId="0" xfId="849" applyNumberFormat="1" applyFont="1" applyFill="1" applyBorder="1"/>
    <xf numFmtId="0" fontId="7" fillId="0" borderId="0" xfId="0" quotePrefix="1" applyFont="1" applyFill="1" applyProtection="1"/>
    <xf numFmtId="189" fontId="6" fillId="0" borderId="0" xfId="0" applyNumberFormat="1" applyFont="1" applyFill="1"/>
    <xf numFmtId="0" fontId="6" fillId="0" borderId="0" xfId="847" applyFont="1" applyFill="1" applyAlignment="1">
      <alignment horizontal="left" indent="1"/>
    </xf>
    <xf numFmtId="188" fontId="6" fillId="0" borderId="0" xfId="0" applyNumberFormat="1" applyFont="1" applyFill="1" applyBorder="1"/>
    <xf numFmtId="164" fontId="6" fillId="0" borderId="0" xfId="846" applyNumberFormat="1" applyFont="1" applyFill="1"/>
    <xf numFmtId="164" fontId="6" fillId="0" borderId="0" xfId="846" applyNumberFormat="1" applyFont="1" applyFill="1" applyBorder="1"/>
    <xf numFmtId="173" fontId="6" fillId="0" borderId="0" xfId="846" applyNumberFormat="1" applyFont="1" applyFill="1"/>
    <xf numFmtId="164" fontId="7" fillId="0" borderId="0" xfId="846" quotePrefix="1" applyNumberFormat="1" applyFont="1" applyFill="1" applyAlignment="1">
      <alignment horizontal="center"/>
    </xf>
    <xf numFmtId="164" fontId="7" fillId="0" borderId="0" xfId="846" quotePrefix="1" applyNumberFormat="1" applyFont="1" applyFill="1" applyBorder="1" applyAlignment="1">
      <alignment horizontal="center"/>
    </xf>
    <xf numFmtId="43" fontId="7" fillId="0" borderId="0" xfId="846" quotePrefix="1" applyFont="1" applyFill="1" applyAlignment="1">
      <alignment horizontal="center"/>
    </xf>
    <xf numFmtId="173" fontId="7" fillId="0" borderId="0" xfId="846" quotePrefix="1" applyNumberFormat="1" applyFont="1" applyFill="1" applyAlignment="1">
      <alignment horizontal="center"/>
    </xf>
    <xf numFmtId="164" fontId="6" fillId="0" borderId="0" xfId="846" applyNumberFormat="1" applyFont="1" applyFill="1" applyAlignment="1">
      <alignment horizontal="right"/>
    </xf>
    <xf numFmtId="164" fontId="6" fillId="0" borderId="0" xfId="846" applyNumberFormat="1" applyFont="1" applyFill="1" applyBorder="1" applyAlignment="1">
      <alignment horizontal="right"/>
    </xf>
    <xf numFmtId="164" fontId="6" fillId="0" borderId="0" xfId="846" applyNumberFormat="1" applyFont="1" applyFill="1" applyAlignment="1">
      <alignment horizontal="center"/>
    </xf>
    <xf numFmtId="164" fontId="7" fillId="0" borderId="0" xfId="846" applyNumberFormat="1" applyFont="1" applyFill="1" applyBorder="1" applyAlignment="1">
      <alignment horizontal="center"/>
    </xf>
    <xf numFmtId="164" fontId="7" fillId="0" borderId="0" xfId="846" applyNumberFormat="1" applyFont="1" applyFill="1" applyAlignment="1">
      <alignment horizontal="center"/>
    </xf>
    <xf numFmtId="173" fontId="6" fillId="0" borderId="0" xfId="846" applyNumberFormat="1" applyFont="1" applyFill="1" applyAlignment="1">
      <alignment horizontal="center"/>
    </xf>
    <xf numFmtId="173" fontId="7" fillId="0" borderId="0" xfId="846" applyNumberFormat="1" applyFont="1" applyFill="1" applyAlignment="1">
      <alignment horizontal="center"/>
    </xf>
    <xf numFmtId="174" fontId="6" fillId="0" borderId="0" xfId="847" applyNumberFormat="1" applyFont="1" applyFill="1" applyAlignment="1" applyProtection="1">
      <alignment horizontal="center"/>
    </xf>
    <xf numFmtId="164" fontId="6" fillId="0" borderId="0" xfId="846" quotePrefix="1" applyNumberFormat="1" applyFont="1" applyFill="1" applyBorder="1" applyAlignment="1" applyProtection="1">
      <alignment horizontal="center"/>
    </xf>
    <xf numFmtId="164" fontId="6" fillId="0" borderId="4" xfId="846" applyNumberFormat="1" applyFont="1" applyFill="1" applyBorder="1" applyAlignment="1" applyProtection="1">
      <alignment horizontal="center"/>
    </xf>
    <xf numFmtId="164" fontId="6" fillId="0" borderId="4" xfId="846" applyNumberFormat="1" applyFont="1" applyFill="1" applyBorder="1" applyAlignment="1">
      <alignment horizontal="center"/>
    </xf>
    <xf numFmtId="164" fontId="6" fillId="0" borderId="4" xfId="846" quotePrefix="1" applyNumberFormat="1" applyFont="1" applyFill="1" applyBorder="1" applyAlignment="1" applyProtection="1">
      <alignment horizontal="center"/>
    </xf>
    <xf numFmtId="164" fontId="7" fillId="0" borderId="4" xfId="846" applyNumberFormat="1" applyFont="1" applyFill="1" applyBorder="1" applyAlignment="1" applyProtection="1">
      <alignment horizontal="center"/>
    </xf>
    <xf numFmtId="173" fontId="6" fillId="0" borderId="4" xfId="847" applyNumberFormat="1" applyFont="1" applyFill="1" applyBorder="1" applyAlignment="1">
      <alignment horizontal="center"/>
    </xf>
    <xf numFmtId="0" fontId="7" fillId="0" borderId="0" xfId="847" applyFont="1" applyFill="1" applyBorder="1"/>
    <xf numFmtId="164" fontId="6" fillId="0" borderId="0" xfId="847" applyNumberFormat="1" applyFont="1" applyFill="1" applyBorder="1"/>
    <xf numFmtId="167" fontId="6" fillId="0" borderId="7" xfId="4" applyNumberFormat="1" applyFont="1" applyFill="1" applyBorder="1"/>
    <xf numFmtId="187" fontId="6" fillId="0" borderId="7" xfId="4" applyNumberFormat="1" applyFont="1" applyFill="1" applyBorder="1"/>
    <xf numFmtId="0" fontId="6" fillId="0" borderId="0" xfId="15" applyFont="1" applyFill="1" applyAlignment="1">
      <alignment horizontal="left"/>
    </xf>
    <xf numFmtId="167" fontId="6" fillId="0" borderId="4" xfId="4" applyNumberFormat="1" applyFont="1" applyFill="1" applyBorder="1"/>
    <xf numFmtId="164" fontId="6" fillId="0" borderId="0" xfId="847" applyNumberFormat="1" applyFont="1" applyFill="1"/>
    <xf numFmtId="0" fontId="6" fillId="0" borderId="0" xfId="15" applyFont="1" applyFill="1"/>
    <xf numFmtId="187" fontId="6" fillId="0" borderId="0" xfId="4" applyNumberFormat="1" applyFont="1" applyFill="1" applyBorder="1"/>
    <xf numFmtId="167" fontId="0" fillId="0" borderId="0" xfId="0" applyNumberFormat="1" applyFont="1" applyFill="1"/>
    <xf numFmtId="0" fontId="0" fillId="0" borderId="0" xfId="0" applyFont="1" applyFill="1"/>
    <xf numFmtId="167" fontId="87" fillId="0" borderId="0" xfId="4" applyNumberFormat="1" applyFont="1" applyFill="1" applyBorder="1"/>
    <xf numFmtId="164" fontId="87" fillId="0" borderId="0" xfId="846" applyNumberFormat="1" applyFont="1" applyFill="1" applyBorder="1"/>
    <xf numFmtId="186" fontId="6" fillId="0" borderId="0" xfId="4" applyNumberFormat="1" applyFont="1" applyFill="1" applyBorder="1"/>
    <xf numFmtId="0" fontId="6" fillId="0" borderId="0" xfId="847" applyFont="1" applyFill="1" applyBorder="1" applyAlignment="1">
      <alignment horizontal="right"/>
    </xf>
    <xf numFmtId="43" fontId="6" fillId="0" borderId="0" xfId="846" applyFont="1" applyFill="1" applyBorder="1"/>
    <xf numFmtId="0" fontId="6" fillId="0" borderId="0" xfId="12" applyFont="1"/>
    <xf numFmtId="0" fontId="6" fillId="0" borderId="0" xfId="11" applyFont="1"/>
    <xf numFmtId="43" fontId="6" fillId="0" borderId="0" xfId="3" applyFont="1" applyFill="1"/>
    <xf numFmtId="0" fontId="7" fillId="0" borderId="0" xfId="11" applyFont="1"/>
    <xf numFmtId="0" fontId="6" fillId="0" borderId="0" xfId="0" applyFont="1"/>
    <xf numFmtId="0" fontId="7" fillId="0" borderId="0" xfId="11" applyFont="1" applyAlignment="1">
      <alignment horizontal="center"/>
    </xf>
    <xf numFmtId="0" fontId="7" fillId="0" borderId="4" xfId="11" applyFont="1" applyBorder="1" applyAlignment="1">
      <alignment horizontal="left"/>
    </xf>
    <xf numFmtId="49" fontId="7" fillId="0" borderId="4" xfId="11" quotePrefix="1" applyNumberFormat="1" applyFont="1" applyFill="1" applyBorder="1" applyAlignment="1">
      <alignment horizontal="center"/>
    </xf>
    <xf numFmtId="14" fontId="7" fillId="0" borderId="4" xfId="11" quotePrefix="1" applyNumberFormat="1" applyFont="1" applyFill="1" applyBorder="1" applyAlignment="1">
      <alignment horizontal="center"/>
    </xf>
    <xf numFmtId="0" fontId="7" fillId="0" borderId="0" xfId="11" applyFont="1" applyBorder="1" applyAlignment="1">
      <alignment horizontal="center"/>
    </xf>
    <xf numFmtId="167" fontId="88" fillId="0" borderId="0" xfId="4" applyNumberFormat="1" applyFont="1" applyFill="1"/>
    <xf numFmtId="164" fontId="88" fillId="0" borderId="0" xfId="3" applyNumberFormat="1" applyFont="1" applyFill="1"/>
    <xf numFmtId="0" fontId="6" fillId="0" borderId="0" xfId="11" quotePrefix="1" applyFont="1" applyFill="1" applyAlignment="1">
      <alignment horizontal="left"/>
    </xf>
    <xf numFmtId="0" fontId="6" fillId="0" borderId="0" xfId="11" applyFont="1" applyFill="1" applyAlignment="1">
      <alignment horizontal="left"/>
    </xf>
    <xf numFmtId="164" fontId="88" fillId="0" borderId="4" xfId="3" applyNumberFormat="1" applyFont="1" applyFill="1" applyBorder="1"/>
    <xf numFmtId="0" fontId="6" fillId="0" borderId="0" xfId="11" applyFont="1" applyAlignment="1">
      <alignment horizontal="center"/>
    </xf>
    <xf numFmtId="167" fontId="88" fillId="0" borderId="0" xfId="3" applyNumberFormat="1" applyFont="1" applyFill="1"/>
    <xf numFmtId="0" fontId="6" fillId="0" borderId="0" xfId="12" applyFont="1" applyFill="1"/>
    <xf numFmtId="0" fontId="7" fillId="0" borderId="0" xfId="12" applyFont="1" applyAlignment="1">
      <alignment horizontal="center"/>
    </xf>
    <xf numFmtId="164" fontId="6" fillId="0" borderId="6" xfId="12" applyNumberFormat="1" applyFont="1" applyFill="1" applyBorder="1"/>
    <xf numFmtId="167" fontId="6" fillId="0" borderId="0" xfId="12" applyNumberFormat="1" applyFont="1"/>
    <xf numFmtId="43" fontId="6" fillId="0" borderId="0" xfId="3" applyFont="1" applyAlignment="1">
      <alignment horizontal="right"/>
    </xf>
    <xf numFmtId="0" fontId="7" fillId="0" borderId="0" xfId="12" applyFont="1" applyFill="1"/>
    <xf numFmtId="0" fontId="6" fillId="0" borderId="0" xfId="12" quotePrefix="1" applyFont="1" applyAlignment="1">
      <alignment horizontal="left"/>
    </xf>
    <xf numFmtId="43" fontId="6" fillId="0" borderId="0" xfId="3" applyFont="1"/>
    <xf numFmtId="168" fontId="5" fillId="0" borderId="0" xfId="0" applyNumberFormat="1" applyFont="1"/>
    <xf numFmtId="167" fontId="88" fillId="0" borderId="0" xfId="4" applyNumberFormat="1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7" fontId="6" fillId="0" borderId="4" xfId="0" applyNumberFormat="1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167" fontId="88" fillId="0" borderId="4" xfId="4" applyNumberFormat="1" applyFont="1" applyBorder="1"/>
    <xf numFmtId="167" fontId="6" fillId="0" borderId="0" xfId="0" applyNumberFormat="1" applyFont="1"/>
    <xf numFmtId="0" fontId="6" fillId="0" borderId="4" xfId="0" applyFont="1" applyFill="1" applyBorder="1"/>
    <xf numFmtId="167" fontId="6" fillId="0" borderId="4" xfId="0" applyNumberFormat="1" applyFont="1" applyFill="1" applyBorder="1"/>
    <xf numFmtId="164" fontId="0" fillId="0" borderId="0" xfId="3" applyNumberFormat="1" applyFont="1"/>
    <xf numFmtId="0" fontId="5" fillId="11" borderId="0" xfId="0" applyFont="1" applyFill="1" applyAlignment="1">
      <alignment horizontal="right"/>
    </xf>
    <xf numFmtId="0" fontId="6" fillId="0" borderId="4" xfId="0" applyFont="1" applyFill="1" applyBorder="1" applyAlignment="1">
      <alignment horizontal="left" indent="1"/>
    </xf>
    <xf numFmtId="0" fontId="6" fillId="0" borderId="0" xfId="0" applyFont="1" applyFill="1" applyBorder="1" applyAlignment="1">
      <alignment horizontal="left" indent="1"/>
    </xf>
    <xf numFmtId="44" fontId="6" fillId="0" borderId="4" xfId="0" applyNumberFormat="1" applyFont="1" applyFill="1" applyBorder="1"/>
    <xf numFmtId="44" fontId="6" fillId="0" borderId="0" xfId="0" applyNumberFormat="1" applyFont="1" applyFill="1" applyBorder="1"/>
    <xf numFmtId="42" fontId="6" fillId="0" borderId="4" xfId="0" applyNumberFormat="1" applyFont="1" applyFill="1" applyBorder="1"/>
    <xf numFmtId="167" fontId="6" fillId="0" borderId="4" xfId="847" applyNumberFormat="1" applyFont="1" applyFill="1" applyBorder="1"/>
    <xf numFmtId="0" fontId="6" fillId="0" borderId="4" xfId="847" applyFont="1" applyFill="1" applyBorder="1"/>
    <xf numFmtId="187" fontId="6" fillId="0" borderId="4" xfId="4" applyNumberFormat="1" applyFont="1" applyFill="1" applyBorder="1"/>
    <xf numFmtId="164" fontId="89" fillId="0" borderId="0" xfId="3" applyNumberFormat="1" applyFont="1"/>
    <xf numFmtId="164" fontId="76" fillId="0" borderId="0" xfId="3" applyNumberFormat="1" applyFont="1"/>
    <xf numFmtId="0" fontId="90" fillId="0" borderId="0" xfId="0" applyFont="1"/>
    <xf numFmtId="0" fontId="91" fillId="0" borderId="0" xfId="5" applyFont="1"/>
    <xf numFmtId="10" fontId="0" fillId="0" borderId="0" xfId="10" applyNumberFormat="1" applyFont="1"/>
    <xf numFmtId="0" fontId="0" fillId="0" borderId="7" xfId="0" applyBorder="1"/>
    <xf numFmtId="0" fontId="76" fillId="0" borderId="7" xfId="0" applyFont="1" applyBorder="1"/>
    <xf numFmtId="43" fontId="0" fillId="0" borderId="0" xfId="0" applyNumberFormat="1"/>
    <xf numFmtId="0" fontId="92" fillId="0" borderId="7" xfId="5" applyFont="1" applyFill="1" applyBorder="1"/>
    <xf numFmtId="164" fontId="92" fillId="0" borderId="0" xfId="3" applyNumberFormat="1" applyFont="1"/>
    <xf numFmtId="0" fontId="92" fillId="0" borderId="0" xfId="5" applyFont="1"/>
    <xf numFmtId="41" fontId="6" fillId="0" borderId="0" xfId="851" quotePrefix="1" applyFont="1" applyFill="1" applyAlignment="1">
      <alignment horizontal="left"/>
    </xf>
    <xf numFmtId="178" fontId="0" fillId="0" borderId="0" xfId="0" applyNumberFormat="1"/>
    <xf numFmtId="164" fontId="5" fillId="0" borderId="4" xfId="3" applyNumberFormat="1" applyFont="1" applyFill="1" applyBorder="1"/>
    <xf numFmtId="49" fontId="0" fillId="0" borderId="0" xfId="0" applyNumberFormat="1" applyFont="1" applyAlignment="1">
      <alignment horizontal="left" wrapText="1"/>
    </xf>
    <xf numFmtId="49" fontId="0" fillId="0" borderId="0" xfId="0" applyNumberFormat="1" applyFont="1" applyAlignment="1">
      <alignment horizontal="right" wrapText="1"/>
    </xf>
    <xf numFmtId="184" fontId="0" fillId="0" borderId="0" xfId="0" applyNumberFormat="1" applyFont="1" applyAlignment="1">
      <alignment horizontal="right"/>
    </xf>
    <xf numFmtId="184" fontId="0" fillId="0" borderId="0" xfId="0" applyNumberFormat="1" applyFont="1" applyAlignment="1">
      <alignment horizontal="left"/>
    </xf>
    <xf numFmtId="191" fontId="0" fillId="0" borderId="0" xfId="0" applyNumberFormat="1" applyFont="1" applyAlignment="1">
      <alignment horizontal="left"/>
    </xf>
    <xf numFmtId="191" fontId="0" fillId="0" borderId="0" xfId="0" applyNumberFormat="1" applyFont="1" applyAlignment="1">
      <alignment horizontal="right"/>
    </xf>
    <xf numFmtId="185" fontId="0" fillId="0" borderId="0" xfId="0" applyNumberFormat="1" applyFont="1" applyAlignment="1">
      <alignment horizontal="left"/>
    </xf>
    <xf numFmtId="185" fontId="0" fillId="0" borderId="0" xfId="0" applyNumberFormat="1" applyFont="1" applyAlignment="1">
      <alignment horizontal="right"/>
    </xf>
    <xf numFmtId="43" fontId="0" fillId="0" borderId="0" xfId="3" applyFont="1"/>
    <xf numFmtId="167" fontId="6" fillId="0" borderId="0" xfId="0" applyNumberFormat="1" applyFont="1" applyFill="1" applyBorder="1"/>
    <xf numFmtId="192" fontId="6" fillId="0" borderId="0" xfId="10" applyNumberFormat="1" applyFont="1" applyFill="1" applyBorder="1"/>
    <xf numFmtId="0" fontId="67" fillId="0" borderId="0" xfId="847" applyFont="1" applyFill="1"/>
    <xf numFmtId="0" fontId="7" fillId="0" borderId="0" xfId="847" applyFont="1" applyFill="1" applyAlignment="1">
      <alignment horizontal="left"/>
    </xf>
    <xf numFmtId="0" fontId="67" fillId="0" borderId="0" xfId="847" applyFont="1" applyFill="1" applyBorder="1"/>
    <xf numFmtId="0" fontId="67" fillId="0" borderId="0" xfId="0" applyFont="1" applyFill="1" applyBorder="1"/>
    <xf numFmtId="0" fontId="67" fillId="0" borderId="0" xfId="0" applyFont="1" applyFill="1"/>
    <xf numFmtId="0" fontId="67" fillId="0" borderId="0" xfId="0" quotePrefix="1" applyFont="1" applyFill="1" applyProtection="1"/>
    <xf numFmtId="37" fontId="6" fillId="0" borderId="0" xfId="3" applyNumberFormat="1" applyFont="1" applyFill="1" applyBorder="1" applyAlignment="1">
      <alignment horizontal="center"/>
    </xf>
    <xf numFmtId="170" fontId="6" fillId="0" borderId="0" xfId="4" applyNumberFormat="1" applyFont="1" applyFill="1" applyBorder="1"/>
    <xf numFmtId="0" fontId="0" fillId="0" borderId="4" xfId="0" applyBorder="1"/>
    <xf numFmtId="167" fontId="0" fillId="0" borderId="0" xfId="4" applyNumberFormat="1" applyFont="1"/>
    <xf numFmtId="167" fontId="0" fillId="0" borderId="4" xfId="4" applyNumberFormat="1" applyFont="1" applyBorder="1"/>
    <xf numFmtId="164" fontId="0" fillId="0" borderId="0" xfId="3" applyNumberFormat="1" applyFont="1" applyAlignment="1">
      <alignment horizontal="right"/>
    </xf>
    <xf numFmtId="0" fontId="0" fillId="0" borderId="0" xfId="0" applyAlignment="1">
      <alignment horizontal="left" indent="1"/>
    </xf>
    <xf numFmtId="0" fontId="93" fillId="0" borderId="0" xfId="0" applyFont="1" applyAlignment="1">
      <alignment horizontal="center"/>
    </xf>
    <xf numFmtId="6" fontId="0" fillId="0" borderId="0" xfId="0" applyNumberFormat="1"/>
    <xf numFmtId="6" fontId="0" fillId="0" borderId="4" xfId="0" applyNumberFormat="1" applyBorder="1"/>
    <xf numFmtId="0" fontId="0" fillId="0" borderId="0" xfId="0" applyFill="1" applyBorder="1"/>
    <xf numFmtId="193" fontId="0" fillId="0" borderId="0" xfId="10" applyNumberFormat="1" applyFont="1"/>
    <xf numFmtId="41" fontId="5" fillId="0" borderId="0" xfId="0" applyNumberFormat="1" applyFont="1" applyFill="1" applyAlignment="1">
      <alignment horizontal="left" indent="1"/>
    </xf>
    <xf numFmtId="184" fontId="0" fillId="7" borderId="0" xfId="0" applyNumberFormat="1" applyFont="1" applyFill="1" applyAlignment="1">
      <alignment horizontal="right"/>
    </xf>
    <xf numFmtId="184" fontId="59" fillId="7" borderId="0" xfId="0" applyNumberFormat="1" applyFont="1" applyFill="1" applyAlignment="1">
      <alignment horizontal="left"/>
    </xf>
    <xf numFmtId="0" fontId="0" fillId="7" borderId="0" xfId="0" applyFill="1"/>
    <xf numFmtId="44" fontId="9" fillId="0" borderId="0" xfId="0" applyNumberFormat="1" applyFont="1" applyFill="1"/>
    <xf numFmtId="0" fontId="79" fillId="9" borderId="0" xfId="0" applyFont="1" applyFill="1"/>
    <xf numFmtId="0" fontId="9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0" fontId="59" fillId="0" borderId="0" xfId="852" applyFont="1" applyAlignment="1">
      <alignment horizontal="left"/>
    </xf>
    <xf numFmtId="0" fontId="94" fillId="0" borderId="0" xfId="0" applyFont="1" applyAlignment="1">
      <alignment horizontal="left"/>
    </xf>
    <xf numFmtId="0" fontId="66" fillId="5" borderId="3" xfId="0" applyFont="1" applyFill="1" applyBorder="1" applyAlignment="1">
      <alignment horizontal="right" vertical="center" wrapText="1"/>
    </xf>
    <xf numFmtId="0" fontId="66" fillId="6" borderId="3" xfId="0" applyFont="1" applyFill="1" applyBorder="1" applyAlignment="1">
      <alignment horizontal="right" vertical="center" wrapText="1"/>
    </xf>
    <xf numFmtId="2" fontId="0" fillId="7" borderId="0" xfId="0" applyNumberFormat="1" applyFill="1"/>
    <xf numFmtId="166" fontId="66" fillId="86" borderId="3" xfId="0" applyNumberFormat="1" applyFont="1" applyFill="1" applyBorder="1" applyAlignment="1">
      <alignment horizontal="right" vertical="center" wrapText="1"/>
    </xf>
    <xf numFmtId="49" fontId="66" fillId="86" borderId="3" xfId="0" applyNumberFormat="1" applyFont="1" applyFill="1" applyBorder="1" applyAlignment="1">
      <alignment horizontal="right" vertical="center" wrapText="1"/>
    </xf>
    <xf numFmtId="166" fontId="66" fillId="85" borderId="3" xfId="0" applyNumberFormat="1" applyFont="1" applyFill="1" applyBorder="1" applyAlignment="1">
      <alignment horizontal="right" vertical="center" wrapText="1"/>
    </xf>
    <xf numFmtId="49" fontId="66" fillId="85" borderId="3" xfId="0" applyNumberFormat="1" applyFont="1" applyFill="1" applyBorder="1" applyAlignment="1">
      <alignment horizontal="right" vertical="center" wrapText="1"/>
    </xf>
    <xf numFmtId="41" fontId="66" fillId="81" borderId="3" xfId="853" applyFont="1" applyFill="1" applyBorder="1" applyAlignment="1">
      <alignment horizontal="right" vertical="center" wrapText="1"/>
    </xf>
    <xf numFmtId="183" fontId="6" fillId="0" borderId="0" xfId="13" applyNumberFormat="1" applyFont="1" applyFill="1" applyProtection="1"/>
    <xf numFmtId="194" fontId="5" fillId="0" borderId="0" xfId="0" applyNumberFormat="1" applyFont="1" applyFill="1" applyAlignment="1">
      <alignment horizontal="center"/>
    </xf>
    <xf numFmtId="0" fontId="0" fillId="7" borderId="0" xfId="0" applyFill="1" applyAlignment="1">
      <alignment horizontal="left"/>
    </xf>
    <xf numFmtId="169" fontId="0" fillId="7" borderId="0" xfId="0" applyNumberFormat="1" applyFill="1"/>
    <xf numFmtId="0" fontId="59" fillId="7" borderId="0" xfId="0" applyFont="1" applyFill="1"/>
    <xf numFmtId="49" fontId="66" fillId="81" borderId="3" xfId="3" applyNumberFormat="1" applyFont="1" applyFill="1" applyBorder="1" applyAlignment="1">
      <alignment horizontal="right" vertical="center" wrapText="1"/>
    </xf>
    <xf numFmtId="2" fontId="66" fillId="6" borderId="3" xfId="0" applyNumberFormat="1" applyFont="1" applyFill="1" applyBorder="1" applyAlignment="1">
      <alignment horizontal="right" vertical="center" wrapText="1"/>
    </xf>
    <xf numFmtId="49" fontId="66" fillId="6" borderId="3" xfId="3" applyNumberFormat="1" applyFont="1" applyFill="1" applyBorder="1" applyAlignment="1">
      <alignment horizontal="right" vertical="center" wrapText="1"/>
    </xf>
    <xf numFmtId="2" fontId="66" fillId="6" borderId="3" xfId="0" applyNumberFormat="1" applyFont="1" applyFill="1" applyBorder="1" applyAlignment="1">
      <alignment horizontal="right" vertical="center"/>
    </xf>
    <xf numFmtId="2" fontId="66" fillId="5" borderId="3" xfId="0" applyNumberFormat="1" applyFont="1" applyFill="1" applyBorder="1" applyAlignment="1">
      <alignment horizontal="right" vertical="center" wrapText="1"/>
    </xf>
    <xf numFmtId="177" fontId="5" fillId="12" borderId="0" xfId="0" applyNumberFormat="1" applyFont="1" applyFill="1"/>
    <xf numFmtId="49" fontId="66" fillId="4" borderId="3" xfId="0" applyNumberFormat="1" applyFont="1" applyFill="1" applyBorder="1" applyAlignment="1">
      <alignment horizontal="left" vertical="center"/>
    </xf>
    <xf numFmtId="2" fontId="64" fillId="7" borderId="0" xfId="3" applyNumberFormat="1" applyFont="1" applyFill="1" applyAlignment="1">
      <alignment horizontal="right"/>
    </xf>
    <xf numFmtId="182" fontId="64" fillId="9" borderId="0" xfId="0" applyNumberFormat="1" applyFont="1" applyFill="1" applyAlignment="1">
      <alignment horizontal="right"/>
    </xf>
    <xf numFmtId="164" fontId="4" fillId="0" borderId="0" xfId="3" applyNumberFormat="1"/>
    <xf numFmtId="195" fontId="64" fillId="14" borderId="0" xfId="0" applyNumberFormat="1" applyFont="1" applyFill="1" applyAlignment="1">
      <alignment horizontal="right"/>
    </xf>
    <xf numFmtId="2" fontId="64" fillId="14" borderId="0" xfId="0" applyNumberFormat="1" applyFont="1" applyFill="1" applyAlignment="1">
      <alignment horizontal="right"/>
    </xf>
    <xf numFmtId="166" fontId="66" fillId="87" borderId="3" xfId="0" applyNumberFormat="1" applyFont="1" applyFill="1" applyBorder="1" applyAlignment="1">
      <alignment horizontal="right" vertical="center" wrapText="1"/>
    </xf>
    <xf numFmtId="0" fontId="66" fillId="87" borderId="3" xfId="0" applyFont="1" applyFill="1" applyBorder="1" applyAlignment="1">
      <alignment horizontal="right" vertical="center" wrapText="1"/>
    </xf>
    <xf numFmtId="43" fontId="66" fillId="87" borderId="3" xfId="3" applyFont="1" applyFill="1" applyBorder="1" applyAlignment="1">
      <alignment horizontal="right" vertical="center" wrapText="1"/>
    </xf>
    <xf numFmtId="49" fontId="66" fillId="87" borderId="1" xfId="0" applyNumberFormat="1" applyFont="1" applyFill="1" applyBorder="1" applyAlignment="1">
      <alignment vertical="center" wrapText="1"/>
    </xf>
    <xf numFmtId="49" fontId="66" fillId="87" borderId="2" xfId="0" applyNumberFormat="1" applyFont="1" applyFill="1" applyBorder="1" applyAlignment="1">
      <alignment vertical="center" wrapText="1"/>
    </xf>
    <xf numFmtId="43" fontId="66" fillId="87" borderId="1" xfId="3" applyFont="1" applyFill="1" applyBorder="1" applyAlignment="1">
      <alignment horizontal="left" vertical="center" wrapText="1"/>
    </xf>
    <xf numFmtId="43" fontId="66" fillId="87" borderId="2" xfId="3" applyFont="1" applyFill="1" applyBorder="1" applyAlignment="1">
      <alignment horizontal="left" vertical="center" wrapText="1"/>
    </xf>
    <xf numFmtId="49" fontId="66" fillId="4" borderId="1" xfId="0" applyNumberFormat="1" applyFont="1" applyFill="1" applyBorder="1" applyAlignment="1">
      <alignment vertical="center" wrapText="1"/>
    </xf>
    <xf numFmtId="49" fontId="66" fillId="4" borderId="2" xfId="0" applyNumberFormat="1" applyFont="1" applyFill="1" applyBorder="1" applyAlignment="1">
      <alignment vertical="center" wrapText="1"/>
    </xf>
    <xf numFmtId="49" fontId="66" fillId="7" borderId="3" xfId="0" applyNumberFormat="1" applyFont="1" applyFill="1" applyBorder="1" applyAlignment="1">
      <alignment horizontal="left" vertical="center" wrapText="1"/>
    </xf>
    <xf numFmtId="41" fontId="7" fillId="12" borderId="0" xfId="0" quotePrefix="1" applyNumberFormat="1" applyFont="1" applyFill="1" applyAlignment="1">
      <alignment horizontal="center"/>
    </xf>
    <xf numFmtId="43" fontId="64" fillId="7" borderId="0" xfId="3" applyNumberFormat="1" applyFont="1" applyFill="1" applyAlignment="1">
      <alignment horizontal="right"/>
    </xf>
    <xf numFmtId="49" fontId="0" fillId="0" borderId="0" xfId="0" applyNumberFormat="1" applyFont="1" applyFill="1" applyAlignment="1">
      <alignment horizontal="right" wrapText="1"/>
    </xf>
    <xf numFmtId="184" fontId="5" fillId="12" borderId="0" xfId="3" applyNumberFormat="1" applyFont="1" applyFill="1"/>
    <xf numFmtId="164" fontId="61" fillId="0" borderId="4" xfId="1" applyNumberFormat="1" applyFont="1" applyBorder="1" applyAlignment="1">
      <alignment horizontal="center"/>
    </xf>
    <xf numFmtId="169" fontId="64" fillId="8" borderId="0" xfId="0" applyNumberFormat="1" applyFont="1" applyFill="1" applyAlignment="1">
      <alignment horizontal="right"/>
    </xf>
    <xf numFmtId="177" fontId="5" fillId="13" borderId="0" xfId="0" applyNumberFormat="1" applyFont="1" applyFill="1"/>
    <xf numFmtId="3" fontId="6" fillId="0" borderId="0" xfId="0" applyNumberFormat="1" applyFont="1" applyFill="1" applyAlignment="1">
      <alignment horizontal="center"/>
    </xf>
    <xf numFmtId="44" fontId="6" fillId="0" borderId="0" xfId="4" applyNumberFormat="1" applyFont="1" applyFill="1"/>
    <xf numFmtId="166" fontId="66" fillId="88" borderId="3" xfId="0" applyNumberFormat="1" applyFont="1" applyFill="1" applyBorder="1" applyAlignment="1">
      <alignment horizontal="right" vertical="center" wrapText="1"/>
    </xf>
    <xf numFmtId="0" fontId="64" fillId="7" borderId="0" xfId="3" applyNumberFormat="1" applyFont="1" applyFill="1" applyAlignment="1">
      <alignment horizontal="right"/>
    </xf>
    <xf numFmtId="49" fontId="66" fillId="9" borderId="3" xfId="0" applyNumberFormat="1" applyFont="1" applyFill="1" applyBorder="1" applyAlignment="1">
      <alignment horizontal="left" vertical="center" wrapText="1"/>
    </xf>
    <xf numFmtId="0" fontId="0" fillId="15" borderId="0" xfId="0" applyFill="1"/>
    <xf numFmtId="0" fontId="96" fillId="15" borderId="0" xfId="0" applyNumberFormat="1" applyFont="1" applyFill="1" applyAlignment="1">
      <alignment horizontal="left"/>
    </xf>
    <xf numFmtId="164" fontId="64" fillId="15" borderId="0" xfId="3" applyNumberFormat="1" applyFont="1" applyFill="1"/>
    <xf numFmtId="49" fontId="66" fillId="15" borderId="3" xfId="0" applyNumberFormat="1" applyFont="1" applyFill="1" applyBorder="1" applyAlignment="1">
      <alignment horizontal="left" vertical="center" wrapText="1"/>
    </xf>
    <xf numFmtId="0" fontId="65" fillId="8" borderId="0" xfId="0" applyNumberFormat="1" applyFont="1" applyFill="1" applyAlignment="1">
      <alignment horizontal="right"/>
    </xf>
    <xf numFmtId="168" fontId="65" fillId="8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173" fontId="6" fillId="0" borderId="0" xfId="3" applyNumberFormat="1" applyFont="1" applyFill="1" applyAlignment="1">
      <alignment horizontal="center"/>
    </xf>
    <xf numFmtId="171" fontId="6" fillId="0" borderId="0" xfId="3" applyNumberFormat="1" applyFont="1" applyFill="1" applyAlignment="1">
      <alignment horizontal="center"/>
    </xf>
    <xf numFmtId="178" fontId="6" fillId="0" borderId="0" xfId="0" applyNumberFormat="1" applyFont="1" applyFill="1" applyAlignment="1">
      <alignment horizontal="center"/>
    </xf>
    <xf numFmtId="178" fontId="6" fillId="0" borderId="0" xfId="3" applyNumberFormat="1" applyFont="1" applyFill="1" applyAlignment="1">
      <alignment horizontal="center"/>
    </xf>
    <xf numFmtId="184" fontId="0" fillId="0" borderId="0" xfId="0" applyNumberFormat="1" applyFont="1" applyFill="1" applyAlignment="1">
      <alignment horizontal="right"/>
    </xf>
    <xf numFmtId="184" fontId="59" fillId="0" borderId="0" xfId="0" applyNumberFormat="1" applyFont="1" applyFill="1" applyAlignment="1">
      <alignment horizontal="left"/>
    </xf>
    <xf numFmtId="184" fontId="0" fillId="0" borderId="0" xfId="0" applyNumberFormat="1" applyFont="1" applyFill="1" applyAlignment="1">
      <alignment horizontal="left"/>
    </xf>
    <xf numFmtId="191" fontId="0" fillId="7" borderId="0" xfId="0" applyNumberFormat="1" applyFont="1" applyFill="1" applyAlignment="1">
      <alignment horizontal="right"/>
    </xf>
    <xf numFmtId="191" fontId="59" fillId="7" borderId="0" xfId="0" applyNumberFormat="1" applyFont="1" applyFill="1" applyAlignment="1">
      <alignment horizontal="left"/>
    </xf>
    <xf numFmtId="185" fontId="0" fillId="7" borderId="0" xfId="0" applyNumberFormat="1" applyFont="1" applyFill="1" applyAlignment="1">
      <alignment horizontal="right"/>
    </xf>
    <xf numFmtId="185" fontId="59" fillId="7" borderId="0" xfId="0" applyNumberFormat="1" applyFont="1" applyFill="1" applyAlignment="1">
      <alignment horizontal="left"/>
    </xf>
    <xf numFmtId="165" fontId="0" fillId="0" borderId="0" xfId="0" applyNumberFormat="1"/>
    <xf numFmtId="164" fontId="5" fillId="0" borderId="0" xfId="3" applyNumberFormat="1" applyFont="1" applyFill="1" applyBorder="1"/>
    <xf numFmtId="0" fontId="9" fillId="0" borderId="0" xfId="0" applyFont="1" applyAlignment="1">
      <alignment horizontal="center"/>
    </xf>
    <xf numFmtId="41" fontId="7" fillId="12" borderId="0" xfId="0" quotePrefix="1" applyNumberFormat="1" applyFont="1" applyFill="1" applyAlignment="1">
      <alignment horizontal="center"/>
    </xf>
    <xf numFmtId="41" fontId="7" fillId="13" borderId="0" xfId="0" applyNumberFormat="1" applyFont="1" applyFill="1" applyAlignment="1">
      <alignment horizontal="center"/>
    </xf>
    <xf numFmtId="41" fontId="7" fillId="13" borderId="0" xfId="0" quotePrefix="1" applyNumberFormat="1" applyFont="1" applyFill="1" applyAlignment="1">
      <alignment horizontal="center"/>
    </xf>
    <xf numFmtId="41" fontId="7" fillId="14" borderId="0" xfId="0" applyNumberFormat="1" applyFont="1" applyFill="1" applyAlignment="1">
      <alignment horizontal="center"/>
    </xf>
    <xf numFmtId="41" fontId="7" fillId="12" borderId="0" xfId="0" applyNumberFormat="1" applyFont="1" applyFill="1" applyAlignment="1">
      <alignment horizontal="center"/>
    </xf>
    <xf numFmtId="177" fontId="5" fillId="13" borderId="0" xfId="4" applyNumberFormat="1" applyFont="1" applyFill="1"/>
    <xf numFmtId="41" fontId="7" fillId="12" borderId="39" xfId="0" quotePrefix="1" applyNumberFormat="1" applyFont="1" applyFill="1" applyBorder="1" applyAlignment="1">
      <alignment horizontal="center"/>
    </xf>
    <xf numFmtId="41" fontId="7" fillId="12" borderId="0" xfId="0" quotePrefix="1" applyNumberFormat="1" applyFont="1" applyFill="1" applyBorder="1" applyAlignment="1">
      <alignment horizontal="center"/>
    </xf>
    <xf numFmtId="41" fontId="7" fillId="12" borderId="40" xfId="0" quotePrefix="1" applyNumberFormat="1" applyFont="1" applyFill="1" applyBorder="1" applyAlignment="1">
      <alignment horizontal="center"/>
    </xf>
    <xf numFmtId="0" fontId="5" fillId="89" borderId="0" xfId="0" applyFont="1" applyFill="1"/>
    <xf numFmtId="0" fontId="5" fillId="89" borderId="0" xfId="0" applyFont="1" applyFill="1" applyAlignment="1">
      <alignment horizontal="center"/>
    </xf>
    <xf numFmtId="41" fontId="7" fillId="89" borderId="0" xfId="0" quotePrefix="1" applyNumberFormat="1" applyFont="1" applyFill="1" applyBorder="1" applyAlignment="1">
      <alignment horizontal="center"/>
    </xf>
    <xf numFmtId="41" fontId="6" fillId="89" borderId="19" xfId="0" applyNumberFormat="1" applyFont="1" applyFill="1" applyBorder="1" applyAlignment="1">
      <alignment horizontal="center" wrapText="1"/>
    </xf>
    <xf numFmtId="41" fontId="6" fillId="89" borderId="0" xfId="0" applyNumberFormat="1" applyFont="1" applyFill="1" applyBorder="1" applyAlignment="1">
      <alignment horizontal="center" wrapText="1"/>
    </xf>
    <xf numFmtId="164" fontId="5" fillId="89" borderId="0" xfId="3" applyNumberFormat="1" applyFont="1" applyFill="1"/>
    <xf numFmtId="41" fontId="0" fillId="0" borderId="0" xfId="0" applyNumberFormat="1"/>
    <xf numFmtId="43" fontId="64" fillId="15" borderId="4" xfId="0" applyNumberFormat="1" applyFont="1" applyFill="1" applyBorder="1" applyAlignment="1">
      <alignment horizontal="center"/>
    </xf>
    <xf numFmtId="43" fontId="64" fillId="15" borderId="4" xfId="0" applyNumberFormat="1" applyFont="1" applyFill="1" applyBorder="1"/>
    <xf numFmtId="43" fontId="64" fillId="15" borderId="4" xfId="3" applyNumberFormat="1" applyFont="1" applyFill="1" applyBorder="1" applyAlignment="1">
      <alignment horizontal="center"/>
    </xf>
    <xf numFmtId="37" fontId="5" fillId="0" borderId="6" xfId="0" applyNumberFormat="1" applyFont="1" applyBorder="1" applyAlignment="1">
      <alignment horizontal="center"/>
    </xf>
    <xf numFmtId="0" fontId="5" fillId="0" borderId="6" xfId="0" applyFont="1" applyBorder="1"/>
    <xf numFmtId="175" fontId="5" fillId="0" borderId="6" xfId="0" applyNumberFormat="1" applyFont="1" applyBorder="1" applyAlignment="1">
      <alignment horizontal="center"/>
    </xf>
    <xf numFmtId="167" fontId="5" fillId="0" borderId="6" xfId="4" applyNumberFormat="1" applyFont="1" applyBorder="1"/>
    <xf numFmtId="44" fontId="5" fillId="0" borderId="6" xfId="4" applyFont="1" applyBorder="1"/>
    <xf numFmtId="167" fontId="7" fillId="0" borderId="7" xfId="4" applyNumberFormat="1" applyFont="1" applyBorder="1"/>
    <xf numFmtId="0" fontId="59" fillId="0" borderId="0" xfId="0" applyFont="1" applyAlignment="1">
      <alignment horizontal="center"/>
    </xf>
    <xf numFmtId="0" fontId="59" fillId="0" borderId="0" xfId="0" quotePrefix="1" applyFont="1" applyAlignment="1">
      <alignment horizontal="center"/>
    </xf>
    <xf numFmtId="0" fontId="9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center"/>
    </xf>
    <xf numFmtId="41" fontId="7" fillId="12" borderId="34" xfId="0" quotePrefix="1" applyNumberFormat="1" applyFont="1" applyFill="1" applyBorder="1" applyAlignment="1">
      <alignment horizontal="center"/>
    </xf>
    <xf numFmtId="41" fontId="7" fillId="12" borderId="35" xfId="0" quotePrefix="1" applyNumberFormat="1" applyFont="1" applyFill="1" applyBorder="1" applyAlignment="1">
      <alignment horizontal="center"/>
    </xf>
    <xf numFmtId="41" fontId="7" fillId="12" borderId="36" xfId="0" quotePrefix="1" applyNumberFormat="1" applyFont="1" applyFill="1" applyBorder="1" applyAlignment="1">
      <alignment horizontal="center"/>
    </xf>
    <xf numFmtId="41" fontId="7" fillId="89" borderId="34" xfId="0" quotePrefix="1" applyNumberFormat="1" applyFont="1" applyFill="1" applyBorder="1" applyAlignment="1">
      <alignment horizontal="center"/>
    </xf>
    <xf numFmtId="41" fontId="7" fillId="89" borderId="35" xfId="0" quotePrefix="1" applyNumberFormat="1" applyFont="1" applyFill="1" applyBorder="1" applyAlignment="1">
      <alignment horizontal="center"/>
    </xf>
    <xf numFmtId="41" fontId="7" fillId="89" borderId="36" xfId="0" quotePrefix="1" applyNumberFormat="1" applyFont="1" applyFill="1" applyBorder="1" applyAlignment="1">
      <alignment horizontal="center"/>
    </xf>
    <xf numFmtId="41" fontId="97" fillId="12" borderId="0" xfId="0" quotePrefix="1" applyNumberFormat="1" applyFont="1" applyFill="1" applyBorder="1" applyAlignment="1">
      <alignment horizontal="center"/>
    </xf>
    <xf numFmtId="41" fontId="97" fillId="12" borderId="40" xfId="0" quotePrefix="1" applyNumberFormat="1" applyFont="1" applyFill="1" applyBorder="1" applyAlignment="1">
      <alignment horizontal="center"/>
    </xf>
    <xf numFmtId="164" fontId="61" fillId="0" borderId="4" xfId="1" quotePrefix="1" applyNumberFormat="1" applyFont="1" applyBorder="1" applyAlignment="1">
      <alignment horizontal="center"/>
    </xf>
    <xf numFmtId="164" fontId="61" fillId="0" borderId="4" xfId="1" applyNumberFormat="1" applyFont="1" applyBorder="1" applyAlignment="1">
      <alignment horizontal="center"/>
    </xf>
    <xf numFmtId="41" fontId="97" fillId="12" borderId="0" xfId="0" quotePrefix="1" applyNumberFormat="1" applyFont="1" applyFill="1" applyAlignment="1">
      <alignment horizontal="center"/>
    </xf>
    <xf numFmtId="41" fontId="7" fillId="12" borderId="0" xfId="0" quotePrefix="1" applyNumberFormat="1" applyFont="1" applyFill="1" applyAlignment="1">
      <alignment horizontal="center"/>
    </xf>
    <xf numFmtId="41" fontId="7" fillId="13" borderId="0" xfId="0" applyNumberFormat="1" applyFont="1" applyFill="1" applyAlignment="1">
      <alignment horizontal="center"/>
    </xf>
    <xf numFmtId="41" fontId="7" fillId="13" borderId="0" xfId="0" quotePrefix="1" applyNumberFormat="1" applyFont="1" applyFill="1" applyAlignment="1">
      <alignment horizontal="center"/>
    </xf>
    <xf numFmtId="41" fontId="7" fillId="14" borderId="0" xfId="0" applyNumberFormat="1" applyFont="1" applyFill="1" applyAlignment="1">
      <alignment horizontal="center"/>
    </xf>
    <xf numFmtId="41" fontId="7" fillId="12" borderId="0" xfId="0" applyNumberFormat="1" applyFont="1" applyFill="1" applyAlignment="1">
      <alignment horizontal="center"/>
    </xf>
    <xf numFmtId="49" fontId="66" fillId="87" borderId="1" xfId="0" applyNumberFormat="1" applyFont="1" applyFill="1" applyBorder="1" applyAlignment="1">
      <alignment horizontal="left" vertical="center" wrapText="1"/>
    </xf>
    <xf numFmtId="49" fontId="66" fillId="87" borderId="2" xfId="0" applyNumberFormat="1" applyFont="1" applyFill="1" applyBorder="1" applyAlignment="1">
      <alignment horizontal="left" vertical="center" wrapText="1"/>
    </xf>
    <xf numFmtId="49" fontId="0" fillId="4" borderId="1" xfId="0" applyNumberFormat="1" applyFill="1" applyBorder="1" applyAlignment="1">
      <alignment horizontal="left" vertical="center" wrapText="1"/>
    </xf>
    <xf numFmtId="49" fontId="0" fillId="4" borderId="5" xfId="0" applyNumberFormat="1" applyFill="1" applyBorder="1" applyAlignment="1">
      <alignment horizontal="left" vertical="center" wrapText="1"/>
    </xf>
    <xf numFmtId="49" fontId="0" fillId="4" borderId="2" xfId="0" applyNumberFormat="1" applyFill="1" applyBorder="1" applyAlignment="1">
      <alignment horizontal="left" vertical="center" wrapText="1"/>
    </xf>
    <xf numFmtId="49" fontId="66" fillId="4" borderId="1" xfId="0" applyNumberFormat="1" applyFont="1" applyFill="1" applyBorder="1" applyAlignment="1">
      <alignment horizontal="left" vertical="center" wrapText="1"/>
    </xf>
    <xf numFmtId="49" fontId="66" fillId="4" borderId="2" xfId="0" applyNumberFormat="1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/>
    </xf>
  </cellXfs>
  <cellStyles count="855">
    <cellStyle name="20% - Accent1 10" xfId="16" xr:uid="{00000000-0005-0000-0000-000000000000}"/>
    <cellStyle name="20% - Accent1 11" xfId="17" xr:uid="{00000000-0005-0000-0000-000001000000}"/>
    <cellStyle name="20% - Accent1 12" xfId="18" xr:uid="{00000000-0005-0000-0000-000002000000}"/>
    <cellStyle name="20% - Accent1 13" xfId="19" xr:uid="{00000000-0005-0000-0000-000003000000}"/>
    <cellStyle name="20% - Accent1 14" xfId="20" xr:uid="{00000000-0005-0000-0000-000004000000}"/>
    <cellStyle name="20% - Accent1 15" xfId="21" xr:uid="{00000000-0005-0000-0000-000005000000}"/>
    <cellStyle name="20% - Accent1 16" xfId="22" xr:uid="{00000000-0005-0000-0000-000006000000}"/>
    <cellStyle name="20% - Accent1 2" xfId="23" xr:uid="{00000000-0005-0000-0000-000007000000}"/>
    <cellStyle name="20% - Accent1 3" xfId="24" xr:uid="{00000000-0005-0000-0000-000008000000}"/>
    <cellStyle name="20% - Accent1 4" xfId="25" xr:uid="{00000000-0005-0000-0000-000009000000}"/>
    <cellStyle name="20% - Accent1 5" xfId="26" xr:uid="{00000000-0005-0000-0000-00000A000000}"/>
    <cellStyle name="20% - Accent1 6" xfId="27" xr:uid="{00000000-0005-0000-0000-00000B000000}"/>
    <cellStyle name="20% - Accent1 7" xfId="28" xr:uid="{00000000-0005-0000-0000-00000C000000}"/>
    <cellStyle name="20% - Accent1 8" xfId="29" xr:uid="{00000000-0005-0000-0000-00000D000000}"/>
    <cellStyle name="20% - Accent1 9" xfId="30" xr:uid="{00000000-0005-0000-0000-00000E000000}"/>
    <cellStyle name="20% - Accent2 10" xfId="31" xr:uid="{00000000-0005-0000-0000-00000F000000}"/>
    <cellStyle name="20% - Accent2 11" xfId="32" xr:uid="{00000000-0005-0000-0000-000010000000}"/>
    <cellStyle name="20% - Accent2 12" xfId="33" xr:uid="{00000000-0005-0000-0000-000011000000}"/>
    <cellStyle name="20% - Accent2 13" xfId="34" xr:uid="{00000000-0005-0000-0000-000012000000}"/>
    <cellStyle name="20% - Accent2 14" xfId="35" xr:uid="{00000000-0005-0000-0000-000013000000}"/>
    <cellStyle name="20% - Accent2 15" xfId="36" xr:uid="{00000000-0005-0000-0000-000014000000}"/>
    <cellStyle name="20% - Accent2 16" xfId="37" xr:uid="{00000000-0005-0000-0000-000015000000}"/>
    <cellStyle name="20% - Accent2 2" xfId="38" xr:uid="{00000000-0005-0000-0000-000016000000}"/>
    <cellStyle name="20% - Accent2 3" xfId="39" xr:uid="{00000000-0005-0000-0000-000017000000}"/>
    <cellStyle name="20% - Accent2 4" xfId="40" xr:uid="{00000000-0005-0000-0000-000018000000}"/>
    <cellStyle name="20% - Accent2 5" xfId="41" xr:uid="{00000000-0005-0000-0000-000019000000}"/>
    <cellStyle name="20% - Accent2 6" xfId="42" xr:uid="{00000000-0005-0000-0000-00001A000000}"/>
    <cellStyle name="20% - Accent2 7" xfId="43" xr:uid="{00000000-0005-0000-0000-00001B000000}"/>
    <cellStyle name="20% - Accent2 8" xfId="44" xr:uid="{00000000-0005-0000-0000-00001C000000}"/>
    <cellStyle name="20% - Accent2 9" xfId="45" xr:uid="{00000000-0005-0000-0000-00001D000000}"/>
    <cellStyle name="20% - Accent3 10" xfId="46" xr:uid="{00000000-0005-0000-0000-00001E000000}"/>
    <cellStyle name="20% - Accent3 11" xfId="47" xr:uid="{00000000-0005-0000-0000-00001F000000}"/>
    <cellStyle name="20% - Accent3 12" xfId="48" xr:uid="{00000000-0005-0000-0000-000020000000}"/>
    <cellStyle name="20% - Accent3 13" xfId="49" xr:uid="{00000000-0005-0000-0000-000021000000}"/>
    <cellStyle name="20% - Accent3 14" xfId="50" xr:uid="{00000000-0005-0000-0000-000022000000}"/>
    <cellStyle name="20% - Accent3 15" xfId="51" xr:uid="{00000000-0005-0000-0000-000023000000}"/>
    <cellStyle name="20% - Accent3 16" xfId="52" xr:uid="{00000000-0005-0000-0000-000024000000}"/>
    <cellStyle name="20% - Accent3 2" xfId="53" xr:uid="{00000000-0005-0000-0000-000025000000}"/>
    <cellStyle name="20% - Accent3 3" xfId="54" xr:uid="{00000000-0005-0000-0000-000026000000}"/>
    <cellStyle name="20% - Accent3 4" xfId="55" xr:uid="{00000000-0005-0000-0000-000027000000}"/>
    <cellStyle name="20% - Accent3 5" xfId="56" xr:uid="{00000000-0005-0000-0000-000028000000}"/>
    <cellStyle name="20% - Accent3 6" xfId="57" xr:uid="{00000000-0005-0000-0000-000029000000}"/>
    <cellStyle name="20% - Accent3 7" xfId="58" xr:uid="{00000000-0005-0000-0000-00002A000000}"/>
    <cellStyle name="20% - Accent3 8" xfId="59" xr:uid="{00000000-0005-0000-0000-00002B000000}"/>
    <cellStyle name="20% - Accent3 9" xfId="60" xr:uid="{00000000-0005-0000-0000-00002C000000}"/>
    <cellStyle name="20% - Accent4 10" xfId="61" xr:uid="{00000000-0005-0000-0000-00002D000000}"/>
    <cellStyle name="20% - Accent4 11" xfId="62" xr:uid="{00000000-0005-0000-0000-00002E000000}"/>
    <cellStyle name="20% - Accent4 12" xfId="63" xr:uid="{00000000-0005-0000-0000-00002F000000}"/>
    <cellStyle name="20% - Accent4 13" xfId="64" xr:uid="{00000000-0005-0000-0000-000030000000}"/>
    <cellStyle name="20% - Accent4 14" xfId="65" xr:uid="{00000000-0005-0000-0000-000031000000}"/>
    <cellStyle name="20% - Accent4 15" xfId="66" xr:uid="{00000000-0005-0000-0000-000032000000}"/>
    <cellStyle name="20% - Accent4 16" xfId="67" xr:uid="{00000000-0005-0000-0000-000033000000}"/>
    <cellStyle name="20% - Accent4 2" xfId="68" xr:uid="{00000000-0005-0000-0000-000034000000}"/>
    <cellStyle name="20% - Accent4 3" xfId="69" xr:uid="{00000000-0005-0000-0000-000035000000}"/>
    <cellStyle name="20% - Accent4 4" xfId="70" xr:uid="{00000000-0005-0000-0000-000036000000}"/>
    <cellStyle name="20% - Accent4 5" xfId="71" xr:uid="{00000000-0005-0000-0000-000037000000}"/>
    <cellStyle name="20% - Accent4 6" xfId="72" xr:uid="{00000000-0005-0000-0000-000038000000}"/>
    <cellStyle name="20% - Accent4 7" xfId="73" xr:uid="{00000000-0005-0000-0000-000039000000}"/>
    <cellStyle name="20% - Accent4 8" xfId="74" xr:uid="{00000000-0005-0000-0000-00003A000000}"/>
    <cellStyle name="20% - Accent4 9" xfId="75" xr:uid="{00000000-0005-0000-0000-00003B000000}"/>
    <cellStyle name="20% - Accent5 10" xfId="76" xr:uid="{00000000-0005-0000-0000-00003C000000}"/>
    <cellStyle name="20% - Accent5 11" xfId="77" xr:uid="{00000000-0005-0000-0000-00003D000000}"/>
    <cellStyle name="20% - Accent5 12" xfId="78" xr:uid="{00000000-0005-0000-0000-00003E000000}"/>
    <cellStyle name="20% - Accent5 13" xfId="79" xr:uid="{00000000-0005-0000-0000-00003F000000}"/>
    <cellStyle name="20% - Accent5 14" xfId="80" xr:uid="{00000000-0005-0000-0000-000040000000}"/>
    <cellStyle name="20% - Accent5 15" xfId="81" xr:uid="{00000000-0005-0000-0000-000041000000}"/>
    <cellStyle name="20% - Accent5 16" xfId="82" xr:uid="{00000000-0005-0000-0000-000042000000}"/>
    <cellStyle name="20% - Accent5 2" xfId="83" xr:uid="{00000000-0005-0000-0000-000043000000}"/>
    <cellStyle name="20% - Accent5 3" xfId="84" xr:uid="{00000000-0005-0000-0000-000044000000}"/>
    <cellStyle name="20% - Accent5 4" xfId="85" xr:uid="{00000000-0005-0000-0000-000045000000}"/>
    <cellStyle name="20% - Accent5 5" xfId="86" xr:uid="{00000000-0005-0000-0000-000046000000}"/>
    <cellStyle name="20% - Accent5 6" xfId="87" xr:uid="{00000000-0005-0000-0000-000047000000}"/>
    <cellStyle name="20% - Accent5 7" xfId="88" xr:uid="{00000000-0005-0000-0000-000048000000}"/>
    <cellStyle name="20% - Accent5 8" xfId="89" xr:uid="{00000000-0005-0000-0000-000049000000}"/>
    <cellStyle name="20% - Accent5 9" xfId="90" xr:uid="{00000000-0005-0000-0000-00004A000000}"/>
    <cellStyle name="20% - Accent6 10" xfId="91" xr:uid="{00000000-0005-0000-0000-00004B000000}"/>
    <cellStyle name="20% - Accent6 11" xfId="92" xr:uid="{00000000-0005-0000-0000-00004C000000}"/>
    <cellStyle name="20% - Accent6 12" xfId="93" xr:uid="{00000000-0005-0000-0000-00004D000000}"/>
    <cellStyle name="20% - Accent6 13" xfId="94" xr:uid="{00000000-0005-0000-0000-00004E000000}"/>
    <cellStyle name="20% - Accent6 14" xfId="95" xr:uid="{00000000-0005-0000-0000-00004F000000}"/>
    <cellStyle name="20% - Accent6 15" xfId="96" xr:uid="{00000000-0005-0000-0000-000050000000}"/>
    <cellStyle name="20% - Accent6 16" xfId="97" xr:uid="{00000000-0005-0000-0000-000051000000}"/>
    <cellStyle name="20% - Accent6 2" xfId="98" xr:uid="{00000000-0005-0000-0000-000052000000}"/>
    <cellStyle name="20% - Accent6 3" xfId="99" xr:uid="{00000000-0005-0000-0000-000053000000}"/>
    <cellStyle name="20% - Accent6 4" xfId="100" xr:uid="{00000000-0005-0000-0000-000054000000}"/>
    <cellStyle name="20% - Accent6 5" xfId="101" xr:uid="{00000000-0005-0000-0000-000055000000}"/>
    <cellStyle name="20% - Accent6 6" xfId="102" xr:uid="{00000000-0005-0000-0000-000056000000}"/>
    <cellStyle name="20% - Accent6 7" xfId="103" xr:uid="{00000000-0005-0000-0000-000057000000}"/>
    <cellStyle name="20% - Accent6 8" xfId="104" xr:uid="{00000000-0005-0000-0000-000058000000}"/>
    <cellStyle name="20% - Accent6 9" xfId="105" xr:uid="{00000000-0005-0000-0000-000059000000}"/>
    <cellStyle name="40% - Accent1 10" xfId="106" xr:uid="{00000000-0005-0000-0000-00005A000000}"/>
    <cellStyle name="40% - Accent1 11" xfId="107" xr:uid="{00000000-0005-0000-0000-00005B000000}"/>
    <cellStyle name="40% - Accent1 12" xfId="108" xr:uid="{00000000-0005-0000-0000-00005C000000}"/>
    <cellStyle name="40% - Accent1 13" xfId="109" xr:uid="{00000000-0005-0000-0000-00005D000000}"/>
    <cellStyle name="40% - Accent1 14" xfId="110" xr:uid="{00000000-0005-0000-0000-00005E000000}"/>
    <cellStyle name="40% - Accent1 15" xfId="111" xr:uid="{00000000-0005-0000-0000-00005F000000}"/>
    <cellStyle name="40% - Accent1 16" xfId="112" xr:uid="{00000000-0005-0000-0000-000060000000}"/>
    <cellStyle name="40% - Accent1 2" xfId="113" xr:uid="{00000000-0005-0000-0000-000061000000}"/>
    <cellStyle name="40% - Accent1 3" xfId="114" xr:uid="{00000000-0005-0000-0000-000062000000}"/>
    <cellStyle name="40% - Accent1 4" xfId="115" xr:uid="{00000000-0005-0000-0000-000063000000}"/>
    <cellStyle name="40% - Accent1 5" xfId="116" xr:uid="{00000000-0005-0000-0000-000064000000}"/>
    <cellStyle name="40% - Accent1 6" xfId="117" xr:uid="{00000000-0005-0000-0000-000065000000}"/>
    <cellStyle name="40% - Accent1 7" xfId="118" xr:uid="{00000000-0005-0000-0000-000066000000}"/>
    <cellStyle name="40% - Accent1 8" xfId="119" xr:uid="{00000000-0005-0000-0000-000067000000}"/>
    <cellStyle name="40% - Accent1 9" xfId="120" xr:uid="{00000000-0005-0000-0000-000068000000}"/>
    <cellStyle name="40% - Accent2 10" xfId="121" xr:uid="{00000000-0005-0000-0000-000069000000}"/>
    <cellStyle name="40% - Accent2 11" xfId="122" xr:uid="{00000000-0005-0000-0000-00006A000000}"/>
    <cellStyle name="40% - Accent2 12" xfId="123" xr:uid="{00000000-0005-0000-0000-00006B000000}"/>
    <cellStyle name="40% - Accent2 13" xfId="124" xr:uid="{00000000-0005-0000-0000-00006C000000}"/>
    <cellStyle name="40% - Accent2 14" xfId="125" xr:uid="{00000000-0005-0000-0000-00006D000000}"/>
    <cellStyle name="40% - Accent2 15" xfId="126" xr:uid="{00000000-0005-0000-0000-00006E000000}"/>
    <cellStyle name="40% - Accent2 16" xfId="127" xr:uid="{00000000-0005-0000-0000-00006F000000}"/>
    <cellStyle name="40% - Accent2 2" xfId="128" xr:uid="{00000000-0005-0000-0000-000070000000}"/>
    <cellStyle name="40% - Accent2 3" xfId="129" xr:uid="{00000000-0005-0000-0000-000071000000}"/>
    <cellStyle name="40% - Accent2 4" xfId="130" xr:uid="{00000000-0005-0000-0000-000072000000}"/>
    <cellStyle name="40% - Accent2 5" xfId="131" xr:uid="{00000000-0005-0000-0000-000073000000}"/>
    <cellStyle name="40% - Accent2 6" xfId="132" xr:uid="{00000000-0005-0000-0000-000074000000}"/>
    <cellStyle name="40% - Accent2 7" xfId="133" xr:uid="{00000000-0005-0000-0000-000075000000}"/>
    <cellStyle name="40% - Accent2 8" xfId="134" xr:uid="{00000000-0005-0000-0000-000076000000}"/>
    <cellStyle name="40% - Accent2 9" xfId="135" xr:uid="{00000000-0005-0000-0000-000077000000}"/>
    <cellStyle name="40% - Accent3 10" xfId="136" xr:uid="{00000000-0005-0000-0000-000078000000}"/>
    <cellStyle name="40% - Accent3 11" xfId="137" xr:uid="{00000000-0005-0000-0000-000079000000}"/>
    <cellStyle name="40% - Accent3 12" xfId="138" xr:uid="{00000000-0005-0000-0000-00007A000000}"/>
    <cellStyle name="40% - Accent3 13" xfId="139" xr:uid="{00000000-0005-0000-0000-00007B000000}"/>
    <cellStyle name="40% - Accent3 14" xfId="140" xr:uid="{00000000-0005-0000-0000-00007C000000}"/>
    <cellStyle name="40% - Accent3 15" xfId="141" xr:uid="{00000000-0005-0000-0000-00007D000000}"/>
    <cellStyle name="40% - Accent3 16" xfId="142" xr:uid="{00000000-0005-0000-0000-00007E000000}"/>
    <cellStyle name="40% - Accent3 2" xfId="143" xr:uid="{00000000-0005-0000-0000-00007F000000}"/>
    <cellStyle name="40% - Accent3 3" xfId="144" xr:uid="{00000000-0005-0000-0000-000080000000}"/>
    <cellStyle name="40% - Accent3 4" xfId="145" xr:uid="{00000000-0005-0000-0000-000081000000}"/>
    <cellStyle name="40% - Accent3 5" xfId="146" xr:uid="{00000000-0005-0000-0000-000082000000}"/>
    <cellStyle name="40% - Accent3 6" xfId="147" xr:uid="{00000000-0005-0000-0000-000083000000}"/>
    <cellStyle name="40% - Accent3 7" xfId="148" xr:uid="{00000000-0005-0000-0000-000084000000}"/>
    <cellStyle name="40% - Accent3 8" xfId="149" xr:uid="{00000000-0005-0000-0000-000085000000}"/>
    <cellStyle name="40% - Accent3 9" xfId="150" xr:uid="{00000000-0005-0000-0000-000086000000}"/>
    <cellStyle name="40% - Accent4 10" xfId="151" xr:uid="{00000000-0005-0000-0000-000087000000}"/>
    <cellStyle name="40% - Accent4 11" xfId="152" xr:uid="{00000000-0005-0000-0000-000088000000}"/>
    <cellStyle name="40% - Accent4 12" xfId="153" xr:uid="{00000000-0005-0000-0000-000089000000}"/>
    <cellStyle name="40% - Accent4 13" xfId="154" xr:uid="{00000000-0005-0000-0000-00008A000000}"/>
    <cellStyle name="40% - Accent4 14" xfId="155" xr:uid="{00000000-0005-0000-0000-00008B000000}"/>
    <cellStyle name="40% - Accent4 15" xfId="156" xr:uid="{00000000-0005-0000-0000-00008C000000}"/>
    <cellStyle name="40% - Accent4 16" xfId="157" xr:uid="{00000000-0005-0000-0000-00008D000000}"/>
    <cellStyle name="40% - Accent4 2" xfId="158" xr:uid="{00000000-0005-0000-0000-00008E000000}"/>
    <cellStyle name="40% - Accent4 3" xfId="159" xr:uid="{00000000-0005-0000-0000-00008F000000}"/>
    <cellStyle name="40% - Accent4 4" xfId="160" xr:uid="{00000000-0005-0000-0000-000090000000}"/>
    <cellStyle name="40% - Accent4 5" xfId="161" xr:uid="{00000000-0005-0000-0000-000091000000}"/>
    <cellStyle name="40% - Accent4 6" xfId="162" xr:uid="{00000000-0005-0000-0000-000092000000}"/>
    <cellStyle name="40% - Accent4 7" xfId="163" xr:uid="{00000000-0005-0000-0000-000093000000}"/>
    <cellStyle name="40% - Accent4 8" xfId="164" xr:uid="{00000000-0005-0000-0000-000094000000}"/>
    <cellStyle name="40% - Accent4 9" xfId="165" xr:uid="{00000000-0005-0000-0000-000095000000}"/>
    <cellStyle name="40% - Accent5 10" xfId="166" xr:uid="{00000000-0005-0000-0000-000096000000}"/>
    <cellStyle name="40% - Accent5 11" xfId="167" xr:uid="{00000000-0005-0000-0000-000097000000}"/>
    <cellStyle name="40% - Accent5 12" xfId="168" xr:uid="{00000000-0005-0000-0000-000098000000}"/>
    <cellStyle name="40% - Accent5 13" xfId="169" xr:uid="{00000000-0005-0000-0000-000099000000}"/>
    <cellStyle name="40% - Accent5 14" xfId="170" xr:uid="{00000000-0005-0000-0000-00009A000000}"/>
    <cellStyle name="40% - Accent5 15" xfId="171" xr:uid="{00000000-0005-0000-0000-00009B000000}"/>
    <cellStyle name="40% - Accent5 16" xfId="172" xr:uid="{00000000-0005-0000-0000-00009C000000}"/>
    <cellStyle name="40% - Accent5 2" xfId="173" xr:uid="{00000000-0005-0000-0000-00009D000000}"/>
    <cellStyle name="40% - Accent5 3" xfId="174" xr:uid="{00000000-0005-0000-0000-00009E000000}"/>
    <cellStyle name="40% - Accent5 4" xfId="175" xr:uid="{00000000-0005-0000-0000-00009F000000}"/>
    <cellStyle name="40% - Accent5 5" xfId="176" xr:uid="{00000000-0005-0000-0000-0000A0000000}"/>
    <cellStyle name="40% - Accent5 6" xfId="177" xr:uid="{00000000-0005-0000-0000-0000A1000000}"/>
    <cellStyle name="40% - Accent5 7" xfId="178" xr:uid="{00000000-0005-0000-0000-0000A2000000}"/>
    <cellStyle name="40% - Accent5 8" xfId="179" xr:uid="{00000000-0005-0000-0000-0000A3000000}"/>
    <cellStyle name="40% - Accent5 9" xfId="180" xr:uid="{00000000-0005-0000-0000-0000A4000000}"/>
    <cellStyle name="40% - Accent6 10" xfId="181" xr:uid="{00000000-0005-0000-0000-0000A5000000}"/>
    <cellStyle name="40% - Accent6 11" xfId="182" xr:uid="{00000000-0005-0000-0000-0000A6000000}"/>
    <cellStyle name="40% - Accent6 12" xfId="183" xr:uid="{00000000-0005-0000-0000-0000A7000000}"/>
    <cellStyle name="40% - Accent6 13" xfId="184" xr:uid="{00000000-0005-0000-0000-0000A8000000}"/>
    <cellStyle name="40% - Accent6 14" xfId="185" xr:uid="{00000000-0005-0000-0000-0000A9000000}"/>
    <cellStyle name="40% - Accent6 15" xfId="186" xr:uid="{00000000-0005-0000-0000-0000AA000000}"/>
    <cellStyle name="40% - Accent6 16" xfId="187" xr:uid="{00000000-0005-0000-0000-0000AB000000}"/>
    <cellStyle name="40% - Accent6 2" xfId="188" xr:uid="{00000000-0005-0000-0000-0000AC000000}"/>
    <cellStyle name="40% - Accent6 3" xfId="189" xr:uid="{00000000-0005-0000-0000-0000AD000000}"/>
    <cellStyle name="40% - Accent6 4" xfId="190" xr:uid="{00000000-0005-0000-0000-0000AE000000}"/>
    <cellStyle name="40% - Accent6 5" xfId="191" xr:uid="{00000000-0005-0000-0000-0000AF000000}"/>
    <cellStyle name="40% - Accent6 6" xfId="192" xr:uid="{00000000-0005-0000-0000-0000B0000000}"/>
    <cellStyle name="40% - Accent6 7" xfId="193" xr:uid="{00000000-0005-0000-0000-0000B1000000}"/>
    <cellStyle name="40% - Accent6 8" xfId="194" xr:uid="{00000000-0005-0000-0000-0000B2000000}"/>
    <cellStyle name="40% - Accent6 9" xfId="195" xr:uid="{00000000-0005-0000-0000-0000B3000000}"/>
    <cellStyle name="60% - Accent1 10" xfId="196" xr:uid="{00000000-0005-0000-0000-0000B4000000}"/>
    <cellStyle name="60% - Accent1 11" xfId="197" xr:uid="{00000000-0005-0000-0000-0000B5000000}"/>
    <cellStyle name="60% - Accent1 12" xfId="198" xr:uid="{00000000-0005-0000-0000-0000B6000000}"/>
    <cellStyle name="60% - Accent1 13" xfId="199" xr:uid="{00000000-0005-0000-0000-0000B7000000}"/>
    <cellStyle name="60% - Accent1 14" xfId="200" xr:uid="{00000000-0005-0000-0000-0000B8000000}"/>
    <cellStyle name="60% - Accent1 15" xfId="201" xr:uid="{00000000-0005-0000-0000-0000B9000000}"/>
    <cellStyle name="60% - Accent1 16" xfId="202" xr:uid="{00000000-0005-0000-0000-0000BA000000}"/>
    <cellStyle name="60% - Accent1 2" xfId="203" xr:uid="{00000000-0005-0000-0000-0000BB000000}"/>
    <cellStyle name="60% - Accent1 3" xfId="204" xr:uid="{00000000-0005-0000-0000-0000BC000000}"/>
    <cellStyle name="60% - Accent1 4" xfId="205" xr:uid="{00000000-0005-0000-0000-0000BD000000}"/>
    <cellStyle name="60% - Accent1 5" xfId="206" xr:uid="{00000000-0005-0000-0000-0000BE000000}"/>
    <cellStyle name="60% - Accent1 6" xfId="207" xr:uid="{00000000-0005-0000-0000-0000BF000000}"/>
    <cellStyle name="60% - Accent1 7" xfId="208" xr:uid="{00000000-0005-0000-0000-0000C0000000}"/>
    <cellStyle name="60% - Accent1 8" xfId="209" xr:uid="{00000000-0005-0000-0000-0000C1000000}"/>
    <cellStyle name="60% - Accent1 9" xfId="210" xr:uid="{00000000-0005-0000-0000-0000C2000000}"/>
    <cellStyle name="60% - Accent2 10" xfId="211" xr:uid="{00000000-0005-0000-0000-0000C3000000}"/>
    <cellStyle name="60% - Accent2 11" xfId="212" xr:uid="{00000000-0005-0000-0000-0000C4000000}"/>
    <cellStyle name="60% - Accent2 12" xfId="213" xr:uid="{00000000-0005-0000-0000-0000C5000000}"/>
    <cellStyle name="60% - Accent2 13" xfId="214" xr:uid="{00000000-0005-0000-0000-0000C6000000}"/>
    <cellStyle name="60% - Accent2 14" xfId="215" xr:uid="{00000000-0005-0000-0000-0000C7000000}"/>
    <cellStyle name="60% - Accent2 15" xfId="216" xr:uid="{00000000-0005-0000-0000-0000C8000000}"/>
    <cellStyle name="60% - Accent2 16" xfId="217" xr:uid="{00000000-0005-0000-0000-0000C9000000}"/>
    <cellStyle name="60% - Accent2 2" xfId="218" xr:uid="{00000000-0005-0000-0000-0000CA000000}"/>
    <cellStyle name="60% - Accent2 3" xfId="219" xr:uid="{00000000-0005-0000-0000-0000CB000000}"/>
    <cellStyle name="60% - Accent2 4" xfId="220" xr:uid="{00000000-0005-0000-0000-0000CC000000}"/>
    <cellStyle name="60% - Accent2 5" xfId="221" xr:uid="{00000000-0005-0000-0000-0000CD000000}"/>
    <cellStyle name="60% - Accent2 6" xfId="222" xr:uid="{00000000-0005-0000-0000-0000CE000000}"/>
    <cellStyle name="60% - Accent2 7" xfId="223" xr:uid="{00000000-0005-0000-0000-0000CF000000}"/>
    <cellStyle name="60% - Accent2 8" xfId="224" xr:uid="{00000000-0005-0000-0000-0000D0000000}"/>
    <cellStyle name="60% - Accent2 9" xfId="225" xr:uid="{00000000-0005-0000-0000-0000D1000000}"/>
    <cellStyle name="60% - Accent3 10" xfId="226" xr:uid="{00000000-0005-0000-0000-0000D2000000}"/>
    <cellStyle name="60% - Accent3 11" xfId="227" xr:uid="{00000000-0005-0000-0000-0000D3000000}"/>
    <cellStyle name="60% - Accent3 12" xfId="228" xr:uid="{00000000-0005-0000-0000-0000D4000000}"/>
    <cellStyle name="60% - Accent3 13" xfId="229" xr:uid="{00000000-0005-0000-0000-0000D5000000}"/>
    <cellStyle name="60% - Accent3 14" xfId="230" xr:uid="{00000000-0005-0000-0000-0000D6000000}"/>
    <cellStyle name="60% - Accent3 15" xfId="231" xr:uid="{00000000-0005-0000-0000-0000D7000000}"/>
    <cellStyle name="60% - Accent3 16" xfId="232" xr:uid="{00000000-0005-0000-0000-0000D8000000}"/>
    <cellStyle name="60% - Accent3 2" xfId="233" xr:uid="{00000000-0005-0000-0000-0000D9000000}"/>
    <cellStyle name="60% - Accent3 3" xfId="234" xr:uid="{00000000-0005-0000-0000-0000DA000000}"/>
    <cellStyle name="60% - Accent3 4" xfId="235" xr:uid="{00000000-0005-0000-0000-0000DB000000}"/>
    <cellStyle name="60% - Accent3 5" xfId="236" xr:uid="{00000000-0005-0000-0000-0000DC000000}"/>
    <cellStyle name="60% - Accent3 6" xfId="237" xr:uid="{00000000-0005-0000-0000-0000DD000000}"/>
    <cellStyle name="60% - Accent3 7" xfId="238" xr:uid="{00000000-0005-0000-0000-0000DE000000}"/>
    <cellStyle name="60% - Accent3 8" xfId="239" xr:uid="{00000000-0005-0000-0000-0000DF000000}"/>
    <cellStyle name="60% - Accent3 9" xfId="240" xr:uid="{00000000-0005-0000-0000-0000E0000000}"/>
    <cellStyle name="60% - Accent4 10" xfId="241" xr:uid="{00000000-0005-0000-0000-0000E1000000}"/>
    <cellStyle name="60% - Accent4 11" xfId="242" xr:uid="{00000000-0005-0000-0000-0000E2000000}"/>
    <cellStyle name="60% - Accent4 12" xfId="243" xr:uid="{00000000-0005-0000-0000-0000E3000000}"/>
    <cellStyle name="60% - Accent4 13" xfId="244" xr:uid="{00000000-0005-0000-0000-0000E4000000}"/>
    <cellStyle name="60% - Accent4 14" xfId="245" xr:uid="{00000000-0005-0000-0000-0000E5000000}"/>
    <cellStyle name="60% - Accent4 15" xfId="246" xr:uid="{00000000-0005-0000-0000-0000E6000000}"/>
    <cellStyle name="60% - Accent4 16" xfId="247" xr:uid="{00000000-0005-0000-0000-0000E7000000}"/>
    <cellStyle name="60% - Accent4 2" xfId="248" xr:uid="{00000000-0005-0000-0000-0000E8000000}"/>
    <cellStyle name="60% - Accent4 3" xfId="249" xr:uid="{00000000-0005-0000-0000-0000E9000000}"/>
    <cellStyle name="60% - Accent4 4" xfId="250" xr:uid="{00000000-0005-0000-0000-0000EA000000}"/>
    <cellStyle name="60% - Accent4 5" xfId="251" xr:uid="{00000000-0005-0000-0000-0000EB000000}"/>
    <cellStyle name="60% - Accent4 6" xfId="252" xr:uid="{00000000-0005-0000-0000-0000EC000000}"/>
    <cellStyle name="60% - Accent4 7" xfId="253" xr:uid="{00000000-0005-0000-0000-0000ED000000}"/>
    <cellStyle name="60% - Accent4 8" xfId="254" xr:uid="{00000000-0005-0000-0000-0000EE000000}"/>
    <cellStyle name="60% - Accent4 9" xfId="255" xr:uid="{00000000-0005-0000-0000-0000EF000000}"/>
    <cellStyle name="60% - Accent5 10" xfId="256" xr:uid="{00000000-0005-0000-0000-0000F0000000}"/>
    <cellStyle name="60% - Accent5 11" xfId="257" xr:uid="{00000000-0005-0000-0000-0000F1000000}"/>
    <cellStyle name="60% - Accent5 12" xfId="258" xr:uid="{00000000-0005-0000-0000-0000F2000000}"/>
    <cellStyle name="60% - Accent5 13" xfId="259" xr:uid="{00000000-0005-0000-0000-0000F3000000}"/>
    <cellStyle name="60% - Accent5 14" xfId="260" xr:uid="{00000000-0005-0000-0000-0000F4000000}"/>
    <cellStyle name="60% - Accent5 15" xfId="261" xr:uid="{00000000-0005-0000-0000-0000F5000000}"/>
    <cellStyle name="60% - Accent5 16" xfId="262" xr:uid="{00000000-0005-0000-0000-0000F6000000}"/>
    <cellStyle name="60% - Accent5 2" xfId="263" xr:uid="{00000000-0005-0000-0000-0000F7000000}"/>
    <cellStyle name="60% - Accent5 3" xfId="264" xr:uid="{00000000-0005-0000-0000-0000F8000000}"/>
    <cellStyle name="60% - Accent5 4" xfId="265" xr:uid="{00000000-0005-0000-0000-0000F9000000}"/>
    <cellStyle name="60% - Accent5 5" xfId="266" xr:uid="{00000000-0005-0000-0000-0000FA000000}"/>
    <cellStyle name="60% - Accent5 6" xfId="267" xr:uid="{00000000-0005-0000-0000-0000FB000000}"/>
    <cellStyle name="60% - Accent5 7" xfId="268" xr:uid="{00000000-0005-0000-0000-0000FC000000}"/>
    <cellStyle name="60% - Accent5 8" xfId="269" xr:uid="{00000000-0005-0000-0000-0000FD000000}"/>
    <cellStyle name="60% - Accent5 9" xfId="270" xr:uid="{00000000-0005-0000-0000-0000FE000000}"/>
    <cellStyle name="60% - Accent6 10" xfId="271" xr:uid="{00000000-0005-0000-0000-0000FF000000}"/>
    <cellStyle name="60% - Accent6 11" xfId="272" xr:uid="{00000000-0005-0000-0000-000000010000}"/>
    <cellStyle name="60% - Accent6 12" xfId="273" xr:uid="{00000000-0005-0000-0000-000001010000}"/>
    <cellStyle name="60% - Accent6 13" xfId="274" xr:uid="{00000000-0005-0000-0000-000002010000}"/>
    <cellStyle name="60% - Accent6 14" xfId="275" xr:uid="{00000000-0005-0000-0000-000003010000}"/>
    <cellStyle name="60% - Accent6 15" xfId="276" xr:uid="{00000000-0005-0000-0000-000004010000}"/>
    <cellStyle name="60% - Accent6 16" xfId="277" xr:uid="{00000000-0005-0000-0000-000005010000}"/>
    <cellStyle name="60% - Accent6 2" xfId="278" xr:uid="{00000000-0005-0000-0000-000006010000}"/>
    <cellStyle name="60% - Accent6 3" xfId="279" xr:uid="{00000000-0005-0000-0000-000007010000}"/>
    <cellStyle name="60% - Accent6 4" xfId="280" xr:uid="{00000000-0005-0000-0000-000008010000}"/>
    <cellStyle name="60% - Accent6 5" xfId="281" xr:uid="{00000000-0005-0000-0000-000009010000}"/>
    <cellStyle name="60% - Accent6 6" xfId="282" xr:uid="{00000000-0005-0000-0000-00000A010000}"/>
    <cellStyle name="60% - Accent6 7" xfId="283" xr:uid="{00000000-0005-0000-0000-00000B010000}"/>
    <cellStyle name="60% - Accent6 8" xfId="284" xr:uid="{00000000-0005-0000-0000-00000C010000}"/>
    <cellStyle name="60% - Accent6 9" xfId="285" xr:uid="{00000000-0005-0000-0000-00000D010000}"/>
    <cellStyle name="Accent1 10" xfId="286" xr:uid="{00000000-0005-0000-0000-00000E010000}"/>
    <cellStyle name="Accent1 11" xfId="287" xr:uid="{00000000-0005-0000-0000-00000F010000}"/>
    <cellStyle name="Accent1 12" xfId="288" xr:uid="{00000000-0005-0000-0000-000010010000}"/>
    <cellStyle name="Accent1 13" xfId="289" xr:uid="{00000000-0005-0000-0000-000011010000}"/>
    <cellStyle name="Accent1 14" xfId="290" xr:uid="{00000000-0005-0000-0000-000012010000}"/>
    <cellStyle name="Accent1 15" xfId="291" xr:uid="{00000000-0005-0000-0000-000013010000}"/>
    <cellStyle name="Accent1 16" xfId="292" xr:uid="{00000000-0005-0000-0000-000014010000}"/>
    <cellStyle name="Accent1 2" xfId="293" xr:uid="{00000000-0005-0000-0000-000015010000}"/>
    <cellStyle name="Accent1 3" xfId="294" xr:uid="{00000000-0005-0000-0000-000016010000}"/>
    <cellStyle name="Accent1 4" xfId="295" xr:uid="{00000000-0005-0000-0000-000017010000}"/>
    <cellStyle name="Accent1 5" xfId="296" xr:uid="{00000000-0005-0000-0000-000018010000}"/>
    <cellStyle name="Accent1 6" xfId="297" xr:uid="{00000000-0005-0000-0000-000019010000}"/>
    <cellStyle name="Accent1 7" xfId="298" xr:uid="{00000000-0005-0000-0000-00001A010000}"/>
    <cellStyle name="Accent1 8" xfId="299" xr:uid="{00000000-0005-0000-0000-00001B010000}"/>
    <cellStyle name="Accent1 9" xfId="300" xr:uid="{00000000-0005-0000-0000-00001C010000}"/>
    <cellStyle name="Accent2 10" xfId="301" xr:uid="{00000000-0005-0000-0000-00001D010000}"/>
    <cellStyle name="Accent2 11" xfId="302" xr:uid="{00000000-0005-0000-0000-00001E010000}"/>
    <cellStyle name="Accent2 12" xfId="303" xr:uid="{00000000-0005-0000-0000-00001F010000}"/>
    <cellStyle name="Accent2 13" xfId="304" xr:uid="{00000000-0005-0000-0000-000020010000}"/>
    <cellStyle name="Accent2 14" xfId="305" xr:uid="{00000000-0005-0000-0000-000021010000}"/>
    <cellStyle name="Accent2 15" xfId="306" xr:uid="{00000000-0005-0000-0000-000022010000}"/>
    <cellStyle name="Accent2 16" xfId="307" xr:uid="{00000000-0005-0000-0000-000023010000}"/>
    <cellStyle name="Accent2 2" xfId="308" xr:uid="{00000000-0005-0000-0000-000024010000}"/>
    <cellStyle name="Accent2 3" xfId="309" xr:uid="{00000000-0005-0000-0000-000025010000}"/>
    <cellStyle name="Accent2 4" xfId="310" xr:uid="{00000000-0005-0000-0000-000026010000}"/>
    <cellStyle name="Accent2 5" xfId="311" xr:uid="{00000000-0005-0000-0000-000027010000}"/>
    <cellStyle name="Accent2 6" xfId="312" xr:uid="{00000000-0005-0000-0000-000028010000}"/>
    <cellStyle name="Accent2 7" xfId="313" xr:uid="{00000000-0005-0000-0000-000029010000}"/>
    <cellStyle name="Accent2 8" xfId="314" xr:uid="{00000000-0005-0000-0000-00002A010000}"/>
    <cellStyle name="Accent2 9" xfId="315" xr:uid="{00000000-0005-0000-0000-00002B010000}"/>
    <cellStyle name="Accent3 10" xfId="316" xr:uid="{00000000-0005-0000-0000-00002C010000}"/>
    <cellStyle name="Accent3 11" xfId="317" xr:uid="{00000000-0005-0000-0000-00002D010000}"/>
    <cellStyle name="Accent3 12" xfId="318" xr:uid="{00000000-0005-0000-0000-00002E010000}"/>
    <cellStyle name="Accent3 13" xfId="319" xr:uid="{00000000-0005-0000-0000-00002F010000}"/>
    <cellStyle name="Accent3 14" xfId="320" xr:uid="{00000000-0005-0000-0000-000030010000}"/>
    <cellStyle name="Accent3 15" xfId="321" xr:uid="{00000000-0005-0000-0000-000031010000}"/>
    <cellStyle name="Accent3 16" xfId="322" xr:uid="{00000000-0005-0000-0000-000032010000}"/>
    <cellStyle name="Accent3 2" xfId="323" xr:uid="{00000000-0005-0000-0000-000033010000}"/>
    <cellStyle name="Accent3 3" xfId="324" xr:uid="{00000000-0005-0000-0000-000034010000}"/>
    <cellStyle name="Accent3 4" xfId="325" xr:uid="{00000000-0005-0000-0000-000035010000}"/>
    <cellStyle name="Accent3 5" xfId="326" xr:uid="{00000000-0005-0000-0000-000036010000}"/>
    <cellStyle name="Accent3 6" xfId="327" xr:uid="{00000000-0005-0000-0000-000037010000}"/>
    <cellStyle name="Accent3 7" xfId="328" xr:uid="{00000000-0005-0000-0000-000038010000}"/>
    <cellStyle name="Accent3 8" xfId="329" xr:uid="{00000000-0005-0000-0000-000039010000}"/>
    <cellStyle name="Accent3 9" xfId="330" xr:uid="{00000000-0005-0000-0000-00003A010000}"/>
    <cellStyle name="Accent4 10" xfId="331" xr:uid="{00000000-0005-0000-0000-00003B010000}"/>
    <cellStyle name="Accent4 11" xfId="332" xr:uid="{00000000-0005-0000-0000-00003C010000}"/>
    <cellStyle name="Accent4 12" xfId="333" xr:uid="{00000000-0005-0000-0000-00003D010000}"/>
    <cellStyle name="Accent4 13" xfId="334" xr:uid="{00000000-0005-0000-0000-00003E010000}"/>
    <cellStyle name="Accent4 14" xfId="335" xr:uid="{00000000-0005-0000-0000-00003F010000}"/>
    <cellStyle name="Accent4 15" xfId="336" xr:uid="{00000000-0005-0000-0000-000040010000}"/>
    <cellStyle name="Accent4 16" xfId="337" xr:uid="{00000000-0005-0000-0000-000041010000}"/>
    <cellStyle name="Accent4 2" xfId="338" xr:uid="{00000000-0005-0000-0000-000042010000}"/>
    <cellStyle name="Accent4 3" xfId="339" xr:uid="{00000000-0005-0000-0000-000043010000}"/>
    <cellStyle name="Accent4 4" xfId="340" xr:uid="{00000000-0005-0000-0000-000044010000}"/>
    <cellStyle name="Accent4 5" xfId="341" xr:uid="{00000000-0005-0000-0000-000045010000}"/>
    <cellStyle name="Accent4 6" xfId="342" xr:uid="{00000000-0005-0000-0000-000046010000}"/>
    <cellStyle name="Accent4 7" xfId="343" xr:uid="{00000000-0005-0000-0000-000047010000}"/>
    <cellStyle name="Accent4 8" xfId="344" xr:uid="{00000000-0005-0000-0000-000048010000}"/>
    <cellStyle name="Accent4 9" xfId="345" xr:uid="{00000000-0005-0000-0000-000049010000}"/>
    <cellStyle name="Accent5 10" xfId="346" xr:uid="{00000000-0005-0000-0000-00004A010000}"/>
    <cellStyle name="Accent5 11" xfId="347" xr:uid="{00000000-0005-0000-0000-00004B010000}"/>
    <cellStyle name="Accent5 12" xfId="348" xr:uid="{00000000-0005-0000-0000-00004C010000}"/>
    <cellStyle name="Accent5 13" xfId="349" xr:uid="{00000000-0005-0000-0000-00004D010000}"/>
    <cellStyle name="Accent5 14" xfId="350" xr:uid="{00000000-0005-0000-0000-00004E010000}"/>
    <cellStyle name="Accent5 15" xfId="351" xr:uid="{00000000-0005-0000-0000-00004F010000}"/>
    <cellStyle name="Accent5 16" xfId="352" xr:uid="{00000000-0005-0000-0000-000050010000}"/>
    <cellStyle name="Accent5 2" xfId="353" xr:uid="{00000000-0005-0000-0000-000051010000}"/>
    <cellStyle name="Accent5 3" xfId="354" xr:uid="{00000000-0005-0000-0000-000052010000}"/>
    <cellStyle name="Accent5 4" xfId="355" xr:uid="{00000000-0005-0000-0000-000053010000}"/>
    <cellStyle name="Accent5 5" xfId="356" xr:uid="{00000000-0005-0000-0000-000054010000}"/>
    <cellStyle name="Accent5 6" xfId="357" xr:uid="{00000000-0005-0000-0000-000055010000}"/>
    <cellStyle name="Accent5 7" xfId="358" xr:uid="{00000000-0005-0000-0000-000056010000}"/>
    <cellStyle name="Accent5 8" xfId="359" xr:uid="{00000000-0005-0000-0000-000057010000}"/>
    <cellStyle name="Accent5 9" xfId="360" xr:uid="{00000000-0005-0000-0000-000058010000}"/>
    <cellStyle name="Accent6 10" xfId="361" xr:uid="{00000000-0005-0000-0000-000059010000}"/>
    <cellStyle name="Accent6 11" xfId="362" xr:uid="{00000000-0005-0000-0000-00005A010000}"/>
    <cellStyle name="Accent6 12" xfId="363" xr:uid="{00000000-0005-0000-0000-00005B010000}"/>
    <cellStyle name="Accent6 13" xfId="364" xr:uid="{00000000-0005-0000-0000-00005C010000}"/>
    <cellStyle name="Accent6 14" xfId="365" xr:uid="{00000000-0005-0000-0000-00005D010000}"/>
    <cellStyle name="Accent6 15" xfId="366" xr:uid="{00000000-0005-0000-0000-00005E010000}"/>
    <cellStyle name="Accent6 16" xfId="367" xr:uid="{00000000-0005-0000-0000-00005F010000}"/>
    <cellStyle name="Accent6 2" xfId="368" xr:uid="{00000000-0005-0000-0000-000060010000}"/>
    <cellStyle name="Accent6 3" xfId="369" xr:uid="{00000000-0005-0000-0000-000061010000}"/>
    <cellStyle name="Accent6 4" xfId="370" xr:uid="{00000000-0005-0000-0000-000062010000}"/>
    <cellStyle name="Accent6 5" xfId="371" xr:uid="{00000000-0005-0000-0000-000063010000}"/>
    <cellStyle name="Accent6 6" xfId="372" xr:uid="{00000000-0005-0000-0000-000064010000}"/>
    <cellStyle name="Accent6 7" xfId="373" xr:uid="{00000000-0005-0000-0000-000065010000}"/>
    <cellStyle name="Accent6 8" xfId="374" xr:uid="{00000000-0005-0000-0000-000066010000}"/>
    <cellStyle name="Accent6 9" xfId="375" xr:uid="{00000000-0005-0000-0000-000067010000}"/>
    <cellStyle name="Bad 10" xfId="376" xr:uid="{00000000-0005-0000-0000-000068010000}"/>
    <cellStyle name="Bad 11" xfId="377" xr:uid="{00000000-0005-0000-0000-000069010000}"/>
    <cellStyle name="Bad 12" xfId="378" xr:uid="{00000000-0005-0000-0000-00006A010000}"/>
    <cellStyle name="Bad 13" xfId="379" xr:uid="{00000000-0005-0000-0000-00006B010000}"/>
    <cellStyle name="Bad 14" xfId="380" xr:uid="{00000000-0005-0000-0000-00006C010000}"/>
    <cellStyle name="Bad 15" xfId="381" xr:uid="{00000000-0005-0000-0000-00006D010000}"/>
    <cellStyle name="Bad 16" xfId="382" xr:uid="{00000000-0005-0000-0000-00006E010000}"/>
    <cellStyle name="Bad 2" xfId="383" xr:uid="{00000000-0005-0000-0000-00006F010000}"/>
    <cellStyle name="Bad 3" xfId="384" xr:uid="{00000000-0005-0000-0000-000070010000}"/>
    <cellStyle name="Bad 4" xfId="385" xr:uid="{00000000-0005-0000-0000-000071010000}"/>
    <cellStyle name="Bad 5" xfId="386" xr:uid="{00000000-0005-0000-0000-000072010000}"/>
    <cellStyle name="Bad 6" xfId="387" xr:uid="{00000000-0005-0000-0000-000073010000}"/>
    <cellStyle name="Bad 7" xfId="388" xr:uid="{00000000-0005-0000-0000-000074010000}"/>
    <cellStyle name="Bad 8" xfId="389" xr:uid="{00000000-0005-0000-0000-000075010000}"/>
    <cellStyle name="Bad 9" xfId="390" xr:uid="{00000000-0005-0000-0000-000076010000}"/>
    <cellStyle name="Calculation 10" xfId="391" xr:uid="{00000000-0005-0000-0000-000077010000}"/>
    <cellStyle name="Calculation 11" xfId="392" xr:uid="{00000000-0005-0000-0000-000078010000}"/>
    <cellStyle name="Calculation 12" xfId="393" xr:uid="{00000000-0005-0000-0000-000079010000}"/>
    <cellStyle name="Calculation 13" xfId="394" xr:uid="{00000000-0005-0000-0000-00007A010000}"/>
    <cellStyle name="Calculation 14" xfId="395" xr:uid="{00000000-0005-0000-0000-00007B010000}"/>
    <cellStyle name="Calculation 15" xfId="396" xr:uid="{00000000-0005-0000-0000-00007C010000}"/>
    <cellStyle name="Calculation 16" xfId="397" xr:uid="{00000000-0005-0000-0000-00007D010000}"/>
    <cellStyle name="Calculation 2" xfId="398" xr:uid="{00000000-0005-0000-0000-00007E010000}"/>
    <cellStyle name="Calculation 3" xfId="399" xr:uid="{00000000-0005-0000-0000-00007F010000}"/>
    <cellStyle name="Calculation 4" xfId="400" xr:uid="{00000000-0005-0000-0000-000080010000}"/>
    <cellStyle name="Calculation 5" xfId="401" xr:uid="{00000000-0005-0000-0000-000081010000}"/>
    <cellStyle name="Calculation 6" xfId="402" xr:uid="{00000000-0005-0000-0000-000082010000}"/>
    <cellStyle name="Calculation 7" xfId="403" xr:uid="{00000000-0005-0000-0000-000083010000}"/>
    <cellStyle name="Calculation 8" xfId="404" xr:uid="{00000000-0005-0000-0000-000084010000}"/>
    <cellStyle name="Calculation 9" xfId="405" xr:uid="{00000000-0005-0000-0000-000085010000}"/>
    <cellStyle name="Check Cell 10" xfId="406" xr:uid="{00000000-0005-0000-0000-000086010000}"/>
    <cellStyle name="Check Cell 11" xfId="407" xr:uid="{00000000-0005-0000-0000-000087010000}"/>
    <cellStyle name="Check Cell 12" xfId="408" xr:uid="{00000000-0005-0000-0000-000088010000}"/>
    <cellStyle name="Check Cell 13" xfId="409" xr:uid="{00000000-0005-0000-0000-000089010000}"/>
    <cellStyle name="Check Cell 14" xfId="410" xr:uid="{00000000-0005-0000-0000-00008A010000}"/>
    <cellStyle name="Check Cell 15" xfId="411" xr:uid="{00000000-0005-0000-0000-00008B010000}"/>
    <cellStyle name="Check Cell 16" xfId="412" xr:uid="{00000000-0005-0000-0000-00008C010000}"/>
    <cellStyle name="Check Cell 2" xfId="413" xr:uid="{00000000-0005-0000-0000-00008D010000}"/>
    <cellStyle name="Check Cell 3" xfId="414" xr:uid="{00000000-0005-0000-0000-00008E010000}"/>
    <cellStyle name="Check Cell 4" xfId="415" xr:uid="{00000000-0005-0000-0000-00008F010000}"/>
    <cellStyle name="Check Cell 5" xfId="416" xr:uid="{00000000-0005-0000-0000-000090010000}"/>
    <cellStyle name="Check Cell 6" xfId="417" xr:uid="{00000000-0005-0000-0000-000091010000}"/>
    <cellStyle name="Check Cell 7" xfId="418" xr:uid="{00000000-0005-0000-0000-000092010000}"/>
    <cellStyle name="Check Cell 8" xfId="419" xr:uid="{00000000-0005-0000-0000-000093010000}"/>
    <cellStyle name="Check Cell 9" xfId="420" xr:uid="{00000000-0005-0000-0000-000094010000}"/>
    <cellStyle name="Comma" xfId="3" builtinId="3"/>
    <cellStyle name="Comma [0]" xfId="853" builtinId="6"/>
    <cellStyle name="Comma 2" xfId="1" xr:uid="{00000000-0005-0000-0000-000096010000}"/>
    <cellStyle name="Comma 2 10" xfId="421" xr:uid="{00000000-0005-0000-0000-000097010000}"/>
    <cellStyle name="Comma 2 11" xfId="422" xr:uid="{00000000-0005-0000-0000-000098010000}"/>
    <cellStyle name="Comma 2 12" xfId="423" xr:uid="{00000000-0005-0000-0000-000099010000}"/>
    <cellStyle name="Comma 2 13" xfId="424" xr:uid="{00000000-0005-0000-0000-00009A010000}"/>
    <cellStyle name="Comma 2 14" xfId="425" xr:uid="{00000000-0005-0000-0000-00009B010000}"/>
    <cellStyle name="Comma 2 2" xfId="426" xr:uid="{00000000-0005-0000-0000-00009C010000}"/>
    <cellStyle name="Comma 2 3" xfId="427" xr:uid="{00000000-0005-0000-0000-00009D010000}"/>
    <cellStyle name="Comma 2 4" xfId="428" xr:uid="{00000000-0005-0000-0000-00009E010000}"/>
    <cellStyle name="Comma 2 5" xfId="429" xr:uid="{00000000-0005-0000-0000-00009F010000}"/>
    <cellStyle name="Comma 2 6" xfId="430" xr:uid="{00000000-0005-0000-0000-0000A0010000}"/>
    <cellStyle name="Comma 2 7" xfId="431" xr:uid="{00000000-0005-0000-0000-0000A1010000}"/>
    <cellStyle name="Comma 2 8" xfId="432" xr:uid="{00000000-0005-0000-0000-0000A2010000}"/>
    <cellStyle name="Comma 2 9" xfId="433" xr:uid="{00000000-0005-0000-0000-0000A3010000}"/>
    <cellStyle name="Comma 3" xfId="434" xr:uid="{00000000-0005-0000-0000-0000A4010000}"/>
    <cellStyle name="Comma 4" xfId="435" xr:uid="{00000000-0005-0000-0000-0000A5010000}"/>
    <cellStyle name="Comma 5" xfId="436" xr:uid="{00000000-0005-0000-0000-0000A6010000}"/>
    <cellStyle name="Comma 6" xfId="9" xr:uid="{00000000-0005-0000-0000-0000A7010000}"/>
    <cellStyle name="Comma 7" xfId="846" xr:uid="{00000000-0005-0000-0000-0000A8010000}"/>
    <cellStyle name="Comma0" xfId="437" xr:uid="{00000000-0005-0000-0000-0000A9010000}"/>
    <cellStyle name="Currency" xfId="4" builtinId="4"/>
    <cellStyle name="Currency 2" xfId="6" xr:uid="{00000000-0005-0000-0000-0000AB010000}"/>
    <cellStyle name="Currency 3" xfId="438" xr:uid="{00000000-0005-0000-0000-0000AC010000}"/>
    <cellStyle name="Currency 4" xfId="439" xr:uid="{00000000-0005-0000-0000-0000AD010000}"/>
    <cellStyle name="Currency 5" xfId="849" xr:uid="{00000000-0005-0000-0000-0000AE010000}"/>
    <cellStyle name="Currency0" xfId="440" xr:uid="{00000000-0005-0000-0000-0000AF010000}"/>
    <cellStyle name="Date" xfId="441" xr:uid="{00000000-0005-0000-0000-0000B0010000}"/>
    <cellStyle name="Euro" xfId="442" xr:uid="{00000000-0005-0000-0000-0000B1010000}"/>
    <cellStyle name="Explanatory Text 10" xfId="443" xr:uid="{00000000-0005-0000-0000-0000B2010000}"/>
    <cellStyle name="Explanatory Text 11" xfId="444" xr:uid="{00000000-0005-0000-0000-0000B3010000}"/>
    <cellStyle name="Explanatory Text 12" xfId="445" xr:uid="{00000000-0005-0000-0000-0000B4010000}"/>
    <cellStyle name="Explanatory Text 13" xfId="446" xr:uid="{00000000-0005-0000-0000-0000B5010000}"/>
    <cellStyle name="Explanatory Text 14" xfId="447" xr:uid="{00000000-0005-0000-0000-0000B6010000}"/>
    <cellStyle name="Explanatory Text 15" xfId="448" xr:uid="{00000000-0005-0000-0000-0000B7010000}"/>
    <cellStyle name="Explanatory Text 16" xfId="449" xr:uid="{00000000-0005-0000-0000-0000B8010000}"/>
    <cellStyle name="Explanatory Text 2" xfId="450" xr:uid="{00000000-0005-0000-0000-0000B9010000}"/>
    <cellStyle name="Explanatory Text 3" xfId="451" xr:uid="{00000000-0005-0000-0000-0000BA010000}"/>
    <cellStyle name="Explanatory Text 4" xfId="452" xr:uid="{00000000-0005-0000-0000-0000BB010000}"/>
    <cellStyle name="Explanatory Text 5" xfId="453" xr:uid="{00000000-0005-0000-0000-0000BC010000}"/>
    <cellStyle name="Explanatory Text 6" xfId="454" xr:uid="{00000000-0005-0000-0000-0000BD010000}"/>
    <cellStyle name="Explanatory Text 7" xfId="455" xr:uid="{00000000-0005-0000-0000-0000BE010000}"/>
    <cellStyle name="Explanatory Text 8" xfId="456" xr:uid="{00000000-0005-0000-0000-0000BF010000}"/>
    <cellStyle name="Explanatory Text 9" xfId="457" xr:uid="{00000000-0005-0000-0000-0000C0010000}"/>
    <cellStyle name="F2" xfId="458" xr:uid="{00000000-0005-0000-0000-0000C1010000}"/>
    <cellStyle name="F2 2" xfId="459" xr:uid="{00000000-0005-0000-0000-0000C2010000}"/>
    <cellStyle name="F2 3" xfId="460" xr:uid="{00000000-0005-0000-0000-0000C3010000}"/>
    <cellStyle name="F2 4" xfId="461" xr:uid="{00000000-0005-0000-0000-0000C4010000}"/>
    <cellStyle name="F2 5" xfId="462" xr:uid="{00000000-0005-0000-0000-0000C5010000}"/>
    <cellStyle name="F2 6" xfId="463" xr:uid="{00000000-0005-0000-0000-0000C6010000}"/>
    <cellStyle name="F2 7" xfId="464" xr:uid="{00000000-0005-0000-0000-0000C7010000}"/>
    <cellStyle name="F2 8" xfId="465" xr:uid="{00000000-0005-0000-0000-0000C8010000}"/>
    <cellStyle name="F2 9" xfId="466" xr:uid="{00000000-0005-0000-0000-0000C9010000}"/>
    <cellStyle name="F2_Regenerated Revenues LGE Gas 2008-04 with Elec Gen-Seelye final version " xfId="467" xr:uid="{00000000-0005-0000-0000-0000CA010000}"/>
    <cellStyle name="F3" xfId="468" xr:uid="{00000000-0005-0000-0000-0000CB010000}"/>
    <cellStyle name="F3 2" xfId="469" xr:uid="{00000000-0005-0000-0000-0000CC010000}"/>
    <cellStyle name="F3 3" xfId="470" xr:uid="{00000000-0005-0000-0000-0000CD010000}"/>
    <cellStyle name="F3 4" xfId="471" xr:uid="{00000000-0005-0000-0000-0000CE010000}"/>
    <cellStyle name="F3 5" xfId="472" xr:uid="{00000000-0005-0000-0000-0000CF010000}"/>
    <cellStyle name="F3 6" xfId="473" xr:uid="{00000000-0005-0000-0000-0000D0010000}"/>
    <cellStyle name="F3 7" xfId="474" xr:uid="{00000000-0005-0000-0000-0000D1010000}"/>
    <cellStyle name="F3 8" xfId="475" xr:uid="{00000000-0005-0000-0000-0000D2010000}"/>
    <cellStyle name="F3 9" xfId="476" xr:uid="{00000000-0005-0000-0000-0000D3010000}"/>
    <cellStyle name="F3_Regenerated Revenues LGE Gas 2008-04 with Elec Gen-Seelye final version " xfId="477" xr:uid="{00000000-0005-0000-0000-0000D4010000}"/>
    <cellStyle name="F4" xfId="478" xr:uid="{00000000-0005-0000-0000-0000D5010000}"/>
    <cellStyle name="F4 2" xfId="479" xr:uid="{00000000-0005-0000-0000-0000D6010000}"/>
    <cellStyle name="F4 3" xfId="480" xr:uid="{00000000-0005-0000-0000-0000D7010000}"/>
    <cellStyle name="F4 4" xfId="481" xr:uid="{00000000-0005-0000-0000-0000D8010000}"/>
    <cellStyle name="F4 5" xfId="482" xr:uid="{00000000-0005-0000-0000-0000D9010000}"/>
    <cellStyle name="F4 6" xfId="483" xr:uid="{00000000-0005-0000-0000-0000DA010000}"/>
    <cellStyle name="F4 7" xfId="484" xr:uid="{00000000-0005-0000-0000-0000DB010000}"/>
    <cellStyle name="F4 8" xfId="485" xr:uid="{00000000-0005-0000-0000-0000DC010000}"/>
    <cellStyle name="F4 9" xfId="486" xr:uid="{00000000-0005-0000-0000-0000DD010000}"/>
    <cellStyle name="F4_Regenerated Revenues LGE Gas 2008-04 with Elec Gen-Seelye final version " xfId="487" xr:uid="{00000000-0005-0000-0000-0000DE010000}"/>
    <cellStyle name="F5" xfId="488" xr:uid="{00000000-0005-0000-0000-0000DF010000}"/>
    <cellStyle name="F5 2" xfId="489" xr:uid="{00000000-0005-0000-0000-0000E0010000}"/>
    <cellStyle name="F5 3" xfId="490" xr:uid="{00000000-0005-0000-0000-0000E1010000}"/>
    <cellStyle name="F5 4" xfId="491" xr:uid="{00000000-0005-0000-0000-0000E2010000}"/>
    <cellStyle name="F5 5" xfId="492" xr:uid="{00000000-0005-0000-0000-0000E3010000}"/>
    <cellStyle name="F5 6" xfId="493" xr:uid="{00000000-0005-0000-0000-0000E4010000}"/>
    <cellStyle name="F5 7" xfId="494" xr:uid="{00000000-0005-0000-0000-0000E5010000}"/>
    <cellStyle name="F5 8" xfId="495" xr:uid="{00000000-0005-0000-0000-0000E6010000}"/>
    <cellStyle name="F5 9" xfId="496" xr:uid="{00000000-0005-0000-0000-0000E7010000}"/>
    <cellStyle name="F5_Regenerated Revenues LGE Gas 2008-04 with Elec Gen-Seelye final version " xfId="497" xr:uid="{00000000-0005-0000-0000-0000E8010000}"/>
    <cellStyle name="F6" xfId="498" xr:uid="{00000000-0005-0000-0000-0000E9010000}"/>
    <cellStyle name="F6 2" xfId="499" xr:uid="{00000000-0005-0000-0000-0000EA010000}"/>
    <cellStyle name="F6 3" xfId="500" xr:uid="{00000000-0005-0000-0000-0000EB010000}"/>
    <cellStyle name="F6 4" xfId="501" xr:uid="{00000000-0005-0000-0000-0000EC010000}"/>
    <cellStyle name="F6 5" xfId="502" xr:uid="{00000000-0005-0000-0000-0000ED010000}"/>
    <cellStyle name="F6 6" xfId="503" xr:uid="{00000000-0005-0000-0000-0000EE010000}"/>
    <cellStyle name="F6 7" xfId="504" xr:uid="{00000000-0005-0000-0000-0000EF010000}"/>
    <cellStyle name="F6 8" xfId="505" xr:uid="{00000000-0005-0000-0000-0000F0010000}"/>
    <cellStyle name="F6 9" xfId="506" xr:uid="{00000000-0005-0000-0000-0000F1010000}"/>
    <cellStyle name="F6_Regenerated Revenues LGE Gas 2008-04 with Elec Gen-Seelye final version " xfId="507" xr:uid="{00000000-0005-0000-0000-0000F2010000}"/>
    <cellStyle name="F7" xfId="508" xr:uid="{00000000-0005-0000-0000-0000F3010000}"/>
    <cellStyle name="F7 2" xfId="509" xr:uid="{00000000-0005-0000-0000-0000F4010000}"/>
    <cellStyle name="F7 3" xfId="510" xr:uid="{00000000-0005-0000-0000-0000F5010000}"/>
    <cellStyle name="F7 4" xfId="511" xr:uid="{00000000-0005-0000-0000-0000F6010000}"/>
    <cellStyle name="F7 5" xfId="512" xr:uid="{00000000-0005-0000-0000-0000F7010000}"/>
    <cellStyle name="F7 6" xfId="513" xr:uid="{00000000-0005-0000-0000-0000F8010000}"/>
    <cellStyle name="F7 7" xfId="514" xr:uid="{00000000-0005-0000-0000-0000F9010000}"/>
    <cellStyle name="F7 8" xfId="515" xr:uid="{00000000-0005-0000-0000-0000FA010000}"/>
    <cellStyle name="F7 9" xfId="516" xr:uid="{00000000-0005-0000-0000-0000FB010000}"/>
    <cellStyle name="F7_Regenerated Revenues LGE Gas 2008-04 with Elec Gen-Seelye final version " xfId="517" xr:uid="{00000000-0005-0000-0000-0000FC010000}"/>
    <cellStyle name="F8" xfId="518" xr:uid="{00000000-0005-0000-0000-0000FD010000}"/>
    <cellStyle name="F8 2" xfId="519" xr:uid="{00000000-0005-0000-0000-0000FE010000}"/>
    <cellStyle name="F8 3" xfId="520" xr:uid="{00000000-0005-0000-0000-0000FF010000}"/>
    <cellStyle name="F8 4" xfId="521" xr:uid="{00000000-0005-0000-0000-000000020000}"/>
    <cellStyle name="F8 5" xfId="522" xr:uid="{00000000-0005-0000-0000-000001020000}"/>
    <cellStyle name="F8 6" xfId="523" xr:uid="{00000000-0005-0000-0000-000002020000}"/>
    <cellStyle name="F8 7" xfId="524" xr:uid="{00000000-0005-0000-0000-000003020000}"/>
    <cellStyle name="F8 8" xfId="525" xr:uid="{00000000-0005-0000-0000-000004020000}"/>
    <cellStyle name="F8 9" xfId="526" xr:uid="{00000000-0005-0000-0000-000005020000}"/>
    <cellStyle name="F8_Regenerated Revenues LGE Gas 2008-04 with Elec Gen-Seelye final version " xfId="527" xr:uid="{00000000-0005-0000-0000-000006020000}"/>
    <cellStyle name="Fixed" xfId="528" xr:uid="{00000000-0005-0000-0000-000007020000}"/>
    <cellStyle name="Good 10" xfId="529" xr:uid="{00000000-0005-0000-0000-000009020000}"/>
    <cellStyle name="Good 11" xfId="530" xr:uid="{00000000-0005-0000-0000-00000A020000}"/>
    <cellStyle name="Good 12" xfId="531" xr:uid="{00000000-0005-0000-0000-00000B020000}"/>
    <cellStyle name="Good 13" xfId="532" xr:uid="{00000000-0005-0000-0000-00000C020000}"/>
    <cellStyle name="Good 14" xfId="533" xr:uid="{00000000-0005-0000-0000-00000D020000}"/>
    <cellStyle name="Good 15" xfId="534" xr:uid="{00000000-0005-0000-0000-00000E020000}"/>
    <cellStyle name="Good 16" xfId="535" xr:uid="{00000000-0005-0000-0000-00000F020000}"/>
    <cellStyle name="Good 2" xfId="536" xr:uid="{00000000-0005-0000-0000-000010020000}"/>
    <cellStyle name="Good 3" xfId="537" xr:uid="{00000000-0005-0000-0000-000011020000}"/>
    <cellStyle name="Good 4" xfId="538" xr:uid="{00000000-0005-0000-0000-000012020000}"/>
    <cellStyle name="Good 5" xfId="539" xr:uid="{00000000-0005-0000-0000-000013020000}"/>
    <cellStyle name="Good 6" xfId="540" xr:uid="{00000000-0005-0000-0000-000014020000}"/>
    <cellStyle name="Good 7" xfId="541" xr:uid="{00000000-0005-0000-0000-000015020000}"/>
    <cellStyle name="Good 8" xfId="542" xr:uid="{00000000-0005-0000-0000-000016020000}"/>
    <cellStyle name="Good 9" xfId="543" xr:uid="{00000000-0005-0000-0000-000017020000}"/>
    <cellStyle name="Heading 1 10" xfId="544" xr:uid="{00000000-0005-0000-0000-000018020000}"/>
    <cellStyle name="Heading 1 11" xfId="545" xr:uid="{00000000-0005-0000-0000-000019020000}"/>
    <cellStyle name="Heading 1 12" xfId="546" xr:uid="{00000000-0005-0000-0000-00001A020000}"/>
    <cellStyle name="Heading 1 13" xfId="547" xr:uid="{00000000-0005-0000-0000-00001B020000}"/>
    <cellStyle name="Heading 1 14" xfId="548" xr:uid="{00000000-0005-0000-0000-00001C020000}"/>
    <cellStyle name="Heading 1 15" xfId="549" xr:uid="{00000000-0005-0000-0000-00001D020000}"/>
    <cellStyle name="Heading 1 16" xfId="550" xr:uid="{00000000-0005-0000-0000-00001E020000}"/>
    <cellStyle name="Heading 1 2" xfId="551" xr:uid="{00000000-0005-0000-0000-00001F020000}"/>
    <cellStyle name="Heading 1 3" xfId="552" xr:uid="{00000000-0005-0000-0000-000020020000}"/>
    <cellStyle name="Heading 1 4" xfId="553" xr:uid="{00000000-0005-0000-0000-000021020000}"/>
    <cellStyle name="Heading 1 5" xfId="554" xr:uid="{00000000-0005-0000-0000-000022020000}"/>
    <cellStyle name="Heading 1 6" xfId="555" xr:uid="{00000000-0005-0000-0000-000023020000}"/>
    <cellStyle name="Heading 1 7" xfId="556" xr:uid="{00000000-0005-0000-0000-000024020000}"/>
    <cellStyle name="Heading 1 8" xfId="557" xr:uid="{00000000-0005-0000-0000-000025020000}"/>
    <cellStyle name="Heading 1 9" xfId="558" xr:uid="{00000000-0005-0000-0000-000026020000}"/>
    <cellStyle name="Heading 2 10" xfId="559" xr:uid="{00000000-0005-0000-0000-000027020000}"/>
    <cellStyle name="Heading 2 11" xfId="560" xr:uid="{00000000-0005-0000-0000-000028020000}"/>
    <cellStyle name="Heading 2 12" xfId="561" xr:uid="{00000000-0005-0000-0000-000029020000}"/>
    <cellStyle name="Heading 2 13" xfId="562" xr:uid="{00000000-0005-0000-0000-00002A020000}"/>
    <cellStyle name="Heading 2 14" xfId="563" xr:uid="{00000000-0005-0000-0000-00002B020000}"/>
    <cellStyle name="Heading 2 15" xfId="564" xr:uid="{00000000-0005-0000-0000-00002C020000}"/>
    <cellStyle name="Heading 2 16" xfId="565" xr:uid="{00000000-0005-0000-0000-00002D020000}"/>
    <cellStyle name="Heading 2 2" xfId="566" xr:uid="{00000000-0005-0000-0000-00002E020000}"/>
    <cellStyle name="Heading 2 3" xfId="567" xr:uid="{00000000-0005-0000-0000-00002F020000}"/>
    <cellStyle name="Heading 2 4" xfId="568" xr:uid="{00000000-0005-0000-0000-000030020000}"/>
    <cellStyle name="Heading 2 5" xfId="569" xr:uid="{00000000-0005-0000-0000-000031020000}"/>
    <cellStyle name="Heading 2 6" xfId="570" xr:uid="{00000000-0005-0000-0000-000032020000}"/>
    <cellStyle name="Heading 2 7" xfId="571" xr:uid="{00000000-0005-0000-0000-000033020000}"/>
    <cellStyle name="Heading 2 8" xfId="572" xr:uid="{00000000-0005-0000-0000-000034020000}"/>
    <cellStyle name="Heading 2 9" xfId="573" xr:uid="{00000000-0005-0000-0000-000035020000}"/>
    <cellStyle name="Heading 3 10" xfId="574" xr:uid="{00000000-0005-0000-0000-000036020000}"/>
    <cellStyle name="Heading 3 11" xfId="575" xr:uid="{00000000-0005-0000-0000-000037020000}"/>
    <cellStyle name="Heading 3 12" xfId="576" xr:uid="{00000000-0005-0000-0000-000038020000}"/>
    <cellStyle name="Heading 3 13" xfId="577" xr:uid="{00000000-0005-0000-0000-000039020000}"/>
    <cellStyle name="Heading 3 14" xfId="578" xr:uid="{00000000-0005-0000-0000-00003A020000}"/>
    <cellStyle name="Heading 3 15" xfId="579" xr:uid="{00000000-0005-0000-0000-00003B020000}"/>
    <cellStyle name="Heading 3 16" xfId="580" xr:uid="{00000000-0005-0000-0000-00003C020000}"/>
    <cellStyle name="Heading 3 2" xfId="581" xr:uid="{00000000-0005-0000-0000-00003D020000}"/>
    <cellStyle name="Heading 3 3" xfId="582" xr:uid="{00000000-0005-0000-0000-00003E020000}"/>
    <cellStyle name="Heading 3 4" xfId="583" xr:uid="{00000000-0005-0000-0000-00003F020000}"/>
    <cellStyle name="Heading 3 5" xfId="584" xr:uid="{00000000-0005-0000-0000-000040020000}"/>
    <cellStyle name="Heading 3 6" xfId="585" xr:uid="{00000000-0005-0000-0000-000041020000}"/>
    <cellStyle name="Heading 3 7" xfId="586" xr:uid="{00000000-0005-0000-0000-000042020000}"/>
    <cellStyle name="Heading 3 8" xfId="587" xr:uid="{00000000-0005-0000-0000-000043020000}"/>
    <cellStyle name="Heading 3 9" xfId="588" xr:uid="{00000000-0005-0000-0000-000044020000}"/>
    <cellStyle name="Heading 4 10" xfId="589" xr:uid="{00000000-0005-0000-0000-000045020000}"/>
    <cellStyle name="Heading 4 11" xfId="590" xr:uid="{00000000-0005-0000-0000-000046020000}"/>
    <cellStyle name="Heading 4 12" xfId="591" xr:uid="{00000000-0005-0000-0000-000047020000}"/>
    <cellStyle name="Heading 4 13" xfId="592" xr:uid="{00000000-0005-0000-0000-000048020000}"/>
    <cellStyle name="Heading 4 14" xfId="593" xr:uid="{00000000-0005-0000-0000-000049020000}"/>
    <cellStyle name="Heading 4 15" xfId="594" xr:uid="{00000000-0005-0000-0000-00004A020000}"/>
    <cellStyle name="Heading 4 16" xfId="595" xr:uid="{00000000-0005-0000-0000-00004B020000}"/>
    <cellStyle name="Heading 4 2" xfId="596" xr:uid="{00000000-0005-0000-0000-00004C020000}"/>
    <cellStyle name="Heading 4 3" xfId="597" xr:uid="{00000000-0005-0000-0000-00004D020000}"/>
    <cellStyle name="Heading 4 4" xfId="598" xr:uid="{00000000-0005-0000-0000-00004E020000}"/>
    <cellStyle name="Heading 4 5" xfId="599" xr:uid="{00000000-0005-0000-0000-00004F020000}"/>
    <cellStyle name="Heading 4 6" xfId="600" xr:uid="{00000000-0005-0000-0000-000050020000}"/>
    <cellStyle name="Heading 4 7" xfId="601" xr:uid="{00000000-0005-0000-0000-000051020000}"/>
    <cellStyle name="Heading 4 8" xfId="602" xr:uid="{00000000-0005-0000-0000-000052020000}"/>
    <cellStyle name="Heading 4 9" xfId="603" xr:uid="{00000000-0005-0000-0000-000053020000}"/>
    <cellStyle name="Input 10" xfId="604" xr:uid="{00000000-0005-0000-0000-000054020000}"/>
    <cellStyle name="Input 11" xfId="605" xr:uid="{00000000-0005-0000-0000-000055020000}"/>
    <cellStyle name="Input 12" xfId="606" xr:uid="{00000000-0005-0000-0000-000056020000}"/>
    <cellStyle name="Input 13" xfId="607" xr:uid="{00000000-0005-0000-0000-000057020000}"/>
    <cellStyle name="Input 14" xfId="608" xr:uid="{00000000-0005-0000-0000-000058020000}"/>
    <cellStyle name="Input 15" xfId="609" xr:uid="{00000000-0005-0000-0000-000059020000}"/>
    <cellStyle name="Input 16" xfId="610" xr:uid="{00000000-0005-0000-0000-00005A020000}"/>
    <cellStyle name="Input 2" xfId="611" xr:uid="{00000000-0005-0000-0000-00005B020000}"/>
    <cellStyle name="Input 3" xfId="612" xr:uid="{00000000-0005-0000-0000-00005C020000}"/>
    <cellStyle name="Input 4" xfId="613" xr:uid="{00000000-0005-0000-0000-00005D020000}"/>
    <cellStyle name="Input 5" xfId="614" xr:uid="{00000000-0005-0000-0000-00005E020000}"/>
    <cellStyle name="Input 6" xfId="615" xr:uid="{00000000-0005-0000-0000-00005F020000}"/>
    <cellStyle name="Input 7" xfId="616" xr:uid="{00000000-0005-0000-0000-000060020000}"/>
    <cellStyle name="Input 8" xfId="617" xr:uid="{00000000-0005-0000-0000-000061020000}"/>
    <cellStyle name="Input 9" xfId="618" xr:uid="{00000000-0005-0000-0000-000062020000}"/>
    <cellStyle name="Linked Cell 10" xfId="619" xr:uid="{00000000-0005-0000-0000-000063020000}"/>
    <cellStyle name="Linked Cell 11" xfId="620" xr:uid="{00000000-0005-0000-0000-000064020000}"/>
    <cellStyle name="Linked Cell 12" xfId="621" xr:uid="{00000000-0005-0000-0000-000065020000}"/>
    <cellStyle name="Linked Cell 13" xfId="622" xr:uid="{00000000-0005-0000-0000-000066020000}"/>
    <cellStyle name="Linked Cell 14" xfId="623" xr:uid="{00000000-0005-0000-0000-000067020000}"/>
    <cellStyle name="Linked Cell 15" xfId="624" xr:uid="{00000000-0005-0000-0000-000068020000}"/>
    <cellStyle name="Linked Cell 16" xfId="625" xr:uid="{00000000-0005-0000-0000-000069020000}"/>
    <cellStyle name="Linked Cell 2" xfId="626" xr:uid="{00000000-0005-0000-0000-00006A020000}"/>
    <cellStyle name="Linked Cell 3" xfId="627" xr:uid="{00000000-0005-0000-0000-00006B020000}"/>
    <cellStyle name="Linked Cell 4" xfId="628" xr:uid="{00000000-0005-0000-0000-00006C020000}"/>
    <cellStyle name="Linked Cell 5" xfId="629" xr:uid="{00000000-0005-0000-0000-00006D020000}"/>
    <cellStyle name="Linked Cell 6" xfId="630" xr:uid="{00000000-0005-0000-0000-00006E020000}"/>
    <cellStyle name="Linked Cell 7" xfId="631" xr:uid="{00000000-0005-0000-0000-00006F020000}"/>
    <cellStyle name="Linked Cell 8" xfId="632" xr:uid="{00000000-0005-0000-0000-000070020000}"/>
    <cellStyle name="Linked Cell 9" xfId="633" xr:uid="{00000000-0005-0000-0000-000071020000}"/>
    <cellStyle name="Neutral 10" xfId="634" xr:uid="{00000000-0005-0000-0000-000072020000}"/>
    <cellStyle name="Neutral 11" xfId="635" xr:uid="{00000000-0005-0000-0000-000073020000}"/>
    <cellStyle name="Neutral 12" xfId="636" xr:uid="{00000000-0005-0000-0000-000074020000}"/>
    <cellStyle name="Neutral 13" xfId="637" xr:uid="{00000000-0005-0000-0000-000075020000}"/>
    <cellStyle name="Neutral 14" xfId="638" xr:uid="{00000000-0005-0000-0000-000076020000}"/>
    <cellStyle name="Neutral 15" xfId="639" xr:uid="{00000000-0005-0000-0000-000077020000}"/>
    <cellStyle name="Neutral 16" xfId="640" xr:uid="{00000000-0005-0000-0000-000078020000}"/>
    <cellStyle name="Neutral 2" xfId="641" xr:uid="{00000000-0005-0000-0000-000079020000}"/>
    <cellStyle name="Neutral 3" xfId="642" xr:uid="{00000000-0005-0000-0000-00007A020000}"/>
    <cellStyle name="Neutral 4" xfId="643" xr:uid="{00000000-0005-0000-0000-00007B020000}"/>
    <cellStyle name="Neutral 5" xfId="644" xr:uid="{00000000-0005-0000-0000-00007C020000}"/>
    <cellStyle name="Neutral 6" xfId="645" xr:uid="{00000000-0005-0000-0000-00007D020000}"/>
    <cellStyle name="Neutral 7" xfId="646" xr:uid="{00000000-0005-0000-0000-00007E020000}"/>
    <cellStyle name="Neutral 8" xfId="647" xr:uid="{00000000-0005-0000-0000-00007F020000}"/>
    <cellStyle name="Neutral 9" xfId="648" xr:uid="{00000000-0005-0000-0000-000080020000}"/>
    <cellStyle name="Normal" xfId="0" builtinId="0"/>
    <cellStyle name="Normal 10" xfId="649" xr:uid="{00000000-0005-0000-0000-000082020000}"/>
    <cellStyle name="Normal 11" xfId="650" xr:uid="{00000000-0005-0000-0000-000083020000}"/>
    <cellStyle name="Normal 12" xfId="651" xr:uid="{00000000-0005-0000-0000-000084020000}"/>
    <cellStyle name="Normal 13" xfId="652" xr:uid="{00000000-0005-0000-0000-000085020000}"/>
    <cellStyle name="Normal 14" xfId="15" xr:uid="{00000000-0005-0000-0000-000086020000}"/>
    <cellStyle name="Normal 15" xfId="653" xr:uid="{00000000-0005-0000-0000-000087020000}"/>
    <cellStyle name="Normal 16" xfId="654" xr:uid="{00000000-0005-0000-0000-000088020000}"/>
    <cellStyle name="Normal 17" xfId="655" xr:uid="{00000000-0005-0000-0000-000089020000}"/>
    <cellStyle name="Normal 18" xfId="656" xr:uid="{00000000-0005-0000-0000-00008A020000}"/>
    <cellStyle name="Normal 19" xfId="657" xr:uid="{00000000-0005-0000-0000-00008B020000}"/>
    <cellStyle name="Normal 2" xfId="5" xr:uid="{00000000-0005-0000-0000-00008C020000}"/>
    <cellStyle name="Normal 2 10" xfId="658" xr:uid="{00000000-0005-0000-0000-00008D020000}"/>
    <cellStyle name="Normal 2 11" xfId="659" xr:uid="{00000000-0005-0000-0000-00008E020000}"/>
    <cellStyle name="Normal 2 12" xfId="660" xr:uid="{00000000-0005-0000-0000-00008F020000}"/>
    <cellStyle name="Normal 2 13" xfId="661" xr:uid="{00000000-0005-0000-0000-000090020000}"/>
    <cellStyle name="Normal 2 14" xfId="662" xr:uid="{00000000-0005-0000-0000-000091020000}"/>
    <cellStyle name="Normal 2 15" xfId="663" xr:uid="{00000000-0005-0000-0000-000092020000}"/>
    <cellStyle name="Normal 2 16" xfId="664" xr:uid="{00000000-0005-0000-0000-000093020000}"/>
    <cellStyle name="Normal 2 19" xfId="851" xr:uid="{00000000-0005-0000-0000-000094020000}"/>
    <cellStyle name="Normal 2 2" xfId="665" xr:uid="{00000000-0005-0000-0000-000095020000}"/>
    <cellStyle name="Normal 2 3" xfId="666" xr:uid="{00000000-0005-0000-0000-000096020000}"/>
    <cellStyle name="Normal 2 4" xfId="667" xr:uid="{00000000-0005-0000-0000-000097020000}"/>
    <cellStyle name="Normal 2 5" xfId="668" xr:uid="{00000000-0005-0000-0000-000098020000}"/>
    <cellStyle name="Normal 2 6" xfId="669" xr:uid="{00000000-0005-0000-0000-000099020000}"/>
    <cellStyle name="Normal 2 7" xfId="670" xr:uid="{00000000-0005-0000-0000-00009A020000}"/>
    <cellStyle name="Normal 2 8" xfId="671" xr:uid="{00000000-0005-0000-0000-00009B020000}"/>
    <cellStyle name="Normal 2 9" xfId="672" xr:uid="{00000000-0005-0000-0000-00009C020000}"/>
    <cellStyle name="Normal 2_LGEElecBillingDeterminants2009-10" xfId="673" xr:uid="{00000000-0005-0000-0000-00009D020000}"/>
    <cellStyle name="Normal 20" xfId="674" xr:uid="{00000000-0005-0000-0000-00009E020000}"/>
    <cellStyle name="Normal 21" xfId="675" xr:uid="{00000000-0005-0000-0000-00009F020000}"/>
    <cellStyle name="Normal 22" xfId="676" xr:uid="{00000000-0005-0000-0000-0000A0020000}"/>
    <cellStyle name="Normal 23" xfId="677" xr:uid="{00000000-0005-0000-0000-0000A1020000}"/>
    <cellStyle name="Normal 3" xfId="2" xr:uid="{00000000-0005-0000-0000-0000A2020000}"/>
    <cellStyle name="Normal 3 10" xfId="678" xr:uid="{00000000-0005-0000-0000-0000A3020000}"/>
    <cellStyle name="Normal 3 11" xfId="679" xr:uid="{00000000-0005-0000-0000-0000A4020000}"/>
    <cellStyle name="Normal 3 12" xfId="680" xr:uid="{00000000-0005-0000-0000-0000A5020000}"/>
    <cellStyle name="Normal 3 13" xfId="681" xr:uid="{00000000-0005-0000-0000-0000A6020000}"/>
    <cellStyle name="Normal 3 14" xfId="682" xr:uid="{00000000-0005-0000-0000-0000A7020000}"/>
    <cellStyle name="Normal 3 15" xfId="683" xr:uid="{00000000-0005-0000-0000-0000A8020000}"/>
    <cellStyle name="Normal 3 16" xfId="684" xr:uid="{00000000-0005-0000-0000-0000A9020000}"/>
    <cellStyle name="Normal 3 17" xfId="848" xr:uid="{00000000-0005-0000-0000-0000AA020000}"/>
    <cellStyle name="Normal 3 2" xfId="685" xr:uid="{00000000-0005-0000-0000-0000AB020000}"/>
    <cellStyle name="Normal 3 3" xfId="686" xr:uid="{00000000-0005-0000-0000-0000AC020000}"/>
    <cellStyle name="Normal 3 4" xfId="687" xr:uid="{00000000-0005-0000-0000-0000AD020000}"/>
    <cellStyle name="Normal 3 5" xfId="688" xr:uid="{00000000-0005-0000-0000-0000AE020000}"/>
    <cellStyle name="Normal 3 6" xfId="689" xr:uid="{00000000-0005-0000-0000-0000AF020000}"/>
    <cellStyle name="Normal 3 7" xfId="690" xr:uid="{00000000-0005-0000-0000-0000B0020000}"/>
    <cellStyle name="Normal 3 8" xfId="691" xr:uid="{00000000-0005-0000-0000-0000B1020000}"/>
    <cellStyle name="Normal 3 9" xfId="692" xr:uid="{00000000-0005-0000-0000-0000B2020000}"/>
    <cellStyle name="Normal 3_LGEElecBillingDeterminants2009-10" xfId="693" xr:uid="{00000000-0005-0000-0000-0000B3020000}"/>
    <cellStyle name="Normal 4" xfId="7" xr:uid="{00000000-0005-0000-0000-0000B4020000}"/>
    <cellStyle name="Normal 4 2" xfId="694" xr:uid="{00000000-0005-0000-0000-0000B5020000}"/>
    <cellStyle name="Normal 4 3" xfId="695" xr:uid="{00000000-0005-0000-0000-0000B6020000}"/>
    <cellStyle name="Normal 4_Regenerated Revenues LGE Gas 10312009" xfId="696" xr:uid="{00000000-0005-0000-0000-0000B7020000}"/>
    <cellStyle name="Normal 5" xfId="13" xr:uid="{00000000-0005-0000-0000-0000B8020000}"/>
    <cellStyle name="Normal 5 2" xfId="697" xr:uid="{00000000-0005-0000-0000-0000B9020000}"/>
    <cellStyle name="Normal 5 3" xfId="698" xr:uid="{00000000-0005-0000-0000-0000BA020000}"/>
    <cellStyle name="Normal 6" xfId="699" xr:uid="{00000000-0005-0000-0000-0000BB020000}"/>
    <cellStyle name="Normal 6 2" xfId="700" xr:uid="{00000000-0005-0000-0000-0000BC020000}"/>
    <cellStyle name="Normal 6 3" xfId="701" xr:uid="{00000000-0005-0000-0000-0000BD020000}"/>
    <cellStyle name="Normal 7" xfId="702" xr:uid="{00000000-0005-0000-0000-0000BE020000}"/>
    <cellStyle name="Normal 7 2" xfId="703" xr:uid="{00000000-0005-0000-0000-0000BF020000}"/>
    <cellStyle name="Normal 7 3" xfId="704" xr:uid="{00000000-0005-0000-0000-0000C0020000}"/>
    <cellStyle name="Normal 75" xfId="852" xr:uid="{00000000-0005-0000-0000-0000C1020000}"/>
    <cellStyle name="Normal 8" xfId="705" xr:uid="{00000000-0005-0000-0000-0000C2020000}"/>
    <cellStyle name="Normal 8 2" xfId="706" xr:uid="{00000000-0005-0000-0000-0000C3020000}"/>
    <cellStyle name="Normal 8 3" xfId="707" xr:uid="{00000000-0005-0000-0000-0000C4020000}"/>
    <cellStyle name="Normal 81" xfId="854" xr:uid="{CA7EA31F-ADD6-49CB-8AD5-B86D7AE8F66B}"/>
    <cellStyle name="Normal 9" xfId="708" xr:uid="{00000000-0005-0000-0000-0000C5020000}"/>
    <cellStyle name="Normal 9 2" xfId="709" xr:uid="{00000000-0005-0000-0000-0000C6020000}"/>
    <cellStyle name="Normal 9 3" xfId="710" xr:uid="{00000000-0005-0000-0000-0000C7020000}"/>
    <cellStyle name="Normal_Book1" xfId="14" xr:uid="{00000000-0005-0000-0000-0000C8020000}"/>
    <cellStyle name="Normal_Exhibit 09" xfId="11" xr:uid="{00000000-0005-0000-0000-0000C9020000}"/>
    <cellStyle name="Normal_LGE Filed Test Period Billing Exhibits - SBR Summary" xfId="850" xr:uid="{00000000-0005-0000-0000-0000CA020000}"/>
    <cellStyle name="Normal_Regenerated Revenues LGE Gas 2008-04 with Elec Gen contract(MEH)" xfId="12" xr:uid="{00000000-0005-0000-0000-0000CB020000}"/>
    <cellStyle name="Normal_Regenerated Revenues LGE Gas 2008-04 with Elec Gen-Seelye final version " xfId="847" xr:uid="{00000000-0005-0000-0000-0000CC020000}"/>
    <cellStyle name="Note 10" xfId="711" xr:uid="{00000000-0005-0000-0000-0000CD020000}"/>
    <cellStyle name="Note 11" xfId="712" xr:uid="{00000000-0005-0000-0000-0000CE020000}"/>
    <cellStyle name="Note 12" xfId="713" xr:uid="{00000000-0005-0000-0000-0000CF020000}"/>
    <cellStyle name="Note 13" xfId="714" xr:uid="{00000000-0005-0000-0000-0000D0020000}"/>
    <cellStyle name="Note 14" xfId="715" xr:uid="{00000000-0005-0000-0000-0000D1020000}"/>
    <cellStyle name="Note 2" xfId="716" xr:uid="{00000000-0005-0000-0000-0000D2020000}"/>
    <cellStyle name="Note 2 2" xfId="717" xr:uid="{00000000-0005-0000-0000-0000D3020000}"/>
    <cellStyle name="Note 2 3" xfId="718" xr:uid="{00000000-0005-0000-0000-0000D4020000}"/>
    <cellStyle name="Note 3" xfId="719" xr:uid="{00000000-0005-0000-0000-0000D5020000}"/>
    <cellStyle name="Note 3 2" xfId="720" xr:uid="{00000000-0005-0000-0000-0000D6020000}"/>
    <cellStyle name="Note 3 3" xfId="721" xr:uid="{00000000-0005-0000-0000-0000D7020000}"/>
    <cellStyle name="Note 4" xfId="722" xr:uid="{00000000-0005-0000-0000-0000D8020000}"/>
    <cellStyle name="Note 4 2" xfId="723" xr:uid="{00000000-0005-0000-0000-0000D9020000}"/>
    <cellStyle name="Note 4 3" xfId="724" xr:uid="{00000000-0005-0000-0000-0000DA020000}"/>
    <cellStyle name="Note 5" xfId="725" xr:uid="{00000000-0005-0000-0000-0000DB020000}"/>
    <cellStyle name="Note 5 2" xfId="726" xr:uid="{00000000-0005-0000-0000-0000DC020000}"/>
    <cellStyle name="Note 5 3" xfId="727" xr:uid="{00000000-0005-0000-0000-0000DD020000}"/>
    <cellStyle name="Note 6" xfId="728" xr:uid="{00000000-0005-0000-0000-0000DE020000}"/>
    <cellStyle name="Note 6 2" xfId="729" xr:uid="{00000000-0005-0000-0000-0000DF020000}"/>
    <cellStyle name="Note 6 3" xfId="730" xr:uid="{00000000-0005-0000-0000-0000E0020000}"/>
    <cellStyle name="Note 7" xfId="731" xr:uid="{00000000-0005-0000-0000-0000E1020000}"/>
    <cellStyle name="Note 7 2" xfId="732" xr:uid="{00000000-0005-0000-0000-0000E2020000}"/>
    <cellStyle name="Note 7 3" xfId="733" xr:uid="{00000000-0005-0000-0000-0000E3020000}"/>
    <cellStyle name="Note 8" xfId="734" xr:uid="{00000000-0005-0000-0000-0000E4020000}"/>
    <cellStyle name="Note 8 2" xfId="735" xr:uid="{00000000-0005-0000-0000-0000E5020000}"/>
    <cellStyle name="Note 8 3" xfId="736" xr:uid="{00000000-0005-0000-0000-0000E6020000}"/>
    <cellStyle name="Note 9" xfId="737" xr:uid="{00000000-0005-0000-0000-0000E7020000}"/>
    <cellStyle name="Output 10" xfId="738" xr:uid="{00000000-0005-0000-0000-0000E8020000}"/>
    <cellStyle name="Output 11" xfId="739" xr:uid="{00000000-0005-0000-0000-0000E9020000}"/>
    <cellStyle name="Output 12" xfId="740" xr:uid="{00000000-0005-0000-0000-0000EA020000}"/>
    <cellStyle name="Output 13" xfId="741" xr:uid="{00000000-0005-0000-0000-0000EB020000}"/>
    <cellStyle name="Output 14" xfId="742" xr:uid="{00000000-0005-0000-0000-0000EC020000}"/>
    <cellStyle name="Output 15" xfId="743" xr:uid="{00000000-0005-0000-0000-0000ED020000}"/>
    <cellStyle name="Output 16" xfId="744" xr:uid="{00000000-0005-0000-0000-0000EE020000}"/>
    <cellStyle name="Output 2" xfId="745" xr:uid="{00000000-0005-0000-0000-0000EF020000}"/>
    <cellStyle name="Output 3" xfId="746" xr:uid="{00000000-0005-0000-0000-0000F0020000}"/>
    <cellStyle name="Output 4" xfId="747" xr:uid="{00000000-0005-0000-0000-0000F1020000}"/>
    <cellStyle name="Output 5" xfId="748" xr:uid="{00000000-0005-0000-0000-0000F2020000}"/>
    <cellStyle name="Output 6" xfId="749" xr:uid="{00000000-0005-0000-0000-0000F3020000}"/>
    <cellStyle name="Output 7" xfId="750" xr:uid="{00000000-0005-0000-0000-0000F4020000}"/>
    <cellStyle name="Output 8" xfId="751" xr:uid="{00000000-0005-0000-0000-0000F5020000}"/>
    <cellStyle name="Output 9" xfId="752" xr:uid="{00000000-0005-0000-0000-0000F6020000}"/>
    <cellStyle name="Output Amounts" xfId="753" xr:uid="{00000000-0005-0000-0000-0000F7020000}"/>
    <cellStyle name="Output Column Headings" xfId="754" xr:uid="{00000000-0005-0000-0000-0000F8020000}"/>
    <cellStyle name="Output Column Headings 2" xfId="755" xr:uid="{00000000-0005-0000-0000-0000F9020000}"/>
    <cellStyle name="Output Column Headings 3" xfId="756" xr:uid="{00000000-0005-0000-0000-0000FA020000}"/>
    <cellStyle name="Output Column Headings 4" xfId="757" xr:uid="{00000000-0005-0000-0000-0000FB020000}"/>
    <cellStyle name="Output Column Headings 5" xfId="758" xr:uid="{00000000-0005-0000-0000-0000FC020000}"/>
    <cellStyle name="Output Column Headings 6" xfId="759" xr:uid="{00000000-0005-0000-0000-0000FD020000}"/>
    <cellStyle name="Output Column Headings 7" xfId="760" xr:uid="{00000000-0005-0000-0000-0000FE020000}"/>
    <cellStyle name="Output Column Headings 8" xfId="761" xr:uid="{00000000-0005-0000-0000-0000FF020000}"/>
    <cellStyle name="Output Column Headings 9" xfId="762" xr:uid="{00000000-0005-0000-0000-000000030000}"/>
    <cellStyle name="Output Column Headings_Regenerated Revenues LGE Gas 2008-04 with Elec Gen-Seelye final version " xfId="763" xr:uid="{00000000-0005-0000-0000-000001030000}"/>
    <cellStyle name="Output Line Items" xfId="764" xr:uid="{00000000-0005-0000-0000-000002030000}"/>
    <cellStyle name="Output Line Items 2" xfId="765" xr:uid="{00000000-0005-0000-0000-000003030000}"/>
    <cellStyle name="Output Line Items 3" xfId="766" xr:uid="{00000000-0005-0000-0000-000004030000}"/>
    <cellStyle name="Output Line Items 4" xfId="767" xr:uid="{00000000-0005-0000-0000-000005030000}"/>
    <cellStyle name="Output Line Items 5" xfId="768" xr:uid="{00000000-0005-0000-0000-000006030000}"/>
    <cellStyle name="Output Line Items 6" xfId="769" xr:uid="{00000000-0005-0000-0000-000007030000}"/>
    <cellStyle name="Output Line Items 7" xfId="770" xr:uid="{00000000-0005-0000-0000-000008030000}"/>
    <cellStyle name="Output Line Items 8" xfId="771" xr:uid="{00000000-0005-0000-0000-000009030000}"/>
    <cellStyle name="Output Line Items 9" xfId="772" xr:uid="{00000000-0005-0000-0000-00000A030000}"/>
    <cellStyle name="Output Line Items_Regenerated Revenues LGE Gas 2008-04 with Elec Gen-Seelye final version " xfId="773" xr:uid="{00000000-0005-0000-0000-00000B030000}"/>
    <cellStyle name="Output Report Heading" xfId="774" xr:uid="{00000000-0005-0000-0000-00000C030000}"/>
    <cellStyle name="Output Report Heading 2" xfId="775" xr:uid="{00000000-0005-0000-0000-00000D030000}"/>
    <cellStyle name="Output Report Heading 3" xfId="776" xr:uid="{00000000-0005-0000-0000-00000E030000}"/>
    <cellStyle name="Output Report Heading 4" xfId="777" xr:uid="{00000000-0005-0000-0000-00000F030000}"/>
    <cellStyle name="Output Report Heading 5" xfId="778" xr:uid="{00000000-0005-0000-0000-000010030000}"/>
    <cellStyle name="Output Report Heading 6" xfId="779" xr:uid="{00000000-0005-0000-0000-000011030000}"/>
    <cellStyle name="Output Report Heading 7" xfId="780" xr:uid="{00000000-0005-0000-0000-000012030000}"/>
    <cellStyle name="Output Report Heading 8" xfId="781" xr:uid="{00000000-0005-0000-0000-000013030000}"/>
    <cellStyle name="Output Report Heading 9" xfId="782" xr:uid="{00000000-0005-0000-0000-000014030000}"/>
    <cellStyle name="Output Report Heading_Regenerated Revenues LGE Gas 2008-04 with Elec Gen-Seelye final version " xfId="783" xr:uid="{00000000-0005-0000-0000-000015030000}"/>
    <cellStyle name="Output Report Title" xfId="784" xr:uid="{00000000-0005-0000-0000-000016030000}"/>
    <cellStyle name="Output Report Title 2" xfId="785" xr:uid="{00000000-0005-0000-0000-000017030000}"/>
    <cellStyle name="Output Report Title 3" xfId="786" xr:uid="{00000000-0005-0000-0000-000018030000}"/>
    <cellStyle name="Output Report Title 4" xfId="787" xr:uid="{00000000-0005-0000-0000-000019030000}"/>
    <cellStyle name="Output Report Title 5" xfId="788" xr:uid="{00000000-0005-0000-0000-00001A030000}"/>
    <cellStyle name="Output Report Title 6" xfId="789" xr:uid="{00000000-0005-0000-0000-00001B030000}"/>
    <cellStyle name="Output Report Title 7" xfId="790" xr:uid="{00000000-0005-0000-0000-00001C030000}"/>
    <cellStyle name="Output Report Title 8" xfId="791" xr:uid="{00000000-0005-0000-0000-00001D030000}"/>
    <cellStyle name="Output Report Title 9" xfId="792" xr:uid="{00000000-0005-0000-0000-00001E030000}"/>
    <cellStyle name="Output Report Title_Regenerated Revenues LGE Gas 2008-04 with Elec Gen-Seelye final version " xfId="793" xr:uid="{00000000-0005-0000-0000-00001F030000}"/>
    <cellStyle name="Percent" xfId="10" builtinId="5"/>
    <cellStyle name="Percent 2" xfId="8" xr:uid="{00000000-0005-0000-0000-000021030000}"/>
    <cellStyle name="Percent 3" xfId="794" xr:uid="{00000000-0005-0000-0000-000022030000}"/>
    <cellStyle name="STYL5 - Style5" xfId="795" xr:uid="{00000000-0005-0000-0000-000023030000}"/>
    <cellStyle name="STYL6 - Style6" xfId="796" xr:uid="{00000000-0005-0000-0000-000024030000}"/>
    <cellStyle name="STYLE1 - Style1" xfId="797" xr:uid="{00000000-0005-0000-0000-000025030000}"/>
    <cellStyle name="STYLE2 - Style2" xfId="798" xr:uid="{00000000-0005-0000-0000-000026030000}"/>
    <cellStyle name="STYLE3 - Style3" xfId="799" xr:uid="{00000000-0005-0000-0000-000027030000}"/>
    <cellStyle name="STYLE4 - Style4" xfId="800" xr:uid="{00000000-0005-0000-0000-000028030000}"/>
    <cellStyle name="Title 10" xfId="801" xr:uid="{00000000-0005-0000-0000-000029030000}"/>
    <cellStyle name="Title 11" xfId="802" xr:uid="{00000000-0005-0000-0000-00002A030000}"/>
    <cellStyle name="Title 12" xfId="803" xr:uid="{00000000-0005-0000-0000-00002B030000}"/>
    <cellStyle name="Title 13" xfId="804" xr:uid="{00000000-0005-0000-0000-00002C030000}"/>
    <cellStyle name="Title 14" xfId="805" xr:uid="{00000000-0005-0000-0000-00002D030000}"/>
    <cellStyle name="Title 15" xfId="806" xr:uid="{00000000-0005-0000-0000-00002E030000}"/>
    <cellStyle name="Title 16" xfId="807" xr:uid="{00000000-0005-0000-0000-00002F030000}"/>
    <cellStyle name="Title 2" xfId="808" xr:uid="{00000000-0005-0000-0000-000030030000}"/>
    <cellStyle name="Title 3" xfId="809" xr:uid="{00000000-0005-0000-0000-000031030000}"/>
    <cellStyle name="Title 4" xfId="810" xr:uid="{00000000-0005-0000-0000-000032030000}"/>
    <cellStyle name="Title 5" xfId="811" xr:uid="{00000000-0005-0000-0000-000033030000}"/>
    <cellStyle name="Title 6" xfId="812" xr:uid="{00000000-0005-0000-0000-000034030000}"/>
    <cellStyle name="Title 7" xfId="813" xr:uid="{00000000-0005-0000-0000-000035030000}"/>
    <cellStyle name="Title 8" xfId="814" xr:uid="{00000000-0005-0000-0000-000036030000}"/>
    <cellStyle name="Title 9" xfId="815" xr:uid="{00000000-0005-0000-0000-000037030000}"/>
    <cellStyle name="Total 10" xfId="816" xr:uid="{00000000-0005-0000-0000-000038030000}"/>
    <cellStyle name="Total 11" xfId="817" xr:uid="{00000000-0005-0000-0000-000039030000}"/>
    <cellStyle name="Total 12" xfId="818" xr:uid="{00000000-0005-0000-0000-00003A030000}"/>
    <cellStyle name="Total 13" xfId="819" xr:uid="{00000000-0005-0000-0000-00003B030000}"/>
    <cellStyle name="Total 14" xfId="820" xr:uid="{00000000-0005-0000-0000-00003C030000}"/>
    <cellStyle name="Total 15" xfId="821" xr:uid="{00000000-0005-0000-0000-00003D030000}"/>
    <cellStyle name="Total 16" xfId="822" xr:uid="{00000000-0005-0000-0000-00003E030000}"/>
    <cellStyle name="Total 2" xfId="823" xr:uid="{00000000-0005-0000-0000-00003F030000}"/>
    <cellStyle name="Total 3" xfId="824" xr:uid="{00000000-0005-0000-0000-000040030000}"/>
    <cellStyle name="Total 4" xfId="825" xr:uid="{00000000-0005-0000-0000-000041030000}"/>
    <cellStyle name="Total 5" xfId="826" xr:uid="{00000000-0005-0000-0000-000042030000}"/>
    <cellStyle name="Total 6" xfId="827" xr:uid="{00000000-0005-0000-0000-000043030000}"/>
    <cellStyle name="Total 7" xfId="828" xr:uid="{00000000-0005-0000-0000-000044030000}"/>
    <cellStyle name="Total 8" xfId="829" xr:uid="{00000000-0005-0000-0000-000045030000}"/>
    <cellStyle name="Total 9" xfId="830" xr:uid="{00000000-0005-0000-0000-000046030000}"/>
    <cellStyle name="Warning Text 10" xfId="831" xr:uid="{00000000-0005-0000-0000-000047030000}"/>
    <cellStyle name="Warning Text 11" xfId="832" xr:uid="{00000000-0005-0000-0000-000048030000}"/>
    <cellStyle name="Warning Text 12" xfId="833" xr:uid="{00000000-0005-0000-0000-000049030000}"/>
    <cellStyle name="Warning Text 13" xfId="834" xr:uid="{00000000-0005-0000-0000-00004A030000}"/>
    <cellStyle name="Warning Text 14" xfId="835" xr:uid="{00000000-0005-0000-0000-00004B030000}"/>
    <cellStyle name="Warning Text 15" xfId="836" xr:uid="{00000000-0005-0000-0000-00004C030000}"/>
    <cellStyle name="Warning Text 16" xfId="837" xr:uid="{00000000-0005-0000-0000-00004D030000}"/>
    <cellStyle name="Warning Text 2" xfId="838" xr:uid="{00000000-0005-0000-0000-00004E030000}"/>
    <cellStyle name="Warning Text 3" xfId="839" xr:uid="{00000000-0005-0000-0000-00004F030000}"/>
    <cellStyle name="Warning Text 4" xfId="840" xr:uid="{00000000-0005-0000-0000-000050030000}"/>
    <cellStyle name="Warning Text 5" xfId="841" xr:uid="{00000000-0005-0000-0000-000051030000}"/>
    <cellStyle name="Warning Text 6" xfId="842" xr:uid="{00000000-0005-0000-0000-000052030000}"/>
    <cellStyle name="Warning Text 7" xfId="843" xr:uid="{00000000-0005-0000-0000-000053030000}"/>
    <cellStyle name="Warning Text 8" xfId="844" xr:uid="{00000000-0005-0000-0000-000054030000}"/>
    <cellStyle name="Warning Text 9" xfId="845" xr:uid="{00000000-0005-0000-0000-000055030000}"/>
  </cellStyles>
  <dxfs count="35">
    <dxf>
      <fill>
        <patternFill patternType="solid">
          <fgColor rgb="FFC6C4C4"/>
          <bgColor rgb="FF00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00"/>
      <color rgb="FFFFCC66"/>
      <color rgb="FFFFFF99"/>
      <color rgb="FF00FFFF"/>
      <color rgb="FFFFFFCC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40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venue%20Volume%20Analysis%20Reports/2016/Revenue%20Volume%20Analysis%202016-06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2016/Billing%20Determinants/LGE/LGE%20Base%20Period%20Mar16%20-%20Feb17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9">
          <cell r="M29">
            <v>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Index"/>
      <sheetName val="Sch M-1.1"/>
      <sheetName val="Sch M-1.2"/>
      <sheetName val="Sch M-1.3 (1)"/>
      <sheetName val="Sch M-1.3 (2)"/>
      <sheetName val="Sch M-1.3 (3)"/>
      <sheetName val="True-ups==&gt;"/>
      <sheetName val="A-F kwh"/>
      <sheetName val="A-F Demand"/>
      <sheetName val="A-F Revenue"/>
      <sheetName val="Summary &amp; Checks==&gt;"/>
      <sheetName val="Reconciliation"/>
      <sheetName val="Recons&amp;Checks"/>
      <sheetName val="Data==&gt;"/>
      <sheetName val="ECR in Base Rates"/>
      <sheetName val="12MonResults"/>
      <sheetName val="12MonLights"/>
      <sheetName val="12MonPoles"/>
      <sheetName val="Sources ==&gt;"/>
      <sheetName val="FinForecast"/>
      <sheetName val="Customers"/>
      <sheetName val="Cal_Energy"/>
      <sheetName val="Billing Demand"/>
      <sheetName val="1055 Lights Forecast"/>
      <sheetName val="Lights Load Forecast"/>
      <sheetName val="1051 Poles Forecast"/>
      <sheetName val="Rates"/>
      <sheetName val="LightingRates"/>
      <sheetName val="PoleRates"/>
      <sheetName val="1022"/>
      <sheetName val="1051"/>
      <sheetName val="1055"/>
      <sheetName val="SBR"/>
      <sheetName val="MiscData"/>
      <sheetName val="Reconciliation==&gt;"/>
      <sheetName val="Mar"/>
      <sheetName val="Apr"/>
      <sheetName val="May"/>
      <sheetName val="Jun"/>
      <sheetName val="Jul"/>
      <sheetName val="A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3">
          <cell r="B3" t="str">
            <v>MAR 2016</v>
          </cell>
          <cell r="C3" t="str">
            <v>LEUM_825</v>
          </cell>
          <cell r="E3" t="str">
            <v>EF</v>
          </cell>
          <cell r="F3">
            <v>48365.64</v>
          </cell>
        </row>
        <row r="4">
          <cell r="B4" t="str">
            <v>MAR 2016</v>
          </cell>
          <cell r="C4" t="str">
            <v>LEUM_826</v>
          </cell>
          <cell r="E4" t="str">
            <v>EF</v>
          </cell>
          <cell r="F4">
            <v>2.27</v>
          </cell>
        </row>
        <row r="5">
          <cell r="B5" t="str">
            <v>MAR 2016</v>
          </cell>
          <cell r="C5" t="str">
            <v>LEUM_826</v>
          </cell>
          <cell r="E5" t="str">
            <v>EF</v>
          </cell>
          <cell r="F5">
            <v>752.12</v>
          </cell>
        </row>
        <row r="6">
          <cell r="B6" t="str">
            <v>MAR 2016</v>
          </cell>
          <cell r="C6" t="str">
            <v>LEUM_826</v>
          </cell>
          <cell r="E6" t="str">
            <v>EF</v>
          </cell>
          <cell r="F6">
            <v>11.35</v>
          </cell>
        </row>
        <row r="7">
          <cell r="B7" t="str">
            <v>MAR 2016</v>
          </cell>
          <cell r="C7" t="str">
            <v>LEUM_828</v>
          </cell>
          <cell r="E7" t="str">
            <v>EF</v>
          </cell>
          <cell r="F7">
            <v>60.66</v>
          </cell>
        </row>
        <row r="8">
          <cell r="B8" t="str">
            <v>MAR 2016</v>
          </cell>
          <cell r="C8" t="str">
            <v>LEUM_828</v>
          </cell>
          <cell r="E8" t="str">
            <v>EF</v>
          </cell>
          <cell r="F8">
            <v>1312.28</v>
          </cell>
        </row>
        <row r="9">
          <cell r="B9" t="str">
            <v>MAR 2016</v>
          </cell>
          <cell r="C9" t="str">
            <v>LEUM_828</v>
          </cell>
          <cell r="E9" t="str">
            <v>EF</v>
          </cell>
          <cell r="F9">
            <v>169.03</v>
          </cell>
        </row>
        <row r="10">
          <cell r="B10" t="str">
            <v>MAR 2016</v>
          </cell>
          <cell r="C10" t="str">
            <v>LEUM_828</v>
          </cell>
          <cell r="E10" t="str">
            <v>EF</v>
          </cell>
          <cell r="F10">
            <v>293.22000000000003</v>
          </cell>
        </row>
        <row r="11">
          <cell r="B11" t="str">
            <v>MAR 2016</v>
          </cell>
          <cell r="C11" t="str">
            <v>LEUM_828</v>
          </cell>
          <cell r="E11" t="str">
            <v>EF</v>
          </cell>
          <cell r="F11">
            <v>721.17</v>
          </cell>
        </row>
        <row r="12">
          <cell r="B12" t="str">
            <v>MAR 2016</v>
          </cell>
          <cell r="C12" t="str">
            <v>LEUM_828</v>
          </cell>
          <cell r="E12" t="str">
            <v>EF</v>
          </cell>
          <cell r="F12">
            <v>58.82</v>
          </cell>
        </row>
        <row r="13">
          <cell r="B13" t="str">
            <v>MAR 2016</v>
          </cell>
          <cell r="C13" t="str">
            <v>LEUM_829</v>
          </cell>
          <cell r="E13" t="str">
            <v>EF</v>
          </cell>
          <cell r="F13">
            <v>5</v>
          </cell>
        </row>
        <row r="14">
          <cell r="B14" t="str">
            <v>MAR 2016</v>
          </cell>
          <cell r="C14" t="str">
            <v>LGCME000</v>
          </cell>
          <cell r="E14" t="str">
            <v>TS</v>
          </cell>
        </row>
        <row r="15">
          <cell r="B15" t="str">
            <v>MAR 2016</v>
          </cell>
          <cell r="C15" t="str">
            <v>LGCME000</v>
          </cell>
          <cell r="E15" t="str">
            <v>TS</v>
          </cell>
        </row>
        <row r="16">
          <cell r="B16" t="str">
            <v>MAR 2016</v>
          </cell>
          <cell r="C16" t="str">
            <v>LGCME000</v>
          </cell>
          <cell r="E16" t="str">
            <v>TS</v>
          </cell>
        </row>
        <row r="17">
          <cell r="B17" t="str">
            <v>MAR 2016</v>
          </cell>
          <cell r="C17" t="str">
            <v>LGCME000</v>
          </cell>
          <cell r="E17" t="str">
            <v>TS</v>
          </cell>
        </row>
        <row r="18">
          <cell r="B18" t="str">
            <v>MAR 2016</v>
          </cell>
          <cell r="C18" t="str">
            <v>LGCME451</v>
          </cell>
          <cell r="E18" t="str">
            <v>GSS</v>
          </cell>
          <cell r="F18">
            <v>67.05</v>
          </cell>
        </row>
        <row r="19">
          <cell r="B19" t="str">
            <v>MAR 2016</v>
          </cell>
          <cell r="C19" t="str">
            <v>LGCME451</v>
          </cell>
          <cell r="E19" t="str">
            <v>GSS</v>
          </cell>
          <cell r="F19">
            <v>855.39</v>
          </cell>
        </row>
        <row r="20">
          <cell r="B20" t="str">
            <v>MAR 2016</v>
          </cell>
          <cell r="C20" t="str">
            <v>LGCME551</v>
          </cell>
          <cell r="E20" t="str">
            <v>GSS</v>
          </cell>
          <cell r="F20">
            <v>19863.88</v>
          </cell>
        </row>
        <row r="21">
          <cell r="B21" t="str">
            <v>MAR 2016</v>
          </cell>
          <cell r="C21" t="str">
            <v>LGCME551</v>
          </cell>
          <cell r="E21" t="str">
            <v>GSS</v>
          </cell>
          <cell r="F21">
            <v>22543.81</v>
          </cell>
        </row>
        <row r="22">
          <cell r="B22" t="str">
            <v>MAR 2016</v>
          </cell>
          <cell r="C22" t="str">
            <v>LGCME551</v>
          </cell>
          <cell r="E22" t="str">
            <v>GSS</v>
          </cell>
          <cell r="F22">
            <v>179450.38</v>
          </cell>
        </row>
        <row r="23">
          <cell r="B23" t="str">
            <v>MAR 2016</v>
          </cell>
          <cell r="C23" t="str">
            <v>LGCME551</v>
          </cell>
          <cell r="E23" t="str">
            <v>GSS</v>
          </cell>
          <cell r="F23">
            <v>2511.9699999999998</v>
          </cell>
        </row>
        <row r="24">
          <cell r="B24" t="str">
            <v>MAR 2016</v>
          </cell>
          <cell r="C24" t="str">
            <v>LGCME551</v>
          </cell>
          <cell r="E24" t="str">
            <v>GSS</v>
          </cell>
          <cell r="F24">
            <v>3712415.13</v>
          </cell>
        </row>
        <row r="25">
          <cell r="B25" t="str">
            <v>MAR 2016</v>
          </cell>
          <cell r="C25" t="str">
            <v>LGCME551</v>
          </cell>
          <cell r="E25" t="str">
            <v>GSS</v>
          </cell>
          <cell r="F25">
            <v>1514.9</v>
          </cell>
        </row>
        <row r="26">
          <cell r="B26" t="str">
            <v>MAR 2016</v>
          </cell>
          <cell r="C26" t="str">
            <v>LGCME551UM</v>
          </cell>
          <cell r="E26" t="str">
            <v>GSS</v>
          </cell>
          <cell r="F26">
            <v>4446.07</v>
          </cell>
        </row>
        <row r="27">
          <cell r="B27" t="str">
            <v>MAR 2016</v>
          </cell>
          <cell r="C27" t="str">
            <v>LGCME552</v>
          </cell>
          <cell r="E27" t="str">
            <v>GSS</v>
          </cell>
          <cell r="F27">
            <v>2012.9</v>
          </cell>
        </row>
        <row r="28">
          <cell r="B28" t="str">
            <v>MAR 2016</v>
          </cell>
          <cell r="C28" t="str">
            <v>LGCME552</v>
          </cell>
          <cell r="E28" t="str">
            <v>GSS</v>
          </cell>
          <cell r="F28">
            <v>15211.13</v>
          </cell>
        </row>
        <row r="29">
          <cell r="B29" t="str">
            <v>MAR 2016</v>
          </cell>
          <cell r="C29" t="str">
            <v>LGCME557</v>
          </cell>
          <cell r="E29" t="str">
            <v>GSS</v>
          </cell>
          <cell r="F29">
            <v>1863.28</v>
          </cell>
        </row>
        <row r="30">
          <cell r="B30" t="str">
            <v>MAR 2016</v>
          </cell>
          <cell r="C30" t="str">
            <v>LGCME561</v>
          </cell>
          <cell r="E30" t="str">
            <v>PSS</v>
          </cell>
          <cell r="F30">
            <v>30714.57</v>
          </cell>
        </row>
        <row r="31">
          <cell r="B31" t="str">
            <v>MAR 2016</v>
          </cell>
          <cell r="C31" t="str">
            <v>LGCME561</v>
          </cell>
          <cell r="E31" t="str">
            <v>PSS</v>
          </cell>
          <cell r="F31">
            <v>9473252.1799999997</v>
          </cell>
        </row>
        <row r="32">
          <cell r="B32" t="str">
            <v>MAR 2016</v>
          </cell>
          <cell r="C32" t="str">
            <v>LGCME561</v>
          </cell>
          <cell r="E32" t="str">
            <v>PSS</v>
          </cell>
          <cell r="F32">
            <v>1907086.09</v>
          </cell>
        </row>
        <row r="33">
          <cell r="B33" t="str">
            <v>MAR 2016</v>
          </cell>
          <cell r="C33" t="str">
            <v>LGCME561</v>
          </cell>
          <cell r="E33" t="str">
            <v>PSS</v>
          </cell>
          <cell r="F33">
            <v>990409.86</v>
          </cell>
        </row>
        <row r="34">
          <cell r="B34" t="str">
            <v>MAR 2016</v>
          </cell>
          <cell r="C34" t="str">
            <v>LGCME563</v>
          </cell>
          <cell r="E34" t="str">
            <v>PSP</v>
          </cell>
          <cell r="F34">
            <v>561511.39</v>
          </cell>
        </row>
        <row r="35">
          <cell r="B35" t="str">
            <v>MAR 2016</v>
          </cell>
          <cell r="C35" t="str">
            <v>LGCME563</v>
          </cell>
          <cell r="E35" t="str">
            <v>PSP</v>
          </cell>
          <cell r="F35">
            <v>383859.95</v>
          </cell>
        </row>
        <row r="36">
          <cell r="B36" t="str">
            <v>MAR 2016</v>
          </cell>
          <cell r="C36" t="str">
            <v>LGCME563</v>
          </cell>
          <cell r="E36" t="str">
            <v>PSP</v>
          </cell>
          <cell r="F36">
            <v>33182.01</v>
          </cell>
        </row>
        <row r="37">
          <cell r="B37" t="str">
            <v>MAR 2016</v>
          </cell>
          <cell r="C37" t="str">
            <v>LGCME567</v>
          </cell>
          <cell r="E37" t="str">
            <v>PSS</v>
          </cell>
          <cell r="F37">
            <v>8011.44</v>
          </cell>
        </row>
        <row r="38">
          <cell r="B38" t="str">
            <v>MAR 2016</v>
          </cell>
          <cell r="C38" t="str">
            <v>LGCME591</v>
          </cell>
          <cell r="E38" t="str">
            <v>TODS</v>
          </cell>
          <cell r="F38">
            <v>34186</v>
          </cell>
        </row>
        <row r="39">
          <cell r="B39" t="str">
            <v>MAR 2016</v>
          </cell>
          <cell r="C39" t="str">
            <v>LGCME591</v>
          </cell>
          <cell r="E39" t="str">
            <v>TODS</v>
          </cell>
          <cell r="F39">
            <v>4382914.95</v>
          </cell>
        </row>
        <row r="40">
          <cell r="B40" t="str">
            <v>MAR 2016</v>
          </cell>
          <cell r="C40" t="str">
            <v>LGCME591</v>
          </cell>
          <cell r="E40" t="str">
            <v>TODS</v>
          </cell>
          <cell r="F40">
            <v>445740.58</v>
          </cell>
        </row>
        <row r="41">
          <cell r="B41" t="str">
            <v>MAR 2016</v>
          </cell>
          <cell r="C41" t="str">
            <v>LGCME591</v>
          </cell>
          <cell r="E41" t="str">
            <v>TODS</v>
          </cell>
          <cell r="F41">
            <v>25746.49</v>
          </cell>
        </row>
        <row r="42">
          <cell r="B42" t="str">
            <v>MAR 2016</v>
          </cell>
          <cell r="C42" t="str">
            <v>LGCME593</v>
          </cell>
          <cell r="E42" t="str">
            <v>CTODP</v>
          </cell>
          <cell r="F42">
            <v>1343937.58</v>
          </cell>
        </row>
        <row r="43">
          <cell r="B43" t="str">
            <v>MAR 2016</v>
          </cell>
          <cell r="C43" t="str">
            <v>LGCME593</v>
          </cell>
          <cell r="E43" t="str">
            <v>CTODP</v>
          </cell>
          <cell r="F43">
            <v>1435997.69</v>
          </cell>
        </row>
        <row r="44">
          <cell r="B44" t="str">
            <v>MAR 2016</v>
          </cell>
          <cell r="C44" t="str">
            <v>LGCME593</v>
          </cell>
          <cell r="E44" t="str">
            <v>CTODP</v>
          </cell>
          <cell r="F44">
            <v>976223.08</v>
          </cell>
        </row>
        <row r="45">
          <cell r="B45" t="str">
            <v>MAR 2016</v>
          </cell>
          <cell r="C45" t="str">
            <v>LGCME651</v>
          </cell>
          <cell r="E45" t="str">
            <v>GS3</v>
          </cell>
          <cell r="F45">
            <v>294440.61</v>
          </cell>
        </row>
        <row r="46">
          <cell r="B46" t="str">
            <v>MAR 2016</v>
          </cell>
          <cell r="C46" t="str">
            <v>LGCME651</v>
          </cell>
          <cell r="E46" t="str">
            <v>GS3</v>
          </cell>
          <cell r="F46">
            <v>255859.32</v>
          </cell>
        </row>
        <row r="47">
          <cell r="B47" t="str">
            <v>MAR 2016</v>
          </cell>
          <cell r="C47" t="str">
            <v>LGCME651</v>
          </cell>
          <cell r="E47" t="str">
            <v>GS3</v>
          </cell>
          <cell r="F47">
            <v>804895.11</v>
          </cell>
        </row>
        <row r="48">
          <cell r="B48" t="str">
            <v>MAR 2016</v>
          </cell>
          <cell r="C48" t="str">
            <v>LGCME651</v>
          </cell>
          <cell r="E48" t="str">
            <v>GS3</v>
          </cell>
          <cell r="F48">
            <v>326.45999999999998</v>
          </cell>
        </row>
        <row r="49">
          <cell r="B49" t="str">
            <v>MAR 2016</v>
          </cell>
          <cell r="C49" t="str">
            <v>LGCME651</v>
          </cell>
          <cell r="E49" t="str">
            <v>GS3</v>
          </cell>
          <cell r="F49">
            <v>6639779.4900000002</v>
          </cell>
        </row>
        <row r="50">
          <cell r="B50" t="str">
            <v>MAR 2016</v>
          </cell>
          <cell r="C50" t="str">
            <v>LGCME652</v>
          </cell>
          <cell r="E50" t="str">
            <v>GS3</v>
          </cell>
          <cell r="F50">
            <v>2477.75</v>
          </cell>
        </row>
        <row r="51">
          <cell r="B51" t="str">
            <v>MAR 2016</v>
          </cell>
          <cell r="C51" t="str">
            <v>LGCME652</v>
          </cell>
          <cell r="E51" t="str">
            <v>GS3</v>
          </cell>
          <cell r="F51">
            <v>0.11</v>
          </cell>
        </row>
        <row r="52">
          <cell r="B52" t="str">
            <v>MAR 2016</v>
          </cell>
          <cell r="C52" t="str">
            <v>LGCME652</v>
          </cell>
          <cell r="E52" t="str">
            <v>GS3</v>
          </cell>
          <cell r="F52">
            <v>22166.080000000002</v>
          </cell>
        </row>
        <row r="53">
          <cell r="B53" t="str">
            <v>MAR 2016</v>
          </cell>
          <cell r="C53" t="str">
            <v>LGCME652</v>
          </cell>
          <cell r="E53" t="str">
            <v>GS3</v>
          </cell>
          <cell r="F53">
            <v>173253.04</v>
          </cell>
        </row>
        <row r="54">
          <cell r="B54" t="str">
            <v>MAR 2016</v>
          </cell>
          <cell r="C54" t="str">
            <v>LGCME657</v>
          </cell>
          <cell r="E54" t="str">
            <v>GS3</v>
          </cell>
          <cell r="F54">
            <v>393.99</v>
          </cell>
        </row>
        <row r="55">
          <cell r="B55" t="str">
            <v>MAR 2016</v>
          </cell>
          <cell r="C55" t="str">
            <v>LGCME657</v>
          </cell>
          <cell r="E55" t="str">
            <v>GS3</v>
          </cell>
          <cell r="F55">
            <v>10696.65</v>
          </cell>
        </row>
        <row r="56">
          <cell r="B56" t="str">
            <v>MAR 2016</v>
          </cell>
          <cell r="C56" t="str">
            <v>LGCME657</v>
          </cell>
          <cell r="E56" t="str">
            <v>GS3</v>
          </cell>
          <cell r="F56">
            <v>7000.58</v>
          </cell>
        </row>
        <row r="57">
          <cell r="B57" t="str">
            <v>MAR 2016</v>
          </cell>
          <cell r="C57" t="str">
            <v>LGCME671</v>
          </cell>
          <cell r="E57" t="str">
            <v>LWC</v>
          </cell>
          <cell r="F57">
            <v>281371.45</v>
          </cell>
        </row>
        <row r="58">
          <cell r="B58" t="str">
            <v>MAR 2016</v>
          </cell>
          <cell r="C58" t="str">
            <v>LGCSR790</v>
          </cell>
          <cell r="E58" t="str">
            <v>CSR</v>
          </cell>
          <cell r="F58">
            <v>-205348.41</v>
          </cell>
        </row>
        <row r="59">
          <cell r="B59" t="str">
            <v>MAR 2016</v>
          </cell>
          <cell r="C59" t="str">
            <v>LGINE599</v>
          </cell>
          <cell r="E59" t="str">
            <v>FK</v>
          </cell>
          <cell r="F59">
            <v>682034.16</v>
          </cell>
        </row>
        <row r="60">
          <cell r="B60" t="str">
            <v>MAR 2016</v>
          </cell>
          <cell r="C60" t="str">
            <v>LGINE643</v>
          </cell>
          <cell r="E60" t="str">
            <v>RTS</v>
          </cell>
          <cell r="F60">
            <v>4495955.29</v>
          </cell>
        </row>
        <row r="61">
          <cell r="B61" t="str">
            <v>MAR 2016</v>
          </cell>
          <cell r="C61" t="str">
            <v>LGINE643</v>
          </cell>
          <cell r="E61" t="str">
            <v>RTS</v>
          </cell>
          <cell r="F61">
            <v>803385.44</v>
          </cell>
        </row>
        <row r="62">
          <cell r="B62" t="str">
            <v>MAR 2016</v>
          </cell>
          <cell r="C62" t="str">
            <v>LGINE661</v>
          </cell>
          <cell r="E62" t="str">
            <v>PSS</v>
          </cell>
          <cell r="F62">
            <v>1573535.47</v>
          </cell>
        </row>
        <row r="63">
          <cell r="B63" t="str">
            <v>MAR 2016</v>
          </cell>
          <cell r="C63" t="str">
            <v>LGINE661</v>
          </cell>
          <cell r="E63" t="str">
            <v>PSS</v>
          </cell>
          <cell r="F63">
            <v>3710.9</v>
          </cell>
        </row>
        <row r="64">
          <cell r="B64" t="str">
            <v>MAR 2016</v>
          </cell>
          <cell r="C64" t="str">
            <v>LGINE661</v>
          </cell>
          <cell r="E64" t="str">
            <v>PSS</v>
          </cell>
          <cell r="F64">
            <v>27040.67</v>
          </cell>
        </row>
        <row r="65">
          <cell r="B65" t="str">
            <v>MAR 2016</v>
          </cell>
          <cell r="C65" t="str">
            <v>LGINE661</v>
          </cell>
          <cell r="E65" t="str">
            <v>PSS</v>
          </cell>
          <cell r="F65">
            <v>34955.839999999997</v>
          </cell>
        </row>
        <row r="66">
          <cell r="B66" t="str">
            <v>MAR 2016</v>
          </cell>
          <cell r="C66" t="str">
            <v>LGINE663</v>
          </cell>
          <cell r="E66" t="str">
            <v>PSP</v>
          </cell>
          <cell r="F66">
            <v>66168.45</v>
          </cell>
        </row>
        <row r="67">
          <cell r="B67" t="str">
            <v>MAR 2016</v>
          </cell>
          <cell r="C67" t="str">
            <v>LGINE663</v>
          </cell>
          <cell r="E67" t="str">
            <v>PSP</v>
          </cell>
          <cell r="F67">
            <v>8813.75</v>
          </cell>
        </row>
        <row r="68">
          <cell r="B68" t="str">
            <v>MAR 2016</v>
          </cell>
          <cell r="C68" t="str">
            <v>LGINE691</v>
          </cell>
          <cell r="E68" t="str">
            <v>ITODS</v>
          </cell>
          <cell r="F68">
            <v>2429779.39</v>
          </cell>
        </row>
        <row r="69">
          <cell r="B69" t="str">
            <v>MAR 2016</v>
          </cell>
          <cell r="C69" t="str">
            <v>LGINE691</v>
          </cell>
          <cell r="E69" t="str">
            <v>ITODS</v>
          </cell>
          <cell r="F69">
            <v>49155.03</v>
          </cell>
        </row>
        <row r="70">
          <cell r="B70" t="str">
            <v>MAR 2016</v>
          </cell>
          <cell r="C70" t="str">
            <v>LGINE693</v>
          </cell>
          <cell r="E70" t="str">
            <v>ITODP</v>
          </cell>
          <cell r="F70">
            <v>6864539.4299999997</v>
          </cell>
        </row>
        <row r="71">
          <cell r="B71" t="str">
            <v>MAR 2016</v>
          </cell>
          <cell r="C71" t="str">
            <v>LGINE693</v>
          </cell>
          <cell r="E71" t="str">
            <v>ITODP</v>
          </cell>
          <cell r="F71">
            <v>804025.45</v>
          </cell>
        </row>
        <row r="72">
          <cell r="B72" t="str">
            <v>MAR 2016</v>
          </cell>
          <cell r="C72" t="str">
            <v>LGMLE570</v>
          </cell>
          <cell r="E72" t="str">
            <v>LE</v>
          </cell>
          <cell r="F72">
            <v>14.93</v>
          </cell>
        </row>
        <row r="73">
          <cell r="B73" t="str">
            <v>MAR 2016</v>
          </cell>
          <cell r="C73" t="str">
            <v>LGMLE571</v>
          </cell>
          <cell r="E73" t="str">
            <v>LE</v>
          </cell>
          <cell r="F73">
            <v>1771.86</v>
          </cell>
        </row>
        <row r="74">
          <cell r="B74" t="str">
            <v>MAR 2016</v>
          </cell>
          <cell r="C74" t="str">
            <v>LGMLE571</v>
          </cell>
          <cell r="E74" t="str">
            <v>LE</v>
          </cell>
          <cell r="F74">
            <v>9574.6299999999992</v>
          </cell>
        </row>
        <row r="75">
          <cell r="B75" t="str">
            <v>MAR 2016</v>
          </cell>
          <cell r="C75" t="str">
            <v>LGMLE572</v>
          </cell>
          <cell r="E75" t="str">
            <v>LE</v>
          </cell>
          <cell r="F75">
            <v>6247.26</v>
          </cell>
        </row>
        <row r="76">
          <cell r="B76" t="str">
            <v>MAR 2016</v>
          </cell>
          <cell r="C76" t="str">
            <v>LGMLE572</v>
          </cell>
          <cell r="E76" t="str">
            <v>LE</v>
          </cell>
          <cell r="F76">
            <v>687.94</v>
          </cell>
        </row>
        <row r="77">
          <cell r="B77" t="str">
            <v>MAR 2016</v>
          </cell>
          <cell r="C77" t="str">
            <v>LGMLE573</v>
          </cell>
          <cell r="E77" t="str">
            <v>TE</v>
          </cell>
          <cell r="F77">
            <v>1485.6</v>
          </cell>
        </row>
        <row r="78">
          <cell r="B78" t="str">
            <v>MAR 2016</v>
          </cell>
          <cell r="C78" t="str">
            <v>LGMLE573</v>
          </cell>
          <cell r="E78" t="str">
            <v>TE</v>
          </cell>
          <cell r="F78">
            <v>19511.78</v>
          </cell>
        </row>
        <row r="79">
          <cell r="B79" t="str">
            <v>MAR 2016</v>
          </cell>
          <cell r="C79" t="str">
            <v>LGMLE574</v>
          </cell>
          <cell r="E79" t="str">
            <v>TE</v>
          </cell>
          <cell r="F79">
            <v>6537.78</v>
          </cell>
        </row>
        <row r="80">
          <cell r="B80" t="str">
            <v>MAR 2016</v>
          </cell>
          <cell r="C80" t="str">
            <v>LGRSE000</v>
          </cell>
          <cell r="E80" t="str">
            <v>TS</v>
          </cell>
        </row>
        <row r="81">
          <cell r="B81" t="str">
            <v>MAR 2016</v>
          </cell>
          <cell r="C81" t="str">
            <v>LGRSE411</v>
          </cell>
          <cell r="E81" t="str">
            <v>RS</v>
          </cell>
          <cell r="F81">
            <v>28.12</v>
          </cell>
        </row>
        <row r="82">
          <cell r="B82" t="str">
            <v>MAR 2016</v>
          </cell>
          <cell r="C82" t="str">
            <v>LGRSE411</v>
          </cell>
          <cell r="E82" t="str">
            <v>RS</v>
          </cell>
          <cell r="F82">
            <v>76537.98</v>
          </cell>
        </row>
        <row r="83">
          <cell r="B83" t="str">
            <v>MAR 2016</v>
          </cell>
          <cell r="C83" t="str">
            <v>LGRSE511</v>
          </cell>
          <cell r="E83" t="str">
            <v>RS</v>
          </cell>
          <cell r="F83">
            <v>9765.24</v>
          </cell>
        </row>
        <row r="84">
          <cell r="B84" t="str">
            <v>MAR 2016</v>
          </cell>
          <cell r="C84" t="str">
            <v>LGRSE511</v>
          </cell>
          <cell r="E84" t="str">
            <v>RS</v>
          </cell>
          <cell r="F84">
            <v>31879584.699999999</v>
          </cell>
        </row>
        <row r="85">
          <cell r="B85" t="str">
            <v>MAR 2016</v>
          </cell>
          <cell r="C85" t="str">
            <v>LGRSE511</v>
          </cell>
          <cell r="E85" t="str">
            <v>RS</v>
          </cell>
          <cell r="F85">
            <v>1282.55</v>
          </cell>
        </row>
        <row r="86">
          <cell r="B86" t="str">
            <v>MAR 2016</v>
          </cell>
          <cell r="C86" t="str">
            <v>LGRSE519</v>
          </cell>
          <cell r="E86" t="str">
            <v>RS</v>
          </cell>
          <cell r="F86">
            <v>15226.56</v>
          </cell>
        </row>
        <row r="87">
          <cell r="B87" t="str">
            <v>MAR 2016</v>
          </cell>
          <cell r="C87" t="str">
            <v>LGRSE521</v>
          </cell>
          <cell r="E87" t="str">
            <v>RTODE</v>
          </cell>
          <cell r="F87">
            <v>3000.44</v>
          </cell>
        </row>
        <row r="88">
          <cell r="B88" t="str">
            <v>MAR 2016</v>
          </cell>
          <cell r="C88" t="str">
            <v>LGRSE540</v>
          </cell>
          <cell r="E88" t="str">
            <v>VFD</v>
          </cell>
          <cell r="F88">
            <v>20.5</v>
          </cell>
        </row>
        <row r="89">
          <cell r="B89" t="str">
            <v>MAR 2016</v>
          </cell>
          <cell r="C89" t="str">
            <v>LGRSE540</v>
          </cell>
          <cell r="E89" t="str">
            <v>VFD</v>
          </cell>
          <cell r="F89">
            <v>2537.08</v>
          </cell>
        </row>
        <row r="90">
          <cell r="B90" t="str">
            <v>MAR 2016</v>
          </cell>
          <cell r="C90" t="str">
            <v>LGUM_000</v>
          </cell>
          <cell r="E90" t="str">
            <v>TS</v>
          </cell>
        </row>
        <row r="91">
          <cell r="B91" t="str">
            <v>MAR 2016</v>
          </cell>
          <cell r="C91" t="str">
            <v>LGUM_000</v>
          </cell>
          <cell r="E91" t="str">
            <v>TS</v>
          </cell>
        </row>
        <row r="92">
          <cell r="B92" t="str">
            <v>MAR 2016</v>
          </cell>
          <cell r="C92" t="str">
            <v>LGUM_000</v>
          </cell>
          <cell r="E92" t="str">
            <v>TS</v>
          </cell>
        </row>
        <row r="93">
          <cell r="B93" t="str">
            <v>MAR 2016</v>
          </cell>
          <cell r="C93" t="str">
            <v>LGUM_000</v>
          </cell>
          <cell r="E93" t="str">
            <v>TS</v>
          </cell>
        </row>
        <row r="94">
          <cell r="B94" t="str">
            <v>MAR 2016</v>
          </cell>
          <cell r="C94" t="str">
            <v>LGUM_000</v>
          </cell>
          <cell r="E94" t="str">
            <v>TS</v>
          </cell>
        </row>
        <row r="95">
          <cell r="B95" t="str">
            <v>MAR 2016</v>
          </cell>
          <cell r="C95" t="str">
            <v>LGUM_000</v>
          </cell>
          <cell r="E95" t="str">
            <v>TS</v>
          </cell>
        </row>
        <row r="96">
          <cell r="B96" t="str">
            <v>MAR 2016</v>
          </cell>
          <cell r="C96" t="str">
            <v>LGUM_201</v>
          </cell>
          <cell r="E96" t="str">
            <v>RLS</v>
          </cell>
          <cell r="F96">
            <v>23.85</v>
          </cell>
        </row>
        <row r="97">
          <cell r="B97" t="str">
            <v>MAR 2016</v>
          </cell>
          <cell r="C97" t="str">
            <v>LGUM_201</v>
          </cell>
          <cell r="E97" t="str">
            <v>RLS</v>
          </cell>
          <cell r="F97">
            <v>48.29</v>
          </cell>
        </row>
        <row r="98">
          <cell r="B98" t="str">
            <v>MAR 2016</v>
          </cell>
          <cell r="C98" t="str">
            <v>LGUM_201</v>
          </cell>
          <cell r="E98" t="str">
            <v>RLS</v>
          </cell>
          <cell r="F98">
            <v>276.38</v>
          </cell>
        </row>
        <row r="99">
          <cell r="B99" t="str">
            <v>MAR 2016</v>
          </cell>
          <cell r="C99" t="str">
            <v>LGUM_201</v>
          </cell>
          <cell r="E99" t="str">
            <v>RLS</v>
          </cell>
          <cell r="F99">
            <v>69.88</v>
          </cell>
        </row>
        <row r="100">
          <cell r="B100" t="str">
            <v>MAR 2016</v>
          </cell>
          <cell r="C100" t="str">
            <v>LGUM_201</v>
          </cell>
          <cell r="E100" t="str">
            <v>RLS</v>
          </cell>
          <cell r="F100">
            <v>318.67</v>
          </cell>
        </row>
        <row r="101">
          <cell r="B101" t="str">
            <v>MAR 2016</v>
          </cell>
          <cell r="C101" t="str">
            <v>LGUM_203</v>
          </cell>
          <cell r="E101" t="str">
            <v>RLS</v>
          </cell>
          <cell r="F101">
            <v>567.05999999999995</v>
          </cell>
        </row>
        <row r="102">
          <cell r="B102" t="str">
            <v>MAR 2016</v>
          </cell>
          <cell r="C102" t="str">
            <v>LGUM_203</v>
          </cell>
          <cell r="E102" t="str">
            <v>RLS</v>
          </cell>
          <cell r="F102">
            <v>25561.98</v>
          </cell>
        </row>
        <row r="103">
          <cell r="B103" t="str">
            <v>MAR 2016</v>
          </cell>
          <cell r="C103" t="str">
            <v>LGUM_203</v>
          </cell>
          <cell r="E103" t="str">
            <v>RLS</v>
          </cell>
          <cell r="F103">
            <v>5072.05</v>
          </cell>
        </row>
        <row r="104">
          <cell r="B104" t="str">
            <v>MAR 2016</v>
          </cell>
          <cell r="C104" t="str">
            <v>LGUM_203</v>
          </cell>
          <cell r="E104" t="str">
            <v>RLS</v>
          </cell>
          <cell r="F104">
            <v>3367.1</v>
          </cell>
        </row>
        <row r="105">
          <cell r="B105" t="str">
            <v>MAR 2016</v>
          </cell>
          <cell r="C105" t="str">
            <v>LGUM_203</v>
          </cell>
          <cell r="E105" t="str">
            <v>RLS</v>
          </cell>
          <cell r="F105">
            <v>7832.13</v>
          </cell>
        </row>
        <row r="106">
          <cell r="B106" t="str">
            <v>MAR 2016</v>
          </cell>
          <cell r="C106" t="str">
            <v>LGUM_204</v>
          </cell>
          <cell r="E106" t="str">
            <v>RLS</v>
          </cell>
          <cell r="F106">
            <v>96.02</v>
          </cell>
        </row>
        <row r="107">
          <cell r="B107" t="str">
            <v>MAR 2016</v>
          </cell>
          <cell r="C107" t="str">
            <v>LGUM_204</v>
          </cell>
          <cell r="E107" t="str">
            <v>RLS</v>
          </cell>
          <cell r="F107">
            <v>1475.81</v>
          </cell>
        </row>
        <row r="108">
          <cell r="B108" t="str">
            <v>MAR 2016</v>
          </cell>
          <cell r="C108" t="str">
            <v>LGUM_204</v>
          </cell>
          <cell r="E108" t="str">
            <v>RLS</v>
          </cell>
          <cell r="F108">
            <v>31630.87</v>
          </cell>
        </row>
        <row r="109">
          <cell r="B109" t="str">
            <v>MAR 2016</v>
          </cell>
          <cell r="C109" t="str">
            <v>LGUM_204</v>
          </cell>
          <cell r="E109" t="str">
            <v>RLS</v>
          </cell>
          <cell r="F109">
            <v>924.39</v>
          </cell>
        </row>
        <row r="110">
          <cell r="B110" t="str">
            <v>MAR 2016</v>
          </cell>
          <cell r="C110" t="str">
            <v>LGUM_204</v>
          </cell>
          <cell r="E110" t="str">
            <v>RLS</v>
          </cell>
          <cell r="F110">
            <v>6868.06</v>
          </cell>
        </row>
        <row r="111">
          <cell r="B111" t="str">
            <v>MAR 2016</v>
          </cell>
          <cell r="C111" t="str">
            <v>LGUM_204</v>
          </cell>
          <cell r="E111" t="str">
            <v>RLS</v>
          </cell>
          <cell r="F111">
            <v>12511</v>
          </cell>
        </row>
        <row r="112">
          <cell r="B112" t="str">
            <v>MAR 2016</v>
          </cell>
          <cell r="C112" t="str">
            <v>LGUM_206</v>
          </cell>
          <cell r="E112" t="str">
            <v>RLS</v>
          </cell>
          <cell r="F112">
            <v>461</v>
          </cell>
        </row>
        <row r="113">
          <cell r="B113" t="str">
            <v>MAR 2016</v>
          </cell>
          <cell r="C113" t="str">
            <v>LGUM_206</v>
          </cell>
          <cell r="E113" t="str">
            <v>RLS</v>
          </cell>
          <cell r="F113">
            <v>0</v>
          </cell>
        </row>
        <row r="114">
          <cell r="B114" t="str">
            <v>MAR 2016</v>
          </cell>
          <cell r="C114" t="str">
            <v>LGUM_206</v>
          </cell>
          <cell r="E114" t="str">
            <v>RLS</v>
          </cell>
          <cell r="F114">
            <v>302.54000000000002</v>
          </cell>
        </row>
        <row r="115">
          <cell r="B115" t="str">
            <v>MAR 2016</v>
          </cell>
          <cell r="C115" t="str">
            <v>LGUM_206</v>
          </cell>
          <cell r="E115" t="str">
            <v>RLS</v>
          </cell>
          <cell r="F115">
            <v>273.73</v>
          </cell>
        </row>
        <row r="116">
          <cell r="B116" t="str">
            <v>MAR 2016</v>
          </cell>
          <cell r="C116" t="str">
            <v>LGUM_207</v>
          </cell>
          <cell r="E116" t="str">
            <v>RLS</v>
          </cell>
          <cell r="F116">
            <v>54.25</v>
          </cell>
        </row>
        <row r="117">
          <cell r="B117" t="str">
            <v>MAR 2016</v>
          </cell>
          <cell r="C117" t="str">
            <v>LGUM_207</v>
          </cell>
          <cell r="E117" t="str">
            <v>RLS</v>
          </cell>
          <cell r="F117">
            <v>2995.01</v>
          </cell>
        </row>
        <row r="118">
          <cell r="B118" t="str">
            <v>MAR 2016</v>
          </cell>
          <cell r="C118" t="str">
            <v>LGUM_207</v>
          </cell>
          <cell r="E118" t="str">
            <v>RLS</v>
          </cell>
          <cell r="F118">
            <v>761.38</v>
          </cell>
        </row>
        <row r="119">
          <cell r="B119" t="str">
            <v>MAR 2016</v>
          </cell>
          <cell r="C119" t="str">
            <v>LGUM_207</v>
          </cell>
          <cell r="E119" t="str">
            <v>RLS</v>
          </cell>
          <cell r="F119">
            <v>187.67</v>
          </cell>
        </row>
        <row r="120">
          <cell r="B120" t="str">
            <v>MAR 2016</v>
          </cell>
          <cell r="C120" t="str">
            <v>LGUM_207</v>
          </cell>
          <cell r="E120" t="str">
            <v>RLS</v>
          </cell>
          <cell r="F120">
            <v>7490.77</v>
          </cell>
        </row>
        <row r="121">
          <cell r="B121" t="str">
            <v>MAR 2016</v>
          </cell>
          <cell r="C121" t="str">
            <v>LGUM_207</v>
          </cell>
          <cell r="E121" t="str">
            <v>RLS</v>
          </cell>
          <cell r="F121">
            <v>1152.05</v>
          </cell>
        </row>
        <row r="122">
          <cell r="B122" t="str">
            <v>MAR 2016</v>
          </cell>
          <cell r="C122" t="str">
            <v>LGUM_208</v>
          </cell>
          <cell r="E122" t="str">
            <v>RLS</v>
          </cell>
          <cell r="F122">
            <v>164.17</v>
          </cell>
        </row>
        <row r="123">
          <cell r="B123" t="str">
            <v>MAR 2016</v>
          </cell>
          <cell r="C123" t="str">
            <v>LGUM_208</v>
          </cell>
          <cell r="E123" t="str">
            <v>RLS</v>
          </cell>
          <cell r="F123">
            <v>10330.049999999999</v>
          </cell>
        </row>
        <row r="124">
          <cell r="B124" t="str">
            <v>MAR 2016</v>
          </cell>
          <cell r="C124" t="str">
            <v>LGUM_208</v>
          </cell>
          <cell r="E124" t="str">
            <v>RLS</v>
          </cell>
          <cell r="F124">
            <v>410.32</v>
          </cell>
        </row>
        <row r="125">
          <cell r="B125" t="str">
            <v>MAR 2016</v>
          </cell>
          <cell r="C125" t="str">
            <v>LGUM_208</v>
          </cell>
          <cell r="E125" t="str">
            <v>RLS</v>
          </cell>
          <cell r="F125">
            <v>5831.54</v>
          </cell>
        </row>
        <row r="126">
          <cell r="B126" t="str">
            <v>MAR 2016</v>
          </cell>
          <cell r="C126" t="str">
            <v>LGUM_208</v>
          </cell>
          <cell r="E126" t="str">
            <v>RLS</v>
          </cell>
          <cell r="F126">
            <v>5318.9</v>
          </cell>
        </row>
        <row r="127">
          <cell r="B127" t="str">
            <v>MAR 2016</v>
          </cell>
          <cell r="C127" t="str">
            <v>LGUM_209</v>
          </cell>
          <cell r="E127" t="str">
            <v>RLS</v>
          </cell>
          <cell r="F127">
            <v>136.33000000000001</v>
          </cell>
        </row>
        <row r="128">
          <cell r="B128" t="str">
            <v>MAR 2016</v>
          </cell>
          <cell r="C128" t="str">
            <v>LGUM_209</v>
          </cell>
          <cell r="E128" t="str">
            <v>RLS</v>
          </cell>
          <cell r="F128">
            <v>32.380000000000003</v>
          </cell>
        </row>
        <row r="129">
          <cell r="B129" t="str">
            <v>MAR 2016</v>
          </cell>
          <cell r="C129" t="str">
            <v>LGUM_209</v>
          </cell>
          <cell r="E129" t="str">
            <v>RLS</v>
          </cell>
          <cell r="F129">
            <v>944.29</v>
          </cell>
        </row>
        <row r="130">
          <cell r="B130" t="str">
            <v>MAR 2016</v>
          </cell>
          <cell r="C130" t="str">
            <v>LGUM_210</v>
          </cell>
          <cell r="E130" t="str">
            <v>RLS</v>
          </cell>
          <cell r="F130">
            <v>101.12</v>
          </cell>
        </row>
        <row r="131">
          <cell r="B131" t="str">
            <v>MAR 2016</v>
          </cell>
          <cell r="C131" t="str">
            <v>LGUM_210</v>
          </cell>
          <cell r="E131" t="str">
            <v>RLS</v>
          </cell>
          <cell r="F131">
            <v>2933.18</v>
          </cell>
        </row>
        <row r="132">
          <cell r="B132" t="str">
            <v>MAR 2016</v>
          </cell>
          <cell r="C132" t="str">
            <v>LGUM_210</v>
          </cell>
          <cell r="E132" t="str">
            <v>RLS</v>
          </cell>
          <cell r="F132">
            <v>303.33</v>
          </cell>
        </row>
        <row r="133">
          <cell r="B133" t="str">
            <v>MAR 2016</v>
          </cell>
          <cell r="C133" t="str">
            <v>LGUM_210</v>
          </cell>
          <cell r="E133" t="str">
            <v>RLS</v>
          </cell>
          <cell r="F133">
            <v>33.71</v>
          </cell>
        </row>
        <row r="134">
          <cell r="B134" t="str">
            <v>MAR 2016</v>
          </cell>
          <cell r="C134" t="str">
            <v>LGUM_210</v>
          </cell>
          <cell r="E134" t="str">
            <v>RLS</v>
          </cell>
          <cell r="F134">
            <v>6890.46</v>
          </cell>
        </row>
        <row r="135">
          <cell r="B135" t="str">
            <v>MAR 2016</v>
          </cell>
          <cell r="C135" t="str">
            <v>LGUM_210</v>
          </cell>
          <cell r="E135" t="str">
            <v>RLS</v>
          </cell>
          <cell r="F135">
            <v>689.98</v>
          </cell>
        </row>
        <row r="136">
          <cell r="B136" t="str">
            <v>MAR 2016</v>
          </cell>
          <cell r="C136" t="str">
            <v>LGUM_252</v>
          </cell>
          <cell r="E136" t="str">
            <v>RLS</v>
          </cell>
          <cell r="F136">
            <v>259.8</v>
          </cell>
        </row>
        <row r="137">
          <cell r="B137" t="str">
            <v>MAR 2016</v>
          </cell>
          <cell r="C137" t="str">
            <v>LGUM_252</v>
          </cell>
          <cell r="E137" t="str">
            <v>RLS</v>
          </cell>
          <cell r="F137">
            <v>1689.5</v>
          </cell>
        </row>
        <row r="138">
          <cell r="B138" t="str">
            <v>MAR 2016</v>
          </cell>
          <cell r="C138" t="str">
            <v>LGUM_252</v>
          </cell>
          <cell r="E138" t="str">
            <v>RLS</v>
          </cell>
          <cell r="F138">
            <v>14767.58</v>
          </cell>
        </row>
        <row r="139">
          <cell r="B139" t="str">
            <v>MAR 2016</v>
          </cell>
          <cell r="C139" t="str">
            <v>LGUM_252</v>
          </cell>
          <cell r="E139" t="str">
            <v>RLS</v>
          </cell>
          <cell r="F139">
            <v>16105.77</v>
          </cell>
        </row>
        <row r="140">
          <cell r="B140" t="str">
            <v>MAR 2016</v>
          </cell>
          <cell r="C140" t="str">
            <v>LGUM_252</v>
          </cell>
          <cell r="E140" t="str">
            <v>RLS</v>
          </cell>
          <cell r="F140">
            <v>4774.34</v>
          </cell>
        </row>
        <row r="141">
          <cell r="B141" t="str">
            <v>MAR 2016</v>
          </cell>
          <cell r="C141" t="str">
            <v>LGUM_252</v>
          </cell>
          <cell r="E141" t="str">
            <v>RLS</v>
          </cell>
          <cell r="F141">
            <v>5801.14</v>
          </cell>
        </row>
        <row r="142">
          <cell r="B142" t="str">
            <v>MAR 2016</v>
          </cell>
          <cell r="C142" t="str">
            <v>LGUM_266</v>
          </cell>
          <cell r="E142" t="str">
            <v>RLS</v>
          </cell>
          <cell r="F142">
            <v>31.32</v>
          </cell>
        </row>
        <row r="143">
          <cell r="B143" t="str">
            <v>MAR 2016</v>
          </cell>
          <cell r="C143" t="str">
            <v>LGUM_266</v>
          </cell>
          <cell r="E143" t="str">
            <v>RLS</v>
          </cell>
          <cell r="F143">
            <v>1597.38</v>
          </cell>
        </row>
        <row r="144">
          <cell r="B144" t="str">
            <v>MAR 2016</v>
          </cell>
          <cell r="C144" t="str">
            <v>LGUM_266</v>
          </cell>
          <cell r="E144" t="str">
            <v>RLS</v>
          </cell>
          <cell r="F144">
            <v>40993.17</v>
          </cell>
        </row>
        <row r="145">
          <cell r="B145" t="str">
            <v>MAR 2016</v>
          </cell>
          <cell r="C145" t="str">
            <v>LGUM_266</v>
          </cell>
          <cell r="E145" t="str">
            <v>RLS</v>
          </cell>
          <cell r="F145">
            <v>1566.06</v>
          </cell>
        </row>
        <row r="146">
          <cell r="B146" t="str">
            <v>MAR 2016</v>
          </cell>
          <cell r="C146" t="str">
            <v>LGUM_266</v>
          </cell>
          <cell r="E146" t="str">
            <v>RLS</v>
          </cell>
          <cell r="F146">
            <v>9177.1299999999992</v>
          </cell>
        </row>
        <row r="147">
          <cell r="B147" t="str">
            <v>MAR 2016</v>
          </cell>
          <cell r="C147" t="str">
            <v>LGUM_266</v>
          </cell>
          <cell r="E147" t="str">
            <v>RLS</v>
          </cell>
          <cell r="F147">
            <v>11369.16</v>
          </cell>
        </row>
        <row r="148">
          <cell r="B148" t="str">
            <v>MAR 2016</v>
          </cell>
          <cell r="C148" t="str">
            <v>LGUM_267</v>
          </cell>
          <cell r="E148" t="str">
            <v>RLS</v>
          </cell>
          <cell r="F148">
            <v>71.87</v>
          </cell>
        </row>
        <row r="149">
          <cell r="B149" t="str">
            <v>MAR 2016</v>
          </cell>
          <cell r="C149" t="str">
            <v>LGUM_267</v>
          </cell>
          <cell r="E149" t="str">
            <v>RLS</v>
          </cell>
          <cell r="F149">
            <v>7595.57</v>
          </cell>
        </row>
        <row r="150">
          <cell r="B150" t="str">
            <v>MAR 2016</v>
          </cell>
          <cell r="C150" t="str">
            <v>LGUM_267</v>
          </cell>
          <cell r="E150" t="str">
            <v>RLS</v>
          </cell>
          <cell r="F150">
            <v>22493.27</v>
          </cell>
        </row>
        <row r="151">
          <cell r="B151" t="str">
            <v>MAR 2016</v>
          </cell>
          <cell r="C151" t="str">
            <v>LGUM_267</v>
          </cell>
          <cell r="E151" t="str">
            <v>RLS</v>
          </cell>
          <cell r="F151">
            <v>179.66</v>
          </cell>
        </row>
        <row r="152">
          <cell r="B152" t="str">
            <v>MAR 2016</v>
          </cell>
          <cell r="C152" t="str">
            <v>LGUM_267</v>
          </cell>
          <cell r="E152" t="str">
            <v>RLS</v>
          </cell>
          <cell r="F152">
            <v>42319.01</v>
          </cell>
        </row>
        <row r="153">
          <cell r="B153" t="str">
            <v>MAR 2016</v>
          </cell>
          <cell r="C153" t="str">
            <v>LGUM_267</v>
          </cell>
          <cell r="E153" t="str">
            <v>RLS</v>
          </cell>
          <cell r="F153">
            <v>10276.9</v>
          </cell>
        </row>
        <row r="154">
          <cell r="B154" t="str">
            <v>MAR 2016</v>
          </cell>
          <cell r="C154" t="str">
            <v>LGUM_274</v>
          </cell>
          <cell r="E154" t="str">
            <v>RLS</v>
          </cell>
          <cell r="F154">
            <v>60.35</v>
          </cell>
        </row>
        <row r="155">
          <cell r="B155" t="str">
            <v>MAR 2016</v>
          </cell>
          <cell r="C155" t="str">
            <v>LGUM_274</v>
          </cell>
          <cell r="E155" t="str">
            <v>RLS</v>
          </cell>
          <cell r="F155">
            <v>3009.63</v>
          </cell>
        </row>
        <row r="156">
          <cell r="B156" t="str">
            <v>MAR 2016</v>
          </cell>
          <cell r="C156" t="str">
            <v>LGUM_274</v>
          </cell>
          <cell r="E156" t="str">
            <v>RLS</v>
          </cell>
          <cell r="F156">
            <v>125375.82</v>
          </cell>
        </row>
        <row r="157">
          <cell r="B157" t="str">
            <v>MAR 2016</v>
          </cell>
          <cell r="C157" t="str">
            <v>LGUM_274</v>
          </cell>
          <cell r="E157" t="str">
            <v>RLS</v>
          </cell>
          <cell r="F157">
            <v>11590.81</v>
          </cell>
        </row>
        <row r="158">
          <cell r="B158" t="str">
            <v>MAR 2016</v>
          </cell>
          <cell r="C158" t="str">
            <v>LGUM_274</v>
          </cell>
          <cell r="E158" t="str">
            <v>RLS</v>
          </cell>
          <cell r="F158">
            <v>149533.45000000001</v>
          </cell>
        </row>
        <row r="159">
          <cell r="B159" t="str">
            <v>MAR 2016</v>
          </cell>
          <cell r="C159" t="str">
            <v>LGUM_274</v>
          </cell>
          <cell r="E159" t="str">
            <v>RLS</v>
          </cell>
          <cell r="F159">
            <v>52629.06</v>
          </cell>
        </row>
        <row r="160">
          <cell r="B160" t="str">
            <v>MAR 2016</v>
          </cell>
          <cell r="C160" t="str">
            <v>LGUM_275</v>
          </cell>
          <cell r="E160" t="str">
            <v>RLS</v>
          </cell>
          <cell r="F160">
            <v>227.9</v>
          </cell>
        </row>
        <row r="161">
          <cell r="B161" t="str">
            <v>MAR 2016</v>
          </cell>
          <cell r="C161" t="str">
            <v>LGUM_275</v>
          </cell>
          <cell r="E161" t="str">
            <v>RLS</v>
          </cell>
          <cell r="F161">
            <v>2335.8000000000002</v>
          </cell>
        </row>
        <row r="162">
          <cell r="B162" t="str">
            <v>MAR 2016</v>
          </cell>
          <cell r="C162" t="str">
            <v>LGUM_275</v>
          </cell>
          <cell r="E162" t="str">
            <v>RLS</v>
          </cell>
          <cell r="F162">
            <v>56.97</v>
          </cell>
        </row>
        <row r="163">
          <cell r="B163" t="str">
            <v>MAR 2016</v>
          </cell>
          <cell r="C163" t="str">
            <v>LGUM_275</v>
          </cell>
          <cell r="E163" t="str">
            <v>RLS</v>
          </cell>
          <cell r="F163">
            <v>9513.98</v>
          </cell>
        </row>
        <row r="164">
          <cell r="B164" t="str">
            <v>MAR 2016</v>
          </cell>
          <cell r="C164" t="str">
            <v>LGUM_275</v>
          </cell>
          <cell r="E164" t="str">
            <v>RLS</v>
          </cell>
          <cell r="F164">
            <v>2677.18</v>
          </cell>
        </row>
        <row r="165">
          <cell r="B165" t="str">
            <v>MAR 2016</v>
          </cell>
          <cell r="C165" t="str">
            <v>LGUM_276</v>
          </cell>
          <cell r="E165" t="str">
            <v>RLS</v>
          </cell>
          <cell r="F165">
            <v>1306.01</v>
          </cell>
        </row>
        <row r="166">
          <cell r="B166" t="str">
            <v>MAR 2016</v>
          </cell>
          <cell r="C166" t="str">
            <v>LGUM_276</v>
          </cell>
          <cell r="E166" t="str">
            <v>RLS</v>
          </cell>
          <cell r="F166">
            <v>3516.21</v>
          </cell>
        </row>
        <row r="167">
          <cell r="B167" t="str">
            <v>MAR 2016</v>
          </cell>
          <cell r="C167" t="str">
            <v>LGUM_276</v>
          </cell>
          <cell r="E167" t="str">
            <v>RLS</v>
          </cell>
          <cell r="F167">
            <v>5074.6099999999997</v>
          </cell>
        </row>
        <row r="168">
          <cell r="B168" t="str">
            <v>MAR 2016</v>
          </cell>
          <cell r="C168" t="str">
            <v>LGUM_276</v>
          </cell>
          <cell r="E168" t="str">
            <v>RLS</v>
          </cell>
          <cell r="F168">
            <v>8271.42</v>
          </cell>
        </row>
        <row r="169">
          <cell r="B169" t="str">
            <v>MAR 2016</v>
          </cell>
          <cell r="C169" t="str">
            <v>LGUM_276</v>
          </cell>
          <cell r="E169" t="str">
            <v>RLS</v>
          </cell>
          <cell r="F169">
            <v>4621.38</v>
          </cell>
        </row>
        <row r="170">
          <cell r="B170" t="str">
            <v>MAR 2016</v>
          </cell>
          <cell r="C170" t="str">
            <v>LGUM_277</v>
          </cell>
          <cell r="E170" t="str">
            <v>RLS</v>
          </cell>
          <cell r="F170">
            <v>7458.18</v>
          </cell>
        </row>
        <row r="171">
          <cell r="B171" t="str">
            <v>MAR 2016</v>
          </cell>
          <cell r="C171" t="str">
            <v>LGUM_277</v>
          </cell>
          <cell r="E171" t="str">
            <v>RLS</v>
          </cell>
          <cell r="F171">
            <v>13389.89</v>
          </cell>
        </row>
        <row r="172">
          <cell r="B172" t="str">
            <v>MAR 2016</v>
          </cell>
          <cell r="C172" t="str">
            <v>LGUM_277</v>
          </cell>
          <cell r="E172" t="str">
            <v>RLS</v>
          </cell>
          <cell r="F172">
            <v>2087.36</v>
          </cell>
        </row>
        <row r="173">
          <cell r="B173" t="str">
            <v>MAR 2016</v>
          </cell>
          <cell r="C173" t="str">
            <v>LGUM_277</v>
          </cell>
          <cell r="E173" t="str">
            <v>RLS</v>
          </cell>
          <cell r="F173">
            <v>25164.04</v>
          </cell>
        </row>
        <row r="174">
          <cell r="B174" t="str">
            <v>MAR 2016</v>
          </cell>
          <cell r="C174" t="str">
            <v>LGUM_277</v>
          </cell>
          <cell r="E174" t="str">
            <v>RLS</v>
          </cell>
          <cell r="F174">
            <v>11734.99</v>
          </cell>
        </row>
        <row r="175">
          <cell r="B175" t="str">
            <v>MAR 2016</v>
          </cell>
          <cell r="C175" t="str">
            <v>LGUM_278</v>
          </cell>
          <cell r="E175" t="str">
            <v>RLS</v>
          </cell>
          <cell r="F175">
            <v>335.78</v>
          </cell>
        </row>
        <row r="176">
          <cell r="B176" t="str">
            <v>MAR 2016</v>
          </cell>
          <cell r="C176" t="str">
            <v>LGUM_278</v>
          </cell>
          <cell r="E176" t="str">
            <v>RLS</v>
          </cell>
          <cell r="F176">
            <v>503.63</v>
          </cell>
        </row>
        <row r="177">
          <cell r="B177" t="str">
            <v>MAR 2016</v>
          </cell>
          <cell r="C177" t="str">
            <v>LGUM_278</v>
          </cell>
          <cell r="E177" t="str">
            <v>RLS</v>
          </cell>
          <cell r="F177">
            <v>167.89</v>
          </cell>
        </row>
        <row r="178">
          <cell r="B178" t="str">
            <v>MAR 2016</v>
          </cell>
          <cell r="C178" t="str">
            <v>LGUM_279</v>
          </cell>
          <cell r="E178" t="str">
            <v>RLS</v>
          </cell>
          <cell r="F178">
            <v>198.52</v>
          </cell>
        </row>
        <row r="179">
          <cell r="B179" t="str">
            <v>MAR 2016</v>
          </cell>
          <cell r="C179" t="str">
            <v>LGUM_279</v>
          </cell>
          <cell r="E179" t="str">
            <v>RLS</v>
          </cell>
          <cell r="F179">
            <v>99.26</v>
          </cell>
        </row>
        <row r="180">
          <cell r="B180" t="str">
            <v>MAR 2016</v>
          </cell>
          <cell r="C180" t="str">
            <v>LGUM_279</v>
          </cell>
          <cell r="E180" t="str">
            <v>RLS</v>
          </cell>
          <cell r="F180">
            <v>99.26</v>
          </cell>
        </row>
        <row r="181">
          <cell r="B181" t="str">
            <v>MAR 2016</v>
          </cell>
          <cell r="C181" t="str">
            <v>LGUM_280</v>
          </cell>
          <cell r="E181" t="str">
            <v>RLS</v>
          </cell>
          <cell r="F181">
            <v>421.31</v>
          </cell>
        </row>
        <row r="182">
          <cell r="B182" t="str">
            <v>MAR 2016</v>
          </cell>
          <cell r="C182" t="str">
            <v>LGUM_280</v>
          </cell>
          <cell r="E182" t="str">
            <v>RLS</v>
          </cell>
          <cell r="F182">
            <v>1423.78</v>
          </cell>
        </row>
        <row r="183">
          <cell r="B183" t="str">
            <v>MAR 2016</v>
          </cell>
          <cell r="C183" t="str">
            <v>LGUM_281</v>
          </cell>
          <cell r="E183" t="str">
            <v>RLS</v>
          </cell>
          <cell r="F183">
            <v>47.2</v>
          </cell>
        </row>
        <row r="184">
          <cell r="B184" t="str">
            <v>MAR 2016</v>
          </cell>
          <cell r="C184" t="str">
            <v>LGUM_281</v>
          </cell>
          <cell r="E184" t="str">
            <v>RLS</v>
          </cell>
          <cell r="F184">
            <v>3996.16</v>
          </cell>
        </row>
        <row r="185">
          <cell r="B185" t="str">
            <v>MAR 2016</v>
          </cell>
          <cell r="C185" t="str">
            <v>LGUM_281</v>
          </cell>
          <cell r="E185" t="str">
            <v>RLS</v>
          </cell>
          <cell r="F185">
            <v>4001.97</v>
          </cell>
        </row>
        <row r="186">
          <cell r="B186" t="str">
            <v>MAR 2016</v>
          </cell>
          <cell r="C186" t="str">
            <v>LGUM_281</v>
          </cell>
          <cell r="E186" t="str">
            <v>RLS</v>
          </cell>
          <cell r="F186">
            <v>604.36</v>
          </cell>
        </row>
        <row r="187">
          <cell r="B187" t="str">
            <v>MAR 2016</v>
          </cell>
          <cell r="C187" t="str">
            <v>LGUM_282</v>
          </cell>
          <cell r="E187" t="str">
            <v>RLS</v>
          </cell>
          <cell r="F187">
            <v>847</v>
          </cell>
        </row>
        <row r="188">
          <cell r="B188" t="str">
            <v>MAR 2016</v>
          </cell>
          <cell r="C188" t="str">
            <v>LGUM_282</v>
          </cell>
          <cell r="E188" t="str">
            <v>RLS</v>
          </cell>
          <cell r="F188">
            <v>2645.64</v>
          </cell>
        </row>
        <row r="189">
          <cell r="B189" t="str">
            <v>MAR 2016</v>
          </cell>
          <cell r="C189" t="str">
            <v>LGUM_283</v>
          </cell>
          <cell r="E189" t="str">
            <v>RLS</v>
          </cell>
          <cell r="F189">
            <v>72.08</v>
          </cell>
        </row>
        <row r="190">
          <cell r="B190" t="str">
            <v>MAR 2016</v>
          </cell>
          <cell r="C190" t="str">
            <v>LGUM_283</v>
          </cell>
          <cell r="E190" t="str">
            <v>RLS</v>
          </cell>
          <cell r="F190">
            <v>3070.9</v>
          </cell>
        </row>
        <row r="191">
          <cell r="B191" t="str">
            <v>MAR 2016</v>
          </cell>
          <cell r="C191" t="str">
            <v>LGUM_283</v>
          </cell>
          <cell r="E191" t="str">
            <v>RLS</v>
          </cell>
          <cell r="F191">
            <v>683.03</v>
          </cell>
        </row>
        <row r="192">
          <cell r="B192" t="str">
            <v>MAR 2016</v>
          </cell>
          <cell r="C192" t="str">
            <v>LGUM_314</v>
          </cell>
          <cell r="E192" t="str">
            <v>RLS</v>
          </cell>
          <cell r="F192">
            <v>6054.66</v>
          </cell>
        </row>
        <row r="193">
          <cell r="B193" t="str">
            <v>MAR 2016</v>
          </cell>
          <cell r="C193" t="str">
            <v>LGUM_314</v>
          </cell>
          <cell r="E193" t="str">
            <v>RLS</v>
          </cell>
          <cell r="F193">
            <v>680.21</v>
          </cell>
        </row>
        <row r="194">
          <cell r="B194" t="str">
            <v>MAR 2016</v>
          </cell>
          <cell r="C194" t="str">
            <v>LGUM_314</v>
          </cell>
          <cell r="E194" t="str">
            <v>RLS</v>
          </cell>
          <cell r="F194">
            <v>3257.02</v>
          </cell>
        </row>
        <row r="195">
          <cell r="B195" t="str">
            <v>MAR 2016</v>
          </cell>
          <cell r="C195" t="str">
            <v>LGUM_315</v>
          </cell>
          <cell r="E195" t="str">
            <v>RLS</v>
          </cell>
          <cell r="F195">
            <v>11786.06</v>
          </cell>
        </row>
        <row r="196">
          <cell r="B196" t="str">
            <v>MAR 2016</v>
          </cell>
          <cell r="C196" t="str">
            <v>LGUM_315</v>
          </cell>
          <cell r="E196" t="str">
            <v>RLS</v>
          </cell>
          <cell r="F196">
            <v>157.5</v>
          </cell>
        </row>
        <row r="197">
          <cell r="B197" t="str">
            <v>MAR 2016</v>
          </cell>
          <cell r="C197" t="str">
            <v>LGUM_315</v>
          </cell>
          <cell r="E197" t="str">
            <v>RLS</v>
          </cell>
          <cell r="F197">
            <v>78.75</v>
          </cell>
        </row>
        <row r="198">
          <cell r="B198" t="str">
            <v>MAR 2016</v>
          </cell>
          <cell r="C198" t="str">
            <v>LGUM_318</v>
          </cell>
          <cell r="E198" t="str">
            <v>RLS</v>
          </cell>
          <cell r="F198">
            <v>577.72</v>
          </cell>
        </row>
        <row r="199">
          <cell r="B199" t="str">
            <v>MAR 2016</v>
          </cell>
          <cell r="C199" t="str">
            <v>LGUM_318</v>
          </cell>
          <cell r="E199" t="str">
            <v>RLS</v>
          </cell>
          <cell r="F199">
            <v>378.51</v>
          </cell>
        </row>
        <row r="200">
          <cell r="B200" t="str">
            <v>MAR 2016</v>
          </cell>
          <cell r="C200" t="str">
            <v>LGUM_348</v>
          </cell>
          <cell r="E200" t="str">
            <v>RLS</v>
          </cell>
          <cell r="F200">
            <v>521.19000000000005</v>
          </cell>
        </row>
        <row r="201">
          <cell r="B201" t="str">
            <v>MAR 2016</v>
          </cell>
          <cell r="C201" t="str">
            <v>LGUM_348</v>
          </cell>
          <cell r="E201" t="str">
            <v>RLS</v>
          </cell>
          <cell r="F201">
            <v>76.650000000000006</v>
          </cell>
        </row>
        <row r="202">
          <cell r="B202" t="str">
            <v>MAR 2016</v>
          </cell>
          <cell r="C202" t="str">
            <v>LGUM_349</v>
          </cell>
          <cell r="E202" t="str">
            <v>RLS</v>
          </cell>
          <cell r="F202">
            <v>179.17</v>
          </cell>
        </row>
        <row r="203">
          <cell r="B203" t="str">
            <v>MAR 2016</v>
          </cell>
          <cell r="C203" t="str">
            <v>LGUM_400</v>
          </cell>
          <cell r="E203" t="str">
            <v xml:space="preserve">LS </v>
          </cell>
          <cell r="F203">
            <v>307.06</v>
          </cell>
        </row>
        <row r="204">
          <cell r="B204" t="str">
            <v>MAR 2016</v>
          </cell>
          <cell r="C204" t="str">
            <v>LGUM_400</v>
          </cell>
          <cell r="E204" t="str">
            <v xml:space="preserve">LS </v>
          </cell>
          <cell r="F204">
            <v>1183.27</v>
          </cell>
        </row>
        <row r="205">
          <cell r="B205" t="str">
            <v>MAR 2016</v>
          </cell>
          <cell r="C205" t="str">
            <v>LGUM_401</v>
          </cell>
          <cell r="E205" t="str">
            <v xml:space="preserve">LS </v>
          </cell>
          <cell r="F205">
            <v>475.53</v>
          </cell>
        </row>
        <row r="206">
          <cell r="B206" t="str">
            <v>MAR 2016</v>
          </cell>
          <cell r="C206" t="str">
            <v>LGUM_412</v>
          </cell>
          <cell r="E206" t="str">
            <v xml:space="preserve">LS </v>
          </cell>
          <cell r="F206">
            <v>137.63999999999999</v>
          </cell>
        </row>
        <row r="207">
          <cell r="B207" t="str">
            <v>MAR 2016</v>
          </cell>
          <cell r="C207" t="str">
            <v>LGUM_412</v>
          </cell>
          <cell r="E207" t="str">
            <v xml:space="preserve">LS </v>
          </cell>
          <cell r="F207">
            <v>504.71</v>
          </cell>
        </row>
        <row r="208">
          <cell r="B208" t="str">
            <v>MAR 2016</v>
          </cell>
          <cell r="C208" t="str">
            <v>LGUM_412</v>
          </cell>
          <cell r="E208" t="str">
            <v xml:space="preserve">LS </v>
          </cell>
          <cell r="F208">
            <v>2844.7</v>
          </cell>
        </row>
        <row r="209">
          <cell r="B209" t="str">
            <v>MAR 2016</v>
          </cell>
          <cell r="C209" t="str">
            <v>LGUM_412</v>
          </cell>
          <cell r="E209" t="str">
            <v xml:space="preserve">LS </v>
          </cell>
          <cell r="F209">
            <v>1582.93</v>
          </cell>
        </row>
        <row r="210">
          <cell r="B210" t="str">
            <v>MAR 2016</v>
          </cell>
          <cell r="C210" t="str">
            <v>LGUM_413</v>
          </cell>
          <cell r="E210" t="str">
            <v xml:space="preserve">LS </v>
          </cell>
          <cell r="F210">
            <v>950.14</v>
          </cell>
        </row>
        <row r="211">
          <cell r="B211" t="str">
            <v>MAR 2016</v>
          </cell>
          <cell r="C211" t="str">
            <v>LGUM_413</v>
          </cell>
          <cell r="E211" t="str">
            <v xml:space="preserve">LS </v>
          </cell>
          <cell r="F211">
            <v>13224.95</v>
          </cell>
        </row>
        <row r="212">
          <cell r="B212" t="str">
            <v>MAR 2016</v>
          </cell>
          <cell r="C212" t="str">
            <v>LGUM_413</v>
          </cell>
          <cell r="E212" t="str">
            <v xml:space="preserve">LS </v>
          </cell>
          <cell r="F212">
            <v>2387.65</v>
          </cell>
        </row>
        <row r="213">
          <cell r="B213" t="str">
            <v>MAR 2016</v>
          </cell>
          <cell r="C213" t="str">
            <v>LGUM_413</v>
          </cell>
          <cell r="E213" t="str">
            <v xml:space="preserve">LS </v>
          </cell>
          <cell r="F213">
            <v>44184.39</v>
          </cell>
        </row>
        <row r="214">
          <cell r="B214" t="str">
            <v>MAR 2016</v>
          </cell>
          <cell r="C214" t="str">
            <v>LGUM_413</v>
          </cell>
          <cell r="E214" t="str">
            <v xml:space="preserve">LS </v>
          </cell>
          <cell r="F214">
            <v>1933.34</v>
          </cell>
        </row>
        <row r="215">
          <cell r="B215" t="str">
            <v>MAR 2016</v>
          </cell>
          <cell r="C215" t="str">
            <v>LGUM_415</v>
          </cell>
          <cell r="E215" t="str">
            <v xml:space="preserve">LS </v>
          </cell>
          <cell r="F215">
            <v>93.49</v>
          </cell>
        </row>
        <row r="216">
          <cell r="B216" t="str">
            <v>MAR 2016</v>
          </cell>
          <cell r="C216" t="str">
            <v>LGUM_415</v>
          </cell>
          <cell r="E216" t="str">
            <v xml:space="preserve">LS </v>
          </cell>
          <cell r="F216">
            <v>70.11</v>
          </cell>
        </row>
        <row r="217">
          <cell r="B217" t="str">
            <v>MAR 2016</v>
          </cell>
          <cell r="C217" t="str">
            <v>LGUM_415</v>
          </cell>
          <cell r="E217" t="str">
            <v xml:space="preserve">LS </v>
          </cell>
          <cell r="F217">
            <v>280.45</v>
          </cell>
        </row>
        <row r="218">
          <cell r="B218" t="str">
            <v>MAR 2016</v>
          </cell>
          <cell r="C218" t="str">
            <v>LGUM_415</v>
          </cell>
          <cell r="E218" t="str">
            <v xml:space="preserve">LS </v>
          </cell>
          <cell r="F218">
            <v>631.01</v>
          </cell>
        </row>
        <row r="219">
          <cell r="B219" t="str">
            <v>MAR 2016</v>
          </cell>
          <cell r="C219" t="str">
            <v>LGUM_415</v>
          </cell>
          <cell r="E219" t="str">
            <v xml:space="preserve">LS </v>
          </cell>
          <cell r="F219">
            <v>23.37</v>
          </cell>
        </row>
        <row r="220">
          <cell r="B220" t="str">
            <v>MAR 2016</v>
          </cell>
          <cell r="C220" t="str">
            <v>LGUM_416</v>
          </cell>
          <cell r="E220" t="str">
            <v xml:space="preserve">LS </v>
          </cell>
          <cell r="F220">
            <v>1041.6300000000001</v>
          </cell>
        </row>
        <row r="221">
          <cell r="B221" t="str">
            <v>MAR 2016</v>
          </cell>
          <cell r="C221" t="str">
            <v>LGUM_416</v>
          </cell>
          <cell r="E221" t="str">
            <v xml:space="preserve">LS </v>
          </cell>
          <cell r="F221">
            <v>4660.25</v>
          </cell>
        </row>
        <row r="222">
          <cell r="B222" t="str">
            <v>MAR 2016</v>
          </cell>
          <cell r="C222" t="str">
            <v>LGUM_416</v>
          </cell>
          <cell r="E222" t="str">
            <v xml:space="preserve">LS </v>
          </cell>
          <cell r="F222">
            <v>2108.6799999999998</v>
          </cell>
        </row>
        <row r="223">
          <cell r="B223" t="str">
            <v>MAR 2016</v>
          </cell>
          <cell r="C223" t="str">
            <v>LGUM_416</v>
          </cell>
          <cell r="E223" t="str">
            <v xml:space="preserve">LS </v>
          </cell>
          <cell r="F223">
            <v>44407.34</v>
          </cell>
        </row>
        <row r="224">
          <cell r="B224" t="str">
            <v>MAR 2016</v>
          </cell>
          <cell r="C224" t="str">
            <v>LGUM_416</v>
          </cell>
          <cell r="E224" t="str">
            <v xml:space="preserve">LS </v>
          </cell>
          <cell r="F224">
            <v>286.38</v>
          </cell>
        </row>
        <row r="225">
          <cell r="B225" t="str">
            <v>MAR 2016</v>
          </cell>
          <cell r="C225" t="str">
            <v>LGUM_417</v>
          </cell>
          <cell r="E225" t="str">
            <v>RLS</v>
          </cell>
          <cell r="F225">
            <v>272.7</v>
          </cell>
        </row>
        <row r="226">
          <cell r="B226" t="str">
            <v>MAR 2016</v>
          </cell>
          <cell r="C226" t="str">
            <v>LGUM_417</v>
          </cell>
          <cell r="E226" t="str">
            <v>RLS</v>
          </cell>
          <cell r="F226">
            <v>1009.01</v>
          </cell>
        </row>
        <row r="227">
          <cell r="B227" t="str">
            <v>MAR 2016</v>
          </cell>
          <cell r="C227" t="str">
            <v>LGUM_419</v>
          </cell>
          <cell r="E227" t="str">
            <v>RLS</v>
          </cell>
          <cell r="F227">
            <v>289.74</v>
          </cell>
        </row>
        <row r="228">
          <cell r="B228" t="str">
            <v>MAR 2016</v>
          </cell>
          <cell r="C228" t="str">
            <v>LGUM_419</v>
          </cell>
          <cell r="E228" t="str">
            <v>RLS</v>
          </cell>
          <cell r="F228">
            <v>3042.2</v>
          </cell>
        </row>
        <row r="229">
          <cell r="B229" t="str">
            <v>MAR 2016</v>
          </cell>
          <cell r="C229" t="str">
            <v>LGUM_419</v>
          </cell>
          <cell r="E229" t="str">
            <v>RLS</v>
          </cell>
          <cell r="F229">
            <v>115.9</v>
          </cell>
        </row>
        <row r="230">
          <cell r="B230" t="str">
            <v>MAR 2016</v>
          </cell>
          <cell r="C230" t="str">
            <v>LGUM_420</v>
          </cell>
          <cell r="E230" t="str">
            <v xml:space="preserve">LS </v>
          </cell>
          <cell r="F230">
            <v>136</v>
          </cell>
        </row>
        <row r="231">
          <cell r="B231" t="str">
            <v>MAR 2016</v>
          </cell>
          <cell r="C231" t="str">
            <v>LGUM_420</v>
          </cell>
          <cell r="E231" t="str">
            <v xml:space="preserve">LS </v>
          </cell>
          <cell r="F231">
            <v>951.98</v>
          </cell>
        </row>
        <row r="232">
          <cell r="B232" t="str">
            <v>MAR 2016</v>
          </cell>
          <cell r="C232" t="str">
            <v>LGUM_420</v>
          </cell>
          <cell r="E232" t="str">
            <v xml:space="preserve">LS </v>
          </cell>
          <cell r="F232">
            <v>1020.01</v>
          </cell>
        </row>
        <row r="233">
          <cell r="B233" t="str">
            <v>MAR 2016</v>
          </cell>
          <cell r="C233" t="str">
            <v>LGUM_421</v>
          </cell>
          <cell r="E233" t="str">
            <v xml:space="preserve">LS </v>
          </cell>
          <cell r="F233">
            <v>635.91</v>
          </cell>
        </row>
        <row r="234">
          <cell r="B234" t="str">
            <v>MAR 2016</v>
          </cell>
          <cell r="C234" t="str">
            <v>LGUM_421</v>
          </cell>
          <cell r="E234" t="str">
            <v xml:space="preserve">LS </v>
          </cell>
          <cell r="F234">
            <v>935.13</v>
          </cell>
        </row>
        <row r="235">
          <cell r="B235" t="str">
            <v>MAR 2016</v>
          </cell>
          <cell r="C235" t="str">
            <v>LGUM_421</v>
          </cell>
          <cell r="E235" t="str">
            <v xml:space="preserve">LS </v>
          </cell>
          <cell r="F235">
            <v>74.819999999999993</v>
          </cell>
        </row>
        <row r="236">
          <cell r="B236" t="str">
            <v>MAR 2016</v>
          </cell>
          <cell r="C236" t="str">
            <v>LGUM_421</v>
          </cell>
          <cell r="E236" t="str">
            <v xml:space="preserve">LS </v>
          </cell>
          <cell r="F236">
            <v>6134.84</v>
          </cell>
        </row>
        <row r="237">
          <cell r="B237" t="str">
            <v>MAR 2016</v>
          </cell>
          <cell r="C237" t="str">
            <v>LGUM_421</v>
          </cell>
          <cell r="E237" t="str">
            <v xml:space="preserve">LS </v>
          </cell>
          <cell r="F237">
            <v>261.87</v>
          </cell>
        </row>
        <row r="238">
          <cell r="B238" t="str">
            <v>MAR 2016</v>
          </cell>
          <cell r="C238" t="str">
            <v>LGUM_422</v>
          </cell>
          <cell r="E238" t="str">
            <v xml:space="preserve">LS </v>
          </cell>
          <cell r="F238">
            <v>4407.8500000000004</v>
          </cell>
        </row>
        <row r="239">
          <cell r="B239" t="str">
            <v>MAR 2016</v>
          </cell>
          <cell r="C239" t="str">
            <v>LGUM_422</v>
          </cell>
          <cell r="E239" t="str">
            <v xml:space="preserve">LS </v>
          </cell>
          <cell r="F239">
            <v>1701.78</v>
          </cell>
        </row>
        <row r="240">
          <cell r="B240" t="str">
            <v>MAR 2016</v>
          </cell>
          <cell r="C240" t="str">
            <v>LGUM_422</v>
          </cell>
          <cell r="E240" t="str">
            <v xml:space="preserve">LS </v>
          </cell>
          <cell r="F240">
            <v>87.28</v>
          </cell>
        </row>
        <row r="241">
          <cell r="B241" t="str">
            <v>MAR 2016</v>
          </cell>
          <cell r="C241" t="str">
            <v>LGUM_422</v>
          </cell>
          <cell r="E241" t="str">
            <v xml:space="preserve">LS </v>
          </cell>
          <cell r="F241">
            <v>12419.11</v>
          </cell>
        </row>
        <row r="242">
          <cell r="B242" t="str">
            <v>MAR 2016</v>
          </cell>
          <cell r="C242" t="str">
            <v>LGUM_422</v>
          </cell>
          <cell r="E242" t="str">
            <v xml:space="preserve">LS </v>
          </cell>
          <cell r="F242">
            <v>654.65</v>
          </cell>
        </row>
        <row r="243">
          <cell r="B243" t="str">
            <v>MAR 2016</v>
          </cell>
          <cell r="C243" t="str">
            <v>LGUM_423</v>
          </cell>
          <cell r="E243" t="str">
            <v xml:space="preserve">LS </v>
          </cell>
          <cell r="F243">
            <v>361.18</v>
          </cell>
        </row>
        <row r="244">
          <cell r="B244" t="str">
            <v>MAR 2016</v>
          </cell>
          <cell r="C244" t="str">
            <v>LGUM_423</v>
          </cell>
          <cell r="E244" t="str">
            <v xml:space="preserve">LS </v>
          </cell>
          <cell r="F244">
            <v>60.2</v>
          </cell>
        </row>
        <row r="245">
          <cell r="B245" t="str">
            <v>MAR 2016</v>
          </cell>
          <cell r="C245" t="str">
            <v>LGUM_423</v>
          </cell>
          <cell r="E245" t="str">
            <v xml:space="preserve">LS </v>
          </cell>
          <cell r="F245">
            <v>210.68</v>
          </cell>
        </row>
        <row r="246">
          <cell r="B246" t="str">
            <v>MAR 2016</v>
          </cell>
          <cell r="C246" t="str">
            <v>LGUM_424</v>
          </cell>
          <cell r="E246" t="str">
            <v xml:space="preserve">LS </v>
          </cell>
          <cell r="F246">
            <v>14775.75</v>
          </cell>
        </row>
        <row r="247">
          <cell r="B247" t="str">
            <v>MAR 2016</v>
          </cell>
          <cell r="C247" t="str">
            <v>LGUM_424</v>
          </cell>
          <cell r="E247" t="str">
            <v xml:space="preserve">LS </v>
          </cell>
          <cell r="F247">
            <v>325.47000000000003</v>
          </cell>
        </row>
        <row r="248">
          <cell r="B248" t="str">
            <v>MAR 2016</v>
          </cell>
          <cell r="C248" t="str">
            <v>LGUM_424</v>
          </cell>
          <cell r="E248" t="str">
            <v xml:space="preserve">LS </v>
          </cell>
          <cell r="F248">
            <v>4444.7</v>
          </cell>
        </row>
        <row r="249">
          <cell r="B249" t="str">
            <v>MAR 2016</v>
          </cell>
          <cell r="C249" t="str">
            <v>LGUM_425</v>
          </cell>
          <cell r="E249" t="str">
            <v xml:space="preserve">LS </v>
          </cell>
          <cell r="F249">
            <v>116.52</v>
          </cell>
        </row>
        <row r="250">
          <cell r="B250" t="str">
            <v>MAR 2016</v>
          </cell>
          <cell r="C250" t="str">
            <v>LGUM_425</v>
          </cell>
          <cell r="E250" t="str">
            <v xml:space="preserve">LS </v>
          </cell>
          <cell r="F250">
            <v>388.35</v>
          </cell>
        </row>
        <row r="251">
          <cell r="B251" t="str">
            <v>MAR 2016</v>
          </cell>
          <cell r="C251" t="str">
            <v>LGUM_425</v>
          </cell>
          <cell r="E251" t="str">
            <v xml:space="preserve">LS </v>
          </cell>
          <cell r="F251">
            <v>737.53</v>
          </cell>
        </row>
        <row r="252">
          <cell r="B252" t="str">
            <v>MAR 2016</v>
          </cell>
          <cell r="C252" t="str">
            <v>LGUM_426</v>
          </cell>
          <cell r="E252" t="str">
            <v>RLS</v>
          </cell>
          <cell r="F252">
            <v>1283.6600000000001</v>
          </cell>
        </row>
        <row r="253">
          <cell r="B253" t="str">
            <v>MAR 2016</v>
          </cell>
          <cell r="C253" t="str">
            <v>LGUM_427</v>
          </cell>
          <cell r="E253" t="str">
            <v xml:space="preserve">LS </v>
          </cell>
          <cell r="F253">
            <v>88.1</v>
          </cell>
        </row>
        <row r="254">
          <cell r="B254" t="str">
            <v>MAR 2016</v>
          </cell>
          <cell r="C254" t="str">
            <v>LGUM_427</v>
          </cell>
          <cell r="E254" t="str">
            <v xml:space="preserve">LS </v>
          </cell>
          <cell r="F254">
            <v>2112.42</v>
          </cell>
        </row>
        <row r="255">
          <cell r="B255" t="str">
            <v>MAR 2016</v>
          </cell>
          <cell r="C255" t="str">
            <v>LGUM_428</v>
          </cell>
          <cell r="E255" t="str">
            <v>RLS</v>
          </cell>
          <cell r="F255">
            <v>38.75</v>
          </cell>
        </row>
        <row r="256">
          <cell r="B256" t="str">
            <v>MAR 2016</v>
          </cell>
          <cell r="C256" t="str">
            <v>LGUM_428</v>
          </cell>
          <cell r="E256" t="str">
            <v>RLS</v>
          </cell>
          <cell r="F256">
            <v>38.75</v>
          </cell>
        </row>
        <row r="257">
          <cell r="B257" t="str">
            <v>MAR 2016</v>
          </cell>
          <cell r="C257" t="str">
            <v>LGUM_428</v>
          </cell>
          <cell r="E257" t="str">
            <v>RLS</v>
          </cell>
          <cell r="F257">
            <v>11439.67</v>
          </cell>
        </row>
        <row r="258">
          <cell r="B258" t="str">
            <v>MAR 2016</v>
          </cell>
          <cell r="C258" t="str">
            <v>LGUM_429</v>
          </cell>
          <cell r="E258" t="str">
            <v xml:space="preserve">LS </v>
          </cell>
          <cell r="F258">
            <v>-14968.73</v>
          </cell>
        </row>
        <row r="259">
          <cell r="B259" t="str">
            <v>MAR 2016</v>
          </cell>
          <cell r="C259" t="str">
            <v>LGUM_429</v>
          </cell>
          <cell r="E259" t="str">
            <v xml:space="preserve">LS </v>
          </cell>
          <cell r="F259">
            <v>25706.89</v>
          </cell>
        </row>
        <row r="260">
          <cell r="B260" t="str">
            <v>MAR 2016</v>
          </cell>
          <cell r="C260" t="str">
            <v>LGUM_429</v>
          </cell>
          <cell r="E260" t="str">
            <v xml:space="preserve">LS </v>
          </cell>
          <cell r="F260">
            <v>163.74</v>
          </cell>
        </row>
        <row r="261">
          <cell r="B261" t="str">
            <v>MAR 2016</v>
          </cell>
          <cell r="C261" t="str">
            <v>LGUM_430</v>
          </cell>
          <cell r="E261" t="str">
            <v>RLS</v>
          </cell>
          <cell r="F261">
            <v>36.69</v>
          </cell>
        </row>
        <row r="262">
          <cell r="B262" t="str">
            <v>MAR 2016</v>
          </cell>
          <cell r="C262" t="str">
            <v>LGUM_430</v>
          </cell>
          <cell r="E262" t="str">
            <v>RLS</v>
          </cell>
          <cell r="F262">
            <v>440.35</v>
          </cell>
        </row>
        <row r="263">
          <cell r="B263" t="str">
            <v>MAR 2016</v>
          </cell>
          <cell r="C263" t="str">
            <v>LGUM_431</v>
          </cell>
          <cell r="E263" t="str">
            <v xml:space="preserve">LS </v>
          </cell>
          <cell r="F263">
            <v>41.54</v>
          </cell>
        </row>
        <row r="264">
          <cell r="B264" t="str">
            <v>MAR 2016</v>
          </cell>
          <cell r="C264" t="str">
            <v>LGUM_431</v>
          </cell>
          <cell r="E264" t="str">
            <v xml:space="preserve">LS </v>
          </cell>
          <cell r="F264">
            <v>746.15</v>
          </cell>
        </row>
        <row r="265">
          <cell r="B265" t="str">
            <v>MAR 2016</v>
          </cell>
          <cell r="C265" t="str">
            <v>LGUM_431</v>
          </cell>
          <cell r="E265" t="str">
            <v xml:space="preserve">LS </v>
          </cell>
          <cell r="F265">
            <v>1329.09</v>
          </cell>
        </row>
        <row r="266">
          <cell r="B266" t="str">
            <v>MAR 2016</v>
          </cell>
          <cell r="C266" t="str">
            <v>LGUM_432</v>
          </cell>
          <cell r="E266" t="str">
            <v>RLS</v>
          </cell>
          <cell r="F266">
            <v>351.17</v>
          </cell>
        </row>
        <row r="267">
          <cell r="B267" t="str">
            <v>MAR 2016</v>
          </cell>
          <cell r="C267" t="str">
            <v>LGUM_432</v>
          </cell>
          <cell r="E267" t="str">
            <v>RLS</v>
          </cell>
          <cell r="F267">
            <v>42.84</v>
          </cell>
        </row>
        <row r="268">
          <cell r="B268" t="str">
            <v>MAR 2016</v>
          </cell>
          <cell r="C268" t="str">
            <v>LGUM_433</v>
          </cell>
          <cell r="E268" t="str">
            <v xml:space="preserve">LS </v>
          </cell>
          <cell r="F268">
            <v>5181.08</v>
          </cell>
        </row>
        <row r="269">
          <cell r="B269" t="str">
            <v>MAR 2016</v>
          </cell>
          <cell r="C269" t="str">
            <v>LGUM_433</v>
          </cell>
          <cell r="E269" t="str">
            <v xml:space="preserve">LS </v>
          </cell>
          <cell r="F269">
            <v>5183.5200000000004</v>
          </cell>
        </row>
        <row r="270">
          <cell r="B270" t="str">
            <v>MAR 2016</v>
          </cell>
          <cell r="C270" t="str">
            <v>LGUM_433</v>
          </cell>
          <cell r="E270" t="str">
            <v xml:space="preserve">LS </v>
          </cell>
          <cell r="F270">
            <v>131.19999999999999</v>
          </cell>
        </row>
        <row r="271">
          <cell r="B271" t="str">
            <v>MAR 2016</v>
          </cell>
          <cell r="C271" t="str">
            <v>LGUM_440</v>
          </cell>
          <cell r="E271" t="str">
            <v xml:space="preserve">LS </v>
          </cell>
          <cell r="F271">
            <v>469.19</v>
          </cell>
        </row>
        <row r="272">
          <cell r="B272" t="str">
            <v>MAR 2016</v>
          </cell>
          <cell r="C272" t="str">
            <v>LGUM_440</v>
          </cell>
          <cell r="E272" t="str">
            <v xml:space="preserve">LS </v>
          </cell>
          <cell r="F272">
            <v>21.33</v>
          </cell>
        </row>
        <row r="273">
          <cell r="B273" t="str">
            <v>MAR 2016</v>
          </cell>
          <cell r="C273" t="str">
            <v>LGUM_441</v>
          </cell>
          <cell r="E273" t="str">
            <v xml:space="preserve">LS </v>
          </cell>
          <cell r="F273">
            <v>608.55999999999995</v>
          </cell>
        </row>
        <row r="274">
          <cell r="B274" t="str">
            <v>MAR 2016</v>
          </cell>
          <cell r="C274" t="str">
            <v>LGUM_441</v>
          </cell>
          <cell r="E274" t="str">
            <v xml:space="preserve">LS </v>
          </cell>
          <cell r="F274">
            <v>570.03</v>
          </cell>
        </row>
        <row r="275">
          <cell r="B275" t="str">
            <v>MAR 2016</v>
          </cell>
          <cell r="C275" t="str">
            <v>LGUM_441</v>
          </cell>
          <cell r="E275" t="str">
            <v xml:space="preserve">LS </v>
          </cell>
          <cell r="F275">
            <v>155.52000000000001</v>
          </cell>
        </row>
        <row r="276">
          <cell r="B276" t="str">
            <v>MAR 2016</v>
          </cell>
          <cell r="C276" t="str">
            <v>LGUM_441</v>
          </cell>
          <cell r="E276" t="str">
            <v xml:space="preserve">LS </v>
          </cell>
          <cell r="F276">
            <v>388.77</v>
          </cell>
        </row>
        <row r="277">
          <cell r="B277" t="str">
            <v>MAR 2016</v>
          </cell>
          <cell r="C277" t="str">
            <v>LGUM_441</v>
          </cell>
          <cell r="E277" t="str">
            <v xml:space="preserve">LS </v>
          </cell>
          <cell r="F277">
            <v>51.84</v>
          </cell>
        </row>
        <row r="278">
          <cell r="B278" t="str">
            <v>MAR 2016</v>
          </cell>
          <cell r="C278" t="str">
            <v>LGUM_444</v>
          </cell>
          <cell r="E278" t="str">
            <v xml:space="preserve">LS </v>
          </cell>
          <cell r="F278">
            <v>126.06</v>
          </cell>
        </row>
        <row r="279">
          <cell r="B279" t="str">
            <v>MAR 2016</v>
          </cell>
          <cell r="C279" t="str">
            <v>LGUM_444</v>
          </cell>
          <cell r="E279" t="str">
            <v xml:space="preserve">LS </v>
          </cell>
          <cell r="F279">
            <v>47.8</v>
          </cell>
        </row>
        <row r="280">
          <cell r="B280" t="str">
            <v>MAR 2016</v>
          </cell>
          <cell r="C280" t="str">
            <v>LGUM_444</v>
          </cell>
          <cell r="E280" t="str">
            <v xml:space="preserve">LS </v>
          </cell>
          <cell r="F280">
            <v>47.8</v>
          </cell>
        </row>
        <row r="281">
          <cell r="B281" t="str">
            <v>MAR 2016</v>
          </cell>
          <cell r="C281" t="str">
            <v>LGUM_445</v>
          </cell>
          <cell r="E281" t="str">
            <v xml:space="preserve">LS </v>
          </cell>
          <cell r="F281">
            <v>364.43</v>
          </cell>
        </row>
        <row r="282">
          <cell r="B282" t="str">
            <v>MAR 2016</v>
          </cell>
          <cell r="C282" t="str">
            <v>LGUM_445</v>
          </cell>
          <cell r="E282" t="str">
            <v xml:space="preserve">LS </v>
          </cell>
          <cell r="F282">
            <v>52.06</v>
          </cell>
        </row>
        <row r="283">
          <cell r="B283" t="str">
            <v>MAR 2016</v>
          </cell>
          <cell r="C283" t="str">
            <v>LGUM_445</v>
          </cell>
          <cell r="E283" t="str">
            <v xml:space="preserve">LS </v>
          </cell>
          <cell r="F283">
            <v>78.09</v>
          </cell>
        </row>
        <row r="284">
          <cell r="B284" t="str">
            <v>MAR 2016</v>
          </cell>
          <cell r="C284" t="str">
            <v>LGUM_452</v>
          </cell>
          <cell r="E284" t="str">
            <v xml:space="preserve">LS </v>
          </cell>
          <cell r="F284">
            <v>1773.82</v>
          </cell>
        </row>
        <row r="285">
          <cell r="B285" t="str">
            <v>MAR 2016</v>
          </cell>
          <cell r="C285" t="str">
            <v>LGUM_452</v>
          </cell>
          <cell r="E285" t="str">
            <v xml:space="preserve">LS </v>
          </cell>
          <cell r="F285">
            <v>56711.53</v>
          </cell>
        </row>
        <row r="286">
          <cell r="B286" t="str">
            <v>MAR 2016</v>
          </cell>
          <cell r="C286" t="str">
            <v>LGUM_452</v>
          </cell>
          <cell r="E286" t="str">
            <v xml:space="preserve">LS </v>
          </cell>
          <cell r="F286">
            <v>17894.45</v>
          </cell>
        </row>
        <row r="287">
          <cell r="B287" t="str">
            <v>MAR 2016</v>
          </cell>
          <cell r="C287" t="str">
            <v>LGUM_452</v>
          </cell>
          <cell r="E287" t="str">
            <v xml:space="preserve">LS </v>
          </cell>
          <cell r="F287">
            <v>14775.17</v>
          </cell>
        </row>
        <row r="288">
          <cell r="B288" t="str">
            <v>MAR 2016</v>
          </cell>
          <cell r="C288" t="str">
            <v>LGUM_452</v>
          </cell>
          <cell r="E288" t="str">
            <v xml:space="preserve">LS </v>
          </cell>
          <cell r="F288">
            <v>14692.09</v>
          </cell>
        </row>
        <row r="289">
          <cell r="B289" t="str">
            <v>MAR 2016</v>
          </cell>
          <cell r="C289" t="str">
            <v>LGUM_453</v>
          </cell>
          <cell r="E289" t="str">
            <v xml:space="preserve">LS </v>
          </cell>
          <cell r="F289">
            <v>142.4</v>
          </cell>
        </row>
        <row r="290">
          <cell r="B290" t="str">
            <v>MAR 2016</v>
          </cell>
          <cell r="C290" t="str">
            <v>LGUM_453</v>
          </cell>
          <cell r="E290" t="str">
            <v xml:space="preserve">LS </v>
          </cell>
          <cell r="F290">
            <v>4493.9799999999996</v>
          </cell>
        </row>
        <row r="291">
          <cell r="B291" t="str">
            <v>MAR 2016</v>
          </cell>
          <cell r="C291" t="str">
            <v>LGUM_453</v>
          </cell>
          <cell r="E291" t="str">
            <v xml:space="preserve">LS </v>
          </cell>
          <cell r="F291">
            <v>125908.66</v>
          </cell>
        </row>
        <row r="292">
          <cell r="B292" t="str">
            <v>MAR 2016</v>
          </cell>
          <cell r="C292" t="str">
            <v>LGUM_453</v>
          </cell>
          <cell r="E292" t="str">
            <v xml:space="preserve">LS </v>
          </cell>
          <cell r="F292">
            <v>6117.34</v>
          </cell>
        </row>
        <row r="293">
          <cell r="B293" t="str">
            <v>MAR 2016</v>
          </cell>
          <cell r="C293" t="str">
            <v>LGUM_453</v>
          </cell>
          <cell r="E293" t="str">
            <v xml:space="preserve">LS </v>
          </cell>
          <cell r="F293">
            <v>14350.67</v>
          </cell>
        </row>
        <row r="294">
          <cell r="B294" t="str">
            <v>MAR 2016</v>
          </cell>
          <cell r="C294" t="str">
            <v>LGUM_453</v>
          </cell>
          <cell r="E294" t="str">
            <v xml:space="preserve">LS </v>
          </cell>
          <cell r="F294">
            <v>35197.730000000003</v>
          </cell>
        </row>
        <row r="295">
          <cell r="B295" t="str">
            <v>MAR 2016</v>
          </cell>
          <cell r="C295" t="str">
            <v>LGUM_454</v>
          </cell>
          <cell r="E295" t="str">
            <v xml:space="preserve">LS </v>
          </cell>
          <cell r="F295">
            <v>884.71</v>
          </cell>
        </row>
        <row r="296">
          <cell r="B296" t="str">
            <v>MAR 2016</v>
          </cell>
          <cell r="C296" t="str">
            <v>LGUM_454</v>
          </cell>
          <cell r="E296" t="str">
            <v xml:space="preserve">LS </v>
          </cell>
          <cell r="F296">
            <v>11350.23</v>
          </cell>
        </row>
        <row r="297">
          <cell r="B297" t="str">
            <v>MAR 2016</v>
          </cell>
          <cell r="C297" t="str">
            <v>LGUM_454</v>
          </cell>
          <cell r="E297" t="str">
            <v xml:space="preserve">LS </v>
          </cell>
          <cell r="F297">
            <v>45991.360000000001</v>
          </cell>
        </row>
        <row r="298">
          <cell r="B298" t="str">
            <v>MAR 2016</v>
          </cell>
          <cell r="C298" t="str">
            <v>LGUM_454</v>
          </cell>
          <cell r="E298" t="str">
            <v xml:space="preserve">LS </v>
          </cell>
          <cell r="F298">
            <v>2327.77</v>
          </cell>
        </row>
        <row r="299">
          <cell r="B299" t="str">
            <v>MAR 2016</v>
          </cell>
          <cell r="C299" t="str">
            <v>LGUM_454</v>
          </cell>
          <cell r="E299" t="str">
            <v xml:space="preserve">LS </v>
          </cell>
          <cell r="F299">
            <v>39864.36</v>
          </cell>
        </row>
        <row r="300">
          <cell r="B300" t="str">
            <v>MAR 2016</v>
          </cell>
          <cell r="C300" t="str">
            <v>LGUM_454</v>
          </cell>
          <cell r="E300" t="str">
            <v xml:space="preserve">LS </v>
          </cell>
          <cell r="F300">
            <v>16538.560000000001</v>
          </cell>
        </row>
        <row r="301">
          <cell r="B301" t="str">
            <v>MAR 2016</v>
          </cell>
          <cell r="C301" t="str">
            <v>LGUM_455</v>
          </cell>
          <cell r="E301" t="str">
            <v xml:space="preserve">LS </v>
          </cell>
          <cell r="F301">
            <v>997.37</v>
          </cell>
        </row>
        <row r="302">
          <cell r="B302" t="str">
            <v>MAR 2016</v>
          </cell>
          <cell r="C302" t="str">
            <v>LGUM_455</v>
          </cell>
          <cell r="E302" t="str">
            <v xml:space="preserve">LS </v>
          </cell>
          <cell r="F302">
            <v>194.56</v>
          </cell>
        </row>
        <row r="303">
          <cell r="B303" t="str">
            <v>MAR 2016</v>
          </cell>
          <cell r="C303" t="str">
            <v>LGUM_455</v>
          </cell>
          <cell r="E303" t="str">
            <v xml:space="preserve">LS </v>
          </cell>
          <cell r="F303">
            <v>1300.6099999999999</v>
          </cell>
        </row>
        <row r="304">
          <cell r="B304" t="str">
            <v>MAR 2016</v>
          </cell>
          <cell r="C304" t="str">
            <v>LGUM_455</v>
          </cell>
          <cell r="E304" t="str">
            <v xml:space="preserve">LS </v>
          </cell>
          <cell r="F304">
            <v>3932.01</v>
          </cell>
        </row>
        <row r="305">
          <cell r="B305" t="str">
            <v>MAR 2016</v>
          </cell>
          <cell r="C305" t="str">
            <v>LGUM_455</v>
          </cell>
          <cell r="E305" t="str">
            <v xml:space="preserve">LS </v>
          </cell>
          <cell r="F305">
            <v>426.19</v>
          </cell>
        </row>
        <row r="306">
          <cell r="B306" t="str">
            <v>MAR 2016</v>
          </cell>
          <cell r="C306" t="str">
            <v>LGUM_456</v>
          </cell>
          <cell r="E306" t="str">
            <v xml:space="preserve">LS </v>
          </cell>
          <cell r="F306">
            <v>5502.56</v>
          </cell>
        </row>
        <row r="307">
          <cell r="B307" t="str">
            <v>MAR 2016</v>
          </cell>
          <cell r="C307" t="str">
            <v>LGUM_456</v>
          </cell>
          <cell r="E307" t="str">
            <v xml:space="preserve">LS </v>
          </cell>
          <cell r="F307">
            <v>54881.760000000002</v>
          </cell>
        </row>
        <row r="308">
          <cell r="B308" t="str">
            <v>MAR 2016</v>
          </cell>
          <cell r="C308" t="str">
            <v>LGUM_456</v>
          </cell>
          <cell r="E308" t="str">
            <v xml:space="preserve">LS </v>
          </cell>
          <cell r="F308">
            <v>14484.24</v>
          </cell>
        </row>
        <row r="309">
          <cell r="B309" t="str">
            <v>MAR 2016</v>
          </cell>
          <cell r="C309" t="str">
            <v>LGUM_456</v>
          </cell>
          <cell r="E309" t="str">
            <v xml:space="preserve">LS </v>
          </cell>
          <cell r="F309">
            <v>3674.4</v>
          </cell>
        </row>
        <row r="310">
          <cell r="B310" t="str">
            <v>MAR 2016</v>
          </cell>
          <cell r="C310" t="str">
            <v>LGUM_456</v>
          </cell>
          <cell r="E310" t="str">
            <v xml:space="preserve">LS </v>
          </cell>
          <cell r="F310">
            <v>172761.52</v>
          </cell>
        </row>
        <row r="311">
          <cell r="B311" t="str">
            <v>MAR 2016</v>
          </cell>
          <cell r="C311" t="str">
            <v>LGUM_456</v>
          </cell>
          <cell r="E311" t="str">
            <v xml:space="preserve">LS </v>
          </cell>
          <cell r="F311">
            <v>39186.03</v>
          </cell>
        </row>
        <row r="312">
          <cell r="B312" t="str">
            <v>MAR 2016</v>
          </cell>
          <cell r="C312" t="str">
            <v>LGUM_457</v>
          </cell>
          <cell r="E312" t="str">
            <v xml:space="preserve">LS </v>
          </cell>
          <cell r="F312">
            <v>104.46</v>
          </cell>
        </row>
        <row r="313">
          <cell r="B313" t="str">
            <v>MAR 2016</v>
          </cell>
          <cell r="C313" t="str">
            <v>LGUM_457</v>
          </cell>
          <cell r="E313" t="str">
            <v xml:space="preserve">LS </v>
          </cell>
          <cell r="F313">
            <v>1593.73</v>
          </cell>
        </row>
        <row r="314">
          <cell r="B314" t="str">
            <v>MAR 2016</v>
          </cell>
          <cell r="C314" t="str">
            <v>LGUM_457</v>
          </cell>
          <cell r="E314" t="str">
            <v xml:space="preserve">LS </v>
          </cell>
          <cell r="F314">
            <v>6769.06</v>
          </cell>
        </row>
        <row r="315">
          <cell r="B315" t="str">
            <v>MAR 2016</v>
          </cell>
          <cell r="C315" t="str">
            <v>LGUM_457</v>
          </cell>
          <cell r="E315" t="str">
            <v xml:space="preserve">LS </v>
          </cell>
          <cell r="F315">
            <v>31642.58</v>
          </cell>
        </row>
        <row r="316">
          <cell r="B316" t="str">
            <v>MAR 2016</v>
          </cell>
          <cell r="C316" t="str">
            <v>LGUM_457</v>
          </cell>
          <cell r="E316" t="str">
            <v xml:space="preserve">LS </v>
          </cell>
          <cell r="F316">
            <v>7164.97</v>
          </cell>
        </row>
        <row r="317">
          <cell r="B317" t="str">
            <v>MAR 2016</v>
          </cell>
          <cell r="C317" t="str">
            <v>LGUM_457</v>
          </cell>
          <cell r="E317" t="str">
            <v xml:space="preserve">LS </v>
          </cell>
          <cell r="F317">
            <v>2549.02</v>
          </cell>
        </row>
        <row r="318">
          <cell r="B318" t="str">
            <v>MAR 2016</v>
          </cell>
          <cell r="C318" t="str">
            <v>LGUM_470</v>
          </cell>
          <cell r="E318" t="str">
            <v xml:space="preserve">LS </v>
          </cell>
          <cell r="F318">
            <v>45.63</v>
          </cell>
        </row>
        <row r="319">
          <cell r="B319" t="str">
            <v>MAR 2016</v>
          </cell>
          <cell r="C319" t="str">
            <v>LGUM_470</v>
          </cell>
          <cell r="E319" t="str">
            <v xml:space="preserve">LS </v>
          </cell>
          <cell r="F319">
            <v>139.16</v>
          </cell>
        </row>
        <row r="320">
          <cell r="B320" t="str">
            <v>MAR 2016</v>
          </cell>
          <cell r="C320" t="str">
            <v>LGUM_470</v>
          </cell>
          <cell r="E320" t="str">
            <v xml:space="preserve">LS </v>
          </cell>
          <cell r="F320">
            <v>15.21</v>
          </cell>
        </row>
        <row r="321">
          <cell r="B321" t="str">
            <v>MAR 2016</v>
          </cell>
          <cell r="C321" t="str">
            <v>LGUM_470</v>
          </cell>
          <cell r="E321" t="str">
            <v xml:space="preserve">LS </v>
          </cell>
          <cell r="F321">
            <v>273.77999999999997</v>
          </cell>
        </row>
        <row r="322">
          <cell r="B322" t="str">
            <v>MAR 2016</v>
          </cell>
          <cell r="C322" t="str">
            <v>LGUM_470</v>
          </cell>
          <cell r="E322" t="str">
            <v xml:space="preserve">LS </v>
          </cell>
          <cell r="F322">
            <v>139.16</v>
          </cell>
        </row>
        <row r="323">
          <cell r="B323" t="str">
            <v>MAR 2016</v>
          </cell>
          <cell r="C323" t="str">
            <v>LGUM_471</v>
          </cell>
          <cell r="E323" t="str">
            <v>RLS</v>
          </cell>
          <cell r="F323">
            <v>17.72</v>
          </cell>
        </row>
        <row r="324">
          <cell r="B324" t="str">
            <v>MAR 2016</v>
          </cell>
          <cell r="C324" t="str">
            <v>LGUM_471</v>
          </cell>
          <cell r="E324" t="str">
            <v>RLS</v>
          </cell>
          <cell r="F324">
            <v>124.06</v>
          </cell>
        </row>
        <row r="325">
          <cell r="B325" t="str">
            <v>MAR 2016</v>
          </cell>
          <cell r="C325" t="str">
            <v>LGUM_473</v>
          </cell>
          <cell r="E325" t="str">
            <v xml:space="preserve">LS </v>
          </cell>
          <cell r="F325">
            <v>358.53</v>
          </cell>
        </row>
        <row r="326">
          <cell r="B326" t="str">
            <v>MAR 2016</v>
          </cell>
          <cell r="C326" t="str">
            <v>LGUM_473</v>
          </cell>
          <cell r="E326" t="str">
            <v xml:space="preserve">LS </v>
          </cell>
          <cell r="F326">
            <v>10079.27</v>
          </cell>
        </row>
        <row r="327">
          <cell r="B327" t="str">
            <v>MAR 2016</v>
          </cell>
          <cell r="C327" t="str">
            <v>LGUM_473</v>
          </cell>
          <cell r="E327" t="str">
            <v xml:space="preserve">LS </v>
          </cell>
          <cell r="F327">
            <v>481.7</v>
          </cell>
        </row>
        <row r="328">
          <cell r="B328" t="str">
            <v>MAR 2016</v>
          </cell>
          <cell r="C328" t="str">
            <v>LGUM_473</v>
          </cell>
          <cell r="E328" t="str">
            <v xml:space="preserve">LS </v>
          </cell>
          <cell r="F328">
            <v>451.75</v>
          </cell>
        </row>
        <row r="329">
          <cell r="B329" t="str">
            <v>MAR 2016</v>
          </cell>
          <cell r="C329" t="str">
            <v>LGUM_473</v>
          </cell>
          <cell r="E329" t="str">
            <v xml:space="preserve">LS </v>
          </cell>
          <cell r="F329">
            <v>4802.3599999999997</v>
          </cell>
        </row>
        <row r="330">
          <cell r="B330" t="str">
            <v>MAR 2016</v>
          </cell>
          <cell r="C330" t="str">
            <v>LGUM_473</v>
          </cell>
          <cell r="E330" t="str">
            <v xml:space="preserve">LS </v>
          </cell>
          <cell r="F330">
            <v>352.26</v>
          </cell>
        </row>
        <row r="331">
          <cell r="B331" t="str">
            <v>MAR 2016</v>
          </cell>
          <cell r="C331" t="str">
            <v>LGUM_474</v>
          </cell>
          <cell r="E331" t="str">
            <v>RLS</v>
          </cell>
          <cell r="F331">
            <v>700.71</v>
          </cell>
        </row>
        <row r="332">
          <cell r="B332" t="str">
            <v>MAR 2016</v>
          </cell>
          <cell r="C332" t="str">
            <v>LGUM_474</v>
          </cell>
          <cell r="E332" t="str">
            <v>RLS</v>
          </cell>
          <cell r="F332">
            <v>24.42</v>
          </cell>
        </row>
        <row r="333">
          <cell r="B333" t="str">
            <v>MAR 2016</v>
          </cell>
          <cell r="C333" t="str">
            <v>LGUM_474</v>
          </cell>
          <cell r="E333" t="str">
            <v>RLS</v>
          </cell>
          <cell r="F333">
            <v>427.55</v>
          </cell>
        </row>
        <row r="334">
          <cell r="B334" t="str">
            <v>MAR 2016</v>
          </cell>
          <cell r="C334" t="str">
            <v>LGUM_474</v>
          </cell>
          <cell r="E334" t="str">
            <v>RLS</v>
          </cell>
          <cell r="F334">
            <v>24.42</v>
          </cell>
        </row>
        <row r="335">
          <cell r="B335" t="str">
            <v>MAR 2016</v>
          </cell>
          <cell r="C335" t="str">
            <v>LGUM_475</v>
          </cell>
          <cell r="E335" t="str">
            <v>RLS</v>
          </cell>
          <cell r="F335">
            <v>65.3</v>
          </cell>
        </row>
        <row r="336">
          <cell r="B336" t="str">
            <v>MAR 2016</v>
          </cell>
          <cell r="C336" t="str">
            <v>LGUM_476</v>
          </cell>
          <cell r="E336" t="str">
            <v xml:space="preserve">LS </v>
          </cell>
          <cell r="F336">
            <v>1479.54</v>
          </cell>
        </row>
        <row r="337">
          <cell r="B337" t="str">
            <v>MAR 2016</v>
          </cell>
          <cell r="C337" t="str">
            <v>LGUM_476</v>
          </cell>
          <cell r="E337" t="str">
            <v xml:space="preserve">LS </v>
          </cell>
          <cell r="F337">
            <v>17235.099999999999</v>
          </cell>
        </row>
        <row r="338">
          <cell r="B338" t="str">
            <v>MAR 2016</v>
          </cell>
          <cell r="C338" t="str">
            <v>LGUM_476</v>
          </cell>
          <cell r="E338" t="str">
            <v xml:space="preserve">LS </v>
          </cell>
          <cell r="F338">
            <v>924.97</v>
          </cell>
        </row>
        <row r="339">
          <cell r="B339" t="str">
            <v>MAR 2016</v>
          </cell>
          <cell r="C339" t="str">
            <v>LGUM_476</v>
          </cell>
          <cell r="E339" t="str">
            <v xml:space="preserve">LS </v>
          </cell>
          <cell r="F339">
            <v>370.02</v>
          </cell>
        </row>
        <row r="340">
          <cell r="B340" t="str">
            <v>MAR 2016</v>
          </cell>
          <cell r="C340" t="str">
            <v>LGUM_476</v>
          </cell>
          <cell r="E340" t="str">
            <v xml:space="preserve">LS </v>
          </cell>
          <cell r="F340">
            <v>8170.41</v>
          </cell>
        </row>
        <row r="341">
          <cell r="B341" t="str">
            <v>MAR 2016</v>
          </cell>
          <cell r="C341" t="str">
            <v>LGUM_476</v>
          </cell>
          <cell r="E341" t="str">
            <v xml:space="preserve">LS </v>
          </cell>
          <cell r="F341">
            <v>369.97</v>
          </cell>
        </row>
        <row r="342">
          <cell r="B342" t="str">
            <v>MAR 2016</v>
          </cell>
          <cell r="C342" t="str">
            <v>LGUM_477</v>
          </cell>
          <cell r="E342" t="str">
            <v>RLS</v>
          </cell>
          <cell r="F342">
            <v>98.67</v>
          </cell>
        </row>
        <row r="343">
          <cell r="B343" t="str">
            <v>MAR 2016</v>
          </cell>
          <cell r="C343" t="str">
            <v>LGUM_477</v>
          </cell>
          <cell r="E343" t="str">
            <v>RLS</v>
          </cell>
          <cell r="F343">
            <v>2214.59</v>
          </cell>
        </row>
        <row r="344">
          <cell r="B344" t="str">
            <v>MAR 2016</v>
          </cell>
          <cell r="C344" t="str">
            <v>LGUM_477</v>
          </cell>
          <cell r="E344" t="str">
            <v>RLS</v>
          </cell>
          <cell r="F344">
            <v>199.06</v>
          </cell>
        </row>
        <row r="345">
          <cell r="B345" t="str">
            <v>MAR 2016</v>
          </cell>
          <cell r="C345" t="str">
            <v>LGUM_477</v>
          </cell>
          <cell r="E345" t="str">
            <v>RLS</v>
          </cell>
          <cell r="F345">
            <v>559.9</v>
          </cell>
        </row>
        <row r="346">
          <cell r="B346" t="str">
            <v>MAR 2016</v>
          </cell>
          <cell r="C346" t="str">
            <v>LGUM_480</v>
          </cell>
          <cell r="E346" t="str">
            <v xml:space="preserve">LS </v>
          </cell>
          <cell r="F346">
            <v>547.55999999999995</v>
          </cell>
        </row>
        <row r="347">
          <cell r="B347" t="str">
            <v>MAR 2016</v>
          </cell>
          <cell r="C347" t="str">
            <v>LGUM_481</v>
          </cell>
          <cell r="E347" t="str">
            <v xml:space="preserve">LS </v>
          </cell>
          <cell r="F347">
            <v>95.42</v>
          </cell>
        </row>
        <row r="348">
          <cell r="B348" t="str">
            <v>MAR 2016</v>
          </cell>
          <cell r="C348" t="str">
            <v>LGUM_481</v>
          </cell>
          <cell r="E348" t="str">
            <v xml:space="preserve">LS </v>
          </cell>
          <cell r="F348">
            <v>47.7</v>
          </cell>
        </row>
        <row r="349">
          <cell r="B349" t="str">
            <v>MAR 2016</v>
          </cell>
          <cell r="C349" t="str">
            <v>LGUM_482</v>
          </cell>
          <cell r="E349" t="str">
            <v xml:space="preserve">LS </v>
          </cell>
          <cell r="F349">
            <v>1522.86</v>
          </cell>
        </row>
        <row r="350">
          <cell r="B350" t="str">
            <v>MAR 2016</v>
          </cell>
          <cell r="C350" t="str">
            <v>LGUM_482</v>
          </cell>
          <cell r="E350" t="str">
            <v xml:space="preserve">LS </v>
          </cell>
          <cell r="F350">
            <v>1661.49</v>
          </cell>
        </row>
        <row r="351">
          <cell r="B351" t="str">
            <v>MAR 2016</v>
          </cell>
          <cell r="C351" t="str">
            <v>LGUM_482</v>
          </cell>
          <cell r="E351" t="str">
            <v xml:space="preserve">LS </v>
          </cell>
          <cell r="F351">
            <v>69.22</v>
          </cell>
        </row>
        <row r="352">
          <cell r="B352" t="str">
            <v>MAR 2016</v>
          </cell>
          <cell r="C352" t="str">
            <v>LGUM_483</v>
          </cell>
          <cell r="E352" t="str">
            <v xml:space="preserve">LS </v>
          </cell>
          <cell r="F352">
            <v>247.6</v>
          </cell>
        </row>
        <row r="353">
          <cell r="B353" t="str">
            <v>MAR 2016</v>
          </cell>
          <cell r="C353" t="str">
            <v>LGUM_484</v>
          </cell>
          <cell r="E353" t="str">
            <v xml:space="preserve">LS </v>
          </cell>
          <cell r="F353">
            <v>120.54</v>
          </cell>
        </row>
        <row r="354">
          <cell r="B354" t="str">
            <v>MAR 2016</v>
          </cell>
          <cell r="C354" t="str">
            <v>LGUM_484</v>
          </cell>
          <cell r="E354" t="str">
            <v xml:space="preserve">LS </v>
          </cell>
          <cell r="F354">
            <v>3676.42</v>
          </cell>
        </row>
        <row r="355">
          <cell r="B355" t="str">
            <v>APR 2016</v>
          </cell>
          <cell r="C355" t="str">
            <v>LEUM_825</v>
          </cell>
          <cell r="E355" t="str">
            <v>EF</v>
          </cell>
          <cell r="F355">
            <v>48365.64</v>
          </cell>
        </row>
        <row r="356">
          <cell r="B356" t="str">
            <v>APR 2016</v>
          </cell>
          <cell r="C356" t="str">
            <v>LEUM_826</v>
          </cell>
          <cell r="E356" t="str">
            <v>EF</v>
          </cell>
          <cell r="F356">
            <v>765.74</v>
          </cell>
        </row>
        <row r="357">
          <cell r="B357" t="str">
            <v>APR 2016</v>
          </cell>
          <cell r="C357" t="str">
            <v>LEUM_828</v>
          </cell>
          <cell r="E357" t="str">
            <v>EF</v>
          </cell>
          <cell r="F357">
            <v>2730.51</v>
          </cell>
        </row>
        <row r="358">
          <cell r="B358" t="str">
            <v>APR 2016</v>
          </cell>
          <cell r="C358" t="str">
            <v>LEUM_829</v>
          </cell>
          <cell r="E358" t="str">
            <v>EF</v>
          </cell>
          <cell r="F358">
            <v>5</v>
          </cell>
        </row>
        <row r="359">
          <cell r="B359" t="str">
            <v>APR 2016</v>
          </cell>
          <cell r="C359" t="str">
            <v>LGCME000</v>
          </cell>
          <cell r="E359" t="str">
            <v>TS</v>
          </cell>
        </row>
        <row r="360">
          <cell r="B360" t="str">
            <v>APR 2016</v>
          </cell>
          <cell r="C360" t="str">
            <v>LGCME451</v>
          </cell>
          <cell r="E360" t="str">
            <v>GSS</v>
          </cell>
          <cell r="F360">
            <v>802.38</v>
          </cell>
        </row>
        <row r="361">
          <cell r="B361" t="str">
            <v>APR 2016</v>
          </cell>
          <cell r="C361" t="str">
            <v>LGCME551</v>
          </cell>
          <cell r="E361" t="str">
            <v>GSS</v>
          </cell>
          <cell r="F361">
            <v>3544752.66</v>
          </cell>
        </row>
        <row r="362">
          <cell r="B362" t="str">
            <v>APR 2016</v>
          </cell>
          <cell r="C362" t="str">
            <v>LGCME551UM</v>
          </cell>
          <cell r="E362" t="str">
            <v>GSS</v>
          </cell>
          <cell r="F362">
            <v>4443.6000000000004</v>
          </cell>
        </row>
        <row r="363">
          <cell r="B363" t="str">
            <v>APR 2016</v>
          </cell>
          <cell r="C363" t="str">
            <v>LGCME552</v>
          </cell>
          <cell r="E363" t="str">
            <v>GSS</v>
          </cell>
          <cell r="F363">
            <v>9149.09</v>
          </cell>
        </row>
        <row r="364">
          <cell r="B364" t="str">
            <v>APR 2016</v>
          </cell>
          <cell r="C364" t="str">
            <v>LGCME557</v>
          </cell>
          <cell r="E364" t="str">
            <v>GSS</v>
          </cell>
          <cell r="F364">
            <v>869.67</v>
          </cell>
        </row>
        <row r="365">
          <cell r="B365" t="str">
            <v>APR 2016</v>
          </cell>
          <cell r="C365" t="str">
            <v>LGCME561</v>
          </cell>
          <cell r="E365" t="str">
            <v>PSS</v>
          </cell>
          <cell r="F365">
            <v>11536310.17</v>
          </cell>
        </row>
        <row r="366">
          <cell r="B366" t="str">
            <v>APR 2016</v>
          </cell>
          <cell r="C366" t="str">
            <v>LGCME563</v>
          </cell>
          <cell r="E366" t="str">
            <v>PSP</v>
          </cell>
          <cell r="F366">
            <v>1054011.1499999999</v>
          </cell>
        </row>
        <row r="367">
          <cell r="B367" t="str">
            <v>APR 2016</v>
          </cell>
          <cell r="C367" t="str">
            <v>LGCME567</v>
          </cell>
          <cell r="E367" t="str">
            <v>PSS</v>
          </cell>
          <cell r="F367">
            <v>16749.900000000001</v>
          </cell>
        </row>
        <row r="368">
          <cell r="B368" t="str">
            <v>APR 2016</v>
          </cell>
          <cell r="C368" t="str">
            <v>LGCME591</v>
          </cell>
          <cell r="E368" t="str">
            <v>TODS</v>
          </cell>
          <cell r="F368">
            <v>5044121.8099999996</v>
          </cell>
        </row>
        <row r="369">
          <cell r="B369" t="str">
            <v>APR 2016</v>
          </cell>
          <cell r="C369" t="str">
            <v>LGCME593</v>
          </cell>
          <cell r="E369" t="str">
            <v>CTODP</v>
          </cell>
          <cell r="F369">
            <v>3375526.71</v>
          </cell>
        </row>
        <row r="370">
          <cell r="B370" t="str">
            <v>APR 2016</v>
          </cell>
          <cell r="C370" t="str">
            <v>LGCME651</v>
          </cell>
          <cell r="E370" t="str">
            <v>GS3</v>
          </cell>
          <cell r="F370">
            <v>7355859.8899999997</v>
          </cell>
        </row>
        <row r="371">
          <cell r="B371" t="str">
            <v>APR 2016</v>
          </cell>
          <cell r="C371" t="str">
            <v>LGCME652</v>
          </cell>
          <cell r="E371" t="str">
            <v>GS3</v>
          </cell>
          <cell r="F371">
            <v>136486.66</v>
          </cell>
        </row>
        <row r="372">
          <cell r="B372" t="str">
            <v>APR 2016</v>
          </cell>
          <cell r="C372" t="str">
            <v>LGCME657</v>
          </cell>
          <cell r="E372" t="str">
            <v>GS3</v>
          </cell>
          <cell r="F372">
            <v>17285.52</v>
          </cell>
        </row>
        <row r="373">
          <cell r="B373" t="str">
            <v>APR 2016</v>
          </cell>
          <cell r="C373" t="str">
            <v>LGCME671</v>
          </cell>
          <cell r="E373" t="str">
            <v>LWC</v>
          </cell>
          <cell r="F373">
            <v>264865.78999999998</v>
          </cell>
        </row>
        <row r="374">
          <cell r="B374" t="str">
            <v>APR 2016</v>
          </cell>
          <cell r="C374" t="str">
            <v>LGCSR790</v>
          </cell>
          <cell r="E374" t="str">
            <v>CSR</v>
          </cell>
          <cell r="F374">
            <v>-378895.42</v>
          </cell>
        </row>
        <row r="375">
          <cell r="B375" t="str">
            <v>APR 2016</v>
          </cell>
          <cell r="C375" t="str">
            <v>LGINE599</v>
          </cell>
          <cell r="E375" t="str">
            <v>FK</v>
          </cell>
          <cell r="F375">
            <v>603712.39</v>
          </cell>
        </row>
        <row r="376">
          <cell r="B376" t="str">
            <v>APR 2016</v>
          </cell>
          <cell r="C376" t="str">
            <v>LGINE643</v>
          </cell>
          <cell r="E376" t="str">
            <v>RTS</v>
          </cell>
          <cell r="F376">
            <v>6094261.71</v>
          </cell>
        </row>
        <row r="377">
          <cell r="B377" t="str">
            <v>APR 2016</v>
          </cell>
          <cell r="C377" t="str">
            <v>LGINE661</v>
          </cell>
          <cell r="E377" t="str">
            <v>PSS</v>
          </cell>
          <cell r="F377">
            <v>1590408.43</v>
          </cell>
        </row>
        <row r="378">
          <cell r="B378" t="str">
            <v>APR 2016</v>
          </cell>
          <cell r="C378" t="str">
            <v>LGINE663</v>
          </cell>
          <cell r="E378" t="str">
            <v>PSP</v>
          </cell>
          <cell r="F378">
            <v>66650.16</v>
          </cell>
        </row>
        <row r="379">
          <cell r="B379" t="str">
            <v>APR 2016</v>
          </cell>
          <cell r="C379" t="str">
            <v>LGINE691</v>
          </cell>
          <cell r="E379" t="str">
            <v>ITODS</v>
          </cell>
          <cell r="F379">
            <v>1926542.9</v>
          </cell>
        </row>
        <row r="380">
          <cell r="B380" t="str">
            <v>APR 2016</v>
          </cell>
          <cell r="C380" t="str">
            <v>LGINE693</v>
          </cell>
          <cell r="E380" t="str">
            <v>ITODP</v>
          </cell>
          <cell r="F380">
            <v>7957841.9100000001</v>
          </cell>
        </row>
        <row r="381">
          <cell r="B381" t="str">
            <v>APR 2016</v>
          </cell>
          <cell r="C381" t="str">
            <v>LGMLE570</v>
          </cell>
          <cell r="E381" t="str">
            <v>LE</v>
          </cell>
          <cell r="F381">
            <v>14.25</v>
          </cell>
        </row>
        <row r="382">
          <cell r="B382" t="str">
            <v>APR 2016</v>
          </cell>
          <cell r="C382" t="str">
            <v>LGMLE571</v>
          </cell>
          <cell r="E382" t="str">
            <v>LE</v>
          </cell>
          <cell r="F382">
            <v>16067.3</v>
          </cell>
        </row>
        <row r="383">
          <cell r="B383" t="str">
            <v>APR 2016</v>
          </cell>
          <cell r="C383" t="str">
            <v>LGMLE572</v>
          </cell>
          <cell r="E383" t="str">
            <v>LE</v>
          </cell>
          <cell r="F383">
            <v>5709.89</v>
          </cell>
        </row>
        <row r="384">
          <cell r="B384" t="str">
            <v>APR 2016</v>
          </cell>
          <cell r="C384" t="str">
            <v>LGMLE573</v>
          </cell>
          <cell r="E384" t="str">
            <v>TE</v>
          </cell>
          <cell r="F384">
            <v>18265.84</v>
          </cell>
        </row>
        <row r="385">
          <cell r="B385" t="str">
            <v>APR 2016</v>
          </cell>
          <cell r="C385" t="str">
            <v>LGMLE574</v>
          </cell>
          <cell r="E385" t="str">
            <v>TE</v>
          </cell>
          <cell r="F385">
            <v>6248.61</v>
          </cell>
        </row>
        <row r="386">
          <cell r="B386" t="str">
            <v>APR 2016</v>
          </cell>
          <cell r="C386" t="str">
            <v>LGRSE000</v>
          </cell>
          <cell r="E386" t="str">
            <v>TS</v>
          </cell>
        </row>
        <row r="387">
          <cell r="B387" t="str">
            <v>APR 2016</v>
          </cell>
          <cell r="C387" t="str">
            <v>LGRSE411</v>
          </cell>
          <cell r="E387" t="str">
            <v>RS</v>
          </cell>
          <cell r="F387">
            <v>69385.62</v>
          </cell>
        </row>
        <row r="388">
          <cell r="B388" t="str">
            <v>APR 2016</v>
          </cell>
          <cell r="C388" t="str">
            <v>LGRSE511</v>
          </cell>
          <cell r="E388" t="str">
            <v>RS</v>
          </cell>
          <cell r="F388">
            <v>26813972.670000002</v>
          </cell>
        </row>
        <row r="389">
          <cell r="B389" t="str">
            <v>APR 2016</v>
          </cell>
          <cell r="C389" t="str">
            <v>LGRSE519</v>
          </cell>
          <cell r="E389" t="str">
            <v>RS</v>
          </cell>
          <cell r="F389">
            <v>10762.73</v>
          </cell>
        </row>
        <row r="390">
          <cell r="B390" t="str">
            <v>APR 2016</v>
          </cell>
          <cell r="C390" t="str">
            <v>LGRSE521</v>
          </cell>
          <cell r="E390" t="str">
            <v>RTODE</v>
          </cell>
          <cell r="F390">
            <v>2696.69</v>
          </cell>
        </row>
        <row r="391">
          <cell r="B391" t="str">
            <v>APR 2016</v>
          </cell>
          <cell r="C391" t="str">
            <v>LGRSE540</v>
          </cell>
          <cell r="E391" t="str">
            <v>VFD</v>
          </cell>
          <cell r="F391">
            <v>2432.0700000000002</v>
          </cell>
        </row>
        <row r="392">
          <cell r="B392" t="str">
            <v>APR 2016</v>
          </cell>
          <cell r="C392" t="str">
            <v>LGUM_000</v>
          </cell>
          <cell r="E392" t="str">
            <v>TS</v>
          </cell>
        </row>
        <row r="393">
          <cell r="B393" t="str">
            <v>APR 2016</v>
          </cell>
          <cell r="C393" t="str">
            <v>LGUM_201</v>
          </cell>
          <cell r="E393" t="str">
            <v>RLS</v>
          </cell>
          <cell r="F393">
            <v>703.39</v>
          </cell>
        </row>
        <row r="394">
          <cell r="B394" t="str">
            <v>APR 2016</v>
          </cell>
          <cell r="C394" t="str">
            <v>LGUM_203</v>
          </cell>
          <cell r="E394" t="str">
            <v>RLS</v>
          </cell>
          <cell r="F394">
            <v>40161.06</v>
          </cell>
        </row>
        <row r="395">
          <cell r="B395" t="str">
            <v>APR 2016</v>
          </cell>
          <cell r="C395" t="str">
            <v>LGUM_204</v>
          </cell>
          <cell r="E395" t="str">
            <v>RLS</v>
          </cell>
          <cell r="F395">
            <v>50874.73</v>
          </cell>
        </row>
        <row r="396">
          <cell r="B396" t="str">
            <v>APR 2016</v>
          </cell>
          <cell r="C396" t="str">
            <v>LGUM_206</v>
          </cell>
          <cell r="E396" t="str">
            <v>RLS</v>
          </cell>
          <cell r="F396">
            <v>994.97</v>
          </cell>
        </row>
        <row r="397">
          <cell r="B397" t="str">
            <v>APR 2016</v>
          </cell>
          <cell r="C397" t="str">
            <v>LGUM_207</v>
          </cell>
          <cell r="E397" t="str">
            <v>RLS</v>
          </cell>
          <cell r="F397">
            <v>12069.74</v>
          </cell>
        </row>
        <row r="398">
          <cell r="B398" t="str">
            <v>APR 2016</v>
          </cell>
          <cell r="C398" t="str">
            <v>LGUM_208</v>
          </cell>
          <cell r="E398" t="str">
            <v>RLS</v>
          </cell>
          <cell r="F398">
            <v>21098.46</v>
          </cell>
        </row>
        <row r="399">
          <cell r="B399" t="str">
            <v>APR 2016</v>
          </cell>
          <cell r="C399" t="str">
            <v>LGUM_209</v>
          </cell>
          <cell r="E399" t="str">
            <v>RLS</v>
          </cell>
          <cell r="F399">
            <v>938.78</v>
          </cell>
        </row>
        <row r="400">
          <cell r="B400" t="str">
            <v>APR 2016</v>
          </cell>
          <cell r="C400" t="str">
            <v>LGUM_210</v>
          </cell>
          <cell r="E400" t="str">
            <v>RLS</v>
          </cell>
          <cell r="F400">
            <v>9845.56</v>
          </cell>
        </row>
        <row r="401">
          <cell r="B401" t="str">
            <v>APR 2016</v>
          </cell>
          <cell r="C401" t="str">
            <v>LGUM_252</v>
          </cell>
          <cell r="E401" t="str">
            <v>RLS</v>
          </cell>
          <cell r="F401">
            <v>40982.74</v>
          </cell>
        </row>
        <row r="402">
          <cell r="B402" t="str">
            <v>APR 2016</v>
          </cell>
          <cell r="C402" t="str">
            <v>LGUM_266</v>
          </cell>
          <cell r="E402" t="str">
            <v>RLS</v>
          </cell>
          <cell r="F402">
            <v>62242.8</v>
          </cell>
        </row>
        <row r="403">
          <cell r="B403" t="str">
            <v>APR 2016</v>
          </cell>
          <cell r="C403" t="str">
            <v>LGUM_267</v>
          </cell>
          <cell r="E403" t="str">
            <v>RLS</v>
          </cell>
          <cell r="F403">
            <v>78803.77</v>
          </cell>
        </row>
        <row r="404">
          <cell r="B404" t="str">
            <v>APR 2016</v>
          </cell>
          <cell r="C404" t="str">
            <v>LGUM_274</v>
          </cell>
          <cell r="E404" t="str">
            <v>RLS</v>
          </cell>
          <cell r="F404">
            <v>328084.68</v>
          </cell>
        </row>
        <row r="405">
          <cell r="B405" t="str">
            <v>APR 2016</v>
          </cell>
          <cell r="C405" t="str">
            <v>LGUM_275</v>
          </cell>
          <cell r="E405" t="str">
            <v>RLS</v>
          </cell>
          <cell r="F405">
            <v>13493.83</v>
          </cell>
        </row>
        <row r="406">
          <cell r="B406" t="str">
            <v>APR 2016</v>
          </cell>
          <cell r="C406" t="str">
            <v>LGUM_276</v>
          </cell>
          <cell r="E406" t="str">
            <v>RLS</v>
          </cell>
          <cell r="F406">
            <v>21982.78</v>
          </cell>
        </row>
        <row r="407">
          <cell r="B407" t="str">
            <v>APR 2016</v>
          </cell>
          <cell r="C407" t="str">
            <v>LGUM_277</v>
          </cell>
          <cell r="E407" t="str">
            <v>RLS</v>
          </cell>
          <cell r="F407">
            <v>57073.760000000002</v>
          </cell>
        </row>
        <row r="408">
          <cell r="B408" t="str">
            <v>APR 2016</v>
          </cell>
          <cell r="C408" t="str">
            <v>LGUM_278</v>
          </cell>
          <cell r="E408" t="str">
            <v>RLS</v>
          </cell>
          <cell r="F408">
            <v>965.55</v>
          </cell>
        </row>
        <row r="409">
          <cell r="B409" t="str">
            <v>APR 2016</v>
          </cell>
          <cell r="C409" t="str">
            <v>LGUM_279</v>
          </cell>
          <cell r="E409" t="str">
            <v>RLS</v>
          </cell>
          <cell r="F409">
            <v>380.06</v>
          </cell>
        </row>
        <row r="410">
          <cell r="B410" t="str">
            <v>APR 2016</v>
          </cell>
          <cell r="C410" t="str">
            <v>LGUM_280</v>
          </cell>
          <cell r="E410" t="str">
            <v>RLS</v>
          </cell>
          <cell r="F410">
            <v>1771.34</v>
          </cell>
        </row>
        <row r="411">
          <cell r="B411" t="str">
            <v>APR 2016</v>
          </cell>
          <cell r="C411" t="str">
            <v>LGUM_281</v>
          </cell>
          <cell r="E411" t="str">
            <v>RLS</v>
          </cell>
          <cell r="F411">
            <v>9548.1299999999992</v>
          </cell>
        </row>
        <row r="412">
          <cell r="B412" t="str">
            <v>APR 2016</v>
          </cell>
          <cell r="C412" t="str">
            <v>LGUM_282</v>
          </cell>
          <cell r="E412" t="str">
            <v>RLS</v>
          </cell>
          <cell r="F412">
            <v>3352.81</v>
          </cell>
        </row>
        <row r="413">
          <cell r="B413" t="str">
            <v>APR 2016</v>
          </cell>
          <cell r="C413" t="str">
            <v>LGUM_283</v>
          </cell>
          <cell r="E413" t="str">
            <v>RLS</v>
          </cell>
          <cell r="F413">
            <v>3672.74</v>
          </cell>
        </row>
        <row r="414">
          <cell r="B414" t="str">
            <v>APR 2016</v>
          </cell>
          <cell r="C414" t="str">
            <v>LGUM_314</v>
          </cell>
          <cell r="E414" t="str">
            <v>RLS</v>
          </cell>
          <cell r="F414">
            <v>9546.67</v>
          </cell>
        </row>
        <row r="415">
          <cell r="B415" t="str">
            <v>APR 2016</v>
          </cell>
          <cell r="C415" t="str">
            <v>LGUM_315</v>
          </cell>
          <cell r="E415" t="str">
            <v>RLS</v>
          </cell>
          <cell r="F415">
            <v>11468.58</v>
          </cell>
        </row>
        <row r="416">
          <cell r="B416" t="str">
            <v>APR 2016</v>
          </cell>
          <cell r="C416" t="str">
            <v>LGUM_318</v>
          </cell>
          <cell r="E416" t="str">
            <v>RLS</v>
          </cell>
          <cell r="F416">
            <v>917.22</v>
          </cell>
        </row>
        <row r="417">
          <cell r="B417" t="str">
            <v>APR 2016</v>
          </cell>
          <cell r="C417" t="str">
            <v>LGUM_348</v>
          </cell>
          <cell r="E417" t="str">
            <v>RLS</v>
          </cell>
          <cell r="F417">
            <v>572.79</v>
          </cell>
        </row>
        <row r="418">
          <cell r="B418" t="str">
            <v>APR 2016</v>
          </cell>
          <cell r="C418" t="str">
            <v>LGUM_349</v>
          </cell>
          <cell r="E418" t="str">
            <v>RLS</v>
          </cell>
          <cell r="F418">
            <v>171.88</v>
          </cell>
        </row>
        <row r="419">
          <cell r="B419" t="str">
            <v>APR 2016</v>
          </cell>
          <cell r="C419" t="str">
            <v>LGUM_400</v>
          </cell>
          <cell r="E419" t="str">
            <v xml:space="preserve">LS </v>
          </cell>
          <cell r="F419">
            <v>1431.03</v>
          </cell>
        </row>
        <row r="420">
          <cell r="B420" t="str">
            <v>APR 2016</v>
          </cell>
          <cell r="C420" t="str">
            <v>LGUM_401</v>
          </cell>
          <cell r="E420" t="str">
            <v xml:space="preserve">LS </v>
          </cell>
          <cell r="F420">
            <v>423.53</v>
          </cell>
        </row>
        <row r="421">
          <cell r="B421" t="str">
            <v>APR 2016</v>
          </cell>
          <cell r="C421" t="str">
            <v>LGUM_412</v>
          </cell>
          <cell r="E421" t="str">
            <v xml:space="preserve">LS </v>
          </cell>
          <cell r="F421">
            <v>4801.63</v>
          </cell>
        </row>
        <row r="422">
          <cell r="B422" t="str">
            <v>APR 2016</v>
          </cell>
          <cell r="C422" t="str">
            <v>LGUM_413</v>
          </cell>
          <cell r="E422" t="str">
            <v xml:space="preserve">LS </v>
          </cell>
          <cell r="F422">
            <v>64932.32</v>
          </cell>
        </row>
        <row r="423">
          <cell r="B423" t="str">
            <v>APR 2016</v>
          </cell>
          <cell r="C423" t="str">
            <v>LGUM_415</v>
          </cell>
          <cell r="E423" t="str">
            <v xml:space="preserve">LS </v>
          </cell>
          <cell r="F423">
            <v>1054.3599999999999</v>
          </cell>
        </row>
        <row r="424">
          <cell r="B424" t="str">
            <v>APR 2016</v>
          </cell>
          <cell r="C424" t="str">
            <v>LGUM_416</v>
          </cell>
          <cell r="E424" t="str">
            <v xml:space="preserve">LS </v>
          </cell>
          <cell r="F424">
            <v>49418.400000000001</v>
          </cell>
        </row>
        <row r="425">
          <cell r="B425" t="str">
            <v>APR 2016</v>
          </cell>
          <cell r="C425" t="str">
            <v>LGUM_417</v>
          </cell>
          <cell r="E425" t="str">
            <v>RLS</v>
          </cell>
          <cell r="F425">
            <v>1315.72</v>
          </cell>
        </row>
        <row r="426">
          <cell r="B426" t="str">
            <v>APR 2016</v>
          </cell>
          <cell r="C426" t="str">
            <v>LGUM_419</v>
          </cell>
          <cell r="E426" t="str">
            <v>RLS</v>
          </cell>
          <cell r="F426">
            <v>3308.23</v>
          </cell>
        </row>
        <row r="427">
          <cell r="B427" t="str">
            <v>APR 2016</v>
          </cell>
          <cell r="C427" t="str">
            <v>LGUM_420</v>
          </cell>
          <cell r="E427" t="str">
            <v xml:space="preserve">LS </v>
          </cell>
          <cell r="F427">
            <v>2027.1</v>
          </cell>
        </row>
        <row r="428">
          <cell r="B428" t="str">
            <v>APR 2016</v>
          </cell>
          <cell r="C428" t="str">
            <v>LGUM_421</v>
          </cell>
          <cell r="E428" t="str">
            <v xml:space="preserve">LS </v>
          </cell>
          <cell r="F428">
            <v>7718.36</v>
          </cell>
        </row>
        <row r="429">
          <cell r="B429" t="str">
            <v>APR 2016</v>
          </cell>
          <cell r="C429" t="str">
            <v>LGUM_422</v>
          </cell>
          <cell r="E429" t="str">
            <v xml:space="preserve">LS </v>
          </cell>
          <cell r="F429">
            <v>19032.96</v>
          </cell>
        </row>
        <row r="430">
          <cell r="B430" t="str">
            <v>APR 2016</v>
          </cell>
          <cell r="C430" t="str">
            <v>LGUM_423</v>
          </cell>
          <cell r="E430" t="str">
            <v xml:space="preserve">LS </v>
          </cell>
          <cell r="F430">
            <v>606.55999999999995</v>
          </cell>
        </row>
        <row r="431">
          <cell r="B431" t="str">
            <v>APR 2016</v>
          </cell>
          <cell r="C431" t="str">
            <v>LGUM_424</v>
          </cell>
          <cell r="E431" t="str">
            <v xml:space="preserve">LS </v>
          </cell>
          <cell r="F431">
            <v>19040.61</v>
          </cell>
        </row>
        <row r="432">
          <cell r="B432" t="str">
            <v>APR 2016</v>
          </cell>
          <cell r="C432" t="str">
            <v>LGUM_425</v>
          </cell>
          <cell r="E432" t="str">
            <v xml:space="preserve">LS </v>
          </cell>
          <cell r="F432">
            <v>1196.31</v>
          </cell>
        </row>
        <row r="433">
          <cell r="B433" t="str">
            <v>APR 2016</v>
          </cell>
          <cell r="C433" t="str">
            <v>LGUM_426</v>
          </cell>
          <cell r="E433" t="str">
            <v>RLS</v>
          </cell>
          <cell r="F433">
            <v>1232.44</v>
          </cell>
        </row>
        <row r="434">
          <cell r="B434" t="str">
            <v>APR 2016</v>
          </cell>
          <cell r="C434" t="str">
            <v>LGUM_427</v>
          </cell>
          <cell r="E434" t="str">
            <v xml:space="preserve">LS </v>
          </cell>
          <cell r="F434">
            <v>2128.21</v>
          </cell>
        </row>
        <row r="435">
          <cell r="B435" t="str">
            <v>APR 2016</v>
          </cell>
          <cell r="C435" t="str">
            <v>LGUM_428</v>
          </cell>
          <cell r="E435" t="str">
            <v>RLS</v>
          </cell>
          <cell r="F435">
            <v>11056.42</v>
          </cell>
        </row>
        <row r="436">
          <cell r="B436" t="str">
            <v>APR 2016</v>
          </cell>
          <cell r="C436" t="str">
            <v>LGUM_429</v>
          </cell>
          <cell r="E436" t="str">
            <v xml:space="preserve">LS </v>
          </cell>
          <cell r="F436">
            <v>23263.85</v>
          </cell>
        </row>
        <row r="437">
          <cell r="B437" t="str">
            <v>APR 2016</v>
          </cell>
          <cell r="C437" t="str">
            <v>LGUM_430</v>
          </cell>
          <cell r="E437" t="str">
            <v>RLS</v>
          </cell>
          <cell r="F437">
            <v>458.04</v>
          </cell>
        </row>
        <row r="438">
          <cell r="B438" t="str">
            <v>APR 2016</v>
          </cell>
          <cell r="C438" t="str">
            <v>LGUM_431</v>
          </cell>
          <cell r="E438" t="str">
            <v xml:space="preserve">LS </v>
          </cell>
          <cell r="F438">
            <v>2032.42</v>
          </cell>
        </row>
        <row r="439">
          <cell r="B439" t="str">
            <v>APR 2016</v>
          </cell>
          <cell r="C439" t="str">
            <v>LGUM_432</v>
          </cell>
          <cell r="E439" t="str">
            <v>RLS</v>
          </cell>
          <cell r="F439">
            <v>378.26</v>
          </cell>
        </row>
        <row r="440">
          <cell r="B440" t="str">
            <v>APR 2016</v>
          </cell>
          <cell r="C440" t="str">
            <v>LGUM_433</v>
          </cell>
          <cell r="E440" t="str">
            <v xml:space="preserve">LS </v>
          </cell>
          <cell r="F440">
            <v>10083.469999999999</v>
          </cell>
        </row>
        <row r="441">
          <cell r="B441" t="str">
            <v>APR 2016</v>
          </cell>
          <cell r="C441" t="str">
            <v>LGUM_440</v>
          </cell>
          <cell r="E441" t="str">
            <v xml:space="preserve">LS </v>
          </cell>
          <cell r="F441">
            <v>470.06</v>
          </cell>
        </row>
        <row r="442">
          <cell r="B442" t="str">
            <v>APR 2016</v>
          </cell>
          <cell r="C442" t="str">
            <v>LGUM_441</v>
          </cell>
          <cell r="E442" t="str">
            <v xml:space="preserve">LS </v>
          </cell>
          <cell r="F442">
            <v>1092.1300000000001</v>
          </cell>
        </row>
        <row r="443">
          <cell r="B443" t="str">
            <v>APR 2016</v>
          </cell>
          <cell r="C443" t="str">
            <v>LGUM_444</v>
          </cell>
          <cell r="E443" t="str">
            <v xml:space="preserve">LS </v>
          </cell>
          <cell r="F443">
            <v>206.29</v>
          </cell>
        </row>
        <row r="444">
          <cell r="B444" t="str">
            <v>APR 2016</v>
          </cell>
          <cell r="C444" t="str">
            <v>LGUM_445</v>
          </cell>
          <cell r="E444" t="str">
            <v xml:space="preserve">LS </v>
          </cell>
          <cell r="F444">
            <v>474.55</v>
          </cell>
        </row>
        <row r="445">
          <cell r="B445" t="str">
            <v>APR 2016</v>
          </cell>
          <cell r="C445" t="str">
            <v>LGUM_452</v>
          </cell>
          <cell r="E445" t="str">
            <v xml:space="preserve">LS </v>
          </cell>
          <cell r="F445">
            <v>100830.56</v>
          </cell>
        </row>
        <row r="446">
          <cell r="B446" t="str">
            <v>APR 2016</v>
          </cell>
          <cell r="C446" t="str">
            <v>LGUM_453</v>
          </cell>
          <cell r="E446" t="str">
            <v xml:space="preserve">LS </v>
          </cell>
          <cell r="F446">
            <v>178368.84</v>
          </cell>
        </row>
        <row r="447">
          <cell r="B447" t="str">
            <v>APR 2016</v>
          </cell>
          <cell r="C447" t="str">
            <v>LGUM_454</v>
          </cell>
          <cell r="E447" t="str">
            <v xml:space="preserve">LS </v>
          </cell>
          <cell r="F447">
            <v>111140.08</v>
          </cell>
        </row>
        <row r="448">
          <cell r="B448" t="str">
            <v>APR 2016</v>
          </cell>
          <cell r="C448" t="str">
            <v>LGUM_455</v>
          </cell>
          <cell r="E448" t="str">
            <v xml:space="preserve">LS </v>
          </cell>
          <cell r="F448">
            <v>6500.51</v>
          </cell>
        </row>
        <row r="449">
          <cell r="B449" t="str">
            <v>APR 2016</v>
          </cell>
          <cell r="C449" t="str">
            <v>LGUM_456</v>
          </cell>
          <cell r="E449" t="str">
            <v xml:space="preserve">LS </v>
          </cell>
          <cell r="F449">
            <v>272560.42</v>
          </cell>
        </row>
        <row r="450">
          <cell r="B450" t="str">
            <v>APR 2016</v>
          </cell>
          <cell r="C450" t="str">
            <v>LGUM_457</v>
          </cell>
          <cell r="E450" t="str">
            <v xml:space="preserve">LS </v>
          </cell>
          <cell r="F450">
            <v>47023.85</v>
          </cell>
        </row>
        <row r="451">
          <cell r="B451" t="str">
            <v>APR 2016</v>
          </cell>
          <cell r="C451" t="str">
            <v>LGUM_470</v>
          </cell>
          <cell r="E451" t="str">
            <v xml:space="preserve">LS </v>
          </cell>
          <cell r="F451">
            <v>622.21</v>
          </cell>
        </row>
        <row r="452">
          <cell r="B452" t="str">
            <v>APR 2016</v>
          </cell>
          <cell r="C452" t="str">
            <v>LGUM_471</v>
          </cell>
          <cell r="E452" t="str">
            <v>RLS</v>
          </cell>
          <cell r="F452">
            <v>136.01</v>
          </cell>
        </row>
        <row r="453">
          <cell r="B453" t="str">
            <v>APR 2016</v>
          </cell>
          <cell r="C453" t="str">
            <v>LGUM_473</v>
          </cell>
          <cell r="E453" t="str">
            <v xml:space="preserve">LS </v>
          </cell>
          <cell r="F453">
            <v>15514.94</v>
          </cell>
        </row>
        <row r="454">
          <cell r="B454" t="str">
            <v>APR 2016</v>
          </cell>
          <cell r="C454" t="str">
            <v>LGUM_474</v>
          </cell>
          <cell r="E454" t="str">
            <v>RLS</v>
          </cell>
          <cell r="F454">
            <v>1128.32</v>
          </cell>
        </row>
        <row r="455">
          <cell r="B455" t="str">
            <v>APR 2016</v>
          </cell>
          <cell r="C455" t="str">
            <v>LGUM_475</v>
          </cell>
          <cell r="E455" t="str">
            <v>RLS</v>
          </cell>
          <cell r="F455">
            <v>62.6</v>
          </cell>
        </row>
        <row r="456">
          <cell r="B456" t="str">
            <v>APR 2016</v>
          </cell>
          <cell r="C456" t="str">
            <v>LGUM_476</v>
          </cell>
          <cell r="E456" t="str">
            <v xml:space="preserve">LS </v>
          </cell>
          <cell r="F456">
            <v>26159.49</v>
          </cell>
        </row>
        <row r="457">
          <cell r="B457" t="str">
            <v>APR 2016</v>
          </cell>
          <cell r="C457" t="str">
            <v>LGUM_477</v>
          </cell>
          <cell r="E457" t="str">
            <v>RLS</v>
          </cell>
          <cell r="F457">
            <v>3007.35</v>
          </cell>
        </row>
        <row r="458">
          <cell r="B458" t="str">
            <v>APR 2016</v>
          </cell>
          <cell r="C458" t="str">
            <v>LGUM_480</v>
          </cell>
          <cell r="E458" t="str">
            <v xml:space="preserve">LS </v>
          </cell>
          <cell r="F458">
            <v>525.49</v>
          </cell>
        </row>
        <row r="459">
          <cell r="B459" t="str">
            <v>APR 2016</v>
          </cell>
          <cell r="C459" t="str">
            <v>LGUM_481</v>
          </cell>
          <cell r="E459" t="str">
            <v xml:space="preserve">LS </v>
          </cell>
          <cell r="F459">
            <v>137.15</v>
          </cell>
        </row>
        <row r="460">
          <cell r="B460" t="str">
            <v>APR 2016</v>
          </cell>
          <cell r="C460" t="str">
            <v>LGUM_482</v>
          </cell>
          <cell r="E460" t="str">
            <v xml:space="preserve">LS </v>
          </cell>
          <cell r="F460">
            <v>3252.78</v>
          </cell>
        </row>
        <row r="461">
          <cell r="B461" t="str">
            <v>APR 2016</v>
          </cell>
          <cell r="C461" t="str">
            <v>LGUM_483</v>
          </cell>
          <cell r="E461" t="str">
            <v xml:space="preserve">LS </v>
          </cell>
          <cell r="F461">
            <v>237.04</v>
          </cell>
        </row>
        <row r="462">
          <cell r="B462" t="str">
            <v>APR 2016</v>
          </cell>
          <cell r="C462" t="str">
            <v>LGUM_484</v>
          </cell>
          <cell r="E462" t="str">
            <v xml:space="preserve">LS </v>
          </cell>
          <cell r="F462">
            <v>3637.76</v>
          </cell>
        </row>
        <row r="463">
          <cell r="B463" t="str">
            <v>MAY 2016</v>
          </cell>
          <cell r="C463" t="str">
            <v>LEUM_825</v>
          </cell>
          <cell r="E463" t="str">
            <v>EF</v>
          </cell>
          <cell r="F463">
            <v>48365.64</v>
          </cell>
        </row>
        <row r="464">
          <cell r="B464" t="str">
            <v>MAY 2016</v>
          </cell>
          <cell r="C464" t="str">
            <v>LEUM_826</v>
          </cell>
          <cell r="E464" t="str">
            <v>EF</v>
          </cell>
          <cell r="F464">
            <v>872.16</v>
          </cell>
        </row>
        <row r="465">
          <cell r="B465" t="str">
            <v>MAY 2016</v>
          </cell>
          <cell r="C465" t="str">
            <v>LEUM_828</v>
          </cell>
          <cell r="E465" t="str">
            <v>EF</v>
          </cell>
          <cell r="F465">
            <v>2776.91</v>
          </cell>
        </row>
        <row r="466">
          <cell r="B466" t="str">
            <v>MAY 2016</v>
          </cell>
          <cell r="C466" t="str">
            <v>LEUM_829</v>
          </cell>
          <cell r="E466" t="str">
            <v>EF</v>
          </cell>
          <cell r="F466">
            <v>5</v>
          </cell>
        </row>
        <row r="467">
          <cell r="B467" t="str">
            <v>MAY 2016</v>
          </cell>
          <cell r="C467" t="str">
            <v>LGCME000</v>
          </cell>
          <cell r="E467" t="str">
            <v>TS</v>
          </cell>
        </row>
        <row r="468">
          <cell r="B468" t="str">
            <v>MAY 2016</v>
          </cell>
          <cell r="C468" t="str">
            <v>LGCME451</v>
          </cell>
          <cell r="E468" t="str">
            <v>GSS</v>
          </cell>
          <cell r="F468">
            <v>677.07</v>
          </cell>
        </row>
        <row r="469">
          <cell r="B469" t="str">
            <v>MAY 2016</v>
          </cell>
          <cell r="C469" t="str">
            <v>LGCME551</v>
          </cell>
          <cell r="E469" t="str">
            <v>GSS</v>
          </cell>
          <cell r="F469">
            <v>3199912.6</v>
          </cell>
        </row>
        <row r="470">
          <cell r="B470" t="str">
            <v>MAY 2016</v>
          </cell>
          <cell r="C470" t="str">
            <v>LGCME551DS</v>
          </cell>
          <cell r="E470" t="str">
            <v>GSS</v>
          </cell>
          <cell r="F470">
            <v>221885.45</v>
          </cell>
        </row>
        <row r="471">
          <cell r="B471" t="str">
            <v>MAY 2016</v>
          </cell>
          <cell r="C471" t="str">
            <v>LGCME551UM</v>
          </cell>
          <cell r="E471" t="str">
            <v>GSS</v>
          </cell>
          <cell r="F471">
            <v>4195.16</v>
          </cell>
        </row>
        <row r="472">
          <cell r="B472" t="str">
            <v>MAY 2016</v>
          </cell>
          <cell r="C472" t="str">
            <v>LGCME552</v>
          </cell>
          <cell r="E472" t="str">
            <v>GSS</v>
          </cell>
          <cell r="F472">
            <v>6317.91</v>
          </cell>
        </row>
        <row r="473">
          <cell r="B473" t="str">
            <v>MAY 2016</v>
          </cell>
          <cell r="C473" t="str">
            <v>LGCME557</v>
          </cell>
          <cell r="E473" t="str">
            <v>GSS</v>
          </cell>
          <cell r="F473">
            <v>898.2</v>
          </cell>
        </row>
        <row r="474">
          <cell r="B474" t="str">
            <v>MAY 2016</v>
          </cell>
          <cell r="C474" t="str">
            <v>LGCME561</v>
          </cell>
          <cell r="E474" t="str">
            <v>PSS</v>
          </cell>
          <cell r="F474">
            <v>10299031.35</v>
          </cell>
        </row>
        <row r="475">
          <cell r="B475" t="str">
            <v>MAY 2016</v>
          </cell>
          <cell r="C475" t="str">
            <v>LGCME561DS</v>
          </cell>
          <cell r="E475" t="str">
            <v>PSS</v>
          </cell>
          <cell r="F475">
            <v>1953393.19</v>
          </cell>
        </row>
        <row r="476">
          <cell r="B476" t="str">
            <v>MAY 2016</v>
          </cell>
          <cell r="C476" t="str">
            <v>LGCME561PF</v>
          </cell>
          <cell r="E476" t="str">
            <v>PSS</v>
          </cell>
          <cell r="F476">
            <v>294649.36</v>
          </cell>
        </row>
        <row r="477">
          <cell r="B477" t="str">
            <v>MAY 2016</v>
          </cell>
          <cell r="C477" t="str">
            <v>LGCME563</v>
          </cell>
          <cell r="E477" t="str">
            <v>PSP</v>
          </cell>
          <cell r="F477">
            <v>629542.48</v>
          </cell>
        </row>
        <row r="478">
          <cell r="B478" t="str">
            <v>MAY 2016</v>
          </cell>
          <cell r="C478" t="str">
            <v>LGCME563DS</v>
          </cell>
          <cell r="E478" t="str">
            <v>PSP</v>
          </cell>
          <cell r="F478">
            <v>42682.58</v>
          </cell>
        </row>
        <row r="479">
          <cell r="B479" t="str">
            <v>MAY 2016</v>
          </cell>
          <cell r="C479" t="str">
            <v>LGCME563PF</v>
          </cell>
          <cell r="E479" t="str">
            <v>PSP</v>
          </cell>
          <cell r="F479">
            <v>57703.86</v>
          </cell>
        </row>
        <row r="480">
          <cell r="B480" t="str">
            <v>MAY 2016</v>
          </cell>
          <cell r="C480" t="str">
            <v>LGCME567</v>
          </cell>
          <cell r="E480" t="str">
            <v>PSS</v>
          </cell>
          <cell r="F480">
            <v>10619.34</v>
          </cell>
        </row>
        <row r="481">
          <cell r="B481" t="str">
            <v>MAY 2016</v>
          </cell>
          <cell r="C481" t="str">
            <v>LGCME567PF</v>
          </cell>
          <cell r="E481" t="str">
            <v>PSS</v>
          </cell>
          <cell r="F481">
            <v>9315.8799999999992</v>
          </cell>
        </row>
        <row r="482">
          <cell r="B482" t="str">
            <v>MAY 2016</v>
          </cell>
          <cell r="C482" t="str">
            <v>LGCME591</v>
          </cell>
          <cell r="E482" t="str">
            <v>TODS</v>
          </cell>
          <cell r="F482">
            <v>5100322.0999999996</v>
          </cell>
        </row>
        <row r="483">
          <cell r="B483" t="str">
            <v>MAY 2016</v>
          </cell>
          <cell r="C483" t="str">
            <v>LGCME593</v>
          </cell>
          <cell r="E483" t="str">
            <v>CTODP</v>
          </cell>
          <cell r="F483">
            <v>3416796.2</v>
          </cell>
        </row>
        <row r="484">
          <cell r="B484" t="str">
            <v>MAY 2016</v>
          </cell>
          <cell r="C484" t="str">
            <v>LGCME651</v>
          </cell>
          <cell r="E484" t="str">
            <v>GS3</v>
          </cell>
          <cell r="F484">
            <v>7019977.4900000002</v>
          </cell>
        </row>
        <row r="485">
          <cell r="B485" t="str">
            <v>MAY 2016</v>
          </cell>
          <cell r="C485" t="str">
            <v>LGCME651DS</v>
          </cell>
          <cell r="E485" t="str">
            <v>GS3</v>
          </cell>
          <cell r="F485">
            <v>359175.13</v>
          </cell>
        </row>
        <row r="486">
          <cell r="B486" t="str">
            <v>MAY 2016</v>
          </cell>
          <cell r="C486" t="str">
            <v>LGCME652</v>
          </cell>
          <cell r="E486" t="str">
            <v>GS3</v>
          </cell>
          <cell r="F486">
            <v>93239.71</v>
          </cell>
        </row>
        <row r="487">
          <cell r="B487" t="str">
            <v>MAY 2016</v>
          </cell>
          <cell r="C487" t="str">
            <v>LGCME657</v>
          </cell>
          <cell r="E487" t="str">
            <v>GS3</v>
          </cell>
          <cell r="F487">
            <v>17296.759999999998</v>
          </cell>
        </row>
        <row r="488">
          <cell r="B488" t="str">
            <v>MAY 2016</v>
          </cell>
          <cell r="C488" t="str">
            <v>LGCME671</v>
          </cell>
          <cell r="E488" t="str">
            <v>LWC</v>
          </cell>
          <cell r="F488">
            <v>273232.48</v>
          </cell>
        </row>
        <row r="489">
          <cell r="B489" t="str">
            <v>MAY 2016</v>
          </cell>
          <cell r="C489" t="str">
            <v>LGCSR790</v>
          </cell>
          <cell r="E489" t="str">
            <v>CSR</v>
          </cell>
          <cell r="F489">
            <v>-352906.3</v>
          </cell>
        </row>
        <row r="490">
          <cell r="B490" t="str">
            <v>MAY 2016</v>
          </cell>
          <cell r="C490" t="str">
            <v>LGINE599</v>
          </cell>
          <cell r="E490" t="str">
            <v>FK</v>
          </cell>
          <cell r="F490">
            <v>529474.37</v>
          </cell>
        </row>
        <row r="491">
          <cell r="B491" t="str">
            <v>MAY 2016</v>
          </cell>
          <cell r="C491" t="str">
            <v>LGINE643</v>
          </cell>
          <cell r="E491" t="str">
            <v>RTS</v>
          </cell>
          <cell r="F491">
            <v>5650425.8799999999</v>
          </cell>
        </row>
        <row r="492">
          <cell r="B492" t="str">
            <v>MAY 2016</v>
          </cell>
          <cell r="C492" t="str">
            <v>LGINE651DS</v>
          </cell>
          <cell r="E492" t="str">
            <v>GS3</v>
          </cell>
          <cell r="F492">
            <v>21451.23</v>
          </cell>
        </row>
        <row r="493">
          <cell r="B493" t="str">
            <v>MAY 2016</v>
          </cell>
          <cell r="C493" t="str">
            <v>LGINE661</v>
          </cell>
          <cell r="E493" t="str">
            <v>PSS</v>
          </cell>
          <cell r="F493">
            <v>1408039.62</v>
          </cell>
        </row>
        <row r="494">
          <cell r="B494" t="str">
            <v>MAY 2016</v>
          </cell>
          <cell r="C494" t="str">
            <v>LGINE661DS</v>
          </cell>
          <cell r="E494" t="str">
            <v>PSS</v>
          </cell>
          <cell r="F494">
            <v>37917.5</v>
          </cell>
        </row>
        <row r="495">
          <cell r="B495" t="str">
            <v>MAY 2016</v>
          </cell>
          <cell r="C495" t="str">
            <v>LGINE661PD</v>
          </cell>
          <cell r="E495" t="str">
            <v>PSS</v>
          </cell>
          <cell r="F495">
            <v>240794.53</v>
          </cell>
        </row>
        <row r="496">
          <cell r="B496" t="str">
            <v>MAY 2016</v>
          </cell>
          <cell r="C496" t="str">
            <v>LGINE663</v>
          </cell>
          <cell r="E496" t="str">
            <v>PSP</v>
          </cell>
          <cell r="F496">
            <v>62131.46</v>
          </cell>
        </row>
        <row r="497">
          <cell r="B497" t="str">
            <v>MAY 2016</v>
          </cell>
          <cell r="C497" t="str">
            <v>LGINE663PD</v>
          </cell>
          <cell r="E497" t="str">
            <v>PSP</v>
          </cell>
          <cell r="F497">
            <v>3655.87</v>
          </cell>
        </row>
        <row r="498">
          <cell r="B498" t="str">
            <v>MAY 2016</v>
          </cell>
          <cell r="C498" t="str">
            <v>LGINE691</v>
          </cell>
          <cell r="E498" t="str">
            <v>ITODS</v>
          </cell>
          <cell r="F498">
            <v>1895166.11</v>
          </cell>
        </row>
        <row r="499">
          <cell r="B499" t="str">
            <v>MAY 2016</v>
          </cell>
          <cell r="C499" t="str">
            <v>LGINE693</v>
          </cell>
          <cell r="E499" t="str">
            <v>ITODP</v>
          </cell>
          <cell r="F499">
            <v>6635375.29</v>
          </cell>
        </row>
        <row r="500">
          <cell r="B500" t="str">
            <v>MAY 2016</v>
          </cell>
          <cell r="C500" t="str">
            <v>LGMLE570</v>
          </cell>
          <cell r="E500" t="str">
            <v>LE</v>
          </cell>
          <cell r="F500">
            <v>13.66</v>
          </cell>
        </row>
        <row r="501">
          <cell r="B501" t="str">
            <v>MAY 2016</v>
          </cell>
          <cell r="C501" t="str">
            <v>LGMLE571</v>
          </cell>
          <cell r="E501" t="str">
            <v>LE</v>
          </cell>
          <cell r="F501">
            <v>11132.59</v>
          </cell>
        </row>
        <row r="502">
          <cell r="B502" t="str">
            <v>MAY 2016</v>
          </cell>
          <cell r="C502" t="str">
            <v>LGMLE572</v>
          </cell>
          <cell r="E502" t="str">
            <v>LE</v>
          </cell>
          <cell r="F502">
            <v>4992.97</v>
          </cell>
        </row>
        <row r="503">
          <cell r="B503" t="str">
            <v>MAY 2016</v>
          </cell>
          <cell r="C503" t="str">
            <v>LGMLE573</v>
          </cell>
          <cell r="E503" t="str">
            <v>TE</v>
          </cell>
          <cell r="F503">
            <v>18030.37</v>
          </cell>
        </row>
        <row r="504">
          <cell r="B504" t="str">
            <v>MAY 2016</v>
          </cell>
          <cell r="C504" t="str">
            <v>LGMLE574</v>
          </cell>
          <cell r="E504" t="str">
            <v>TE</v>
          </cell>
          <cell r="F504">
            <v>6023.33</v>
          </cell>
        </row>
        <row r="505">
          <cell r="B505" t="str">
            <v>MAY 2016</v>
          </cell>
          <cell r="C505" t="str">
            <v>LGRSE000</v>
          </cell>
          <cell r="E505" t="str">
            <v>TS</v>
          </cell>
        </row>
        <row r="506">
          <cell r="B506" t="str">
            <v>MAY 2016</v>
          </cell>
          <cell r="C506" t="str">
            <v>LGRSE411</v>
          </cell>
          <cell r="E506" t="str">
            <v>RS</v>
          </cell>
          <cell r="F506">
            <v>60525.45</v>
          </cell>
        </row>
        <row r="507">
          <cell r="B507" t="str">
            <v>MAY 2016</v>
          </cell>
          <cell r="C507" t="str">
            <v>LGRSE511</v>
          </cell>
          <cell r="E507" t="str">
            <v>RS</v>
          </cell>
          <cell r="F507">
            <v>26451108.920000002</v>
          </cell>
        </row>
        <row r="508">
          <cell r="B508" t="str">
            <v>MAY 2016</v>
          </cell>
          <cell r="C508" t="str">
            <v>LGRSE519</v>
          </cell>
          <cell r="E508" t="str">
            <v>RS</v>
          </cell>
          <cell r="F508">
            <v>10643.7</v>
          </cell>
        </row>
        <row r="509">
          <cell r="B509" t="str">
            <v>MAY 2016</v>
          </cell>
          <cell r="C509" t="str">
            <v>LGRSE521</v>
          </cell>
          <cell r="E509" t="str">
            <v>RTODE</v>
          </cell>
          <cell r="F509">
            <v>2712.91</v>
          </cell>
        </row>
        <row r="510">
          <cell r="B510" t="str">
            <v>MAY 2016</v>
          </cell>
          <cell r="C510" t="str">
            <v>LGRSE540</v>
          </cell>
          <cell r="E510" t="str">
            <v>VFD</v>
          </cell>
          <cell r="F510">
            <v>2469.5700000000002</v>
          </cell>
        </row>
        <row r="511">
          <cell r="B511" t="str">
            <v>MAY 2016</v>
          </cell>
          <cell r="C511" t="str">
            <v>LGUM_000</v>
          </cell>
          <cell r="E511" t="str">
            <v>TS</v>
          </cell>
        </row>
        <row r="512">
          <cell r="B512" t="str">
            <v>MAY 2016</v>
          </cell>
          <cell r="C512" t="str">
            <v>LGUM_201</v>
          </cell>
          <cell r="E512" t="str">
            <v>RLS</v>
          </cell>
          <cell r="F512">
            <v>689</v>
          </cell>
        </row>
        <row r="513">
          <cell r="B513" t="str">
            <v>MAY 2016</v>
          </cell>
          <cell r="C513" t="str">
            <v>LGUM_203</v>
          </cell>
          <cell r="E513" t="str">
            <v>RLS</v>
          </cell>
          <cell r="F513">
            <v>38892.71</v>
          </cell>
        </row>
        <row r="514">
          <cell r="B514" t="str">
            <v>MAY 2016</v>
          </cell>
          <cell r="C514" t="str">
            <v>LGUM_204</v>
          </cell>
          <cell r="E514" t="str">
            <v>RLS</v>
          </cell>
          <cell r="F514">
            <v>48911.28</v>
          </cell>
        </row>
        <row r="515">
          <cell r="B515" t="str">
            <v>MAY 2016</v>
          </cell>
          <cell r="C515" t="str">
            <v>LGUM_206</v>
          </cell>
          <cell r="E515" t="str">
            <v>RLS</v>
          </cell>
          <cell r="F515">
            <v>976.39</v>
          </cell>
        </row>
        <row r="516">
          <cell r="B516" t="str">
            <v>MAY 2016</v>
          </cell>
          <cell r="C516" t="str">
            <v>LGUM_207</v>
          </cell>
          <cell r="E516" t="str">
            <v>RLS</v>
          </cell>
          <cell r="F516">
            <v>11543.01</v>
          </cell>
        </row>
        <row r="517">
          <cell r="B517" t="str">
            <v>MAY 2016</v>
          </cell>
          <cell r="C517" t="str">
            <v>LGUM_208</v>
          </cell>
          <cell r="E517" t="str">
            <v>RLS</v>
          </cell>
          <cell r="F517">
            <v>20560.68</v>
          </cell>
        </row>
        <row r="518">
          <cell r="B518" t="str">
            <v>MAY 2016</v>
          </cell>
          <cell r="C518" t="str">
            <v>LGUM_209</v>
          </cell>
          <cell r="E518" t="str">
            <v>RLS</v>
          </cell>
          <cell r="F518">
            <v>906.57</v>
          </cell>
        </row>
        <row r="519">
          <cell r="B519" t="str">
            <v>MAY 2016</v>
          </cell>
          <cell r="C519" t="str">
            <v>LGUM_210</v>
          </cell>
          <cell r="E519" t="str">
            <v>RLS</v>
          </cell>
          <cell r="F519">
            <v>10641.05</v>
          </cell>
        </row>
        <row r="520">
          <cell r="B520" t="str">
            <v>MAY 2016</v>
          </cell>
          <cell r="C520" t="str">
            <v>LGUM_252</v>
          </cell>
          <cell r="E520" t="str">
            <v>RLS</v>
          </cell>
          <cell r="F520">
            <v>39696.65</v>
          </cell>
        </row>
        <row r="521">
          <cell r="B521" t="str">
            <v>MAY 2016</v>
          </cell>
          <cell r="C521" t="str">
            <v>LGUM_266</v>
          </cell>
          <cell r="E521" t="str">
            <v>RLS</v>
          </cell>
          <cell r="F521">
            <v>60930.12</v>
          </cell>
        </row>
        <row r="522">
          <cell r="B522" t="str">
            <v>MAY 2016</v>
          </cell>
          <cell r="C522" t="str">
            <v>LGUM_267</v>
          </cell>
          <cell r="E522" t="str">
            <v>RLS</v>
          </cell>
          <cell r="F522">
            <v>76619.19</v>
          </cell>
        </row>
        <row r="523">
          <cell r="B523" t="str">
            <v>MAY 2016</v>
          </cell>
          <cell r="C523" t="str">
            <v>LGUM_274</v>
          </cell>
          <cell r="E523" t="str">
            <v>RLS</v>
          </cell>
          <cell r="F523">
            <v>322018.7</v>
          </cell>
        </row>
        <row r="524">
          <cell r="B524" t="str">
            <v>MAY 2016</v>
          </cell>
          <cell r="C524" t="str">
            <v>LGUM_275</v>
          </cell>
          <cell r="E524" t="str">
            <v>RLS</v>
          </cell>
          <cell r="F524">
            <v>13131.42</v>
          </cell>
        </row>
        <row r="525">
          <cell r="B525" t="str">
            <v>MAY 2016</v>
          </cell>
          <cell r="C525" t="str">
            <v>LGUM_276</v>
          </cell>
          <cell r="E525" t="str">
            <v>RLS</v>
          </cell>
          <cell r="F525">
            <v>21669.279999999999</v>
          </cell>
        </row>
        <row r="526">
          <cell r="B526" t="str">
            <v>MAY 2016</v>
          </cell>
          <cell r="C526" t="str">
            <v>LGUM_277</v>
          </cell>
          <cell r="E526" t="str">
            <v>RLS</v>
          </cell>
          <cell r="F526">
            <v>56027.35</v>
          </cell>
        </row>
        <row r="527">
          <cell r="B527" t="str">
            <v>MAY 2016</v>
          </cell>
          <cell r="C527" t="str">
            <v>LGUM_278</v>
          </cell>
          <cell r="E527" t="str">
            <v>RLS</v>
          </cell>
          <cell r="F527">
            <v>944.78</v>
          </cell>
        </row>
        <row r="528">
          <cell r="B528" t="str">
            <v>MAY 2016</v>
          </cell>
          <cell r="C528" t="str">
            <v>LGUM_279</v>
          </cell>
          <cell r="E528" t="str">
            <v>RLS</v>
          </cell>
          <cell r="F528">
            <v>369.84</v>
          </cell>
        </row>
        <row r="529">
          <cell r="B529" t="str">
            <v>MAY 2016</v>
          </cell>
          <cell r="C529" t="str">
            <v>LGUM_280</v>
          </cell>
          <cell r="E529" t="str">
            <v>RLS</v>
          </cell>
          <cell r="F529">
            <v>1744.01</v>
          </cell>
        </row>
        <row r="530">
          <cell r="B530" t="str">
            <v>MAY 2016</v>
          </cell>
          <cell r="C530" t="str">
            <v>LGUM_281</v>
          </cell>
          <cell r="E530" t="str">
            <v>RLS</v>
          </cell>
          <cell r="F530">
            <v>9396.6200000000008</v>
          </cell>
        </row>
        <row r="531">
          <cell r="B531" t="str">
            <v>MAY 2016</v>
          </cell>
          <cell r="C531" t="str">
            <v>LGUM_282</v>
          </cell>
          <cell r="E531" t="str">
            <v>RLS</v>
          </cell>
          <cell r="F531">
            <v>3299.91</v>
          </cell>
        </row>
        <row r="532">
          <cell r="B532" t="str">
            <v>MAY 2016</v>
          </cell>
          <cell r="C532" t="str">
            <v>LGUM_283</v>
          </cell>
          <cell r="E532" t="str">
            <v>RLS</v>
          </cell>
          <cell r="F532">
            <v>3614.32</v>
          </cell>
        </row>
        <row r="533">
          <cell r="B533" t="str">
            <v>MAY 2016</v>
          </cell>
          <cell r="C533" t="str">
            <v>LGUM_314</v>
          </cell>
          <cell r="E533" t="str">
            <v>RLS</v>
          </cell>
          <cell r="F533">
            <v>9306.56</v>
          </cell>
        </row>
        <row r="534">
          <cell r="B534" t="str">
            <v>MAY 2016</v>
          </cell>
          <cell r="C534" t="str">
            <v>LGUM_315</v>
          </cell>
          <cell r="E534" t="str">
            <v>RLS</v>
          </cell>
          <cell r="F534">
            <v>11154.51</v>
          </cell>
        </row>
        <row r="535">
          <cell r="B535" t="str">
            <v>MAY 2016</v>
          </cell>
          <cell r="C535" t="str">
            <v>LGUM_318</v>
          </cell>
          <cell r="E535" t="str">
            <v>RLS</v>
          </cell>
          <cell r="F535">
            <v>899.3</v>
          </cell>
        </row>
        <row r="536">
          <cell r="B536" t="str">
            <v>MAY 2016</v>
          </cell>
          <cell r="C536" t="str">
            <v>LGUM_348</v>
          </cell>
          <cell r="E536" t="str">
            <v>RLS</v>
          </cell>
          <cell r="F536">
            <v>558.79999999999995</v>
          </cell>
        </row>
        <row r="537">
          <cell r="B537" t="str">
            <v>MAY 2016</v>
          </cell>
          <cell r="C537" t="str">
            <v>LGUM_349</v>
          </cell>
          <cell r="E537" t="str">
            <v>RLS</v>
          </cell>
          <cell r="F537">
            <v>168.62</v>
          </cell>
        </row>
        <row r="538">
          <cell r="B538" t="str">
            <v>MAY 2016</v>
          </cell>
          <cell r="C538" t="str">
            <v>LGUM_400</v>
          </cell>
          <cell r="E538" t="str">
            <v xml:space="preserve">LS </v>
          </cell>
          <cell r="F538">
            <v>1635.67</v>
          </cell>
        </row>
        <row r="539">
          <cell r="B539" t="str">
            <v>MAY 2016</v>
          </cell>
          <cell r="C539" t="str">
            <v>LGUM_401</v>
          </cell>
          <cell r="E539" t="str">
            <v xml:space="preserve">LS </v>
          </cell>
          <cell r="F539">
            <v>647.48</v>
          </cell>
        </row>
        <row r="540">
          <cell r="B540" t="str">
            <v>MAY 2016</v>
          </cell>
          <cell r="C540" t="str">
            <v>LGUM_412</v>
          </cell>
          <cell r="E540" t="str">
            <v xml:space="preserve">LS </v>
          </cell>
          <cell r="F540">
            <v>4819.3</v>
          </cell>
        </row>
        <row r="541">
          <cell r="B541" t="str">
            <v>MAY 2016</v>
          </cell>
          <cell r="C541" t="str">
            <v>LGUM_413</v>
          </cell>
          <cell r="E541" t="str">
            <v xml:space="preserve">LS </v>
          </cell>
          <cell r="F541">
            <v>59451.33</v>
          </cell>
        </row>
        <row r="542">
          <cell r="B542" t="str">
            <v>MAY 2016</v>
          </cell>
          <cell r="C542" t="str">
            <v>LGUM_415</v>
          </cell>
          <cell r="E542" t="str">
            <v xml:space="preserve">LS </v>
          </cell>
          <cell r="F542">
            <v>1037.74</v>
          </cell>
        </row>
        <row r="543">
          <cell r="B543" t="str">
            <v>MAY 2016</v>
          </cell>
          <cell r="C543" t="str">
            <v>LGUM_416</v>
          </cell>
          <cell r="E543" t="str">
            <v xml:space="preserve">LS </v>
          </cell>
          <cell r="F543">
            <v>49360.34</v>
          </cell>
        </row>
        <row r="544">
          <cell r="B544" t="str">
            <v>MAY 2016</v>
          </cell>
          <cell r="C544" t="str">
            <v>LGUM_417</v>
          </cell>
          <cell r="E544" t="str">
            <v>RLS</v>
          </cell>
          <cell r="F544">
            <v>1261.83</v>
          </cell>
        </row>
        <row r="545">
          <cell r="B545" t="str">
            <v>MAY 2016</v>
          </cell>
          <cell r="C545" t="str">
            <v>LGUM_419</v>
          </cell>
          <cell r="E545" t="str">
            <v>RLS</v>
          </cell>
          <cell r="F545">
            <v>3250.31</v>
          </cell>
        </row>
        <row r="546">
          <cell r="B546" t="str">
            <v>MAY 2016</v>
          </cell>
          <cell r="C546" t="str">
            <v>LGUM_420</v>
          </cell>
          <cell r="E546" t="str">
            <v xml:space="preserve">LS </v>
          </cell>
          <cell r="F546">
            <v>1990.49</v>
          </cell>
        </row>
        <row r="547">
          <cell r="B547" t="str">
            <v>MAY 2016</v>
          </cell>
          <cell r="C547" t="str">
            <v>LGUM_421</v>
          </cell>
          <cell r="E547" t="str">
            <v xml:space="preserve">LS </v>
          </cell>
          <cell r="F547">
            <v>7576.53</v>
          </cell>
        </row>
        <row r="548">
          <cell r="B548" t="str">
            <v>MAY 2016</v>
          </cell>
          <cell r="C548" t="str">
            <v>LGUM_422</v>
          </cell>
          <cell r="E548" t="str">
            <v xml:space="preserve">LS </v>
          </cell>
          <cell r="F548">
            <v>18170.91</v>
          </cell>
        </row>
        <row r="549">
          <cell r="B549" t="str">
            <v>MAY 2016</v>
          </cell>
          <cell r="C549" t="str">
            <v>LGUM_423</v>
          </cell>
          <cell r="E549" t="str">
            <v xml:space="preserve">LS </v>
          </cell>
          <cell r="F549">
            <v>596.04999999999995</v>
          </cell>
        </row>
        <row r="550">
          <cell r="B550" t="str">
            <v>MAY 2016</v>
          </cell>
          <cell r="C550" t="str">
            <v>LGUM_424</v>
          </cell>
          <cell r="E550" t="str">
            <v xml:space="preserve">LS </v>
          </cell>
          <cell r="F550">
            <v>18833.91</v>
          </cell>
        </row>
        <row r="551">
          <cell r="B551" t="str">
            <v>MAY 2016</v>
          </cell>
          <cell r="C551" t="str">
            <v>LGUM_425</v>
          </cell>
          <cell r="E551" t="str">
            <v xml:space="preserve">LS </v>
          </cell>
          <cell r="F551">
            <v>1169.21</v>
          </cell>
        </row>
        <row r="552">
          <cell r="B552" t="str">
            <v>MAY 2016</v>
          </cell>
          <cell r="C552" t="str">
            <v>LGUM_426</v>
          </cell>
          <cell r="E552" t="str">
            <v>RLS</v>
          </cell>
          <cell r="F552">
            <v>1213.8499999999999</v>
          </cell>
        </row>
        <row r="553">
          <cell r="B553" t="str">
            <v>MAY 2016</v>
          </cell>
          <cell r="C553" t="str">
            <v>LGUM_427</v>
          </cell>
          <cell r="E553" t="str">
            <v xml:space="preserve">LS </v>
          </cell>
          <cell r="F553">
            <v>2096.3200000000002</v>
          </cell>
        </row>
        <row r="554">
          <cell r="B554" t="str">
            <v>MAY 2016</v>
          </cell>
          <cell r="C554" t="str">
            <v>LGUM_428</v>
          </cell>
          <cell r="E554" t="str">
            <v>RLS</v>
          </cell>
          <cell r="F554">
            <v>11175.69</v>
          </cell>
        </row>
        <row r="555">
          <cell r="B555" t="str">
            <v>MAY 2016</v>
          </cell>
          <cell r="C555" t="str">
            <v>LGUM_429</v>
          </cell>
          <cell r="E555" t="str">
            <v xml:space="preserve">LS </v>
          </cell>
          <cell r="F555">
            <v>10842.97</v>
          </cell>
        </row>
        <row r="556">
          <cell r="B556" t="str">
            <v>MAY 2016</v>
          </cell>
          <cell r="C556" t="str">
            <v>LGUM_430</v>
          </cell>
          <cell r="E556" t="str">
            <v>RLS</v>
          </cell>
          <cell r="F556">
            <v>451.13</v>
          </cell>
        </row>
        <row r="557">
          <cell r="B557" t="str">
            <v>MAY 2016</v>
          </cell>
          <cell r="C557" t="str">
            <v>LGUM_431</v>
          </cell>
          <cell r="E557" t="str">
            <v xml:space="preserve">LS </v>
          </cell>
          <cell r="F557">
            <v>2001.94</v>
          </cell>
        </row>
        <row r="558">
          <cell r="B558" t="str">
            <v>MAY 2016</v>
          </cell>
          <cell r="C558" t="str">
            <v>LGUM_432</v>
          </cell>
          <cell r="E558" t="str">
            <v>RLS</v>
          </cell>
          <cell r="F558">
            <v>372.38</v>
          </cell>
        </row>
        <row r="559">
          <cell r="B559" t="str">
            <v>MAY 2016</v>
          </cell>
          <cell r="C559" t="str">
            <v>LGUM_433</v>
          </cell>
          <cell r="E559" t="str">
            <v xml:space="preserve">LS </v>
          </cell>
          <cell r="F559">
            <v>9924.82</v>
          </cell>
        </row>
        <row r="560">
          <cell r="B560" t="str">
            <v>MAY 2016</v>
          </cell>
          <cell r="C560" t="str">
            <v>LGUM_440</v>
          </cell>
          <cell r="E560" t="str">
            <v xml:space="preserve">LS </v>
          </cell>
          <cell r="F560">
            <v>460.12</v>
          </cell>
        </row>
        <row r="561">
          <cell r="B561" t="str">
            <v>MAY 2016</v>
          </cell>
          <cell r="C561" t="str">
            <v>LGUM_441</v>
          </cell>
          <cell r="E561" t="str">
            <v xml:space="preserve">LS </v>
          </cell>
          <cell r="F561">
            <v>1260.49</v>
          </cell>
        </row>
        <row r="562">
          <cell r="B562" t="str">
            <v>MAY 2016</v>
          </cell>
          <cell r="C562" t="str">
            <v>LGUM_444</v>
          </cell>
          <cell r="E562" t="str">
            <v xml:space="preserve">LS </v>
          </cell>
          <cell r="F562">
            <v>215.75</v>
          </cell>
        </row>
        <row r="563">
          <cell r="B563" t="str">
            <v>MAY 2016</v>
          </cell>
          <cell r="C563" t="str">
            <v>LGUM_445</v>
          </cell>
          <cell r="E563" t="str">
            <v xml:space="preserve">LS </v>
          </cell>
          <cell r="F563">
            <v>465.99</v>
          </cell>
        </row>
        <row r="564">
          <cell r="B564" t="str">
            <v>MAY 2016</v>
          </cell>
          <cell r="C564" t="str">
            <v>LGUM_452</v>
          </cell>
          <cell r="E564" t="str">
            <v xml:space="preserve">LS </v>
          </cell>
          <cell r="F564">
            <v>98733.02</v>
          </cell>
        </row>
        <row r="565">
          <cell r="B565" t="str">
            <v>MAY 2016</v>
          </cell>
          <cell r="C565" t="str">
            <v>LGUM_453</v>
          </cell>
          <cell r="E565" t="str">
            <v xml:space="preserve">LS </v>
          </cell>
          <cell r="F565">
            <v>174670.77</v>
          </cell>
        </row>
        <row r="566">
          <cell r="B566" t="str">
            <v>MAY 2016</v>
          </cell>
          <cell r="C566" t="str">
            <v>LGUM_454</v>
          </cell>
          <cell r="E566" t="str">
            <v xml:space="preserve">LS </v>
          </cell>
          <cell r="F566">
            <v>108370.64</v>
          </cell>
        </row>
        <row r="567">
          <cell r="B567" t="str">
            <v>MAY 2016</v>
          </cell>
          <cell r="C567" t="str">
            <v>LGUM_455</v>
          </cell>
          <cell r="E567" t="str">
            <v xml:space="preserve">LS </v>
          </cell>
          <cell r="F567">
            <v>6449.86</v>
          </cell>
        </row>
        <row r="568">
          <cell r="B568" t="str">
            <v>MAY 2016</v>
          </cell>
          <cell r="C568" t="str">
            <v>LGUM_456</v>
          </cell>
          <cell r="E568" t="str">
            <v xml:space="preserve">LS </v>
          </cell>
          <cell r="F568">
            <v>264686</v>
          </cell>
        </row>
        <row r="569">
          <cell r="B569" t="str">
            <v>MAY 2016</v>
          </cell>
          <cell r="C569" t="str">
            <v>LGUM_457</v>
          </cell>
          <cell r="E569" t="str">
            <v xml:space="preserve">LS </v>
          </cell>
          <cell r="F569">
            <v>46028.59</v>
          </cell>
        </row>
        <row r="570">
          <cell r="B570" t="str">
            <v>MAY 2016</v>
          </cell>
          <cell r="C570" t="str">
            <v>LGUM_470</v>
          </cell>
          <cell r="E570" t="str">
            <v xml:space="preserve">LS </v>
          </cell>
          <cell r="F570">
            <v>662.99</v>
          </cell>
        </row>
        <row r="571">
          <cell r="B571" t="str">
            <v>MAY 2016</v>
          </cell>
          <cell r="C571" t="str">
            <v>LGUM_471</v>
          </cell>
          <cell r="E571" t="str">
            <v>RLS</v>
          </cell>
          <cell r="F571">
            <v>133.47999999999999</v>
          </cell>
        </row>
        <row r="572">
          <cell r="B572" t="str">
            <v>MAY 2016</v>
          </cell>
          <cell r="C572" t="str">
            <v>LGUM_473</v>
          </cell>
          <cell r="E572" t="str">
            <v xml:space="preserve">LS </v>
          </cell>
          <cell r="F572">
            <v>15372.11</v>
          </cell>
        </row>
        <row r="573">
          <cell r="B573" t="str">
            <v>MAY 2016</v>
          </cell>
          <cell r="C573" t="str">
            <v>LGUM_474</v>
          </cell>
          <cell r="E573" t="str">
            <v>RLS</v>
          </cell>
          <cell r="F573">
            <v>1120.0899999999999</v>
          </cell>
        </row>
        <row r="574">
          <cell r="B574" t="str">
            <v>MAY 2016</v>
          </cell>
          <cell r="C574" t="str">
            <v>LGUM_475</v>
          </cell>
          <cell r="E574" t="str">
            <v>RLS</v>
          </cell>
          <cell r="F574">
            <v>61.32</v>
          </cell>
        </row>
        <row r="575">
          <cell r="B575" t="str">
            <v>MAY 2016</v>
          </cell>
          <cell r="C575" t="str">
            <v>LGUM_476</v>
          </cell>
          <cell r="E575" t="str">
            <v xml:space="preserve">LS </v>
          </cell>
          <cell r="F575">
            <v>24415.61</v>
          </cell>
        </row>
        <row r="576">
          <cell r="B576" t="str">
            <v>MAY 2016</v>
          </cell>
          <cell r="C576" t="str">
            <v>LGUM_477</v>
          </cell>
          <cell r="E576" t="str">
            <v>RLS</v>
          </cell>
          <cell r="F576">
            <v>2818.78</v>
          </cell>
        </row>
        <row r="577">
          <cell r="B577" t="str">
            <v>MAY 2016</v>
          </cell>
          <cell r="C577" t="str">
            <v>LGUM_480</v>
          </cell>
          <cell r="E577" t="str">
            <v xml:space="preserve">LS </v>
          </cell>
          <cell r="F577">
            <v>516.44000000000005</v>
          </cell>
        </row>
        <row r="578">
          <cell r="B578" t="str">
            <v>MAY 2016</v>
          </cell>
          <cell r="C578" t="str">
            <v>LGUM_481</v>
          </cell>
          <cell r="E578" t="str">
            <v xml:space="preserve">LS </v>
          </cell>
          <cell r="F578">
            <v>134.13999999999999</v>
          </cell>
        </row>
        <row r="579">
          <cell r="B579" t="str">
            <v>MAY 2016</v>
          </cell>
          <cell r="C579" t="str">
            <v>LGUM_482</v>
          </cell>
          <cell r="E579" t="str">
            <v xml:space="preserve">LS </v>
          </cell>
          <cell r="F579">
            <v>3189.41</v>
          </cell>
        </row>
        <row r="580">
          <cell r="B580" t="str">
            <v>MAY 2016</v>
          </cell>
          <cell r="C580" t="str">
            <v>LGUM_483</v>
          </cell>
          <cell r="E580" t="str">
            <v xml:space="preserve">LS </v>
          </cell>
          <cell r="F580">
            <v>230.83</v>
          </cell>
        </row>
        <row r="581">
          <cell r="B581" t="str">
            <v>MAY 2016</v>
          </cell>
          <cell r="C581" t="str">
            <v>LGUM_484</v>
          </cell>
          <cell r="E581" t="str">
            <v xml:space="preserve">LS </v>
          </cell>
          <cell r="F581">
            <v>3720.16</v>
          </cell>
        </row>
        <row r="582">
          <cell r="B582" t="str">
            <v>JUN 2016</v>
          </cell>
          <cell r="C582" t="str">
            <v>LEUM_825</v>
          </cell>
          <cell r="E582" t="str">
            <v>EF</v>
          </cell>
          <cell r="F582">
            <v>48365.64</v>
          </cell>
        </row>
        <row r="583">
          <cell r="B583" t="str">
            <v>JUN 2016</v>
          </cell>
          <cell r="C583" t="str">
            <v>LEUM_826</v>
          </cell>
          <cell r="E583" t="str">
            <v>EF</v>
          </cell>
          <cell r="F583">
            <v>872.16</v>
          </cell>
        </row>
        <row r="584">
          <cell r="B584" t="str">
            <v>JUN 2016</v>
          </cell>
          <cell r="C584" t="str">
            <v>LEUM_828</v>
          </cell>
          <cell r="E584" t="str">
            <v>EF</v>
          </cell>
          <cell r="F584">
            <v>2810.46</v>
          </cell>
        </row>
        <row r="585">
          <cell r="B585" t="str">
            <v>JUN 2016</v>
          </cell>
          <cell r="C585" t="str">
            <v>LEUM_829</v>
          </cell>
          <cell r="E585" t="str">
            <v>EF</v>
          </cell>
          <cell r="F585">
            <v>5</v>
          </cell>
        </row>
        <row r="586">
          <cell r="B586" t="str">
            <v>JUN 2016</v>
          </cell>
          <cell r="C586" t="str">
            <v>LGCME000</v>
          </cell>
          <cell r="E586" t="str">
            <v>TS</v>
          </cell>
        </row>
        <row r="587">
          <cell r="B587" t="str">
            <v>JUN 2016</v>
          </cell>
          <cell r="C587" t="str">
            <v>LGCME451</v>
          </cell>
          <cell r="E587" t="str">
            <v>GSS</v>
          </cell>
          <cell r="F587">
            <v>862.02</v>
          </cell>
        </row>
        <row r="588">
          <cell r="B588" t="str">
            <v>JUN 2016</v>
          </cell>
          <cell r="C588" t="str">
            <v>LGCME551</v>
          </cell>
          <cell r="E588" t="str">
            <v>GSS</v>
          </cell>
          <cell r="F588">
            <v>-8361.86</v>
          </cell>
        </row>
        <row r="589">
          <cell r="B589" t="str">
            <v>JUN 2016</v>
          </cell>
          <cell r="C589" t="str">
            <v>LGCME551DS</v>
          </cell>
          <cell r="E589" t="str">
            <v>GSS</v>
          </cell>
          <cell r="F589">
            <v>4044078.17</v>
          </cell>
        </row>
        <row r="590">
          <cell r="B590" t="str">
            <v>JUN 2016</v>
          </cell>
          <cell r="C590" t="str">
            <v>LGCME551UM</v>
          </cell>
          <cell r="E590" t="str">
            <v>GSS</v>
          </cell>
          <cell r="F590">
            <v>4087.33</v>
          </cell>
        </row>
        <row r="591">
          <cell r="B591" t="str">
            <v>JUN 2016</v>
          </cell>
          <cell r="C591" t="str">
            <v>LGCME552</v>
          </cell>
          <cell r="E591" t="str">
            <v>GSS</v>
          </cell>
          <cell r="F591">
            <v>9759.75</v>
          </cell>
        </row>
        <row r="592">
          <cell r="B592" t="str">
            <v>JUN 2016</v>
          </cell>
          <cell r="C592" t="str">
            <v>LGCME557</v>
          </cell>
          <cell r="E592" t="str">
            <v>GSS</v>
          </cell>
          <cell r="F592">
            <v>1080.82</v>
          </cell>
        </row>
        <row r="593">
          <cell r="B593" t="str">
            <v>JUN 2016</v>
          </cell>
          <cell r="C593" t="str">
            <v>LGCME561</v>
          </cell>
          <cell r="E593" t="str">
            <v>PSS</v>
          </cell>
          <cell r="F593">
            <v>22287.75</v>
          </cell>
        </row>
        <row r="594">
          <cell r="B594" t="str">
            <v>JUN 2016</v>
          </cell>
          <cell r="C594" t="str">
            <v>LGCME561DS</v>
          </cell>
          <cell r="E594" t="str">
            <v>PSS</v>
          </cell>
          <cell r="F594">
            <v>11921640.289999999</v>
          </cell>
        </row>
        <row r="595">
          <cell r="B595" t="str">
            <v>JUN 2016</v>
          </cell>
          <cell r="C595" t="str">
            <v>LGCME561PF</v>
          </cell>
          <cell r="E595" t="str">
            <v>PSS</v>
          </cell>
          <cell r="F595">
            <v>1784680.55</v>
          </cell>
        </row>
        <row r="596">
          <cell r="B596" t="str">
            <v>JUN 2016</v>
          </cell>
          <cell r="C596" t="str">
            <v>LGCME563DS</v>
          </cell>
          <cell r="E596" t="str">
            <v>PSP</v>
          </cell>
          <cell r="F596">
            <v>657752.71</v>
          </cell>
        </row>
        <row r="597">
          <cell r="B597" t="str">
            <v>JUN 2016</v>
          </cell>
          <cell r="C597" t="str">
            <v>LGCME563PF</v>
          </cell>
          <cell r="E597" t="str">
            <v>PSP</v>
          </cell>
          <cell r="F597">
            <v>332661.40000000002</v>
          </cell>
        </row>
        <row r="598">
          <cell r="B598" t="str">
            <v>JUN 2016</v>
          </cell>
          <cell r="C598" t="str">
            <v>LGCME567</v>
          </cell>
          <cell r="E598" t="str">
            <v>PSS</v>
          </cell>
          <cell r="F598">
            <v>10998.26</v>
          </cell>
        </row>
        <row r="599">
          <cell r="B599" t="str">
            <v>JUN 2016</v>
          </cell>
          <cell r="C599" t="str">
            <v>LGCME567PF</v>
          </cell>
          <cell r="E599" t="str">
            <v>PSS</v>
          </cell>
          <cell r="F599">
            <v>9920.11</v>
          </cell>
        </row>
        <row r="600">
          <cell r="B600" t="str">
            <v>JUN 2016</v>
          </cell>
          <cell r="C600" t="str">
            <v>LGCME591</v>
          </cell>
          <cell r="E600" t="str">
            <v>TODS</v>
          </cell>
          <cell r="F600">
            <v>5614878.9500000002</v>
          </cell>
        </row>
        <row r="601">
          <cell r="B601" t="str">
            <v>JUN 2016</v>
          </cell>
          <cell r="C601" t="str">
            <v>LGCME593</v>
          </cell>
          <cell r="E601" t="str">
            <v>CTODP</v>
          </cell>
          <cell r="F601">
            <v>4025913.88</v>
          </cell>
        </row>
        <row r="602">
          <cell r="B602" t="str">
            <v>JUN 2016</v>
          </cell>
          <cell r="C602" t="str">
            <v>LGCME651</v>
          </cell>
          <cell r="E602" t="str">
            <v>GS3</v>
          </cell>
          <cell r="F602">
            <v>-62986.38</v>
          </cell>
        </row>
        <row r="603">
          <cell r="B603" t="str">
            <v>JUN 2016</v>
          </cell>
          <cell r="C603" t="str">
            <v>LGCME651DS</v>
          </cell>
          <cell r="E603" t="str">
            <v>GS3</v>
          </cell>
          <cell r="F603">
            <v>8818133.9100000001</v>
          </cell>
        </row>
        <row r="604">
          <cell r="B604" t="str">
            <v>JUN 2016</v>
          </cell>
          <cell r="C604" t="str">
            <v>LGCME652</v>
          </cell>
          <cell r="E604" t="str">
            <v>GS3</v>
          </cell>
          <cell r="F604">
            <v>158133.81</v>
          </cell>
        </row>
        <row r="605">
          <cell r="B605" t="str">
            <v>JUN 2016</v>
          </cell>
          <cell r="C605" t="str">
            <v>LGCME657</v>
          </cell>
          <cell r="E605" t="str">
            <v>GS3</v>
          </cell>
          <cell r="F605">
            <v>20480.3</v>
          </cell>
        </row>
        <row r="606">
          <cell r="B606" t="str">
            <v>JUN 2016</v>
          </cell>
          <cell r="C606" t="str">
            <v>LGCME671</v>
          </cell>
          <cell r="E606" t="str">
            <v>LWC</v>
          </cell>
          <cell r="F606">
            <v>288108.28000000003</v>
          </cell>
        </row>
        <row r="607">
          <cell r="B607" t="str">
            <v>JUN 2016</v>
          </cell>
          <cell r="C607" t="str">
            <v>LGCSR790</v>
          </cell>
          <cell r="E607" t="str">
            <v>CSR</v>
          </cell>
          <cell r="F607">
            <v>-330704.7</v>
          </cell>
        </row>
        <row r="608">
          <cell r="B608" t="str">
            <v>JUN 2016</v>
          </cell>
          <cell r="C608" t="str">
            <v>LGINE551DS</v>
          </cell>
          <cell r="E608" t="str">
            <v>GSS</v>
          </cell>
          <cell r="F608">
            <v>17808.41</v>
          </cell>
        </row>
        <row r="609">
          <cell r="B609" t="str">
            <v>JUN 2016</v>
          </cell>
          <cell r="C609" t="str">
            <v>LGINE599</v>
          </cell>
          <cell r="E609" t="str">
            <v>FK</v>
          </cell>
          <cell r="F609">
            <v>506316.48</v>
          </cell>
        </row>
        <row r="610">
          <cell r="B610" t="str">
            <v>JUN 2016</v>
          </cell>
          <cell r="C610" t="str">
            <v>LGINE643</v>
          </cell>
          <cell r="E610" t="str">
            <v>RTS</v>
          </cell>
          <cell r="F610">
            <v>5444993.8499999996</v>
          </cell>
        </row>
        <row r="611">
          <cell r="B611" t="str">
            <v>JUN 2016</v>
          </cell>
          <cell r="C611" t="str">
            <v>LGINE651DS</v>
          </cell>
          <cell r="E611" t="str">
            <v>GS3</v>
          </cell>
          <cell r="F611">
            <v>318116.71000000002</v>
          </cell>
        </row>
        <row r="612">
          <cell r="B612" t="str">
            <v>JUN 2016</v>
          </cell>
          <cell r="C612" t="str">
            <v>LGINE661</v>
          </cell>
          <cell r="E612" t="str">
            <v>PSS</v>
          </cell>
          <cell r="F612">
            <v>1678.18</v>
          </cell>
        </row>
        <row r="613">
          <cell r="B613" t="str">
            <v>JUN 2016</v>
          </cell>
          <cell r="C613" t="str">
            <v>LGINE661DS</v>
          </cell>
          <cell r="E613" t="str">
            <v>PSS</v>
          </cell>
          <cell r="F613">
            <v>168740.39</v>
          </cell>
        </row>
        <row r="614">
          <cell r="B614" t="str">
            <v>JUN 2016</v>
          </cell>
          <cell r="C614" t="str">
            <v>LGINE661PD</v>
          </cell>
          <cell r="E614" t="str">
            <v>PSS</v>
          </cell>
          <cell r="F614">
            <v>1602567.58</v>
          </cell>
        </row>
        <row r="615">
          <cell r="B615" t="str">
            <v>JUN 2016</v>
          </cell>
          <cell r="C615" t="str">
            <v>LGINE663PD</v>
          </cell>
          <cell r="E615" t="str">
            <v>PSP</v>
          </cell>
          <cell r="F615">
            <v>50045.26</v>
          </cell>
        </row>
        <row r="616">
          <cell r="B616" t="str">
            <v>JUN 2016</v>
          </cell>
          <cell r="C616" t="str">
            <v>LGINE691</v>
          </cell>
          <cell r="E616" t="str">
            <v>ITODS</v>
          </cell>
          <cell r="F616">
            <v>1973212.39</v>
          </cell>
        </row>
        <row r="617">
          <cell r="B617" t="str">
            <v>JUN 2016</v>
          </cell>
          <cell r="C617" t="str">
            <v>LGINE693</v>
          </cell>
          <cell r="E617" t="str">
            <v>ITODP</v>
          </cell>
          <cell r="F617">
            <v>6028518.2599999998</v>
          </cell>
        </row>
        <row r="618">
          <cell r="B618" t="str">
            <v>JUN 2016</v>
          </cell>
          <cell r="C618" t="str">
            <v>LGMLE570</v>
          </cell>
          <cell r="E618" t="str">
            <v>LE</v>
          </cell>
          <cell r="F618">
            <v>13.56</v>
          </cell>
        </row>
        <row r="619">
          <cell r="B619" t="str">
            <v>JUN 2016</v>
          </cell>
          <cell r="C619" t="str">
            <v>LGMLE571</v>
          </cell>
          <cell r="E619" t="str">
            <v>LE</v>
          </cell>
          <cell r="F619">
            <v>11204.04</v>
          </cell>
        </row>
        <row r="620">
          <cell r="B620" t="str">
            <v>JUN 2016</v>
          </cell>
          <cell r="C620" t="str">
            <v>LGMLE572</v>
          </cell>
          <cell r="E620" t="str">
            <v>LE</v>
          </cell>
          <cell r="F620">
            <v>5247.27</v>
          </cell>
        </row>
        <row r="621">
          <cell r="B621" t="str">
            <v>JUN 2016</v>
          </cell>
          <cell r="C621" t="str">
            <v>LGMLE573</v>
          </cell>
          <cell r="E621" t="str">
            <v>TE</v>
          </cell>
          <cell r="F621">
            <v>19212.37</v>
          </cell>
        </row>
        <row r="622">
          <cell r="B622" t="str">
            <v>JUN 2016</v>
          </cell>
          <cell r="C622" t="str">
            <v>LGMLE574</v>
          </cell>
          <cell r="E622" t="str">
            <v>TE</v>
          </cell>
          <cell r="F622">
            <v>5988.3</v>
          </cell>
        </row>
        <row r="623">
          <cell r="B623" t="str">
            <v>JUN 2016</v>
          </cell>
          <cell r="C623" t="str">
            <v>LGRSE000</v>
          </cell>
          <cell r="E623" t="str">
            <v>TS</v>
          </cell>
        </row>
        <row r="624">
          <cell r="B624" t="str">
            <v>JUN 2016</v>
          </cell>
          <cell r="C624" t="str">
            <v>LGRSE411</v>
          </cell>
          <cell r="E624" t="str">
            <v>RS</v>
          </cell>
          <cell r="F624">
            <v>60202.29</v>
          </cell>
        </row>
        <row r="625">
          <cell r="B625" t="str">
            <v>JUN 2016</v>
          </cell>
          <cell r="C625" t="str">
            <v>LGRSE511</v>
          </cell>
          <cell r="E625" t="str">
            <v>RS</v>
          </cell>
          <cell r="F625">
            <v>38717503.469999999</v>
          </cell>
        </row>
        <row r="626">
          <cell r="B626" t="str">
            <v>JUN 2016</v>
          </cell>
          <cell r="C626" t="str">
            <v>LGRSE519</v>
          </cell>
          <cell r="E626" t="str">
            <v>RS</v>
          </cell>
          <cell r="F626">
            <v>15438.91</v>
          </cell>
        </row>
        <row r="627">
          <cell r="B627" t="str">
            <v>JUN 2016</v>
          </cell>
          <cell r="C627" t="str">
            <v>LGRSE521</v>
          </cell>
          <cell r="E627" t="str">
            <v>RTODE</v>
          </cell>
          <cell r="F627">
            <v>3885.78</v>
          </cell>
        </row>
        <row r="628">
          <cell r="B628" t="str">
            <v>JUN 2016</v>
          </cell>
          <cell r="C628" t="str">
            <v>LGRSE540</v>
          </cell>
          <cell r="E628" t="str">
            <v>VFD</v>
          </cell>
          <cell r="F628">
            <v>3136.58</v>
          </cell>
        </row>
        <row r="629">
          <cell r="B629" t="str">
            <v>JUN 2016</v>
          </cell>
          <cell r="C629" t="str">
            <v>LGUM_000</v>
          </cell>
          <cell r="E629" t="str">
            <v>TS</v>
          </cell>
        </row>
        <row r="630">
          <cell r="B630" t="str">
            <v>JUN 2016</v>
          </cell>
          <cell r="C630" t="str">
            <v>LGUM_201</v>
          </cell>
          <cell r="E630" t="str">
            <v>RLS</v>
          </cell>
          <cell r="F630">
            <v>674.12</v>
          </cell>
        </row>
        <row r="631">
          <cell r="B631" t="str">
            <v>JUN 2016</v>
          </cell>
          <cell r="C631" t="str">
            <v>LGUM_203</v>
          </cell>
          <cell r="E631" t="str">
            <v>RLS</v>
          </cell>
          <cell r="F631">
            <v>38537.08</v>
          </cell>
        </row>
        <row r="632">
          <cell r="B632" t="str">
            <v>JUN 2016</v>
          </cell>
          <cell r="C632" t="str">
            <v>LGUM_204</v>
          </cell>
          <cell r="E632" t="str">
            <v>RLS</v>
          </cell>
          <cell r="F632">
            <v>48399.82</v>
          </cell>
        </row>
        <row r="633">
          <cell r="B633" t="str">
            <v>JUN 2016</v>
          </cell>
          <cell r="C633" t="str">
            <v>LGUM_206</v>
          </cell>
          <cell r="E633" t="str">
            <v>RLS</v>
          </cell>
          <cell r="F633">
            <v>975.49</v>
          </cell>
        </row>
        <row r="634">
          <cell r="B634" t="str">
            <v>JUN 2016</v>
          </cell>
          <cell r="C634" t="str">
            <v>LGUM_207</v>
          </cell>
          <cell r="E634" t="str">
            <v>RLS</v>
          </cell>
          <cell r="F634">
            <v>11663.27</v>
          </cell>
        </row>
        <row r="635">
          <cell r="B635" t="str">
            <v>JUN 2016</v>
          </cell>
          <cell r="C635" t="str">
            <v>LGUM_208</v>
          </cell>
          <cell r="E635" t="str">
            <v>RLS</v>
          </cell>
          <cell r="F635">
            <v>20546.060000000001</v>
          </cell>
        </row>
        <row r="636">
          <cell r="B636" t="str">
            <v>JUN 2016</v>
          </cell>
          <cell r="C636" t="str">
            <v>LGUM_209</v>
          </cell>
          <cell r="E636" t="str">
            <v>RLS</v>
          </cell>
          <cell r="F636">
            <v>966.8</v>
          </cell>
        </row>
        <row r="637">
          <cell r="B637" t="str">
            <v>JUN 2016</v>
          </cell>
          <cell r="C637" t="str">
            <v>LGUM_210</v>
          </cell>
          <cell r="E637" t="str">
            <v>RLS</v>
          </cell>
          <cell r="F637">
            <v>9618.8700000000008</v>
          </cell>
        </row>
        <row r="638">
          <cell r="B638" t="str">
            <v>JUN 2016</v>
          </cell>
          <cell r="C638" t="str">
            <v>LGUM_252</v>
          </cell>
          <cell r="E638" t="str">
            <v>RLS</v>
          </cell>
          <cell r="F638">
            <v>39349.629999999997</v>
          </cell>
        </row>
        <row r="639">
          <cell r="B639" t="str">
            <v>JUN 2016</v>
          </cell>
          <cell r="C639" t="str">
            <v>LGUM_266</v>
          </cell>
          <cell r="E639" t="str">
            <v>RLS</v>
          </cell>
          <cell r="F639">
            <v>60748.65</v>
          </cell>
        </row>
        <row r="640">
          <cell r="B640" t="str">
            <v>JUN 2016</v>
          </cell>
          <cell r="C640" t="str">
            <v>LGUM_267</v>
          </cell>
          <cell r="E640" t="str">
            <v>RLS</v>
          </cell>
          <cell r="F640">
            <v>76601.55</v>
          </cell>
        </row>
        <row r="641">
          <cell r="B641" t="str">
            <v>JUN 2016</v>
          </cell>
          <cell r="C641" t="str">
            <v>LGUM_274</v>
          </cell>
          <cell r="E641" t="str">
            <v>RLS</v>
          </cell>
          <cell r="F641">
            <v>321877.53000000003</v>
          </cell>
        </row>
        <row r="642">
          <cell r="B642" t="str">
            <v>JUN 2016</v>
          </cell>
          <cell r="C642" t="str">
            <v>LGUM_275</v>
          </cell>
          <cell r="E642" t="str">
            <v>RLS</v>
          </cell>
          <cell r="F642">
            <v>12795.61</v>
          </cell>
        </row>
        <row r="643">
          <cell r="B643" t="str">
            <v>JUN 2016</v>
          </cell>
          <cell r="C643" t="str">
            <v>LGUM_276</v>
          </cell>
          <cell r="E643" t="str">
            <v>RLS</v>
          </cell>
          <cell r="F643">
            <v>21452.1</v>
          </cell>
        </row>
        <row r="644">
          <cell r="B644" t="str">
            <v>JUN 2016</v>
          </cell>
          <cell r="C644" t="str">
            <v>LGUM_277</v>
          </cell>
          <cell r="E644" t="str">
            <v>RLS</v>
          </cell>
          <cell r="F644">
            <v>55972.88</v>
          </cell>
        </row>
        <row r="645">
          <cell r="B645" t="str">
            <v>JUN 2016</v>
          </cell>
          <cell r="C645" t="str">
            <v>LGUM_278</v>
          </cell>
          <cell r="E645" t="str">
            <v>RLS</v>
          </cell>
          <cell r="F645">
            <v>796.38</v>
          </cell>
        </row>
        <row r="646">
          <cell r="B646" t="str">
            <v>JUN 2016</v>
          </cell>
          <cell r="C646" t="str">
            <v>LGUM_279</v>
          </cell>
          <cell r="E646" t="str">
            <v>RLS</v>
          </cell>
          <cell r="F646">
            <v>282.75</v>
          </cell>
        </row>
        <row r="647">
          <cell r="B647" t="str">
            <v>JUN 2016</v>
          </cell>
          <cell r="C647" t="str">
            <v>LGUM_280</v>
          </cell>
          <cell r="E647" t="str">
            <v>RLS</v>
          </cell>
          <cell r="F647">
            <v>1744.15</v>
          </cell>
        </row>
        <row r="648">
          <cell r="B648" t="str">
            <v>JUN 2016</v>
          </cell>
          <cell r="C648" t="str">
            <v>LGUM_281</v>
          </cell>
          <cell r="E648" t="str">
            <v>RLS</v>
          </cell>
          <cell r="F648">
            <v>9369.06</v>
          </cell>
        </row>
        <row r="649">
          <cell r="B649" t="str">
            <v>JUN 2016</v>
          </cell>
          <cell r="C649" t="str">
            <v>LGUM_282</v>
          </cell>
          <cell r="E649" t="str">
            <v>RLS</v>
          </cell>
          <cell r="F649">
            <v>3299.73</v>
          </cell>
        </row>
        <row r="650">
          <cell r="B650" t="str">
            <v>JUN 2016</v>
          </cell>
          <cell r="C650" t="str">
            <v>LGUM_283</v>
          </cell>
          <cell r="E650" t="str">
            <v>RLS</v>
          </cell>
          <cell r="F650">
            <v>3613.04</v>
          </cell>
        </row>
        <row r="651">
          <cell r="B651" t="str">
            <v>JUN 2016</v>
          </cell>
          <cell r="C651" t="str">
            <v>LGUM_314</v>
          </cell>
          <cell r="E651" t="str">
            <v>RLS</v>
          </cell>
          <cell r="F651">
            <v>9264.6299999999992</v>
          </cell>
        </row>
        <row r="652">
          <cell r="B652" t="str">
            <v>JUN 2016</v>
          </cell>
          <cell r="C652" t="str">
            <v>LGUM_315</v>
          </cell>
          <cell r="E652" t="str">
            <v>RLS</v>
          </cell>
          <cell r="F652">
            <v>11091.14</v>
          </cell>
        </row>
        <row r="653">
          <cell r="B653" t="str">
            <v>JUN 2016</v>
          </cell>
          <cell r="C653" t="str">
            <v>LGUM_318</v>
          </cell>
          <cell r="E653" t="str">
            <v>RLS</v>
          </cell>
          <cell r="F653">
            <v>897.5</v>
          </cell>
        </row>
        <row r="654">
          <cell r="B654" t="str">
            <v>JUN 2016</v>
          </cell>
          <cell r="C654" t="str">
            <v>LGUM_348</v>
          </cell>
          <cell r="E654" t="str">
            <v>RLS</v>
          </cell>
          <cell r="F654">
            <v>556.59</v>
          </cell>
        </row>
        <row r="655">
          <cell r="B655" t="str">
            <v>JUN 2016</v>
          </cell>
          <cell r="C655" t="str">
            <v>LGUM_349</v>
          </cell>
          <cell r="E655" t="str">
            <v>RLS</v>
          </cell>
          <cell r="F655">
            <v>168.33</v>
          </cell>
        </row>
        <row r="656">
          <cell r="B656" t="str">
            <v>JUN 2016</v>
          </cell>
          <cell r="C656" t="str">
            <v>LGUM_400</v>
          </cell>
          <cell r="E656" t="str">
            <v xml:space="preserve">LS </v>
          </cell>
          <cell r="F656">
            <v>1560.53</v>
          </cell>
        </row>
        <row r="657">
          <cell r="B657" t="str">
            <v>JUN 2016</v>
          </cell>
          <cell r="C657" t="str">
            <v>LGUM_401</v>
          </cell>
          <cell r="E657" t="str">
            <v xml:space="preserve">LS </v>
          </cell>
          <cell r="F657">
            <v>570.48</v>
          </cell>
        </row>
        <row r="658">
          <cell r="B658" t="str">
            <v>JUN 2016</v>
          </cell>
          <cell r="C658" t="str">
            <v>LGUM_412</v>
          </cell>
          <cell r="E658" t="str">
            <v xml:space="preserve">LS </v>
          </cell>
          <cell r="F658">
            <v>4766.41</v>
          </cell>
        </row>
        <row r="659">
          <cell r="B659" t="str">
            <v>JUN 2016</v>
          </cell>
          <cell r="C659" t="str">
            <v>LGUM_413</v>
          </cell>
          <cell r="E659" t="str">
            <v xml:space="preserve">LS </v>
          </cell>
          <cell r="F659">
            <v>59572.68</v>
          </cell>
        </row>
        <row r="660">
          <cell r="B660" t="str">
            <v>JUN 2016</v>
          </cell>
          <cell r="C660" t="str">
            <v>LGUM_415</v>
          </cell>
          <cell r="E660" t="str">
            <v xml:space="preserve">LS </v>
          </cell>
          <cell r="F660">
            <v>1037.5999999999999</v>
          </cell>
        </row>
        <row r="661">
          <cell r="B661" t="str">
            <v>JUN 2016</v>
          </cell>
          <cell r="C661" t="str">
            <v>LGUM_416</v>
          </cell>
          <cell r="E661" t="str">
            <v xml:space="preserve">LS </v>
          </cell>
          <cell r="F661">
            <v>49443.28</v>
          </cell>
        </row>
        <row r="662">
          <cell r="B662" t="str">
            <v>JUN 2016</v>
          </cell>
          <cell r="C662" t="str">
            <v>LGUM_417</v>
          </cell>
          <cell r="E662" t="str">
            <v>RLS</v>
          </cell>
          <cell r="F662">
            <v>1261.24</v>
          </cell>
        </row>
        <row r="663">
          <cell r="B663" t="str">
            <v>JUN 2016</v>
          </cell>
          <cell r="C663" t="str">
            <v>LGUM_419</v>
          </cell>
          <cell r="E663" t="str">
            <v>RLS</v>
          </cell>
          <cell r="F663">
            <v>3249.32</v>
          </cell>
        </row>
        <row r="664">
          <cell r="B664" t="str">
            <v>JUN 2016</v>
          </cell>
          <cell r="C664" t="str">
            <v>LGUM_420</v>
          </cell>
          <cell r="E664" t="str">
            <v xml:space="preserve">LS </v>
          </cell>
          <cell r="F664">
            <v>1987.84</v>
          </cell>
        </row>
        <row r="665">
          <cell r="B665" t="str">
            <v>JUN 2016</v>
          </cell>
          <cell r="C665" t="str">
            <v>LGUM_421</v>
          </cell>
          <cell r="E665" t="str">
            <v xml:space="preserve">LS </v>
          </cell>
          <cell r="F665">
            <v>7585.56</v>
          </cell>
        </row>
        <row r="666">
          <cell r="B666" t="str">
            <v>JUN 2016</v>
          </cell>
          <cell r="C666" t="str">
            <v>LGUM_422</v>
          </cell>
          <cell r="E666" t="str">
            <v xml:space="preserve">LS </v>
          </cell>
          <cell r="F666">
            <v>18148.98</v>
          </cell>
        </row>
        <row r="667">
          <cell r="B667" t="str">
            <v>JUN 2016</v>
          </cell>
          <cell r="C667" t="str">
            <v>LGUM_423</v>
          </cell>
          <cell r="E667" t="str">
            <v xml:space="preserve">LS </v>
          </cell>
          <cell r="F667">
            <v>595.63</v>
          </cell>
        </row>
        <row r="668">
          <cell r="B668" t="str">
            <v>JUN 2016</v>
          </cell>
          <cell r="C668" t="str">
            <v>LGUM_424</v>
          </cell>
          <cell r="E668" t="str">
            <v xml:space="preserve">LS </v>
          </cell>
          <cell r="F668">
            <v>18843.38</v>
          </cell>
        </row>
        <row r="669">
          <cell r="B669" t="str">
            <v>JUN 2016</v>
          </cell>
          <cell r="C669" t="str">
            <v>LGUM_425</v>
          </cell>
          <cell r="E669" t="str">
            <v xml:space="preserve">LS </v>
          </cell>
          <cell r="F669">
            <v>1165.48</v>
          </cell>
        </row>
        <row r="670">
          <cell r="B670" t="str">
            <v>JUN 2016</v>
          </cell>
          <cell r="C670" t="str">
            <v>LGUM_426</v>
          </cell>
          <cell r="E670" t="str">
            <v>RLS</v>
          </cell>
          <cell r="F670">
            <v>1214.01</v>
          </cell>
        </row>
        <row r="671">
          <cell r="B671" t="str">
            <v>JUN 2016</v>
          </cell>
          <cell r="C671" t="str">
            <v>LGUM_427</v>
          </cell>
          <cell r="E671" t="str">
            <v xml:space="preserve">LS </v>
          </cell>
          <cell r="F671">
            <v>2096.5300000000002</v>
          </cell>
        </row>
        <row r="672">
          <cell r="B672" t="str">
            <v>JUN 2016</v>
          </cell>
          <cell r="C672" t="str">
            <v>LGUM_428</v>
          </cell>
          <cell r="E672" t="str">
            <v>RLS</v>
          </cell>
          <cell r="F672">
            <v>11251.58</v>
          </cell>
        </row>
        <row r="673">
          <cell r="B673" t="str">
            <v>JUN 2016</v>
          </cell>
          <cell r="C673" t="str">
            <v>LGUM_429</v>
          </cell>
          <cell r="E673" t="str">
            <v xml:space="preserve">LS </v>
          </cell>
          <cell r="F673">
            <v>10825.67</v>
          </cell>
        </row>
        <row r="674">
          <cell r="B674" t="str">
            <v>JUN 2016</v>
          </cell>
          <cell r="C674" t="str">
            <v>LGUM_430</v>
          </cell>
          <cell r="E674" t="str">
            <v>RLS</v>
          </cell>
          <cell r="F674">
            <v>451.09</v>
          </cell>
        </row>
        <row r="675">
          <cell r="B675" t="str">
            <v>JUN 2016</v>
          </cell>
          <cell r="C675" t="str">
            <v>LGUM_431</v>
          </cell>
          <cell r="E675" t="str">
            <v xml:space="preserve">LS </v>
          </cell>
          <cell r="F675">
            <v>2002.11</v>
          </cell>
        </row>
        <row r="676">
          <cell r="B676" t="str">
            <v>JUN 2016</v>
          </cell>
          <cell r="C676" t="str">
            <v>LGUM_432</v>
          </cell>
          <cell r="E676" t="str">
            <v>RLS</v>
          </cell>
          <cell r="F676">
            <v>372.34</v>
          </cell>
        </row>
        <row r="677">
          <cell r="B677" t="str">
            <v>JUN 2016</v>
          </cell>
          <cell r="C677" t="str">
            <v>LGUM_433</v>
          </cell>
          <cell r="E677" t="str">
            <v xml:space="preserve">LS </v>
          </cell>
          <cell r="F677">
            <v>9921.34</v>
          </cell>
        </row>
        <row r="678">
          <cell r="B678" t="str">
            <v>JUN 2016</v>
          </cell>
          <cell r="C678" t="str">
            <v>LGUM_440</v>
          </cell>
          <cell r="E678" t="str">
            <v xml:space="preserve">LS </v>
          </cell>
          <cell r="F678">
            <v>459.45</v>
          </cell>
        </row>
        <row r="679">
          <cell r="B679" t="str">
            <v>JUN 2016</v>
          </cell>
          <cell r="C679" t="str">
            <v>LGUM_441</v>
          </cell>
          <cell r="E679" t="str">
            <v xml:space="preserve">LS </v>
          </cell>
          <cell r="F679">
            <v>1233.23</v>
          </cell>
        </row>
        <row r="680">
          <cell r="B680" t="str">
            <v>JUN 2016</v>
          </cell>
          <cell r="C680" t="str">
            <v>LGUM_444</v>
          </cell>
          <cell r="E680" t="str">
            <v xml:space="preserve">LS </v>
          </cell>
          <cell r="F680">
            <v>224.85</v>
          </cell>
        </row>
        <row r="681">
          <cell r="B681" t="str">
            <v>JUN 2016</v>
          </cell>
          <cell r="C681" t="str">
            <v>LGUM_445</v>
          </cell>
          <cell r="E681" t="str">
            <v xml:space="preserve">LS </v>
          </cell>
          <cell r="F681">
            <v>465.89</v>
          </cell>
        </row>
        <row r="682">
          <cell r="B682" t="str">
            <v>JUN 2016</v>
          </cell>
          <cell r="C682" t="str">
            <v>LGUM_452</v>
          </cell>
          <cell r="E682" t="str">
            <v xml:space="preserve">LS </v>
          </cell>
          <cell r="F682">
            <v>98572.86</v>
          </cell>
        </row>
        <row r="683">
          <cell r="B683" t="str">
            <v>JUN 2016</v>
          </cell>
          <cell r="C683" t="str">
            <v>LGUM_453</v>
          </cell>
          <cell r="E683" t="str">
            <v xml:space="preserve">LS </v>
          </cell>
          <cell r="F683">
            <v>174472.13</v>
          </cell>
        </row>
        <row r="684">
          <cell r="B684" t="str">
            <v>JUN 2016</v>
          </cell>
          <cell r="C684" t="str">
            <v>LGUM_454</v>
          </cell>
          <cell r="E684" t="str">
            <v xml:space="preserve">LS </v>
          </cell>
          <cell r="F684">
            <v>107726.17</v>
          </cell>
        </row>
        <row r="685">
          <cell r="B685" t="str">
            <v>JUN 2016</v>
          </cell>
          <cell r="C685" t="str">
            <v>LGUM_455</v>
          </cell>
          <cell r="E685" t="str">
            <v xml:space="preserve">LS </v>
          </cell>
          <cell r="F685">
            <v>6334.87</v>
          </cell>
        </row>
        <row r="686">
          <cell r="B686" t="str">
            <v>JUN 2016</v>
          </cell>
          <cell r="C686" t="str">
            <v>LGUM_456</v>
          </cell>
          <cell r="E686" t="str">
            <v xml:space="preserve">LS </v>
          </cell>
          <cell r="F686">
            <v>263743.53000000003</v>
          </cell>
        </row>
        <row r="687">
          <cell r="B687" t="str">
            <v>JUN 2016</v>
          </cell>
          <cell r="C687" t="str">
            <v>LGUM_457</v>
          </cell>
          <cell r="E687" t="str">
            <v xml:space="preserve">LS </v>
          </cell>
          <cell r="F687">
            <v>46159.56</v>
          </cell>
        </row>
        <row r="688">
          <cell r="B688" t="str">
            <v>JUN 2016</v>
          </cell>
          <cell r="C688" t="str">
            <v>LGUM_470</v>
          </cell>
          <cell r="E688" t="str">
            <v xml:space="preserve">LS </v>
          </cell>
          <cell r="F688">
            <v>604.48</v>
          </cell>
        </row>
        <row r="689">
          <cell r="B689" t="str">
            <v>JUN 2016</v>
          </cell>
          <cell r="C689" t="str">
            <v>LGUM_471</v>
          </cell>
          <cell r="E689" t="str">
            <v>RLS</v>
          </cell>
          <cell r="F689">
            <v>133.31</v>
          </cell>
        </row>
        <row r="690">
          <cell r="B690" t="str">
            <v>JUN 2016</v>
          </cell>
          <cell r="C690" t="str">
            <v>LGUM_473</v>
          </cell>
          <cell r="E690" t="str">
            <v xml:space="preserve">LS </v>
          </cell>
          <cell r="F690">
            <v>15210.16</v>
          </cell>
        </row>
        <row r="691">
          <cell r="B691" t="str">
            <v>JUN 2016</v>
          </cell>
          <cell r="C691" t="str">
            <v>LGUM_474</v>
          </cell>
          <cell r="E691" t="str">
            <v>RLS</v>
          </cell>
          <cell r="F691">
            <v>1102.25</v>
          </cell>
        </row>
        <row r="692">
          <cell r="B692" t="str">
            <v>JUN 2016</v>
          </cell>
          <cell r="C692" t="str">
            <v>LGUM_475</v>
          </cell>
          <cell r="E692" t="str">
            <v>RLS</v>
          </cell>
          <cell r="F692">
            <v>61.3</v>
          </cell>
        </row>
        <row r="693">
          <cell r="B693" t="str">
            <v>JUN 2016</v>
          </cell>
          <cell r="C693" t="str">
            <v>LGUM_476</v>
          </cell>
          <cell r="E693" t="str">
            <v xml:space="preserve">LS </v>
          </cell>
          <cell r="F693">
            <v>26261.599999999999</v>
          </cell>
        </row>
        <row r="694">
          <cell r="B694" t="str">
            <v>JUN 2016</v>
          </cell>
          <cell r="C694" t="str">
            <v>LGUM_477</v>
          </cell>
          <cell r="E694" t="str">
            <v>RLS</v>
          </cell>
          <cell r="F694">
            <v>2719.22</v>
          </cell>
        </row>
        <row r="695">
          <cell r="B695" t="str">
            <v>JUN 2016</v>
          </cell>
          <cell r="C695" t="str">
            <v>LGUM_480</v>
          </cell>
          <cell r="E695" t="str">
            <v xml:space="preserve">LS </v>
          </cell>
          <cell r="F695">
            <v>516.47</v>
          </cell>
        </row>
        <row r="696">
          <cell r="B696" t="str">
            <v>JUN 2016</v>
          </cell>
          <cell r="C696" t="str">
            <v>LGUM_481</v>
          </cell>
          <cell r="E696" t="str">
            <v xml:space="preserve">LS </v>
          </cell>
          <cell r="F696">
            <v>175.62</v>
          </cell>
        </row>
        <row r="697">
          <cell r="B697" t="str">
            <v>JUN 2016</v>
          </cell>
          <cell r="C697" t="str">
            <v>LGUM_482</v>
          </cell>
          <cell r="E697" t="str">
            <v xml:space="preserve">LS </v>
          </cell>
          <cell r="F697">
            <v>3520.39</v>
          </cell>
        </row>
        <row r="698">
          <cell r="B698" t="str">
            <v>JUN 2016</v>
          </cell>
          <cell r="C698" t="str">
            <v>LGUM_483</v>
          </cell>
          <cell r="E698" t="str">
            <v xml:space="preserve">LS </v>
          </cell>
          <cell r="F698">
            <v>316.31</v>
          </cell>
        </row>
        <row r="699">
          <cell r="B699" t="str">
            <v>JUN 2016</v>
          </cell>
          <cell r="C699" t="str">
            <v>LGUM_484</v>
          </cell>
          <cell r="E699" t="str">
            <v xml:space="preserve">LS </v>
          </cell>
          <cell r="F699">
            <v>3758.97</v>
          </cell>
        </row>
        <row r="700">
          <cell r="B700" t="str">
            <v>JUL 2016</v>
          </cell>
          <cell r="C700" t="str">
            <v>LEUM_825</v>
          </cell>
          <cell r="E700" t="str">
            <v>EF</v>
          </cell>
          <cell r="F700">
            <v>48365.64</v>
          </cell>
        </row>
        <row r="701">
          <cell r="B701" t="str">
            <v>JUL 2016</v>
          </cell>
          <cell r="C701" t="str">
            <v>LEUM_826</v>
          </cell>
          <cell r="E701" t="str">
            <v>EF</v>
          </cell>
          <cell r="F701">
            <v>872.16</v>
          </cell>
        </row>
        <row r="702">
          <cell r="B702" t="str">
            <v>JUL 2016</v>
          </cell>
          <cell r="C702" t="str">
            <v>LEUM_828</v>
          </cell>
          <cell r="E702" t="str">
            <v>EF</v>
          </cell>
          <cell r="F702">
            <v>2808.4</v>
          </cell>
        </row>
        <row r="703">
          <cell r="B703" t="str">
            <v>JUL 2016</v>
          </cell>
          <cell r="C703" t="str">
            <v>LEUM_829</v>
          </cell>
          <cell r="E703" t="str">
            <v>EF</v>
          </cell>
          <cell r="F703">
            <v>5</v>
          </cell>
        </row>
        <row r="704">
          <cell r="B704" t="str">
            <v>JUL 2016</v>
          </cell>
          <cell r="C704" t="str">
            <v>LGCME000</v>
          </cell>
          <cell r="E704" t="str">
            <v>TS</v>
          </cell>
        </row>
        <row r="705">
          <cell r="B705" t="str">
            <v>JUL 2016</v>
          </cell>
          <cell r="C705" t="str">
            <v>LGCME451</v>
          </cell>
          <cell r="E705" t="str">
            <v>GSS</v>
          </cell>
          <cell r="F705">
            <v>723.02</v>
          </cell>
        </row>
        <row r="706">
          <cell r="B706" t="str">
            <v>JUL 2016</v>
          </cell>
          <cell r="C706" t="str">
            <v>LGCME551</v>
          </cell>
          <cell r="E706" t="str">
            <v>GSS</v>
          </cell>
          <cell r="F706">
            <v>-2298.09</v>
          </cell>
        </row>
        <row r="707">
          <cell r="B707" t="str">
            <v>JUL 2016</v>
          </cell>
          <cell r="C707" t="str">
            <v>LGCME551DS</v>
          </cell>
          <cell r="E707" t="str">
            <v>GSS</v>
          </cell>
          <cell r="F707">
            <v>4512396.25</v>
          </cell>
        </row>
        <row r="708">
          <cell r="B708" t="str">
            <v>JUL 2016</v>
          </cell>
          <cell r="C708" t="str">
            <v>LGCME551UM</v>
          </cell>
          <cell r="E708" t="str">
            <v>GSS</v>
          </cell>
          <cell r="F708">
            <v>4080.93</v>
          </cell>
        </row>
        <row r="709">
          <cell r="B709" t="str">
            <v>JUL 2016</v>
          </cell>
          <cell r="C709" t="str">
            <v>LGCME552</v>
          </cell>
          <cell r="E709" t="str">
            <v>GSS</v>
          </cell>
          <cell r="F709">
            <v>13235.9</v>
          </cell>
        </row>
        <row r="710">
          <cell r="B710" t="str">
            <v>JUL 2016</v>
          </cell>
          <cell r="C710" t="str">
            <v>LGCME557</v>
          </cell>
          <cell r="E710" t="str">
            <v>GSS</v>
          </cell>
          <cell r="F710">
            <v>1446.19</v>
          </cell>
        </row>
        <row r="711">
          <cell r="B711" t="str">
            <v>JUL 2016</v>
          </cell>
          <cell r="C711" t="str">
            <v>LGCME561</v>
          </cell>
          <cell r="E711" t="str">
            <v>PSS</v>
          </cell>
          <cell r="F711">
            <v>-16075.83</v>
          </cell>
        </row>
        <row r="712">
          <cell r="B712" t="str">
            <v>JUL 2016</v>
          </cell>
          <cell r="C712" t="str">
            <v>LGCME561DS</v>
          </cell>
          <cell r="E712" t="str">
            <v>PSS</v>
          </cell>
          <cell r="F712">
            <v>12595276.17</v>
          </cell>
        </row>
        <row r="713">
          <cell r="B713" t="str">
            <v>JUL 2016</v>
          </cell>
          <cell r="C713" t="str">
            <v>LGCME561PF</v>
          </cell>
          <cell r="E713" t="str">
            <v>PSS</v>
          </cell>
          <cell r="F713">
            <v>1920225.63</v>
          </cell>
        </row>
        <row r="714">
          <cell r="B714" t="str">
            <v>JUL 2016</v>
          </cell>
          <cell r="C714" t="str">
            <v>LGCME563DS</v>
          </cell>
          <cell r="E714" t="str">
            <v>PSP</v>
          </cell>
          <cell r="F714">
            <v>750458.4</v>
          </cell>
        </row>
        <row r="715">
          <cell r="B715" t="str">
            <v>JUL 2016</v>
          </cell>
          <cell r="C715" t="str">
            <v>LGCME563PF</v>
          </cell>
          <cell r="E715" t="str">
            <v>PSP</v>
          </cell>
          <cell r="F715">
            <v>420723.84</v>
          </cell>
        </row>
        <row r="716">
          <cell r="B716" t="str">
            <v>JUL 2016</v>
          </cell>
          <cell r="C716" t="str">
            <v>LGCME567</v>
          </cell>
          <cell r="E716" t="str">
            <v>PSS</v>
          </cell>
          <cell r="F716">
            <v>12099.46</v>
          </cell>
        </row>
        <row r="717">
          <cell r="B717" t="str">
            <v>JUL 2016</v>
          </cell>
          <cell r="C717" t="str">
            <v>LGCME567PF</v>
          </cell>
          <cell r="E717" t="str">
            <v>PSS</v>
          </cell>
          <cell r="F717">
            <v>11770.11</v>
          </cell>
        </row>
        <row r="718">
          <cell r="B718" t="str">
            <v>JUL 2016</v>
          </cell>
          <cell r="C718" t="str">
            <v>LGCME591</v>
          </cell>
          <cell r="E718" t="str">
            <v>TODS</v>
          </cell>
          <cell r="F718">
            <v>6001750.1500000004</v>
          </cell>
        </row>
        <row r="719">
          <cell r="B719" t="str">
            <v>JUL 2016</v>
          </cell>
          <cell r="C719" t="str">
            <v>LGCME593</v>
          </cell>
          <cell r="E719" t="str">
            <v>CTODP</v>
          </cell>
          <cell r="F719">
            <v>4208517.08</v>
          </cell>
        </row>
        <row r="720">
          <cell r="B720" t="str">
            <v>JUL 2016</v>
          </cell>
          <cell r="C720" t="str">
            <v>LGCME651</v>
          </cell>
          <cell r="E720" t="str">
            <v>GS3</v>
          </cell>
          <cell r="F720">
            <v>-10125.65</v>
          </cell>
        </row>
        <row r="721">
          <cell r="B721" t="str">
            <v>JUL 2016</v>
          </cell>
          <cell r="C721" t="str">
            <v>LGCME651DS</v>
          </cell>
          <cell r="E721" t="str">
            <v>GS3</v>
          </cell>
          <cell r="F721">
            <v>9917150.6999999993</v>
          </cell>
        </row>
        <row r="722">
          <cell r="B722" t="str">
            <v>JUL 2016</v>
          </cell>
          <cell r="C722" t="str">
            <v>LGCME652</v>
          </cell>
          <cell r="E722" t="str">
            <v>GS3</v>
          </cell>
          <cell r="F722">
            <v>183899.35</v>
          </cell>
        </row>
        <row r="723">
          <cell r="B723" t="str">
            <v>JUL 2016</v>
          </cell>
          <cell r="C723" t="str">
            <v>LGCME657</v>
          </cell>
          <cell r="E723" t="str">
            <v>GS3</v>
          </cell>
          <cell r="F723">
            <v>21798.75</v>
          </cell>
        </row>
        <row r="724">
          <cell r="B724" t="str">
            <v>JUL 2016</v>
          </cell>
          <cell r="C724" t="str">
            <v>LGCME671</v>
          </cell>
          <cell r="E724" t="str">
            <v>LWC</v>
          </cell>
          <cell r="F724">
            <v>305511.36</v>
          </cell>
        </row>
        <row r="725">
          <cell r="B725" t="str">
            <v>JUL 2016</v>
          </cell>
          <cell r="C725" t="str">
            <v>LGCSR790</v>
          </cell>
          <cell r="E725" t="str">
            <v>CSR</v>
          </cell>
          <cell r="F725">
            <v>-329029.44</v>
          </cell>
        </row>
        <row r="726">
          <cell r="B726" t="str">
            <v>JUL 2016</v>
          </cell>
          <cell r="C726" t="str">
            <v>LGINE551DS</v>
          </cell>
          <cell r="E726" t="str">
            <v>GSS</v>
          </cell>
          <cell r="F726">
            <v>20857.330000000002</v>
          </cell>
        </row>
        <row r="727">
          <cell r="B727" t="str">
            <v>JUL 2016</v>
          </cell>
          <cell r="C727" t="str">
            <v>LGINE599</v>
          </cell>
          <cell r="E727" t="str">
            <v>FK</v>
          </cell>
          <cell r="F727">
            <v>712223.77</v>
          </cell>
        </row>
        <row r="728">
          <cell r="B728" t="str">
            <v>JUL 2016</v>
          </cell>
          <cell r="C728" t="str">
            <v>LGINE643</v>
          </cell>
          <cell r="E728" t="str">
            <v>RTS</v>
          </cell>
          <cell r="F728">
            <v>5670070.3899999997</v>
          </cell>
        </row>
        <row r="729">
          <cell r="B729" t="str">
            <v>JUL 2016</v>
          </cell>
          <cell r="C729" t="str">
            <v>LGINE651DS</v>
          </cell>
          <cell r="E729" t="str">
            <v>GS3</v>
          </cell>
          <cell r="F729">
            <v>327409.75</v>
          </cell>
        </row>
        <row r="730">
          <cell r="B730" t="str">
            <v>JUL 2016</v>
          </cell>
          <cell r="C730" t="str">
            <v>LGINE661DS</v>
          </cell>
          <cell r="E730" t="str">
            <v>PSS</v>
          </cell>
          <cell r="F730">
            <v>163228.96</v>
          </cell>
        </row>
        <row r="731">
          <cell r="B731" t="str">
            <v>JUL 2016</v>
          </cell>
          <cell r="C731" t="str">
            <v>LGINE661PD</v>
          </cell>
          <cell r="E731" t="str">
            <v>PSS</v>
          </cell>
          <cell r="F731">
            <v>1647429.09</v>
          </cell>
        </row>
        <row r="732">
          <cell r="B732" t="str">
            <v>JUL 2016</v>
          </cell>
          <cell r="C732" t="str">
            <v>LGINE663PD</v>
          </cell>
          <cell r="E732" t="str">
            <v>PSP</v>
          </cell>
          <cell r="F732">
            <v>53022.35</v>
          </cell>
        </row>
        <row r="733">
          <cell r="B733" t="str">
            <v>JUL 2016</v>
          </cell>
          <cell r="C733" t="str">
            <v>LGINE691</v>
          </cell>
          <cell r="E733" t="str">
            <v>ITODS</v>
          </cell>
          <cell r="F733">
            <v>2093599.62</v>
          </cell>
        </row>
        <row r="734">
          <cell r="B734" t="str">
            <v>JUL 2016</v>
          </cell>
          <cell r="C734" t="str">
            <v>LGINE693</v>
          </cell>
          <cell r="E734" t="str">
            <v>ITODP</v>
          </cell>
          <cell r="F734">
            <v>7892272.21</v>
          </cell>
        </row>
        <row r="735">
          <cell r="B735" t="str">
            <v>JUL 2016</v>
          </cell>
          <cell r="C735" t="str">
            <v>LGMLE570</v>
          </cell>
          <cell r="E735" t="str">
            <v>LE</v>
          </cell>
          <cell r="F735">
            <v>13.72</v>
          </cell>
        </row>
        <row r="736">
          <cell r="B736" t="str">
            <v>JUL 2016</v>
          </cell>
          <cell r="C736" t="str">
            <v>LGMLE571</v>
          </cell>
          <cell r="E736" t="str">
            <v>LE</v>
          </cell>
          <cell r="F736">
            <v>9940.74</v>
          </cell>
        </row>
        <row r="737">
          <cell r="B737" t="str">
            <v>JUL 2016</v>
          </cell>
          <cell r="C737" t="str">
            <v>LGMLE572</v>
          </cell>
          <cell r="E737" t="str">
            <v>LE</v>
          </cell>
          <cell r="F737">
            <v>4787.08</v>
          </cell>
        </row>
        <row r="738">
          <cell r="B738" t="str">
            <v>JUL 2016</v>
          </cell>
          <cell r="C738" t="str">
            <v>LGMLE573</v>
          </cell>
          <cell r="E738" t="str">
            <v>TE</v>
          </cell>
          <cell r="F738">
            <v>18255.34</v>
          </cell>
        </row>
        <row r="739">
          <cell r="B739" t="str">
            <v>JUL 2016</v>
          </cell>
          <cell r="C739" t="str">
            <v>LGMLE574</v>
          </cell>
          <cell r="E739" t="str">
            <v>TE</v>
          </cell>
          <cell r="F739">
            <v>6054.49</v>
          </cell>
        </row>
        <row r="740">
          <cell r="B740" t="str">
            <v>JUL 2016</v>
          </cell>
          <cell r="C740" t="str">
            <v>LGRSE000</v>
          </cell>
          <cell r="E740" t="str">
            <v>TS</v>
          </cell>
        </row>
        <row r="741">
          <cell r="B741" t="str">
            <v>JUL 2016</v>
          </cell>
          <cell r="C741" t="str">
            <v>LGRSE411</v>
          </cell>
          <cell r="E741" t="str">
            <v>RS</v>
          </cell>
          <cell r="F741">
            <v>55938.77</v>
          </cell>
        </row>
        <row r="742">
          <cell r="B742" t="str">
            <v>JUL 2016</v>
          </cell>
          <cell r="C742" t="str">
            <v>LGRSE511</v>
          </cell>
          <cell r="E742" t="str">
            <v>RS</v>
          </cell>
          <cell r="F742">
            <v>48710118.590000004</v>
          </cell>
        </row>
        <row r="743">
          <cell r="B743" t="str">
            <v>JUL 2016</v>
          </cell>
          <cell r="C743" t="str">
            <v>LGRSE519</v>
          </cell>
          <cell r="E743" t="str">
            <v>RS</v>
          </cell>
          <cell r="F743">
            <v>20823.400000000001</v>
          </cell>
        </row>
        <row r="744">
          <cell r="B744" t="str">
            <v>JUL 2016</v>
          </cell>
          <cell r="C744" t="str">
            <v>LGRSE521</v>
          </cell>
          <cell r="E744" t="str">
            <v>RTODE</v>
          </cell>
          <cell r="F744">
            <v>5186.6899999999996</v>
          </cell>
        </row>
        <row r="745">
          <cell r="B745" t="str">
            <v>JUL 2016</v>
          </cell>
          <cell r="C745" t="str">
            <v>LGRSE540</v>
          </cell>
          <cell r="E745" t="str">
            <v>VFD</v>
          </cell>
          <cell r="F745">
            <v>3419.91</v>
          </cell>
        </row>
        <row r="746">
          <cell r="B746" t="str">
            <v>JUL 2016</v>
          </cell>
          <cell r="C746" t="str">
            <v>LGUM_000</v>
          </cell>
          <cell r="E746" t="str">
            <v>TS</v>
          </cell>
        </row>
        <row r="747">
          <cell r="B747" t="str">
            <v>JUL 2016</v>
          </cell>
          <cell r="C747" t="str">
            <v>LGUM_201</v>
          </cell>
          <cell r="E747" t="str">
            <v>RLS</v>
          </cell>
          <cell r="F747">
            <v>664.1</v>
          </cell>
        </row>
        <row r="748">
          <cell r="B748" t="str">
            <v>JUL 2016</v>
          </cell>
          <cell r="C748" t="str">
            <v>LGUM_203</v>
          </cell>
          <cell r="E748" t="str">
            <v>RLS</v>
          </cell>
          <cell r="F748">
            <v>38245.82</v>
          </cell>
        </row>
        <row r="749">
          <cell r="B749" t="str">
            <v>JUL 2016</v>
          </cell>
          <cell r="C749" t="str">
            <v>LGUM_204</v>
          </cell>
          <cell r="E749" t="str">
            <v>RLS</v>
          </cell>
          <cell r="F749">
            <v>48275.23</v>
          </cell>
        </row>
        <row r="750">
          <cell r="B750" t="str">
            <v>JUL 2016</v>
          </cell>
          <cell r="C750" t="str">
            <v>LGUM_206</v>
          </cell>
          <cell r="E750" t="str">
            <v>RLS</v>
          </cell>
          <cell r="F750">
            <v>982.76</v>
          </cell>
        </row>
        <row r="751">
          <cell r="B751" t="str">
            <v>JUL 2016</v>
          </cell>
          <cell r="C751" t="str">
            <v>LGUM_207</v>
          </cell>
          <cell r="E751" t="str">
            <v>RLS</v>
          </cell>
          <cell r="F751">
            <v>11695.18</v>
          </cell>
        </row>
        <row r="752">
          <cell r="B752" t="str">
            <v>JUL 2016</v>
          </cell>
          <cell r="C752" t="str">
            <v>LGUM_208</v>
          </cell>
          <cell r="E752" t="str">
            <v>RLS</v>
          </cell>
          <cell r="F752">
            <v>20587.54</v>
          </cell>
        </row>
        <row r="753">
          <cell r="B753" t="str">
            <v>JUL 2016</v>
          </cell>
          <cell r="C753" t="str">
            <v>LGUM_209</v>
          </cell>
          <cell r="E753" t="str">
            <v>RLS</v>
          </cell>
          <cell r="F753">
            <v>943.5</v>
          </cell>
        </row>
        <row r="754">
          <cell r="B754" t="str">
            <v>JUL 2016</v>
          </cell>
          <cell r="C754" t="str">
            <v>LGUM_210</v>
          </cell>
          <cell r="E754" t="str">
            <v>RLS</v>
          </cell>
          <cell r="F754">
            <v>9250.9599999999991</v>
          </cell>
        </row>
        <row r="755">
          <cell r="B755" t="str">
            <v>JUL 2016</v>
          </cell>
          <cell r="C755" t="str">
            <v>LGUM_252</v>
          </cell>
          <cell r="E755" t="str">
            <v>RLS</v>
          </cell>
          <cell r="F755">
            <v>39349.81</v>
          </cell>
        </row>
        <row r="756">
          <cell r="B756" t="str">
            <v>JUL 2016</v>
          </cell>
          <cell r="C756" t="str">
            <v>LGUM_266</v>
          </cell>
          <cell r="E756" t="str">
            <v>RLS</v>
          </cell>
          <cell r="F756">
            <v>61180.49</v>
          </cell>
        </row>
        <row r="757">
          <cell r="B757" t="str">
            <v>JUL 2016</v>
          </cell>
          <cell r="C757" t="str">
            <v>LGUM_267</v>
          </cell>
          <cell r="E757" t="str">
            <v>RLS</v>
          </cell>
          <cell r="F757">
            <v>75379.61</v>
          </cell>
        </row>
        <row r="758">
          <cell r="B758" t="str">
            <v>JUL 2016</v>
          </cell>
          <cell r="C758" t="str">
            <v>LGUM_274</v>
          </cell>
          <cell r="E758" t="str">
            <v>RLS</v>
          </cell>
          <cell r="F758">
            <v>323949.81</v>
          </cell>
        </row>
        <row r="759">
          <cell r="B759" t="str">
            <v>JUL 2016</v>
          </cell>
          <cell r="C759" t="str">
            <v>LGUM_275</v>
          </cell>
          <cell r="E759" t="str">
            <v>RLS</v>
          </cell>
          <cell r="F759">
            <v>13173.23</v>
          </cell>
        </row>
        <row r="760">
          <cell r="B760" t="str">
            <v>JUL 2016</v>
          </cell>
          <cell r="C760" t="str">
            <v>LGUM_276</v>
          </cell>
          <cell r="E760" t="str">
            <v>RLS</v>
          </cell>
          <cell r="F760">
            <v>21783.95</v>
          </cell>
        </row>
        <row r="761">
          <cell r="B761" t="str">
            <v>JUL 2016</v>
          </cell>
          <cell r="C761" t="str">
            <v>LGUM_277</v>
          </cell>
          <cell r="E761" t="str">
            <v>RLS</v>
          </cell>
          <cell r="F761">
            <v>56397.81</v>
          </cell>
        </row>
        <row r="762">
          <cell r="B762" t="str">
            <v>JUL 2016</v>
          </cell>
          <cell r="C762" t="str">
            <v>LGUM_278</v>
          </cell>
          <cell r="E762" t="str">
            <v>RLS</v>
          </cell>
          <cell r="F762">
            <v>792.58</v>
          </cell>
        </row>
        <row r="763">
          <cell r="B763" t="str">
            <v>JUL 2016</v>
          </cell>
          <cell r="C763" t="str">
            <v>LGUM_279</v>
          </cell>
          <cell r="E763" t="str">
            <v>RLS</v>
          </cell>
          <cell r="F763">
            <v>279.19</v>
          </cell>
        </row>
        <row r="764">
          <cell r="B764" t="str">
            <v>JUL 2016</v>
          </cell>
          <cell r="C764" t="str">
            <v>LGUM_280</v>
          </cell>
          <cell r="E764" t="str">
            <v>RLS</v>
          </cell>
          <cell r="F764">
            <v>1755.38</v>
          </cell>
        </row>
        <row r="765">
          <cell r="B765" t="str">
            <v>JUL 2016</v>
          </cell>
          <cell r="C765" t="str">
            <v>LGUM_281</v>
          </cell>
          <cell r="E765" t="str">
            <v>RLS</v>
          </cell>
          <cell r="F765">
            <v>9413.18</v>
          </cell>
        </row>
        <row r="766">
          <cell r="B766" t="str">
            <v>JUL 2016</v>
          </cell>
          <cell r="C766" t="str">
            <v>LGUM_282</v>
          </cell>
          <cell r="E766" t="str">
            <v>RLS</v>
          </cell>
          <cell r="F766">
            <v>3321.52</v>
          </cell>
        </row>
        <row r="767">
          <cell r="B767" t="str">
            <v>JUL 2016</v>
          </cell>
          <cell r="C767" t="str">
            <v>LGUM_283</v>
          </cell>
          <cell r="E767" t="str">
            <v>RLS</v>
          </cell>
          <cell r="F767">
            <v>3638.09</v>
          </cell>
        </row>
        <row r="768">
          <cell r="B768" t="str">
            <v>JUL 2016</v>
          </cell>
          <cell r="C768" t="str">
            <v>LGUM_314</v>
          </cell>
          <cell r="E768" t="str">
            <v>RLS</v>
          </cell>
          <cell r="F768">
            <v>9300.7999999999993</v>
          </cell>
        </row>
        <row r="769">
          <cell r="B769" t="str">
            <v>JUL 2016</v>
          </cell>
          <cell r="C769" t="str">
            <v>LGUM_315</v>
          </cell>
          <cell r="E769" t="str">
            <v>RLS</v>
          </cell>
          <cell r="F769">
            <v>11092.77</v>
          </cell>
        </row>
        <row r="770">
          <cell r="B770" t="str">
            <v>JUL 2016</v>
          </cell>
          <cell r="C770" t="str">
            <v>LGUM_318</v>
          </cell>
          <cell r="E770" t="str">
            <v>RLS</v>
          </cell>
          <cell r="F770">
            <v>890.68</v>
          </cell>
        </row>
        <row r="771">
          <cell r="B771" t="str">
            <v>JUL 2016</v>
          </cell>
          <cell r="C771" t="str">
            <v>LGUM_348</v>
          </cell>
          <cell r="E771" t="str">
            <v>RLS</v>
          </cell>
          <cell r="F771">
            <v>562.42999999999995</v>
          </cell>
        </row>
        <row r="772">
          <cell r="B772" t="str">
            <v>JUL 2016</v>
          </cell>
          <cell r="C772" t="str">
            <v>LGUM_349</v>
          </cell>
          <cell r="E772" t="str">
            <v>RLS</v>
          </cell>
          <cell r="F772">
            <v>169.73</v>
          </cell>
        </row>
        <row r="773">
          <cell r="B773" t="str">
            <v>JUL 2016</v>
          </cell>
          <cell r="C773" t="str">
            <v>LGUM_400</v>
          </cell>
          <cell r="E773" t="str">
            <v xml:space="preserve">LS </v>
          </cell>
          <cell r="F773">
            <v>1570.75</v>
          </cell>
        </row>
        <row r="774">
          <cell r="B774" t="str">
            <v>JUL 2016</v>
          </cell>
          <cell r="C774" t="str">
            <v>LGUM_401</v>
          </cell>
          <cell r="E774" t="str">
            <v xml:space="preserve">LS </v>
          </cell>
          <cell r="F774">
            <v>981.9</v>
          </cell>
        </row>
        <row r="775">
          <cell r="B775" t="str">
            <v>JUL 2016</v>
          </cell>
          <cell r="C775" t="str">
            <v>LGUM_412</v>
          </cell>
          <cell r="E775" t="str">
            <v xml:space="preserve">LS </v>
          </cell>
          <cell r="F775">
            <v>4799.21</v>
          </cell>
        </row>
        <row r="776">
          <cell r="B776" t="str">
            <v>JUL 2016</v>
          </cell>
          <cell r="C776" t="str">
            <v>LGUM_413</v>
          </cell>
          <cell r="E776" t="str">
            <v xml:space="preserve">LS </v>
          </cell>
          <cell r="F776">
            <v>59983.68</v>
          </cell>
        </row>
        <row r="777">
          <cell r="B777" t="str">
            <v>JUL 2016</v>
          </cell>
          <cell r="C777" t="str">
            <v>LGUM_415</v>
          </cell>
          <cell r="E777" t="str">
            <v xml:space="preserve">LS </v>
          </cell>
          <cell r="F777">
            <v>1044.46</v>
          </cell>
        </row>
        <row r="778">
          <cell r="B778" t="str">
            <v>JUL 2016</v>
          </cell>
          <cell r="C778" t="str">
            <v>LGUM_416</v>
          </cell>
          <cell r="E778" t="str">
            <v xml:space="preserve">LS </v>
          </cell>
          <cell r="F778">
            <v>49848.2</v>
          </cell>
        </row>
        <row r="779">
          <cell r="B779" t="str">
            <v>JUL 2016</v>
          </cell>
          <cell r="C779" t="str">
            <v>LGUM_417</v>
          </cell>
          <cell r="E779" t="str">
            <v>RLS</v>
          </cell>
          <cell r="F779">
            <v>1270.08</v>
          </cell>
        </row>
        <row r="780">
          <cell r="B780" t="str">
            <v>JUL 2016</v>
          </cell>
          <cell r="C780" t="str">
            <v>LGUM_419</v>
          </cell>
          <cell r="E780" t="str">
            <v>RLS</v>
          </cell>
          <cell r="F780">
            <v>3271.68</v>
          </cell>
        </row>
        <row r="781">
          <cell r="B781" t="str">
            <v>JUL 2016</v>
          </cell>
          <cell r="C781" t="str">
            <v>LGUM_420</v>
          </cell>
          <cell r="E781" t="str">
            <v xml:space="preserve">LS </v>
          </cell>
          <cell r="F781">
            <v>2001.34</v>
          </cell>
        </row>
        <row r="782">
          <cell r="B782" t="str">
            <v>JUL 2016</v>
          </cell>
          <cell r="C782" t="str">
            <v>LGUM_421</v>
          </cell>
          <cell r="E782" t="str">
            <v xml:space="preserve">LS </v>
          </cell>
          <cell r="F782">
            <v>7797.24</v>
          </cell>
        </row>
        <row r="783">
          <cell r="B783" t="str">
            <v>JUL 2016</v>
          </cell>
          <cell r="C783" t="str">
            <v>LGUM_422</v>
          </cell>
          <cell r="E783" t="str">
            <v xml:space="preserve">LS </v>
          </cell>
          <cell r="F783">
            <v>18312.38</v>
          </cell>
        </row>
        <row r="784">
          <cell r="B784" t="str">
            <v>JUL 2016</v>
          </cell>
          <cell r="C784" t="str">
            <v>LGUM_423</v>
          </cell>
          <cell r="E784" t="str">
            <v xml:space="preserve">LS </v>
          </cell>
          <cell r="F784">
            <v>600.02</v>
          </cell>
        </row>
        <row r="785">
          <cell r="B785" t="str">
            <v>JUL 2016</v>
          </cell>
          <cell r="C785" t="str">
            <v>LGUM_424</v>
          </cell>
          <cell r="E785" t="str">
            <v xml:space="preserve">LS </v>
          </cell>
          <cell r="F785">
            <v>19248.64</v>
          </cell>
        </row>
        <row r="786">
          <cell r="B786" t="str">
            <v>JUL 2016</v>
          </cell>
          <cell r="C786" t="str">
            <v>LGUM_425</v>
          </cell>
          <cell r="E786" t="str">
            <v xml:space="preserve">LS </v>
          </cell>
          <cell r="F786">
            <v>1136.78</v>
          </cell>
        </row>
        <row r="787">
          <cell r="B787" t="str">
            <v>JUL 2016</v>
          </cell>
          <cell r="C787" t="str">
            <v>LGUM_426</v>
          </cell>
          <cell r="E787" t="str">
            <v>RLS</v>
          </cell>
          <cell r="F787">
            <v>1221.73</v>
          </cell>
        </row>
        <row r="788">
          <cell r="B788" t="str">
            <v>JUL 2016</v>
          </cell>
          <cell r="C788" t="str">
            <v>LGUM_427</v>
          </cell>
          <cell r="E788" t="str">
            <v xml:space="preserve">LS </v>
          </cell>
          <cell r="F788">
            <v>2110.0300000000002</v>
          </cell>
        </row>
        <row r="789">
          <cell r="B789" t="str">
            <v>JUL 2016</v>
          </cell>
          <cell r="C789" t="str">
            <v>LGUM_428</v>
          </cell>
          <cell r="E789" t="str">
            <v>RLS</v>
          </cell>
          <cell r="F789">
            <v>11324.32</v>
          </cell>
        </row>
        <row r="790">
          <cell r="B790" t="str">
            <v>JUL 2016</v>
          </cell>
          <cell r="C790" t="str">
            <v>LGUM_429</v>
          </cell>
          <cell r="E790" t="str">
            <v xml:space="preserve">LS </v>
          </cell>
          <cell r="F790">
            <v>10893.95</v>
          </cell>
        </row>
        <row r="791">
          <cell r="B791" t="str">
            <v>JUL 2016</v>
          </cell>
          <cell r="C791" t="str">
            <v>LGUM_430</v>
          </cell>
          <cell r="E791" t="str">
            <v>RLS</v>
          </cell>
          <cell r="F791">
            <v>454.12</v>
          </cell>
        </row>
        <row r="792">
          <cell r="B792" t="str">
            <v>JUL 2016</v>
          </cell>
          <cell r="C792" t="str">
            <v>LGUM_431</v>
          </cell>
          <cell r="E792" t="str">
            <v xml:space="preserve">LS </v>
          </cell>
          <cell r="F792">
            <v>2015.1</v>
          </cell>
        </row>
        <row r="793">
          <cell r="B793" t="str">
            <v>JUL 2016</v>
          </cell>
          <cell r="C793" t="str">
            <v>LGUM_432</v>
          </cell>
          <cell r="E793" t="str">
            <v>RLS</v>
          </cell>
          <cell r="F793">
            <v>374.84</v>
          </cell>
        </row>
        <row r="794">
          <cell r="B794" t="str">
            <v>JUL 2016</v>
          </cell>
          <cell r="C794" t="str">
            <v>LGUM_433</v>
          </cell>
          <cell r="E794" t="str">
            <v xml:space="preserve">LS </v>
          </cell>
          <cell r="F794">
            <v>8614.77</v>
          </cell>
        </row>
        <row r="795">
          <cell r="B795" t="str">
            <v>JUL 2016</v>
          </cell>
          <cell r="C795" t="str">
            <v>LGUM_440</v>
          </cell>
          <cell r="E795" t="str">
            <v xml:space="preserve">LS </v>
          </cell>
          <cell r="F795">
            <v>535.16999999999996</v>
          </cell>
        </row>
        <row r="796">
          <cell r="B796" t="str">
            <v>JUL 2016</v>
          </cell>
          <cell r="C796" t="str">
            <v>LGUM_441</v>
          </cell>
          <cell r="E796" t="str">
            <v xml:space="preserve">LS </v>
          </cell>
          <cell r="F796">
            <v>1243.1099999999999</v>
          </cell>
        </row>
        <row r="797">
          <cell r="B797" t="str">
            <v>JUL 2016</v>
          </cell>
          <cell r="C797" t="str">
            <v>LGUM_444</v>
          </cell>
          <cell r="E797" t="str">
            <v xml:space="preserve">LS </v>
          </cell>
          <cell r="F797">
            <v>249.2</v>
          </cell>
        </row>
        <row r="798">
          <cell r="B798" t="str">
            <v>JUL 2016</v>
          </cell>
          <cell r="C798" t="str">
            <v>LGUM_445</v>
          </cell>
          <cell r="E798" t="str">
            <v xml:space="preserve">LS </v>
          </cell>
          <cell r="F798">
            <v>469.08</v>
          </cell>
        </row>
        <row r="799">
          <cell r="B799" t="str">
            <v>JUL 2016</v>
          </cell>
          <cell r="C799" t="str">
            <v>LGUM_452</v>
          </cell>
          <cell r="E799" t="str">
            <v xml:space="preserve">LS </v>
          </cell>
          <cell r="F799">
            <v>99900.3</v>
          </cell>
        </row>
        <row r="800">
          <cell r="B800" t="str">
            <v>JUL 2016</v>
          </cell>
          <cell r="C800" t="str">
            <v>LGUM_453</v>
          </cell>
          <cell r="E800" t="str">
            <v xml:space="preserve">LS </v>
          </cell>
          <cell r="F800">
            <v>176608.98</v>
          </cell>
        </row>
        <row r="801">
          <cell r="B801" t="str">
            <v>JUL 2016</v>
          </cell>
          <cell r="C801" t="str">
            <v>LGUM_454</v>
          </cell>
          <cell r="E801" t="str">
            <v xml:space="preserve">LS </v>
          </cell>
          <cell r="F801">
            <v>108713.38</v>
          </cell>
        </row>
        <row r="802">
          <cell r="B802" t="str">
            <v>JUL 2016</v>
          </cell>
          <cell r="C802" t="str">
            <v>LGUM_455</v>
          </cell>
          <cell r="E802" t="str">
            <v xml:space="preserve">LS </v>
          </cell>
          <cell r="F802">
            <v>6301.75</v>
          </cell>
        </row>
        <row r="803">
          <cell r="B803" t="str">
            <v>JUL 2016</v>
          </cell>
          <cell r="C803" t="str">
            <v>LGUM_456</v>
          </cell>
          <cell r="E803" t="str">
            <v xml:space="preserve">LS </v>
          </cell>
          <cell r="F803">
            <v>263688.82</v>
          </cell>
        </row>
        <row r="804">
          <cell r="B804" t="str">
            <v>JUL 2016</v>
          </cell>
          <cell r="C804" t="str">
            <v>LGUM_457</v>
          </cell>
          <cell r="E804" t="str">
            <v xml:space="preserve">LS </v>
          </cell>
          <cell r="F804">
            <v>46313.1</v>
          </cell>
        </row>
        <row r="805">
          <cell r="B805" t="str">
            <v>JUL 2016</v>
          </cell>
          <cell r="C805" t="str">
            <v>LGUM_470</v>
          </cell>
          <cell r="E805" t="str">
            <v xml:space="preserve">LS </v>
          </cell>
          <cell r="F805">
            <v>661.69</v>
          </cell>
        </row>
        <row r="806">
          <cell r="B806" t="str">
            <v>JUL 2016</v>
          </cell>
          <cell r="C806" t="str">
            <v>LGUM_471</v>
          </cell>
          <cell r="E806" t="str">
            <v>RLS</v>
          </cell>
          <cell r="F806">
            <v>134.36000000000001</v>
          </cell>
        </row>
        <row r="807">
          <cell r="B807" t="str">
            <v>JUL 2016</v>
          </cell>
          <cell r="C807" t="str">
            <v>LGUM_473</v>
          </cell>
          <cell r="E807" t="str">
            <v xml:space="preserve">LS </v>
          </cell>
          <cell r="F807">
            <v>15361.17</v>
          </cell>
        </row>
        <row r="808">
          <cell r="B808" t="str">
            <v>JUL 2016</v>
          </cell>
          <cell r="C808" t="str">
            <v>LGUM_474</v>
          </cell>
          <cell r="E808" t="str">
            <v>RLS</v>
          </cell>
          <cell r="F808">
            <v>1110.76</v>
          </cell>
        </row>
        <row r="809">
          <cell r="B809" t="str">
            <v>JUL 2016</v>
          </cell>
          <cell r="C809" t="str">
            <v>LGUM_475</v>
          </cell>
          <cell r="E809" t="str">
            <v>RLS</v>
          </cell>
          <cell r="F809">
            <v>61.74</v>
          </cell>
        </row>
        <row r="810">
          <cell r="B810" t="str">
            <v>JUL 2016</v>
          </cell>
          <cell r="C810" t="str">
            <v>LGUM_476</v>
          </cell>
          <cell r="E810" t="str">
            <v xml:space="preserve">LS </v>
          </cell>
          <cell r="F810">
            <v>25191.3</v>
          </cell>
        </row>
        <row r="811">
          <cell r="B811" t="str">
            <v>JUL 2016</v>
          </cell>
          <cell r="C811" t="str">
            <v>LGUM_477</v>
          </cell>
          <cell r="E811" t="str">
            <v>RLS</v>
          </cell>
          <cell r="F811">
            <v>2929.66</v>
          </cell>
        </row>
        <row r="812">
          <cell r="B812" t="str">
            <v>JUL 2016</v>
          </cell>
          <cell r="C812" t="str">
            <v>LGUM_480</v>
          </cell>
          <cell r="E812" t="str">
            <v xml:space="preserve">LS </v>
          </cell>
          <cell r="F812">
            <v>597.89</v>
          </cell>
        </row>
        <row r="813">
          <cell r="B813" t="str">
            <v>JUL 2016</v>
          </cell>
          <cell r="C813" t="str">
            <v>LGUM_481</v>
          </cell>
          <cell r="E813" t="str">
            <v xml:space="preserve">LS </v>
          </cell>
          <cell r="F813">
            <v>270.06</v>
          </cell>
        </row>
        <row r="814">
          <cell r="B814" t="str">
            <v>JUL 2016</v>
          </cell>
          <cell r="C814" t="str">
            <v>LGUM_482</v>
          </cell>
          <cell r="E814" t="str">
            <v xml:space="preserve">LS </v>
          </cell>
          <cell r="F814">
            <v>3865.37</v>
          </cell>
        </row>
        <row r="815">
          <cell r="B815" t="str">
            <v>JUL 2016</v>
          </cell>
          <cell r="C815" t="str">
            <v>LGUM_483</v>
          </cell>
          <cell r="E815" t="str">
            <v xml:space="preserve">LS </v>
          </cell>
          <cell r="F815">
            <v>325.29000000000002</v>
          </cell>
        </row>
        <row r="816">
          <cell r="B816" t="str">
            <v>JUL 2016</v>
          </cell>
          <cell r="C816" t="str">
            <v>LGUM_484</v>
          </cell>
          <cell r="E816" t="str">
            <v xml:space="preserve">LS </v>
          </cell>
          <cell r="F816">
            <v>3857.7</v>
          </cell>
        </row>
        <row r="817">
          <cell r="B817" t="str">
            <v>AUG 2016</v>
          </cell>
          <cell r="C817" t="str">
            <v>LEUM_825</v>
          </cell>
          <cell r="E817" t="str">
            <v>EF</v>
          </cell>
          <cell r="F817">
            <v>48365.64</v>
          </cell>
        </row>
        <row r="818">
          <cell r="B818" t="str">
            <v>AUG 2016</v>
          </cell>
          <cell r="C818" t="str">
            <v>LEUM_826</v>
          </cell>
          <cell r="E818" t="str">
            <v>EF</v>
          </cell>
          <cell r="F818">
            <v>872.16</v>
          </cell>
        </row>
        <row r="819">
          <cell r="B819" t="str">
            <v>AUG 2016</v>
          </cell>
          <cell r="C819" t="str">
            <v>LEUM_828</v>
          </cell>
          <cell r="E819" t="str">
            <v>EF</v>
          </cell>
          <cell r="F819">
            <v>2811.7</v>
          </cell>
        </row>
        <row r="820">
          <cell r="B820" t="str">
            <v>AUG 2016</v>
          </cell>
          <cell r="C820" t="str">
            <v>LEUM_829</v>
          </cell>
          <cell r="E820" t="str">
            <v>EF</v>
          </cell>
          <cell r="F820">
            <v>5</v>
          </cell>
        </row>
        <row r="821">
          <cell r="B821" t="str">
            <v>AUG 2016</v>
          </cell>
          <cell r="C821" t="str">
            <v>LGCME000</v>
          </cell>
          <cell r="E821" t="str">
            <v>TS</v>
          </cell>
        </row>
        <row r="822">
          <cell r="B822" t="str">
            <v>AUG 2016</v>
          </cell>
          <cell r="C822" t="str">
            <v>LGCME451</v>
          </cell>
          <cell r="E822" t="str">
            <v>GSS</v>
          </cell>
          <cell r="F822">
            <v>704.69</v>
          </cell>
        </row>
        <row r="823">
          <cell r="B823" t="str">
            <v>AUG 2016</v>
          </cell>
          <cell r="C823" t="str">
            <v>LGCME551</v>
          </cell>
          <cell r="E823" t="str">
            <v>GSS</v>
          </cell>
          <cell r="F823">
            <v>-3863.1</v>
          </cell>
        </row>
        <row r="824">
          <cell r="B824" t="str">
            <v>AUG 2016</v>
          </cell>
          <cell r="C824" t="str">
            <v>LGCME551DS</v>
          </cell>
          <cell r="E824" t="str">
            <v>GSS</v>
          </cell>
          <cell r="F824">
            <v>4653317.6399999997</v>
          </cell>
        </row>
        <row r="825">
          <cell r="B825" t="str">
            <v>AUG 2016</v>
          </cell>
          <cell r="C825" t="str">
            <v>LGCME551UM</v>
          </cell>
          <cell r="E825" t="str">
            <v>GSS</v>
          </cell>
          <cell r="F825">
            <v>4123.9799999999996</v>
          </cell>
        </row>
        <row r="826">
          <cell r="B826" t="str">
            <v>AUG 2016</v>
          </cell>
          <cell r="C826" t="str">
            <v>LGCME552</v>
          </cell>
          <cell r="E826" t="str">
            <v>GSS</v>
          </cell>
          <cell r="F826">
            <v>14605.57</v>
          </cell>
        </row>
        <row r="827">
          <cell r="B827" t="str">
            <v>AUG 2016</v>
          </cell>
          <cell r="C827" t="str">
            <v>LGCME557</v>
          </cell>
          <cell r="E827" t="str">
            <v>GSS</v>
          </cell>
          <cell r="F827">
            <v>1724.9</v>
          </cell>
        </row>
        <row r="828">
          <cell r="B828" t="str">
            <v>AUG 2016</v>
          </cell>
          <cell r="C828" t="str">
            <v>LGCME561</v>
          </cell>
          <cell r="E828" t="str">
            <v>PSS</v>
          </cell>
          <cell r="F828">
            <v>-2825.43</v>
          </cell>
        </row>
        <row r="829">
          <cell r="B829" t="str">
            <v>AUG 2016</v>
          </cell>
          <cell r="C829" t="str">
            <v>LGCME561DS</v>
          </cell>
          <cell r="E829" t="str">
            <v>PSS</v>
          </cell>
          <cell r="F829">
            <v>13612589.359999999</v>
          </cell>
        </row>
        <row r="830">
          <cell r="B830" t="str">
            <v>AUG 2016</v>
          </cell>
          <cell r="C830" t="str">
            <v>LGCME561PF</v>
          </cell>
          <cell r="E830" t="str">
            <v>PSS</v>
          </cell>
          <cell r="F830">
            <v>2016216.57</v>
          </cell>
        </row>
        <row r="831">
          <cell r="B831" t="str">
            <v>AUG 2016</v>
          </cell>
          <cell r="C831" t="str">
            <v>LGCME563DS</v>
          </cell>
          <cell r="E831" t="str">
            <v>PSP</v>
          </cell>
          <cell r="F831">
            <v>731488.26</v>
          </cell>
        </row>
        <row r="832">
          <cell r="B832" t="str">
            <v>AUG 2016</v>
          </cell>
          <cell r="C832" t="str">
            <v>LGCME563PF</v>
          </cell>
          <cell r="E832" t="str">
            <v>PSP</v>
          </cell>
          <cell r="F832">
            <v>448816.56</v>
          </cell>
        </row>
        <row r="833">
          <cell r="B833" t="str">
            <v>AUG 2016</v>
          </cell>
          <cell r="C833" t="str">
            <v>LGCME567</v>
          </cell>
          <cell r="E833" t="str">
            <v>PSS</v>
          </cell>
          <cell r="F833">
            <v>12159.34</v>
          </cell>
        </row>
        <row r="834">
          <cell r="B834" t="str">
            <v>AUG 2016</v>
          </cell>
          <cell r="C834" t="str">
            <v>LGCME567PF</v>
          </cell>
          <cell r="E834" t="str">
            <v>PSS</v>
          </cell>
          <cell r="F834">
            <v>11763.37</v>
          </cell>
        </row>
        <row r="835">
          <cell r="B835" t="str">
            <v>AUG 2016</v>
          </cell>
          <cell r="C835" t="str">
            <v>LGCME591</v>
          </cell>
          <cell r="E835" t="str">
            <v>TODS</v>
          </cell>
          <cell r="F835">
            <v>6394227.5099999998</v>
          </cell>
        </row>
        <row r="836">
          <cell r="B836" t="str">
            <v>AUG 2016</v>
          </cell>
          <cell r="C836" t="str">
            <v>LGCME593</v>
          </cell>
          <cell r="E836" t="str">
            <v>CTODP</v>
          </cell>
          <cell r="F836">
            <v>4496512.3899999997</v>
          </cell>
        </row>
        <row r="837">
          <cell r="B837" t="str">
            <v>AUG 2016</v>
          </cell>
          <cell r="C837" t="str">
            <v>LGCME651</v>
          </cell>
          <cell r="E837" t="str">
            <v>GS3</v>
          </cell>
          <cell r="F837">
            <v>-492.21</v>
          </cell>
        </row>
        <row r="838">
          <cell r="B838" t="str">
            <v>AUG 2016</v>
          </cell>
          <cell r="C838" t="str">
            <v>LGCME651DS</v>
          </cell>
          <cell r="E838" t="str">
            <v>GS3</v>
          </cell>
          <cell r="F838">
            <v>10489330.23</v>
          </cell>
        </row>
        <row r="839">
          <cell r="B839" t="str">
            <v>AUG 2016</v>
          </cell>
          <cell r="C839" t="str">
            <v>LGCME652</v>
          </cell>
          <cell r="E839" t="str">
            <v>GS3</v>
          </cell>
          <cell r="F839">
            <v>197123.87</v>
          </cell>
        </row>
        <row r="840">
          <cell r="B840" t="str">
            <v>AUG 2016</v>
          </cell>
          <cell r="C840" t="str">
            <v>LGCME657</v>
          </cell>
          <cell r="E840" t="str">
            <v>GS3</v>
          </cell>
          <cell r="F840">
            <v>25442.1</v>
          </cell>
        </row>
        <row r="841">
          <cell r="B841" t="str">
            <v>AUG 2016</v>
          </cell>
          <cell r="C841" t="str">
            <v>LGCME671</v>
          </cell>
          <cell r="E841" t="str">
            <v>LWC</v>
          </cell>
          <cell r="F841">
            <v>294227.63</v>
          </cell>
        </row>
        <row r="842">
          <cell r="B842" t="str">
            <v>AUG 2016</v>
          </cell>
          <cell r="C842" t="str">
            <v>LGCSR790</v>
          </cell>
          <cell r="E842" t="str">
            <v>CSR</v>
          </cell>
          <cell r="F842">
            <v>-327783.87</v>
          </cell>
        </row>
        <row r="843">
          <cell r="B843" t="str">
            <v>AUG 2016</v>
          </cell>
          <cell r="C843" t="str">
            <v>LGINE000</v>
          </cell>
          <cell r="E843" t="str">
            <v>TS</v>
          </cell>
        </row>
        <row r="844">
          <cell r="B844" t="str">
            <v>AUG 2016</v>
          </cell>
          <cell r="C844" t="str">
            <v>LGINE551DS</v>
          </cell>
          <cell r="E844" t="str">
            <v>GSS</v>
          </cell>
          <cell r="F844">
            <v>20521.419999999998</v>
          </cell>
        </row>
        <row r="845">
          <cell r="B845" t="str">
            <v>AUG 2016</v>
          </cell>
          <cell r="C845" t="str">
            <v>LGINE599</v>
          </cell>
          <cell r="E845" t="str">
            <v>FK</v>
          </cell>
          <cell r="F845">
            <v>790309.01</v>
          </cell>
        </row>
        <row r="846">
          <cell r="B846" t="str">
            <v>AUG 2016</v>
          </cell>
          <cell r="C846" t="str">
            <v>LGINE643</v>
          </cell>
          <cell r="E846" t="str">
            <v>RTS</v>
          </cell>
          <cell r="F846">
            <v>5390911.8600000003</v>
          </cell>
        </row>
        <row r="847">
          <cell r="B847" t="str">
            <v>AUG 2016</v>
          </cell>
          <cell r="C847" t="str">
            <v>LGINE651DS</v>
          </cell>
          <cell r="E847" t="str">
            <v>GS3</v>
          </cell>
          <cell r="F847">
            <v>338874.45</v>
          </cell>
        </row>
        <row r="848">
          <cell r="B848" t="str">
            <v>AUG 2016</v>
          </cell>
          <cell r="C848" t="str">
            <v>LGINE661DS</v>
          </cell>
          <cell r="E848" t="str">
            <v>PSS</v>
          </cell>
          <cell r="F848">
            <v>175356.16</v>
          </cell>
        </row>
        <row r="849">
          <cell r="B849" t="str">
            <v>AUG 2016</v>
          </cell>
          <cell r="C849" t="str">
            <v>LGINE661PD</v>
          </cell>
          <cell r="E849" t="str">
            <v>PSS</v>
          </cell>
          <cell r="F849">
            <v>1705405.33</v>
          </cell>
        </row>
        <row r="850">
          <cell r="B850" t="str">
            <v>AUG 2016</v>
          </cell>
          <cell r="C850" t="str">
            <v>LGINE663PD</v>
          </cell>
          <cell r="E850" t="str">
            <v>PSP</v>
          </cell>
          <cell r="F850">
            <v>50574.38</v>
          </cell>
        </row>
        <row r="851">
          <cell r="B851" t="str">
            <v>AUG 2016</v>
          </cell>
          <cell r="C851" t="str">
            <v>LGINE691</v>
          </cell>
          <cell r="E851" t="str">
            <v>ITODS</v>
          </cell>
          <cell r="F851">
            <v>2116825.89</v>
          </cell>
        </row>
        <row r="852">
          <cell r="B852" t="str">
            <v>AUG 2016</v>
          </cell>
          <cell r="C852" t="str">
            <v>LGINE693</v>
          </cell>
          <cell r="E852" t="str">
            <v>ITODP</v>
          </cell>
          <cell r="F852">
            <v>6797171.7699999996</v>
          </cell>
        </row>
        <row r="853">
          <cell r="B853" t="str">
            <v>AUG 2016</v>
          </cell>
          <cell r="C853" t="str">
            <v>LGMLE570</v>
          </cell>
          <cell r="E853" t="str">
            <v>LE</v>
          </cell>
          <cell r="F853">
            <v>13.9</v>
          </cell>
        </row>
        <row r="854">
          <cell r="B854" t="str">
            <v>AUG 2016</v>
          </cell>
          <cell r="C854" t="str">
            <v>LGMLE571</v>
          </cell>
          <cell r="E854" t="str">
            <v>LE</v>
          </cell>
          <cell r="F854">
            <v>11272.47</v>
          </cell>
        </row>
        <row r="855">
          <cell r="B855" t="str">
            <v>AUG 2016</v>
          </cell>
          <cell r="C855" t="str">
            <v>LGMLE572</v>
          </cell>
          <cell r="E855" t="str">
            <v>LE</v>
          </cell>
          <cell r="F855">
            <v>5858.23</v>
          </cell>
        </row>
        <row r="856">
          <cell r="B856" t="str">
            <v>AUG 2016</v>
          </cell>
          <cell r="C856" t="str">
            <v>LGMLE573</v>
          </cell>
          <cell r="E856" t="str">
            <v>TE</v>
          </cell>
          <cell r="F856">
            <v>18546.169999999998</v>
          </cell>
        </row>
        <row r="857">
          <cell r="B857" t="str">
            <v>AUG 2016</v>
          </cell>
          <cell r="C857" t="str">
            <v>LGMLE574</v>
          </cell>
          <cell r="E857" t="str">
            <v>TE</v>
          </cell>
          <cell r="F857">
            <v>6116.38</v>
          </cell>
        </row>
        <row r="858">
          <cell r="B858" t="str">
            <v>AUG 2016</v>
          </cell>
          <cell r="C858" t="str">
            <v>LGRSE000</v>
          </cell>
          <cell r="E858" t="str">
            <v>TS</v>
          </cell>
        </row>
        <row r="859">
          <cell r="B859" t="str">
            <v>AUG 2016</v>
          </cell>
          <cell r="C859" t="str">
            <v>LGRSE411</v>
          </cell>
          <cell r="E859" t="str">
            <v>RS</v>
          </cell>
          <cell r="F859">
            <v>52886.76</v>
          </cell>
        </row>
        <row r="860">
          <cell r="B860" t="str">
            <v>AUG 2016</v>
          </cell>
          <cell r="C860" t="str">
            <v>LGRSE511</v>
          </cell>
          <cell r="E860" t="str">
            <v>RS</v>
          </cell>
          <cell r="F860">
            <v>51340627.369999997</v>
          </cell>
        </row>
        <row r="861">
          <cell r="B861" t="str">
            <v>AUG 2016</v>
          </cell>
          <cell r="C861" t="str">
            <v>LGRSE519</v>
          </cell>
          <cell r="E861" t="str">
            <v>RS</v>
          </cell>
          <cell r="F861">
            <v>25449.64</v>
          </cell>
        </row>
        <row r="862">
          <cell r="B862" t="str">
            <v>AUG 2016</v>
          </cell>
          <cell r="C862" t="str">
            <v>LGRSE521</v>
          </cell>
          <cell r="E862" t="str">
            <v>RTODE</v>
          </cell>
          <cell r="F862">
            <v>5386.69</v>
          </cell>
        </row>
        <row r="863">
          <cell r="B863" t="str">
            <v>AUG 2016</v>
          </cell>
          <cell r="C863" t="str">
            <v>LGRSE540</v>
          </cell>
          <cell r="E863" t="str">
            <v>VFD</v>
          </cell>
          <cell r="F863">
            <v>3378.61</v>
          </cell>
        </row>
        <row r="864">
          <cell r="B864" t="str">
            <v>AUG 2016</v>
          </cell>
          <cell r="C864" t="str">
            <v>LGUM_000</v>
          </cell>
          <cell r="E864" t="str">
            <v>TS</v>
          </cell>
        </row>
        <row r="865">
          <cell r="B865" t="str">
            <v>AUG 2016</v>
          </cell>
          <cell r="C865" t="str">
            <v>LGUM_201</v>
          </cell>
          <cell r="E865" t="str">
            <v>RLS</v>
          </cell>
          <cell r="F865">
            <v>706.31</v>
          </cell>
        </row>
        <row r="866">
          <cell r="B866" t="str">
            <v>AUG 2016</v>
          </cell>
          <cell r="C866" t="str">
            <v>LGUM_203</v>
          </cell>
          <cell r="E866" t="str">
            <v>RLS</v>
          </cell>
          <cell r="F866">
            <v>38226.47</v>
          </cell>
        </row>
        <row r="867">
          <cell r="B867" t="str">
            <v>AUG 2016</v>
          </cell>
          <cell r="C867" t="str">
            <v>LGUM_204</v>
          </cell>
          <cell r="E867" t="str">
            <v>RLS</v>
          </cell>
          <cell r="F867">
            <v>48378.74</v>
          </cell>
        </row>
        <row r="868">
          <cell r="B868" t="str">
            <v>AUG 2016</v>
          </cell>
          <cell r="C868" t="str">
            <v>LGUM_206</v>
          </cell>
          <cell r="E868" t="str">
            <v>RLS</v>
          </cell>
          <cell r="F868">
            <v>983.87</v>
          </cell>
        </row>
        <row r="869">
          <cell r="B869" t="str">
            <v>AUG 2016</v>
          </cell>
          <cell r="C869" t="str">
            <v>LGUM_207</v>
          </cell>
          <cell r="E869" t="str">
            <v>RLS</v>
          </cell>
          <cell r="F869">
            <v>11724.06</v>
          </cell>
        </row>
        <row r="870">
          <cell r="B870" t="str">
            <v>AUG 2016</v>
          </cell>
          <cell r="C870" t="str">
            <v>LGUM_208</v>
          </cell>
          <cell r="E870" t="str">
            <v>RLS</v>
          </cell>
          <cell r="F870">
            <v>20597.71</v>
          </cell>
        </row>
        <row r="871">
          <cell r="B871" t="str">
            <v>AUG 2016</v>
          </cell>
          <cell r="C871" t="str">
            <v>LGUM_209</v>
          </cell>
          <cell r="E871" t="str">
            <v>RLS</v>
          </cell>
          <cell r="F871">
            <v>952.08</v>
          </cell>
        </row>
        <row r="872">
          <cell r="B872" t="str">
            <v>AUG 2016</v>
          </cell>
          <cell r="C872" t="str">
            <v>LGUM_210</v>
          </cell>
          <cell r="E872" t="str">
            <v>RLS</v>
          </cell>
          <cell r="F872">
            <v>9621.51</v>
          </cell>
        </row>
        <row r="873">
          <cell r="B873" t="str">
            <v>AUG 2016</v>
          </cell>
          <cell r="C873" t="str">
            <v>LGUM_252</v>
          </cell>
          <cell r="E873" t="str">
            <v>RLS</v>
          </cell>
          <cell r="F873">
            <v>39040.629999999997</v>
          </cell>
        </row>
        <row r="874">
          <cell r="B874" t="str">
            <v>AUG 2016</v>
          </cell>
          <cell r="C874" t="str">
            <v>LGUM_266</v>
          </cell>
          <cell r="E874" t="str">
            <v>RLS</v>
          </cell>
          <cell r="F874">
            <v>61326.97</v>
          </cell>
        </row>
        <row r="875">
          <cell r="B875" t="str">
            <v>AUG 2016</v>
          </cell>
          <cell r="C875" t="str">
            <v>LGUM_267</v>
          </cell>
          <cell r="E875" t="str">
            <v>RLS</v>
          </cell>
          <cell r="F875">
            <v>78579.570000000007</v>
          </cell>
        </row>
        <row r="876">
          <cell r="B876" t="str">
            <v>AUG 2016</v>
          </cell>
          <cell r="C876" t="str">
            <v>LGUM_274</v>
          </cell>
          <cell r="E876" t="str">
            <v>RLS</v>
          </cell>
          <cell r="F876">
            <v>324651.73</v>
          </cell>
        </row>
        <row r="877">
          <cell r="B877" t="str">
            <v>AUG 2016</v>
          </cell>
          <cell r="C877" t="str">
            <v>LGUM_275</v>
          </cell>
          <cell r="E877" t="str">
            <v>RLS</v>
          </cell>
          <cell r="F877">
            <v>13191.09</v>
          </cell>
        </row>
        <row r="878">
          <cell r="B878" t="str">
            <v>AUG 2016</v>
          </cell>
          <cell r="C878" t="str">
            <v>LGUM_276</v>
          </cell>
          <cell r="E878" t="str">
            <v>RLS</v>
          </cell>
          <cell r="F878">
            <v>21676.54</v>
          </cell>
        </row>
        <row r="879">
          <cell r="B879" t="str">
            <v>AUG 2016</v>
          </cell>
          <cell r="C879" t="str">
            <v>LGUM_277</v>
          </cell>
          <cell r="E879" t="str">
            <v>RLS</v>
          </cell>
          <cell r="F879">
            <v>56426.45</v>
          </cell>
        </row>
        <row r="880">
          <cell r="B880" t="str">
            <v>AUG 2016</v>
          </cell>
          <cell r="C880" t="str">
            <v>LGUM_278</v>
          </cell>
          <cell r="E880" t="str">
            <v>RLS</v>
          </cell>
          <cell r="F880">
            <v>794.78</v>
          </cell>
        </row>
        <row r="881">
          <cell r="B881" t="str">
            <v>AUG 2016</v>
          </cell>
          <cell r="C881" t="str">
            <v>LGUM_279</v>
          </cell>
          <cell r="E881" t="str">
            <v>RLS</v>
          </cell>
          <cell r="F881">
            <v>280.82</v>
          </cell>
        </row>
        <row r="882">
          <cell r="B882" t="str">
            <v>AUG 2016</v>
          </cell>
          <cell r="C882" t="str">
            <v>LGUM_280</v>
          </cell>
          <cell r="E882" t="str">
            <v>RLS</v>
          </cell>
          <cell r="F882">
            <v>1754.68</v>
          </cell>
        </row>
        <row r="883">
          <cell r="B883" t="str">
            <v>AUG 2016</v>
          </cell>
          <cell r="C883" t="str">
            <v>LGUM_281</v>
          </cell>
          <cell r="E883" t="str">
            <v>RLS</v>
          </cell>
          <cell r="F883">
            <v>9410.3799999999992</v>
          </cell>
        </row>
        <row r="884">
          <cell r="B884" t="str">
            <v>AUG 2016</v>
          </cell>
          <cell r="C884" t="str">
            <v>LGUM_282</v>
          </cell>
          <cell r="E884" t="str">
            <v>RLS</v>
          </cell>
          <cell r="F884">
            <v>3320.37</v>
          </cell>
        </row>
        <row r="885">
          <cell r="B885" t="str">
            <v>AUG 2016</v>
          </cell>
          <cell r="C885" t="str">
            <v>LGUM_283</v>
          </cell>
          <cell r="E885" t="str">
            <v>RLS</v>
          </cell>
          <cell r="F885">
            <v>3636.64</v>
          </cell>
        </row>
        <row r="886">
          <cell r="B886" t="str">
            <v>AUG 2016</v>
          </cell>
          <cell r="C886" t="str">
            <v>LGUM_314</v>
          </cell>
          <cell r="E886" t="str">
            <v>RLS</v>
          </cell>
          <cell r="F886">
            <v>9288.16</v>
          </cell>
        </row>
        <row r="887">
          <cell r="B887" t="str">
            <v>AUG 2016</v>
          </cell>
          <cell r="C887" t="str">
            <v>LGUM_315</v>
          </cell>
          <cell r="E887" t="str">
            <v>RLS</v>
          </cell>
          <cell r="F887">
            <v>11034.37</v>
          </cell>
        </row>
        <row r="888">
          <cell r="B888" t="str">
            <v>AUG 2016</v>
          </cell>
          <cell r="C888" t="str">
            <v>LGUM_318</v>
          </cell>
          <cell r="E888" t="str">
            <v>RLS</v>
          </cell>
          <cell r="F888">
            <v>886.63</v>
          </cell>
        </row>
        <row r="889">
          <cell r="B889" t="str">
            <v>AUG 2016</v>
          </cell>
          <cell r="C889" t="str">
            <v>LGUM_348</v>
          </cell>
          <cell r="E889" t="str">
            <v>RLS</v>
          </cell>
          <cell r="F889">
            <v>563.42999999999995</v>
          </cell>
        </row>
        <row r="890">
          <cell r="B890" t="str">
            <v>AUG 2016</v>
          </cell>
          <cell r="C890" t="str">
            <v>LGUM_349</v>
          </cell>
          <cell r="E890" t="str">
            <v>RLS</v>
          </cell>
          <cell r="F890">
            <v>169.76</v>
          </cell>
        </row>
        <row r="891">
          <cell r="B891" t="str">
            <v>AUG 2016</v>
          </cell>
          <cell r="C891" t="str">
            <v>LGUM_400</v>
          </cell>
          <cell r="E891" t="str">
            <v xml:space="preserve">LS </v>
          </cell>
          <cell r="F891">
            <v>1569.37</v>
          </cell>
        </row>
        <row r="892">
          <cell r="B892" t="str">
            <v>AUG 2016</v>
          </cell>
          <cell r="C892" t="str">
            <v>LGUM_401</v>
          </cell>
          <cell r="E892" t="str">
            <v xml:space="preserve">LS </v>
          </cell>
          <cell r="F892">
            <v>900.75</v>
          </cell>
        </row>
        <row r="893">
          <cell r="B893" t="str">
            <v>AUG 2016</v>
          </cell>
          <cell r="C893" t="str">
            <v>LGUM_412</v>
          </cell>
          <cell r="E893" t="str">
            <v xml:space="preserve">LS </v>
          </cell>
          <cell r="F893">
            <v>4797.66</v>
          </cell>
        </row>
        <row r="894">
          <cell r="B894" t="str">
            <v>AUG 2016</v>
          </cell>
          <cell r="C894" t="str">
            <v>LGUM_413</v>
          </cell>
          <cell r="E894" t="str">
            <v xml:space="preserve">LS </v>
          </cell>
          <cell r="F894">
            <v>60142.59</v>
          </cell>
        </row>
        <row r="895">
          <cell r="B895" t="str">
            <v>AUG 2016</v>
          </cell>
          <cell r="C895" t="str">
            <v>LGUM_415</v>
          </cell>
          <cell r="E895" t="str">
            <v xml:space="preserve">LS </v>
          </cell>
          <cell r="F895">
            <v>1044.19</v>
          </cell>
        </row>
        <row r="896">
          <cell r="B896" t="str">
            <v>AUG 2016</v>
          </cell>
          <cell r="C896" t="str">
            <v>LGUM_416</v>
          </cell>
          <cell r="E896" t="str">
            <v xml:space="preserve">LS </v>
          </cell>
          <cell r="F896">
            <v>50247.29</v>
          </cell>
        </row>
        <row r="897">
          <cell r="B897" t="str">
            <v>AUG 2016</v>
          </cell>
          <cell r="C897" t="str">
            <v>LGUM_417</v>
          </cell>
          <cell r="E897" t="str">
            <v>RLS</v>
          </cell>
          <cell r="F897">
            <v>1269.7</v>
          </cell>
        </row>
        <row r="898">
          <cell r="B898" t="str">
            <v>AUG 2016</v>
          </cell>
          <cell r="C898" t="str">
            <v>LGUM_419</v>
          </cell>
          <cell r="E898" t="str">
            <v>RLS</v>
          </cell>
          <cell r="F898">
            <v>3273.78</v>
          </cell>
        </row>
        <row r="899">
          <cell r="B899" t="str">
            <v>AUG 2016</v>
          </cell>
          <cell r="C899" t="str">
            <v>LGUM_420</v>
          </cell>
          <cell r="E899" t="str">
            <v xml:space="preserve">LS </v>
          </cell>
          <cell r="F899">
            <v>2002.06</v>
          </cell>
        </row>
        <row r="900">
          <cell r="B900" t="str">
            <v>AUG 2016</v>
          </cell>
          <cell r="C900" t="str">
            <v>LGUM_421</v>
          </cell>
          <cell r="E900" t="str">
            <v xml:space="preserve">LS </v>
          </cell>
          <cell r="F900">
            <v>7799.83</v>
          </cell>
        </row>
        <row r="901">
          <cell r="B901" t="str">
            <v>AUG 2016</v>
          </cell>
          <cell r="C901" t="str">
            <v>LGUM_422</v>
          </cell>
          <cell r="E901" t="str">
            <v xml:space="preserve">LS </v>
          </cell>
          <cell r="F901">
            <v>18394.32</v>
          </cell>
        </row>
        <row r="902">
          <cell r="B902" t="str">
            <v>AUG 2016</v>
          </cell>
          <cell r="C902" t="str">
            <v>LGUM_423</v>
          </cell>
          <cell r="E902" t="str">
            <v xml:space="preserve">LS </v>
          </cell>
          <cell r="F902">
            <v>600.05999999999995</v>
          </cell>
        </row>
        <row r="903">
          <cell r="B903" t="str">
            <v>AUG 2016</v>
          </cell>
          <cell r="C903" t="str">
            <v>LGUM_424</v>
          </cell>
          <cell r="E903" t="str">
            <v xml:space="preserve">LS </v>
          </cell>
          <cell r="F903">
            <v>19412.36</v>
          </cell>
        </row>
        <row r="904">
          <cell r="B904" t="str">
            <v>AUG 2016</v>
          </cell>
          <cell r="C904" t="str">
            <v>LGUM_425</v>
          </cell>
          <cell r="E904" t="str">
            <v xml:space="preserve">LS </v>
          </cell>
          <cell r="F904">
            <v>1654.44</v>
          </cell>
        </row>
        <row r="905">
          <cell r="B905" t="str">
            <v>AUG 2016</v>
          </cell>
          <cell r="C905" t="str">
            <v>LGUM_426</v>
          </cell>
          <cell r="E905" t="str">
            <v>RLS</v>
          </cell>
          <cell r="F905">
            <v>1221.04</v>
          </cell>
        </row>
        <row r="906">
          <cell r="B906" t="str">
            <v>AUG 2016</v>
          </cell>
          <cell r="C906" t="str">
            <v>LGUM_427</v>
          </cell>
          <cell r="E906" t="str">
            <v xml:space="preserve">LS </v>
          </cell>
          <cell r="F906">
            <v>2108.5500000000002</v>
          </cell>
        </row>
        <row r="907">
          <cell r="B907" t="str">
            <v>AUG 2016</v>
          </cell>
          <cell r="C907" t="str">
            <v>LGUM_428</v>
          </cell>
          <cell r="E907" t="str">
            <v>RLS</v>
          </cell>
          <cell r="F907">
            <v>11441.67</v>
          </cell>
        </row>
        <row r="908">
          <cell r="B908" t="str">
            <v>AUG 2016</v>
          </cell>
          <cell r="C908" t="str">
            <v>LGUM_429</v>
          </cell>
          <cell r="E908" t="str">
            <v xml:space="preserve">LS </v>
          </cell>
          <cell r="F908">
            <v>11160.79</v>
          </cell>
        </row>
        <row r="909">
          <cell r="B909" t="str">
            <v>AUG 2016</v>
          </cell>
          <cell r="C909" t="str">
            <v>LGUM_430</v>
          </cell>
          <cell r="E909" t="str">
            <v>RLS</v>
          </cell>
          <cell r="F909">
            <v>453.66</v>
          </cell>
        </row>
        <row r="910">
          <cell r="B910" t="str">
            <v>AUG 2016</v>
          </cell>
          <cell r="C910" t="str">
            <v>LGUM_431</v>
          </cell>
          <cell r="E910" t="str">
            <v xml:space="preserve">LS </v>
          </cell>
          <cell r="F910">
            <v>2013.61</v>
          </cell>
        </row>
        <row r="911">
          <cell r="B911" t="str">
            <v>AUG 2016</v>
          </cell>
          <cell r="C911" t="str">
            <v>LGUM_432</v>
          </cell>
          <cell r="E911" t="str">
            <v>RLS</v>
          </cell>
          <cell r="F911">
            <v>374.65</v>
          </cell>
        </row>
        <row r="912">
          <cell r="B912" t="str">
            <v>AUG 2016</v>
          </cell>
          <cell r="C912" t="str">
            <v>LGUM_433</v>
          </cell>
          <cell r="E912" t="str">
            <v xml:space="preserve">LS </v>
          </cell>
          <cell r="F912">
            <v>11312.52</v>
          </cell>
        </row>
        <row r="913">
          <cell r="B913" t="str">
            <v>AUG 2016</v>
          </cell>
          <cell r="C913" t="str">
            <v>LGUM_440</v>
          </cell>
          <cell r="E913" t="str">
            <v xml:space="preserve">LS </v>
          </cell>
          <cell r="F913">
            <v>524.63</v>
          </cell>
        </row>
        <row r="914">
          <cell r="B914" t="str">
            <v>AUG 2016</v>
          </cell>
          <cell r="C914" t="str">
            <v>LGUM_441</v>
          </cell>
          <cell r="E914" t="str">
            <v xml:space="preserve">LS </v>
          </cell>
          <cell r="F914">
            <v>1248.69</v>
          </cell>
        </row>
        <row r="915">
          <cell r="B915" t="str">
            <v>AUG 2016</v>
          </cell>
          <cell r="C915" t="str">
            <v>LGUM_444</v>
          </cell>
          <cell r="E915" t="str">
            <v xml:space="preserve">LS </v>
          </cell>
          <cell r="F915">
            <v>249.37</v>
          </cell>
        </row>
        <row r="916">
          <cell r="B916" t="str">
            <v>AUG 2016</v>
          </cell>
          <cell r="C916" t="str">
            <v>LGUM_445</v>
          </cell>
          <cell r="E916" t="str">
            <v xml:space="preserve">LS </v>
          </cell>
          <cell r="F916">
            <v>469.37</v>
          </cell>
        </row>
        <row r="917">
          <cell r="B917" t="str">
            <v>AUG 2016</v>
          </cell>
          <cell r="C917" t="str">
            <v>LGUM_452</v>
          </cell>
          <cell r="E917" t="str">
            <v xml:space="preserve">LS </v>
          </cell>
          <cell r="F917">
            <v>100510.51</v>
          </cell>
        </row>
        <row r="918">
          <cell r="B918" t="str">
            <v>AUG 2016</v>
          </cell>
          <cell r="C918" t="str">
            <v>LGUM_453</v>
          </cell>
          <cell r="E918" t="str">
            <v xml:space="preserve">LS </v>
          </cell>
          <cell r="F918">
            <v>177966.37</v>
          </cell>
        </row>
        <row r="919">
          <cell r="B919" t="str">
            <v>AUG 2016</v>
          </cell>
          <cell r="C919" t="str">
            <v>LGUM_454</v>
          </cell>
          <cell r="E919" t="str">
            <v xml:space="preserve">LS </v>
          </cell>
          <cell r="F919">
            <v>109257.43</v>
          </cell>
        </row>
        <row r="920">
          <cell r="B920" t="str">
            <v>AUG 2016</v>
          </cell>
          <cell r="C920" t="str">
            <v>LGUM_455</v>
          </cell>
          <cell r="E920" t="str">
            <v xml:space="preserve">LS </v>
          </cell>
          <cell r="F920">
            <v>6516.53</v>
          </cell>
        </row>
        <row r="921">
          <cell r="B921" t="str">
            <v>AUG 2016</v>
          </cell>
          <cell r="C921" t="str">
            <v>LGUM_456</v>
          </cell>
          <cell r="E921" t="str">
            <v xml:space="preserve">LS </v>
          </cell>
          <cell r="F921">
            <v>269565.09999999998</v>
          </cell>
        </row>
        <row r="922">
          <cell r="B922" t="str">
            <v>AUG 2016</v>
          </cell>
          <cell r="C922" t="str">
            <v>LGUM_457</v>
          </cell>
          <cell r="E922" t="str">
            <v xml:space="preserve">LS </v>
          </cell>
          <cell r="F922">
            <v>46612.18</v>
          </cell>
        </row>
        <row r="923">
          <cell r="B923" t="str">
            <v>AUG 2016</v>
          </cell>
          <cell r="C923" t="str">
            <v>LGUM_470</v>
          </cell>
          <cell r="E923" t="str">
            <v xml:space="preserve">LS </v>
          </cell>
          <cell r="F923">
            <v>609.91</v>
          </cell>
        </row>
        <row r="924">
          <cell r="B924" t="str">
            <v>AUG 2016</v>
          </cell>
          <cell r="C924" t="str">
            <v>LGUM_471</v>
          </cell>
          <cell r="E924" t="str">
            <v>RLS</v>
          </cell>
          <cell r="F924">
            <v>134.44999999999999</v>
          </cell>
        </row>
        <row r="925">
          <cell r="B925" t="str">
            <v>AUG 2016</v>
          </cell>
          <cell r="C925" t="str">
            <v>LGUM_473</v>
          </cell>
          <cell r="E925" t="str">
            <v xml:space="preserve">LS </v>
          </cell>
          <cell r="F925">
            <v>16015.69</v>
          </cell>
        </row>
        <row r="926">
          <cell r="B926" t="str">
            <v>AUG 2016</v>
          </cell>
          <cell r="C926" t="str">
            <v>LGUM_474</v>
          </cell>
          <cell r="E926" t="str">
            <v>RLS</v>
          </cell>
          <cell r="F926">
            <v>1113.92</v>
          </cell>
        </row>
        <row r="927">
          <cell r="B927" t="str">
            <v>AUG 2016</v>
          </cell>
          <cell r="C927" t="str">
            <v>LGUM_475</v>
          </cell>
          <cell r="E927" t="str">
            <v>RLS</v>
          </cell>
          <cell r="F927">
            <v>61.86</v>
          </cell>
        </row>
        <row r="928">
          <cell r="B928" t="str">
            <v>AUG 2016</v>
          </cell>
          <cell r="C928" t="str">
            <v>LGUM_476</v>
          </cell>
          <cell r="E928" t="str">
            <v xml:space="preserve">LS </v>
          </cell>
          <cell r="F928">
            <v>26206.15</v>
          </cell>
        </row>
        <row r="929">
          <cell r="B929" t="str">
            <v>AUG 2016</v>
          </cell>
          <cell r="C929" t="str">
            <v>LGUM_477</v>
          </cell>
          <cell r="E929" t="str">
            <v>RLS</v>
          </cell>
          <cell r="F929">
            <v>2851</v>
          </cell>
        </row>
        <row r="930">
          <cell r="B930" t="str">
            <v>AUG 2016</v>
          </cell>
          <cell r="C930" t="str">
            <v>LGUM_480</v>
          </cell>
          <cell r="E930" t="str">
            <v xml:space="preserve">LS </v>
          </cell>
          <cell r="F930">
            <v>598.02</v>
          </cell>
        </row>
        <row r="931">
          <cell r="B931" t="str">
            <v>AUG 2016</v>
          </cell>
          <cell r="C931" t="str">
            <v>LGUM_481</v>
          </cell>
          <cell r="E931" t="str">
            <v xml:space="preserve">LS </v>
          </cell>
          <cell r="F931">
            <v>270.8</v>
          </cell>
        </row>
        <row r="932">
          <cell r="B932" t="str">
            <v>AUG 2016</v>
          </cell>
          <cell r="C932" t="str">
            <v>LGUM_482</v>
          </cell>
          <cell r="E932" t="str">
            <v xml:space="preserve">LS </v>
          </cell>
          <cell r="F932">
            <v>3871.42</v>
          </cell>
        </row>
        <row r="933">
          <cell r="B933" t="str">
            <v>AUG 2016</v>
          </cell>
          <cell r="C933" t="str">
            <v>LGUM_483</v>
          </cell>
          <cell r="E933" t="str">
            <v xml:space="preserve">LS </v>
          </cell>
          <cell r="F933">
            <v>326.8</v>
          </cell>
        </row>
        <row r="934">
          <cell r="B934" t="str">
            <v>AUG 2016</v>
          </cell>
          <cell r="C934" t="str">
            <v>LGUM_484</v>
          </cell>
          <cell r="E934" t="str">
            <v xml:space="preserve">LS </v>
          </cell>
          <cell r="F934">
            <v>3868.34</v>
          </cell>
        </row>
      </sheetData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 tint="-0.499984740745262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A1"/>
  <sheetViews>
    <sheetView workbookViewId="0">
      <selection activeCell="L9" sqref="L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theme="5" tint="0.39997558519241921"/>
  </sheetPr>
  <dimension ref="A1:BD450"/>
  <sheetViews>
    <sheetView topLeftCell="AG1" workbookViewId="0">
      <selection activeCell="S41" sqref="S41"/>
    </sheetView>
  </sheetViews>
  <sheetFormatPr defaultRowHeight="15" x14ac:dyDescent="0.25"/>
  <cols>
    <col min="1" max="3" width="9.140625" style="8"/>
    <col min="4" max="4" width="14" style="8" bestFit="1" customWidth="1"/>
    <col min="5" max="5" width="9.140625" style="8"/>
    <col min="6" max="6" width="46.140625" style="8" customWidth="1"/>
    <col min="7" max="10" width="11.85546875" style="8" customWidth="1"/>
    <col min="11" max="11" width="13.85546875" style="8" customWidth="1"/>
    <col min="12" max="15" width="11.42578125" style="8" customWidth="1"/>
    <col min="16" max="26" width="11.140625" style="8" customWidth="1"/>
    <col min="27" max="27" width="14.42578125" style="8" customWidth="1"/>
    <col min="28" max="29" width="15.28515625" style="8" customWidth="1"/>
    <col min="30" max="30" width="16.42578125" style="8" customWidth="1"/>
    <col min="31" max="33" width="15.5703125" style="8" customWidth="1"/>
    <col min="34" max="34" width="13.5703125" style="8" customWidth="1"/>
    <col min="35" max="35" width="17.28515625" style="8" customWidth="1"/>
    <col min="36" max="36" width="14" style="8" customWidth="1"/>
    <col min="37" max="37" width="13.5703125" style="8" customWidth="1"/>
    <col min="38" max="38" width="16.5703125" style="8" customWidth="1"/>
    <col min="39" max="39" width="17.28515625" style="8" customWidth="1"/>
    <col min="40" max="40" width="17.140625" style="8" bestFit="1" customWidth="1"/>
    <col min="41" max="41" width="15.85546875" style="8" customWidth="1"/>
    <col min="42" max="42" width="15" style="8" bestFit="1" customWidth="1"/>
    <col min="43" max="43" width="17.140625" style="8" bestFit="1" customWidth="1"/>
    <col min="44" max="44" width="14.42578125" style="8" bestFit="1" customWidth="1"/>
    <col min="45" max="45" width="13.5703125" style="8" bestFit="1" customWidth="1"/>
    <col min="46" max="46" width="16.42578125" style="8" bestFit="1" customWidth="1"/>
    <col min="47" max="47" width="16" style="8" bestFit="1" customWidth="1"/>
    <col min="48" max="48" width="15" style="8" bestFit="1" customWidth="1"/>
    <col min="49" max="49" width="16.5703125" style="8" bestFit="1" customWidth="1"/>
    <col min="50" max="50" width="14.28515625" bestFit="1" customWidth="1"/>
    <col min="51" max="51" width="16" customWidth="1"/>
    <col min="52" max="52" width="14.42578125" bestFit="1" customWidth="1"/>
    <col min="53" max="53" width="15.42578125" bestFit="1" customWidth="1"/>
    <col min="54" max="54" width="14" customWidth="1"/>
  </cols>
  <sheetData>
    <row r="1" spans="1:56" s="8" customFormat="1" x14ac:dyDescent="0.25">
      <c r="A1" s="1" t="s">
        <v>511</v>
      </c>
      <c r="B1" s="1"/>
      <c r="C1" s="1"/>
      <c r="D1" s="1"/>
      <c r="E1" s="2"/>
      <c r="F1" s="2"/>
      <c r="G1" s="12"/>
      <c r="H1" s="12"/>
      <c r="I1" s="12"/>
      <c r="J1" s="12"/>
      <c r="K1" s="12"/>
      <c r="L1" s="12"/>
      <c r="M1" s="12"/>
      <c r="N1" s="12"/>
      <c r="O1" s="12"/>
      <c r="P1" s="12"/>
      <c r="Q1" s="899"/>
      <c r="R1" s="899"/>
      <c r="S1" s="899"/>
      <c r="T1" s="899"/>
      <c r="U1" s="899"/>
      <c r="V1" s="899"/>
      <c r="W1" s="899"/>
      <c r="X1" s="899"/>
      <c r="Y1" s="899"/>
      <c r="Z1" s="899"/>
      <c r="AA1" s="12"/>
      <c r="AB1" s="23"/>
      <c r="AC1" s="23"/>
      <c r="AD1" s="23"/>
      <c r="AE1" s="12"/>
      <c r="AF1" s="12"/>
      <c r="AG1" s="12"/>
      <c r="AH1" s="12"/>
      <c r="AI1" s="12"/>
      <c r="AJ1" s="12"/>
      <c r="AK1" s="12"/>
      <c r="AL1" s="12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/>
      <c r="AZ1"/>
      <c r="BA1"/>
      <c r="BB1"/>
      <c r="BC1"/>
      <c r="BD1"/>
    </row>
    <row r="2" spans="1:56" s="8" customFormat="1" x14ac:dyDescent="0.25">
      <c r="A2" s="1"/>
      <c r="B2" s="1"/>
      <c r="C2" s="1"/>
      <c r="D2" s="1"/>
      <c r="E2" s="2"/>
      <c r="F2" s="2"/>
      <c r="G2" s="12"/>
      <c r="H2" s="12"/>
      <c r="I2" s="12"/>
      <c r="J2" s="12"/>
      <c r="K2" s="12"/>
      <c r="L2" s="12"/>
      <c r="M2" s="12"/>
      <c r="N2" s="12"/>
      <c r="O2" s="12"/>
      <c r="P2" s="12"/>
      <c r="Q2" s="899"/>
      <c r="R2" s="899"/>
      <c r="S2" s="899"/>
      <c r="T2" s="899"/>
      <c r="U2" s="899"/>
      <c r="V2" s="899"/>
      <c r="W2" s="899"/>
      <c r="X2" s="899"/>
      <c r="Y2" s="899"/>
      <c r="Z2" s="899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/>
      <c r="AZ2"/>
      <c r="BA2"/>
      <c r="BB2"/>
      <c r="BC2"/>
      <c r="BD2"/>
    </row>
    <row r="3" spans="1:56" s="43" customFormat="1" ht="15.75" thickBot="1" x14ac:dyDescent="0.3">
      <c r="A3" s="2">
        <v>1</v>
      </c>
      <c r="B3" s="2">
        <f>1+A3</f>
        <v>2</v>
      </c>
      <c r="C3" s="2"/>
      <c r="D3" s="2">
        <f>1+B3</f>
        <v>3</v>
      </c>
      <c r="E3" s="2">
        <f>1+D3</f>
        <v>4</v>
      </c>
      <c r="F3" s="2">
        <f>1+E3</f>
        <v>5</v>
      </c>
      <c r="G3" s="40">
        <f>F3+1</f>
        <v>6</v>
      </c>
      <c r="H3" s="40">
        <f>+G3+1</f>
        <v>7</v>
      </c>
      <c r="I3" s="40">
        <f t="shared" ref="I3:Z3" si="0">+H3+1</f>
        <v>8</v>
      </c>
      <c r="J3" s="40">
        <f t="shared" si="0"/>
        <v>9</v>
      </c>
      <c r="K3" s="40">
        <f t="shared" si="0"/>
        <v>10</v>
      </c>
      <c r="L3" s="40">
        <f t="shared" si="0"/>
        <v>11</v>
      </c>
      <c r="M3" s="40">
        <f t="shared" si="0"/>
        <v>12</v>
      </c>
      <c r="N3" s="40">
        <f t="shared" si="0"/>
        <v>13</v>
      </c>
      <c r="O3" s="40">
        <f t="shared" si="0"/>
        <v>14</v>
      </c>
      <c r="P3" s="40">
        <f t="shared" si="0"/>
        <v>15</v>
      </c>
      <c r="Q3" s="900">
        <f t="shared" si="0"/>
        <v>16</v>
      </c>
      <c r="R3" s="900">
        <f t="shared" si="0"/>
        <v>17</v>
      </c>
      <c r="S3" s="900">
        <f t="shared" si="0"/>
        <v>18</v>
      </c>
      <c r="T3" s="900">
        <f t="shared" si="0"/>
        <v>19</v>
      </c>
      <c r="U3" s="900">
        <f t="shared" si="0"/>
        <v>20</v>
      </c>
      <c r="V3" s="900">
        <f t="shared" si="0"/>
        <v>21</v>
      </c>
      <c r="W3" s="900">
        <f t="shared" si="0"/>
        <v>22</v>
      </c>
      <c r="X3" s="900">
        <f t="shared" si="0"/>
        <v>23</v>
      </c>
      <c r="Y3" s="900">
        <f t="shared" si="0"/>
        <v>24</v>
      </c>
      <c r="Z3" s="900">
        <f t="shared" si="0"/>
        <v>25</v>
      </c>
      <c r="AA3" s="40">
        <f>Z3+1</f>
        <v>26</v>
      </c>
      <c r="AB3" s="40">
        <f>+AA3+1</f>
        <v>27</v>
      </c>
      <c r="AC3" s="40">
        <f>+AB3+1</f>
        <v>28</v>
      </c>
      <c r="AD3" s="40">
        <f>+AC3+1</f>
        <v>29</v>
      </c>
      <c r="AE3" s="40">
        <f>+AD3+1</f>
        <v>30</v>
      </c>
      <c r="AF3" s="40">
        <f>AE3+1</f>
        <v>31</v>
      </c>
      <c r="AG3" s="40">
        <f>AF3+1</f>
        <v>32</v>
      </c>
      <c r="AH3" s="40">
        <f t="shared" ref="AH3:AL3" si="1">AG3+1</f>
        <v>33</v>
      </c>
      <c r="AI3" s="40">
        <f t="shared" si="1"/>
        <v>34</v>
      </c>
      <c r="AJ3" s="40">
        <f t="shared" si="1"/>
        <v>35</v>
      </c>
      <c r="AK3" s="40">
        <f t="shared" si="1"/>
        <v>36</v>
      </c>
      <c r="AL3" s="40">
        <f t="shared" si="1"/>
        <v>37</v>
      </c>
      <c r="AM3" s="222">
        <f>AL3+1</f>
        <v>38</v>
      </c>
      <c r="AN3" s="222">
        <f t="shared" ref="AN3:AV3" si="2">1+AM3</f>
        <v>39</v>
      </c>
      <c r="AO3" s="222">
        <f t="shared" si="2"/>
        <v>40</v>
      </c>
      <c r="AP3" s="222">
        <f t="shared" si="2"/>
        <v>41</v>
      </c>
      <c r="AQ3" s="222">
        <f t="shared" si="2"/>
        <v>42</v>
      </c>
      <c r="AR3" s="222">
        <f t="shared" si="2"/>
        <v>43</v>
      </c>
      <c r="AS3" s="222">
        <f t="shared" si="2"/>
        <v>44</v>
      </c>
      <c r="AT3" s="222">
        <f t="shared" si="2"/>
        <v>45</v>
      </c>
      <c r="AU3" s="222">
        <f t="shared" si="2"/>
        <v>46</v>
      </c>
      <c r="AV3" s="222">
        <f t="shared" si="2"/>
        <v>47</v>
      </c>
      <c r="AW3" s="222">
        <f>1+AV3</f>
        <v>48</v>
      </c>
      <c r="AX3" s="222">
        <f>AW3+1</f>
        <v>49</v>
      </c>
      <c r="AY3"/>
      <c r="AZ3"/>
      <c r="BA3"/>
      <c r="BB3"/>
      <c r="BC3"/>
      <c r="BD3"/>
    </row>
    <row r="4" spans="1:56" s="8" customFormat="1" x14ac:dyDescent="0.25">
      <c r="A4" s="3"/>
      <c r="B4" s="4"/>
      <c r="C4" s="4"/>
      <c r="D4" s="4"/>
      <c r="E4" s="4"/>
      <c r="F4" s="4"/>
      <c r="G4" s="921" t="s">
        <v>655</v>
      </c>
      <c r="H4" s="922"/>
      <c r="I4" s="922"/>
      <c r="J4" s="922"/>
      <c r="K4" s="922"/>
      <c r="L4" s="922"/>
      <c r="M4" s="922"/>
      <c r="N4" s="922"/>
      <c r="O4" s="922"/>
      <c r="P4" s="923"/>
      <c r="Q4" s="924" t="s">
        <v>211</v>
      </c>
      <c r="R4" s="925"/>
      <c r="S4" s="925"/>
      <c r="T4" s="925"/>
      <c r="U4" s="925"/>
      <c r="V4" s="925"/>
      <c r="W4" s="925"/>
      <c r="X4" s="925"/>
      <c r="Y4" s="925"/>
      <c r="Z4" s="926"/>
      <c r="AA4" s="921" t="s">
        <v>654</v>
      </c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3"/>
      <c r="AM4" s="16" t="s">
        <v>94</v>
      </c>
      <c r="AN4" s="17"/>
      <c r="AO4" s="17"/>
      <c r="AP4" s="17"/>
      <c r="AQ4" s="17"/>
      <c r="AR4" s="17"/>
      <c r="AS4" s="17"/>
      <c r="AT4" s="17"/>
      <c r="AU4" s="17"/>
      <c r="AV4" s="17"/>
      <c r="AW4" s="15"/>
      <c r="AX4" s="15"/>
      <c r="AY4"/>
      <c r="AZ4"/>
      <c r="BA4"/>
      <c r="BB4"/>
      <c r="BC4"/>
      <c r="BD4"/>
    </row>
    <row r="5" spans="1:56" s="8" customFormat="1" ht="16.5" x14ac:dyDescent="0.35">
      <c r="A5" s="3"/>
      <c r="B5" s="4"/>
      <c r="C5" s="4"/>
      <c r="D5" s="4"/>
      <c r="E5" s="4"/>
      <c r="F5" s="4"/>
      <c r="G5" s="896"/>
      <c r="H5" s="897"/>
      <c r="I5" s="897"/>
      <c r="J5" s="897"/>
      <c r="K5" s="927" t="s">
        <v>1091</v>
      </c>
      <c r="L5" s="927"/>
      <c r="M5" s="927"/>
      <c r="N5" s="927"/>
      <c r="O5" s="927"/>
      <c r="P5" s="928"/>
      <c r="Q5" s="901"/>
      <c r="R5" s="901"/>
      <c r="S5" s="901"/>
      <c r="T5" s="901"/>
      <c r="U5" s="901"/>
      <c r="V5" s="901"/>
      <c r="W5" s="901"/>
      <c r="X5" s="901"/>
      <c r="Y5" s="901"/>
      <c r="Z5" s="901"/>
      <c r="AA5" s="896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8"/>
      <c r="AM5" s="16"/>
      <c r="AN5" s="17"/>
      <c r="AO5" s="17"/>
      <c r="AP5" s="17"/>
      <c r="AQ5" s="17"/>
      <c r="AR5" s="17"/>
      <c r="AS5" s="17"/>
      <c r="AT5" s="17"/>
      <c r="AU5" s="17"/>
      <c r="AV5" s="17"/>
      <c r="AW5" s="15"/>
      <c r="AX5" s="15"/>
      <c r="AY5"/>
      <c r="AZ5"/>
      <c r="BA5"/>
      <c r="BB5"/>
      <c r="BC5"/>
      <c r="BD5"/>
    </row>
    <row r="6" spans="1:56" s="8" customFormat="1" ht="49.5" customHeight="1" thickBot="1" x14ac:dyDescent="0.3">
      <c r="A6" s="5" t="s">
        <v>86</v>
      </c>
      <c r="B6" s="6" t="s">
        <v>84</v>
      </c>
      <c r="C6" s="6"/>
      <c r="D6" s="6" t="s">
        <v>8</v>
      </c>
      <c r="E6" s="5" t="s">
        <v>87</v>
      </c>
      <c r="F6" s="5" t="s">
        <v>88</v>
      </c>
      <c r="G6" s="525" t="s">
        <v>122</v>
      </c>
      <c r="H6" s="395" t="s">
        <v>123</v>
      </c>
      <c r="I6" s="395" t="s">
        <v>1026</v>
      </c>
      <c r="J6" s="395" t="s">
        <v>1027</v>
      </c>
      <c r="K6" s="396" t="s">
        <v>95</v>
      </c>
      <c r="L6" s="396" t="s">
        <v>96</v>
      </c>
      <c r="M6" s="396" t="s">
        <v>1075</v>
      </c>
      <c r="N6" s="396" t="s">
        <v>1076</v>
      </c>
      <c r="O6" s="396" t="s">
        <v>1077</v>
      </c>
      <c r="P6" s="526" t="s">
        <v>1078</v>
      </c>
      <c r="Q6" s="902" t="s">
        <v>124</v>
      </c>
      <c r="R6" s="902" t="s">
        <v>125</v>
      </c>
      <c r="S6" s="902" t="s">
        <v>126</v>
      </c>
      <c r="T6" s="902" t="s">
        <v>100</v>
      </c>
      <c r="U6" s="902" t="s">
        <v>1087</v>
      </c>
      <c r="V6" s="902" t="s">
        <v>1088</v>
      </c>
      <c r="W6" s="902" t="s">
        <v>1089</v>
      </c>
      <c r="X6" s="902" t="s">
        <v>1090</v>
      </c>
      <c r="Y6" s="902" t="s">
        <v>154</v>
      </c>
      <c r="Z6" s="902" t="s">
        <v>92</v>
      </c>
      <c r="AA6" s="525" t="s">
        <v>126</v>
      </c>
      <c r="AB6" s="396" t="s">
        <v>100</v>
      </c>
      <c r="AC6" s="396" t="s">
        <v>667</v>
      </c>
      <c r="AD6" s="396" t="s">
        <v>1083</v>
      </c>
      <c r="AE6" s="396" t="s">
        <v>1090</v>
      </c>
      <c r="AF6" s="396" t="s">
        <v>1092</v>
      </c>
      <c r="AG6" s="396" t="s">
        <v>1093</v>
      </c>
      <c r="AH6" s="396" t="s">
        <v>109</v>
      </c>
      <c r="AI6" s="396" t="s">
        <v>107</v>
      </c>
      <c r="AJ6" s="396" t="s">
        <v>171</v>
      </c>
      <c r="AK6" s="396" t="s">
        <v>656</v>
      </c>
      <c r="AL6" s="526" t="s">
        <v>657</v>
      </c>
      <c r="AM6" s="19" t="s">
        <v>101</v>
      </c>
      <c r="AN6" s="19" t="s">
        <v>102</v>
      </c>
      <c r="AO6" s="18" t="s">
        <v>103</v>
      </c>
      <c r="AP6" s="26" t="s">
        <v>89</v>
      </c>
      <c r="AQ6" s="27" t="s">
        <v>374</v>
      </c>
      <c r="AR6" s="27" t="s">
        <v>154</v>
      </c>
      <c r="AS6" s="19" t="s">
        <v>109</v>
      </c>
      <c r="AT6" s="19" t="s">
        <v>107</v>
      </c>
      <c r="AU6" s="19" t="s">
        <v>171</v>
      </c>
      <c r="AV6" s="27" t="s">
        <v>614</v>
      </c>
      <c r="AW6" s="27" t="s">
        <v>615</v>
      </c>
      <c r="AX6" s="27" t="s">
        <v>650</v>
      </c>
      <c r="AY6"/>
      <c r="AZ6"/>
      <c r="BA6"/>
      <c r="BB6"/>
      <c r="BC6"/>
      <c r="BD6"/>
    </row>
    <row r="7" spans="1:56" s="8" customFormat="1" ht="19.5" customHeight="1" x14ac:dyDescent="0.3">
      <c r="A7" s="5"/>
      <c r="B7" s="533" t="s">
        <v>658</v>
      </c>
      <c r="C7" s="533"/>
      <c r="D7" s="6"/>
      <c r="E7" s="5"/>
      <c r="F7" s="5"/>
      <c r="G7" s="10"/>
      <c r="H7" s="10"/>
      <c r="I7" s="10"/>
      <c r="J7" s="10"/>
      <c r="K7" s="11"/>
      <c r="L7" s="11"/>
      <c r="M7" s="11"/>
      <c r="N7" s="11"/>
      <c r="O7" s="11"/>
      <c r="P7" s="11"/>
      <c r="Q7" s="903"/>
      <c r="R7" s="903"/>
      <c r="S7" s="903"/>
      <c r="T7" s="903"/>
      <c r="U7" s="903"/>
      <c r="V7" s="903"/>
      <c r="W7" s="903"/>
      <c r="X7" s="903"/>
      <c r="Y7" s="903"/>
      <c r="Z7" s="903"/>
      <c r="AA7" s="10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9"/>
      <c r="AN7" s="19"/>
      <c r="AO7" s="18"/>
      <c r="AP7" s="19"/>
      <c r="AQ7" s="19"/>
      <c r="AR7" s="19"/>
      <c r="AS7" s="25"/>
      <c r="AT7" s="26"/>
      <c r="AU7" s="27"/>
      <c r="AV7" s="27"/>
      <c r="AW7" s="27"/>
      <c r="AX7" s="27"/>
      <c r="AY7"/>
      <c r="AZ7"/>
      <c r="BA7"/>
      <c r="BB7"/>
      <c r="BC7"/>
      <c r="BD7"/>
    </row>
    <row r="8" spans="1:56" x14ac:dyDescent="0.25">
      <c r="A8" s="1">
        <v>1</v>
      </c>
      <c r="B8" s="9" t="s">
        <v>170</v>
      </c>
      <c r="C8" s="9" t="s">
        <v>62</v>
      </c>
      <c r="D8" s="9" t="str">
        <f>'Retail Rates'!B7</f>
        <v>LGRSG811</v>
      </c>
      <c r="E8" s="2" t="str">
        <f t="shared" ref="E8:E46" si="3">MID(D8,6,3)</f>
        <v>811</v>
      </c>
      <c r="F8" s="405" t="str">
        <f>VLOOKUP($D8,'Retail Rates'!$B$7:$D$40,3,FALSE)</f>
        <v>Residential Gas Service</v>
      </c>
      <c r="G8" s="20">
        <f>SUMIF('Mar20-Aug20 Billed-RETAIL'!$E$7:$E$155,$D8,'Mar20-Aug20 Billed-RETAIL'!$H$7:$H$155)</f>
        <v>3619848</v>
      </c>
      <c r="H8" s="20">
        <f>SUMIF('Mar20-Aug20 Billed-RETAIL'!$E$7:$E$155,$D8,'Mar20-Aug20 Billed-RETAIL'!$I$7:$I$155)</f>
        <v>0</v>
      </c>
      <c r="I8" s="20">
        <f>SUMIF('Mar20-Aug20 Billed-RETAIL'!$E$7:$E$155,$D8,'Mar20-Aug20 Billed-RETAIL'!$P$7:$P$155)</f>
        <v>109296514.99999997</v>
      </c>
      <c r="J8" s="20">
        <f>SUMIF('Mar20-Aug20 Billed-RETAIL'!$E$7:$E$155,$D8,'Mar20-Aug20 Billed-RETAIL'!$Q$7:$Q$155)</f>
        <v>0</v>
      </c>
      <c r="K8" s="20">
        <f>SUMIF('Mar20-Aug20 Billed-RETAIL'!$E$7:$E$155,$D8,'Mar20-Aug20 Billed-RETAIL'!$J$7:$J$155)</f>
        <v>208433190.78806615</v>
      </c>
      <c r="L8" s="20">
        <f>(SUMIF('Mar20-Aug20 Billed-RETAIL'!$E$7:$E$155,$D8,'Mar20-Aug20 Billed-RETAIL'!$K$7:$K$155))/10</f>
        <v>0</v>
      </c>
      <c r="M8" s="20">
        <f>SUMIF('Mar20-Aug20 Billed-RETAIL'!$E$7:$E$155,$D8,'Mar20-Aug20 Billed-RETAIL'!$L$7:$L$155)</f>
        <v>0</v>
      </c>
      <c r="N8" s="20">
        <f>SUMIF('Mar20-Aug20 Billed-RETAIL'!$E$7:$E$155,$D8,'Mar20-Aug20 Billed-RETAIL'!$M$7:$M$155)</f>
        <v>0</v>
      </c>
      <c r="O8" s="20">
        <f>SUMIF('Mar20-Aug20 Billed-RETAIL'!$E$7:$E$155,$D8,'Mar20-Aug20 Billed-RETAIL'!$N$7:$N$155)</f>
        <v>0</v>
      </c>
      <c r="P8" s="20">
        <f>SUMIF('Mar20-Aug20 Billed-RETAIL'!$E$7:$E$155,$D8,'Mar20-Aug20 Billed-RETAIL'!$O$7:$O$155)</f>
        <v>0</v>
      </c>
      <c r="Q8" s="904">
        <f>SUMIF('Mar20-Aug20 Billed-RETAIL'!$E$7:$E$155,$D8,'Mar20-Aug20 Billed-RETAIL'!$AF$7:$AF$155)</f>
        <v>-2922</v>
      </c>
      <c r="R8" s="904">
        <f>SUMIF('Mar20-Aug20 Billed-RETAIL'!$E$7:$E$155,$D8,'Mar20-Aug20 Billed-RETAIL'!$AG$7:$AG$155)</f>
        <v>0</v>
      </c>
      <c r="S8" s="904">
        <f>SUMIF('Mar20-Aug20 Billed-RETAIL'!$E$7:$E$155,$D8,'Mar20-Aug20 Billed-RETAIL'!$AH$7:$AH$155)</f>
        <v>412.59000000000003</v>
      </c>
      <c r="T8" s="904">
        <f>SUMIF('Mar20-Aug20 Billed-RETAIL'!$E$7:$E$155,$D8,'Mar20-Aug20 Billed-RETAIL'!$AI$7:$AI$155)</f>
        <v>0</v>
      </c>
      <c r="U8" s="904">
        <f>SUMIF('Mar20-Aug20 Billed-RETAIL'!$E$7:$E$155,$D8,'Mar20-Aug20 Billed-RETAIL'!$AJ$7:$AJ$155)</f>
        <v>61748</v>
      </c>
      <c r="V8" s="904">
        <f>SUMIF('Mar20-Aug20 Billed-RETAIL'!$E$7:$E$155,$D8,'Mar20-Aug20 Billed-RETAIL'!$AK$7:$AK$155)</f>
        <v>0</v>
      </c>
      <c r="W8" s="904">
        <f>SUMIF('Mar20-Aug20 Billed-RETAIL'!$E$7:$E$155,$D8,'Mar20-Aug20 Billed-RETAIL'!$AL$7:$AL$155)</f>
        <v>-22723.229999999996</v>
      </c>
      <c r="X8" s="904">
        <f>SUMIF('Mar20-Aug20 Billed-RETAIL'!$E$7:$E$155,$D8,'Mar20-Aug20 Billed-RETAIL'!$AM$7:$AM$155)</f>
        <v>0</v>
      </c>
      <c r="Y8" s="904">
        <f>SUMIF('Mar20-Aug20 Billed-RETAIL'!$E$7:$E$155,$D8,'Mar20-Aug20 Billed-RETAIL'!$AN$7:$AN$155)</f>
        <v>0</v>
      </c>
      <c r="Z8" s="904">
        <f>SUMIF('Mar20-Aug20 Billed-RETAIL'!$E$7:$E$155,$D8,'Mar20-Aug20 Billed-RETAIL'!$AO$7:$AO$155)</f>
        <v>0</v>
      </c>
      <c r="AA8" s="20">
        <f>SUMIF('Mar20-Aug20 Billed-RETAIL'!$E$7:$E$155,$D8,'Mar20-Aug20 Billed-RETAIL'!$AP$7:$AP$155)</f>
        <v>71043147.339999989</v>
      </c>
      <c r="AB8" s="20">
        <f>SUMIF('Mar20-Aug20 Billed-RETAIL'!$E$7:$E$155,$D8,'Mar20-Aug20 Billed-RETAIL'!$AQ$7:$AQ$155)</f>
        <v>0</v>
      </c>
      <c r="AC8" s="20">
        <v>0</v>
      </c>
      <c r="AD8" s="20">
        <f>SUMIF('Mar20-Aug20 Billed-RETAIL'!$E$7:$E$155,$D8,'Mar20-Aug20 Billed-RETAIL'!$AR$7:$AR$155)</f>
        <v>76643173.005666494</v>
      </c>
      <c r="AE8" s="20">
        <f>SUMIF('Mar20-Aug20 Billed-RETAIL'!$E$7:$E$155,$D8,'Mar20-Aug20 Billed-RETAIL'!$AS$7:$AS$155)</f>
        <v>0</v>
      </c>
      <c r="AF8" s="20">
        <f>SUMIF('Mar20-Aug20 Billed-RETAIL'!$E$7:$E$155,$D8,'Mar20-Aug20 Billed-RETAIL'!$AT$7:$AT$155)</f>
        <v>0</v>
      </c>
      <c r="AG8" s="20">
        <f>SUMIF('Mar20-Aug20 Billed-RETAIL'!$E$7:$E$155,$D8,'Mar20-Aug20 Billed-RETAIL'!$AU$7:$AU$155)</f>
        <v>-229.02999999999997</v>
      </c>
      <c r="AH8" s="20">
        <f>SUMIF('Mar20-Aug20 Billed-RETAIL'!$E$7:$E$155,$D8,'Mar20-Aug20 Billed-RETAIL'!$AV$7:$AV$155)</f>
        <v>443147.16494988778</v>
      </c>
      <c r="AI8" s="20">
        <f>SUMIF('Mar20-Aug20 Billed-RETAIL'!$E$7:$E$155,$D8,'Mar20-Aug20 Billed-RETAIL'!$AW$7:$AW$155)</f>
        <v>74274256.69619146</v>
      </c>
      <c r="AJ8" s="20">
        <f>SUMIF('Mar20-Aug20 Billed-RETAIL'!$E$7:$E$155,$D8,'Mar20-Aug20 Billed-RETAIL'!$AX$7:$AX$155)</f>
        <v>1060949.3899999999</v>
      </c>
      <c r="AK8" s="20">
        <f>SUMIF('Mar20-Aug20 Billed-RETAIL'!$E$7:$E$155,$D8,'Mar20-Aug20 Billed-RETAIL'!$AY$7:$AY$155)</f>
        <v>9138037.2645493858</v>
      </c>
      <c r="AL8" s="20">
        <f>SUMIF('Mar20-Aug20 Billed-RETAIL'!$E$7:$E$155,$D8,'Mar20-Aug20 Billed-RETAIL'!$AZ$7:$AZ$155)</f>
        <v>805467.85999999987</v>
      </c>
      <c r="AM8" s="28">
        <f>SUM(AA8:AL8)</f>
        <v>233407949.6913572</v>
      </c>
      <c r="AN8" s="28">
        <f>SUM(AP8:AX8)</f>
        <v>233407949.87091705</v>
      </c>
      <c r="AO8" s="29">
        <f t="shared" ref="AO8:AO21" si="4">IF(AN8=0,0,ROUND(AN8/AM8,6))</f>
        <v>1</v>
      </c>
      <c r="AP8" s="28">
        <f>SUMIF('Mar20-Aug20 Billed-RETAIL'!$E$7:$E$155,$D8,'Mar20-Aug20 Billed-RETAIL'!$BD$7:$BD$155)</f>
        <v>71043147.519999981</v>
      </c>
      <c r="AQ8" s="28">
        <f>SUMIF('Mar20-Aug20 Billed-RETAIL'!$E$7:$E$155,$D8,'Mar20-Aug20 Billed-RETAIL'!$BE$7:$BE$155)</f>
        <v>76643173.005226344</v>
      </c>
      <c r="AR8" s="28">
        <f>SUMIF('Mar20-Aug20 Billed-RETAIL'!$E$7:$E$155,$D8,'Mar20-Aug20 Billed-RETAIL'!$BF$7:$BF$155)</f>
        <v>0</v>
      </c>
      <c r="AS8" s="28">
        <f>SUMIF('Mar20-Aug20 Billed-RETAIL'!$E$7:$E$155,$D8,'Mar20-Aug20 Billed-RETAIL'!$BG$7:$BG$155)</f>
        <v>443147.16494988778</v>
      </c>
      <c r="AT8" s="28">
        <f>SUMIF('Mar20-Aug20 Billed-RETAIL'!$E$7:$E$155,$D8,'Mar20-Aug20 Billed-RETAIL'!$BH$7:$BH$155)</f>
        <v>74274256.69619146</v>
      </c>
      <c r="AU8" s="28">
        <f>SUMIF('Mar20-Aug20 Billed-RETAIL'!$E$7:$E$155,$D8,'Mar20-Aug20 Billed-RETAIL'!$BI$7:$BI$155)</f>
        <v>1060949.3899999999</v>
      </c>
      <c r="AV8" s="28">
        <f>SUMIF('Mar20-Aug20 Billed-RETAIL'!$E$7:$E$155,$D8,'Mar20-Aug20 Billed-RETAIL'!$BJ$7:$BJ$155)</f>
        <v>9138037.2645493858</v>
      </c>
      <c r="AW8" s="28">
        <f>SUMIF('Mar20-Aug20 Billed-RETAIL'!$E$7:$E$155,$D8,'Mar20-Aug20 Billed-RETAIL'!$BK$7:$BK$155)</f>
        <v>805467.85999999987</v>
      </c>
      <c r="AX8" s="28">
        <f>SUMIF('Mar20-Aug20 Billed-RETAIL'!$E$7:$E$155,$D8,'Mar20-Aug20 Billed-RETAIL'!$BL$7:$BL$155)</f>
        <v>-229.02999999999997</v>
      </c>
    </row>
    <row r="9" spans="1:56" x14ac:dyDescent="0.25">
      <c r="A9" s="1">
        <f>+A8+1</f>
        <v>2</v>
      </c>
      <c r="B9" s="9" t="s">
        <v>170</v>
      </c>
      <c r="C9" s="9" t="s">
        <v>62</v>
      </c>
      <c r="D9" s="9" t="str">
        <f>'Retail Rates'!B8</f>
        <v>LGRSG840</v>
      </c>
      <c r="E9" s="2" t="str">
        <f t="shared" si="3"/>
        <v>840</v>
      </c>
      <c r="F9" s="405" t="str">
        <f>VLOOKUP($D9,'Retail Rates'!$B$7:$D$40,3,FALSE)</f>
        <v>Volunteer Fire Department Gas</v>
      </c>
      <c r="G9" s="20">
        <f>SUMIF('Mar20-Aug20 Billed-RETAIL'!$E$7:$E$155,$D9,'Mar20-Aug20 Billed-RETAIL'!$H$7:$H$155)</f>
        <v>18</v>
      </c>
      <c r="H9" s="20">
        <f>SUMIF('Mar20-Aug20 Billed-RETAIL'!$E$7:$E$155,$D9,'Mar20-Aug20 Billed-RETAIL'!$I$7:$I$155)</f>
        <v>0</v>
      </c>
      <c r="I9" s="20">
        <f>SUMIF('Mar20-Aug20 Billed-RETAIL'!$E$7:$E$155,$D9,'Mar20-Aug20 Billed-RETAIL'!$P$7:$P$155)</f>
        <v>550</v>
      </c>
      <c r="J9" s="20">
        <f>SUMIF('Mar20-Aug20 Billed-RETAIL'!$E$7:$E$155,$D9,'Mar20-Aug20 Billed-RETAIL'!$Q$7:$Q$155)</f>
        <v>0</v>
      </c>
      <c r="K9" s="20">
        <f>SUMIF('Mar20-Aug20 Billed-RETAIL'!$E$7:$E$155,$D9,'Mar20-Aug20 Billed-RETAIL'!$J$7:$J$155)</f>
        <v>4286</v>
      </c>
      <c r="L9" s="20">
        <f>(SUMIF('Mar20-Aug20 Billed-RETAIL'!$E$7:$E$155,$D9,'Mar20-Aug20 Billed-RETAIL'!$K$7:$K$155))/10</f>
        <v>0</v>
      </c>
      <c r="M9" s="20">
        <f>SUMIF('Mar20-Aug20 Billed-RETAIL'!$E$7:$E$155,$D9,'Mar20-Aug20 Billed-RETAIL'!$L$7:$L$155)</f>
        <v>0</v>
      </c>
      <c r="N9" s="20">
        <f>SUMIF('Mar20-Aug20 Billed-RETAIL'!$E$7:$E$155,$D9,'Mar20-Aug20 Billed-RETAIL'!$M$7:$M$155)</f>
        <v>0</v>
      </c>
      <c r="O9" s="20">
        <f>SUMIF('Mar20-Aug20 Billed-RETAIL'!$E$7:$E$155,$D9,'Mar20-Aug20 Billed-RETAIL'!$N$7:$N$155)</f>
        <v>0</v>
      </c>
      <c r="P9" s="20">
        <f>SUMIF('Mar20-Aug20 Billed-RETAIL'!$E$7:$E$155,$D9,'Mar20-Aug20 Billed-RETAIL'!$O$7:$O$155)</f>
        <v>0</v>
      </c>
      <c r="Q9" s="904">
        <f>SUMIF('Mar20-Aug20 Billed-RETAIL'!$E$7:$E$155,$D9,'Mar20-Aug20 Billed-RETAIL'!$AF$7:$AF$155)</f>
        <v>0</v>
      </c>
      <c r="R9" s="904">
        <f>SUMIF('Mar20-Aug20 Billed-RETAIL'!$E$7:$E$155,$D9,'Mar20-Aug20 Billed-RETAIL'!$AG$7:$AG$155)</f>
        <v>0</v>
      </c>
      <c r="S9" s="904">
        <f>SUMIF('Mar20-Aug20 Billed-RETAIL'!$E$7:$E$155,$D9,'Mar20-Aug20 Billed-RETAIL'!$AH$7:$AH$155)</f>
        <v>0</v>
      </c>
      <c r="T9" s="904">
        <f>SUMIF('Mar20-Aug20 Billed-RETAIL'!$E$7:$E$155,$D9,'Mar20-Aug20 Billed-RETAIL'!$AI$7:$AI$155)</f>
        <v>0</v>
      </c>
      <c r="U9" s="904">
        <f>SUMIF('Mar20-Aug20 Billed-RETAIL'!$E$7:$E$155,$D9,'Mar20-Aug20 Billed-RETAIL'!$AJ$7:$AJ$155)</f>
        <v>0</v>
      </c>
      <c r="V9" s="904">
        <f>SUMIF('Mar20-Aug20 Billed-RETAIL'!$E$7:$E$155,$D9,'Mar20-Aug20 Billed-RETAIL'!$AK$7:$AK$155)</f>
        <v>0</v>
      </c>
      <c r="W9" s="904">
        <f>SUMIF('Mar20-Aug20 Billed-RETAIL'!$E$7:$E$155,$D9,'Mar20-Aug20 Billed-RETAIL'!$AL$7:$AL$155)</f>
        <v>-1.38E-2</v>
      </c>
      <c r="X9" s="904">
        <f>SUMIF('Mar20-Aug20 Billed-RETAIL'!$E$7:$E$155,$D9,'Mar20-Aug20 Billed-RETAIL'!$AM$7:$AM$155)</f>
        <v>0</v>
      </c>
      <c r="Y9" s="904">
        <f>SUMIF('Mar20-Aug20 Billed-RETAIL'!$E$7:$E$155,$D9,'Mar20-Aug20 Billed-RETAIL'!$AN$7:$AN$155)</f>
        <v>0</v>
      </c>
      <c r="Z9" s="904">
        <f>SUMIF('Mar20-Aug20 Billed-RETAIL'!$E$7:$E$155,$D9,'Mar20-Aug20 Billed-RETAIL'!$AO$7:$AO$155)</f>
        <v>0</v>
      </c>
      <c r="AA9" s="20">
        <f>SUMIF('Mar20-Aug20 Billed-RETAIL'!$E$7:$E$155,$D9,'Mar20-Aug20 Billed-RETAIL'!$AP$7:$AP$155)</f>
        <v>357.5</v>
      </c>
      <c r="AB9" s="20">
        <f>SUMIF('Mar20-Aug20 Billed-RETAIL'!$E$7:$E$155,$D9,'Mar20-Aug20 Billed-RETAIL'!$AQ$7:$AQ$155)</f>
        <v>0</v>
      </c>
      <c r="AC9" s="20">
        <v>0</v>
      </c>
      <c r="AD9" s="20">
        <f>ROUND(SUMIF('Mar20-Aug20 Billed-RETAIL'!$E$7:$E$155,$D9,'Mar20-Aug20 Billed-RETAIL'!$AR$7:$AR$155),2)</f>
        <v>1576.46</v>
      </c>
      <c r="AE9" s="20">
        <f>SUMIF('Mar20-Aug20 Billed-RETAIL'!$E$7:$E$155,$D9,'Mar20-Aug20 Billed-RETAIL'!$AS$7:$AS$155)</f>
        <v>0</v>
      </c>
      <c r="AF9" s="20">
        <f>SUMIF('Mar20-Aug20 Billed-RETAIL'!$E$7:$E$155,$D9,'Mar20-Aug20 Billed-RETAIL'!$AT$7:$AT$155)</f>
        <v>0</v>
      </c>
      <c r="AG9" s="20">
        <f>SUMIF('Mar20-Aug20 Billed-RETAIL'!$E$7:$E$155,$D9,'Mar20-Aug20 Billed-RETAIL'!$AU$7:$AU$155)</f>
        <v>0</v>
      </c>
      <c r="AH9" s="20">
        <f>SUMIF('Mar20-Aug20 Billed-RETAIL'!$E$7:$E$155,$D9,'Mar20-Aug20 Billed-RETAIL'!$AV$7:$AV$155)</f>
        <v>-8.4300000000000015</v>
      </c>
      <c r="AI9" s="20">
        <f>SUMIF('Mar20-Aug20 Billed-RETAIL'!$E$7:$E$155,$D9,'Mar20-Aug20 Billed-RETAIL'!$AW$7:$AW$155)</f>
        <v>1361.02</v>
      </c>
      <c r="AJ9" s="20">
        <f>SUMIF('Mar20-Aug20 Billed-RETAIL'!$E$7:$E$155,$D9,'Mar20-Aug20 Billed-RETAIL'!$AX$7:$AX$155)</f>
        <v>82.240000000000009</v>
      </c>
      <c r="AK9" s="20">
        <f>SUMIF('Mar20-Aug20 Billed-RETAIL'!$E$7:$E$155,$D9,'Mar20-Aug20 Billed-RETAIL'!$AY$7:$AY$155)</f>
        <v>27.41</v>
      </c>
      <c r="AL9" s="20">
        <f>SUMIF('Mar20-Aug20 Billed-RETAIL'!$E$7:$E$155,$D9,'Mar20-Aug20 Billed-RETAIL'!$AZ$7:$AZ$155)</f>
        <v>54.61999999999999</v>
      </c>
      <c r="AM9" s="28">
        <f>SUM(AA9:AL9)</f>
        <v>3450.8199999999997</v>
      </c>
      <c r="AN9" s="28">
        <f t="shared" ref="AN9:AN22" si="5">SUM(AP9:AX9)</f>
        <v>3450.8199999999997</v>
      </c>
      <c r="AO9" s="29">
        <f t="shared" si="4"/>
        <v>1</v>
      </c>
      <c r="AP9" s="28">
        <f>SUMIF('Mar20-Aug20 Billed-RETAIL'!$E$7:$E$155,$D9,'Mar20-Aug20 Billed-RETAIL'!$BD$7:$BD$155)</f>
        <v>357.5</v>
      </c>
      <c r="AQ9" s="863">
        <f>SUMIF('Mar20-Aug20 Billed-RETAIL'!$E$7:$E$155,$D9,'Mar20-Aug20 Billed-RETAIL'!$BE$7:$BE$155)</f>
        <v>1576.46</v>
      </c>
      <c r="AR9" s="28">
        <f>SUMIF('Mar20-Aug20 Billed-RETAIL'!$E$7:$E$155,$D9,'Mar20-Aug20 Billed-RETAIL'!$BF$7:$BF$155)</f>
        <v>0</v>
      </c>
      <c r="AS9" s="28">
        <f>SUMIF('Mar20-Aug20 Billed-RETAIL'!$E$7:$E$155,$D9,'Mar20-Aug20 Billed-RETAIL'!$BG$7:$BG$155)</f>
        <v>-8.4300000000000015</v>
      </c>
      <c r="AT9" s="28">
        <f>SUMIF('Mar20-Aug20 Billed-RETAIL'!$E$7:$E$155,$D9,'Mar20-Aug20 Billed-RETAIL'!$BH$7:$BH$155)</f>
        <v>1361.02</v>
      </c>
      <c r="AU9" s="28">
        <f>SUMIF('Mar20-Aug20 Billed-RETAIL'!$E$7:$E$155,$D9,'Mar20-Aug20 Billed-RETAIL'!$BI$7:$BI$155)</f>
        <v>82.240000000000009</v>
      </c>
      <c r="AV9" s="28">
        <f>SUMIF('Mar20-Aug20 Billed-RETAIL'!$E$7:$E$155,$D9,'Mar20-Aug20 Billed-RETAIL'!$BJ$7:$BJ$155)</f>
        <v>27.41</v>
      </c>
      <c r="AW9" s="28">
        <f>SUMIF('Mar20-Aug20 Billed-RETAIL'!$E$7:$E$155,$D9,'Mar20-Aug20 Billed-RETAIL'!$BK$7:$BK$155)</f>
        <v>54.61999999999999</v>
      </c>
      <c r="AX9" s="28">
        <f>SUMIF('Mar20-Aug20 Billed-RETAIL'!$E$7:$E$155,$D9,'Mar20-Aug20 Billed-RETAIL'!$BL$7:$BL$155)</f>
        <v>0</v>
      </c>
    </row>
    <row r="10" spans="1:56" x14ac:dyDescent="0.25">
      <c r="A10" s="1">
        <f>+A9+1</f>
        <v>3</v>
      </c>
      <c r="B10" s="9" t="s">
        <v>170</v>
      </c>
      <c r="C10" s="9" t="s">
        <v>56</v>
      </c>
      <c r="D10" s="9" t="str">
        <f>'Retail Rates'!B9</f>
        <v>LGCMG851</v>
      </c>
      <c r="E10" s="2" t="str">
        <f t="shared" si="3"/>
        <v>851</v>
      </c>
      <c r="F10" s="405" t="str">
        <f>VLOOKUP($D10,'Retail Rates'!$B$7:$D$40,3,FALSE)</f>
        <v>Firm Commercial Gas Service</v>
      </c>
      <c r="G10" s="20">
        <f>SUMIF('Mar20-Aug20 Billed-RETAIL'!$E$7:$E$155,$D10,'Mar20-Aug20 Billed-RETAIL'!$H$7:$H$155)</f>
        <v>292454</v>
      </c>
      <c r="H10" s="20">
        <f>SUMIF('Mar20-Aug20 Billed-RETAIL'!$E$7:$E$155,$D10,'Mar20-Aug20 Billed-RETAIL'!$I$7:$I$155)</f>
        <v>14357</v>
      </c>
      <c r="I10" s="20">
        <f>SUMIF('Mar20-Aug20 Billed-RETAIL'!$E$7:$E$155,$D10,'Mar20-Aug20 Billed-RETAIL'!$P$7:$P$155)</f>
        <v>8795037</v>
      </c>
      <c r="J10" s="20">
        <f>SUMIF('Mar20-Aug20 Billed-RETAIL'!$E$7:$E$155,$D10,'Mar20-Aug20 Billed-RETAIL'!$Q$7:$Q$155)</f>
        <v>433804.99999999953</v>
      </c>
      <c r="K10" s="20">
        <f>SUMIF('Mar20-Aug20 Billed-RETAIL'!$E$7:$E$155,$D10,'Mar20-Aug20 Billed-RETAIL'!$J$7:$J$155)</f>
        <v>98587750.143223822</v>
      </c>
      <c r="L10" s="20">
        <f>(SUMIF('Mar20-Aug20 Billed-RETAIL'!$E$7:$E$155,$D10,'Mar20-Aug20 Billed-RETAIL'!$K$7:$K$155))</f>
        <v>8691774.1203824393</v>
      </c>
      <c r="M10" s="20">
        <f>SUMIF('Mar20-Aug20 Billed-RETAIL'!$E$7:$E$155,$D10,'Mar20-Aug20 Billed-RETAIL'!$L$7:$L$155)</f>
        <v>0</v>
      </c>
      <c r="N10" s="20">
        <f>SUMIF('Mar20-Aug20 Billed-RETAIL'!$E$7:$E$155,$D10,'Mar20-Aug20 Billed-RETAIL'!$M$7:$M$155)</f>
        <v>0</v>
      </c>
      <c r="O10" s="20">
        <f>SUMIF('Mar20-Aug20 Billed-RETAIL'!$E$7:$E$155,$D10,'Mar20-Aug20 Billed-RETAIL'!$N$7:$N$155)</f>
        <v>0</v>
      </c>
      <c r="P10" s="20">
        <f>SUMIF('Mar20-Aug20 Billed-RETAIL'!$E$7:$E$155,$D10,'Mar20-Aug20 Billed-RETAIL'!$O$7:$O$155)</f>
        <v>0</v>
      </c>
      <c r="Q10" s="904">
        <f>SUMIF('Mar20-Aug20 Billed-RETAIL'!$E$7:$E$155,$D10,'Mar20-Aug20 Billed-RETAIL'!$AF$7:$AF$155)</f>
        <v>-848</v>
      </c>
      <c r="R10" s="904">
        <f>SUMIF('Mar20-Aug20 Billed-RETAIL'!$E$7:$E$155,$D10,'Mar20-Aug20 Billed-RETAIL'!$AG$7:$AG$155)</f>
        <v>-29</v>
      </c>
      <c r="S10" s="904">
        <f>SUMIF('Mar20-Aug20 Billed-RETAIL'!$E$7:$E$155,$D10,'Mar20-Aug20 Billed-RETAIL'!$AH$7:$AH$155)</f>
        <v>3876.36</v>
      </c>
      <c r="T10" s="904">
        <f>SUMIF('Mar20-Aug20 Billed-RETAIL'!$E$7:$E$155,$D10,'Mar20-Aug20 Billed-RETAIL'!$AI$7:$AI$155)</f>
        <v>6877.58</v>
      </c>
      <c r="U10" s="904">
        <f>SUMIF('Mar20-Aug20 Billed-RETAIL'!$E$7:$E$155,$D10,'Mar20-Aug20 Billed-RETAIL'!$AJ$7:$AJ$155)</f>
        <v>-440734</v>
      </c>
      <c r="V10" s="904">
        <f>SUMIF('Mar20-Aug20 Billed-RETAIL'!$E$7:$E$155,$D10,'Mar20-Aug20 Billed-RETAIL'!$AK$7:$AK$155)</f>
        <v>0</v>
      </c>
      <c r="W10" s="904">
        <f>SUMIF('Mar20-Aug20 Billed-RETAIL'!$E$7:$E$155,$D10,'Mar20-Aug20 Billed-RETAIL'!$AL$7:$AL$155)</f>
        <v>135168.62</v>
      </c>
      <c r="X10" s="904">
        <f>SUMIF('Mar20-Aug20 Billed-RETAIL'!$E$7:$E$155,$D10,'Mar20-Aug20 Billed-RETAIL'!$AM$7:$AM$155)</f>
        <v>0</v>
      </c>
      <c r="Y10" s="904">
        <f>SUMIF('Mar20-Aug20 Billed-RETAIL'!$E$7:$E$155,$D10,'Mar20-Aug20 Billed-RETAIL'!$AN$7:$AN$155)</f>
        <v>0</v>
      </c>
      <c r="Z10" s="904">
        <f>SUMIF('Mar20-Aug20 Billed-RETAIL'!$E$7:$E$155,$D10,'Mar20-Aug20 Billed-RETAIL'!$AO$7:$AO$155)</f>
        <v>0</v>
      </c>
      <c r="AA10" s="20">
        <f>SUMIF('Mar20-Aug20 Billed-RETAIL'!$E$7:$E$155,$D10,'Mar20-Aug20 Billed-RETAIL'!$AP$7:$AP$155)</f>
        <v>17330099.25</v>
      </c>
      <c r="AB10" s="20">
        <f>SUMIF('Mar20-Aug20 Billed-RETAIL'!$E$7:$E$155,$D10,'Mar20-Aug20 Billed-RETAIL'!$AQ$7:$AQ$155)</f>
        <v>4071630.4299999964</v>
      </c>
      <c r="AC10" s="20">
        <v>0</v>
      </c>
      <c r="AD10" s="20">
        <f>SUMIF('Mar20-Aug20 Billed-RETAIL'!$E$7:$E$155,$D10,'Mar20-Aug20 Billed-RETAIL'!$AR$7:$AR$155)</f>
        <v>30372031.588926747</v>
      </c>
      <c r="AE10" s="20">
        <f>SUMIF('Mar20-Aug20 Billed-RETAIL'!$E$7:$E$155,$D10,'Mar20-Aug20 Billed-RETAIL'!$AS$7:$AS$155)</f>
        <v>2231178.4167021718</v>
      </c>
      <c r="AF10" s="20">
        <f>SUMIF('Mar20-Aug20 Billed-RETAIL'!$E$7:$E$155,$D10,'Mar20-Aug20 Billed-RETAIL'!$AT$7:$AT$155)</f>
        <v>0</v>
      </c>
      <c r="AG10" s="20">
        <f>SUMIF('Mar20-Aug20 Billed-RETAIL'!$E$7:$E$155,$D10,'Mar20-Aug20 Billed-RETAIL'!$AU$7:$AU$155)</f>
        <v>0.81</v>
      </c>
      <c r="AH10" s="20">
        <f>SUMIF('Mar20-Aug20 Billed-RETAIL'!$E$7:$E$155,$D10,'Mar20-Aug20 Billed-RETAIL'!$AV$7:$AV$155)</f>
        <v>322510.1883306143</v>
      </c>
      <c r="AI10" s="20">
        <f>SUMIF('Mar20-Aug20 Billed-RETAIL'!$E$7:$E$155,$D10,'Mar20-Aug20 Billed-RETAIL'!$AW$7:$AW$155)</f>
        <v>38274701.986945406</v>
      </c>
      <c r="AJ10" s="20">
        <f>SUMIF('Mar20-Aug20 Billed-RETAIL'!$E$7:$E$155,$D10,'Mar20-Aug20 Billed-RETAIL'!$AX$7:$AX$155)</f>
        <v>398442.02999999997</v>
      </c>
      <c r="AK10" s="20">
        <f>SUMIF('Mar20-Aug20 Billed-RETAIL'!$E$7:$E$155,$D10,'Mar20-Aug20 Billed-RETAIL'!$AY$7:$AY$155)</f>
        <v>3788107.7017866219</v>
      </c>
      <c r="AL10" s="20">
        <f>SUMIF('Mar20-Aug20 Billed-RETAIL'!$E$7:$E$155,$D10,'Mar20-Aug20 Billed-RETAIL'!$AZ$7:$AZ$155)</f>
        <v>351592.96000000002</v>
      </c>
      <c r="AM10" s="28">
        <f t="shared" ref="AM10:AM22" si="6">SUM(AA10:AL10)</f>
        <v>97140295.362691551</v>
      </c>
      <c r="AN10" s="28">
        <f t="shared" si="5"/>
        <v>97140295.104591519</v>
      </c>
      <c r="AO10" s="29">
        <f>IF(AN10=0,0,ROUND(AN10/AM10,6))</f>
        <v>1</v>
      </c>
      <c r="AP10" s="28">
        <f>SUMIF('Mar20-Aug20 Billed-RETAIL'!$E$7:$E$155,$D10,'Mar20-Aug20 Billed-RETAIL'!$BD$7:$BD$155)</f>
        <v>21401729.419999983</v>
      </c>
      <c r="AQ10" s="28">
        <f>SUMIF('Mar20-Aug20 Billed-RETAIL'!$E$7:$E$155,$D10,'Mar20-Aug20 Billed-RETAIL'!$BE$7:$BE$155)</f>
        <v>32603210.007528901</v>
      </c>
      <c r="AR10" s="28">
        <f>SUMIF('Mar20-Aug20 Billed-RETAIL'!$E$7:$E$155,$D10,'Mar20-Aug20 Billed-RETAIL'!$BF$7:$BF$155)</f>
        <v>0</v>
      </c>
      <c r="AS10" s="28">
        <f>SUMIF('Mar20-Aug20 Billed-RETAIL'!$E$7:$E$155,$D10,'Mar20-Aug20 Billed-RETAIL'!$BG$7:$BG$155)</f>
        <v>322510.1883306143</v>
      </c>
      <c r="AT10" s="28">
        <f>SUMIF('Mar20-Aug20 Billed-RETAIL'!$E$7:$E$155,$D10,'Mar20-Aug20 Billed-RETAIL'!$BH$7:$BH$155)</f>
        <v>38274701.986945406</v>
      </c>
      <c r="AU10" s="28">
        <f>SUMIF('Mar20-Aug20 Billed-RETAIL'!$E$7:$E$155,$D10,'Mar20-Aug20 Billed-RETAIL'!$BI$7:$BI$155)</f>
        <v>398442.02999999997</v>
      </c>
      <c r="AV10" s="28">
        <f>SUMIF('Mar20-Aug20 Billed-RETAIL'!$E$7:$E$155,$D10,'Mar20-Aug20 Billed-RETAIL'!$BJ$7:$BJ$155)</f>
        <v>3788107.7017866219</v>
      </c>
      <c r="AW10" s="28">
        <f>SUMIF('Mar20-Aug20 Billed-RETAIL'!$E$7:$E$155,$D10,'Mar20-Aug20 Billed-RETAIL'!$BK$7:$BK$155)</f>
        <v>351592.96000000002</v>
      </c>
      <c r="AX10" s="28">
        <f>SUMIF('Mar20-Aug20 Billed-RETAIL'!$E$7:$E$155,$D10,'Mar20-Aug20 Billed-RETAIL'!$BL$7:$BL$155)</f>
        <v>0.81</v>
      </c>
    </row>
    <row r="11" spans="1:56" x14ac:dyDescent="0.25">
      <c r="A11" s="1">
        <f>+A10+1</f>
        <v>4</v>
      </c>
      <c r="B11" s="9" t="s">
        <v>170</v>
      </c>
      <c r="C11" s="9" t="s">
        <v>56</v>
      </c>
      <c r="D11" s="9" t="str">
        <f>'Retail Rates'!B10</f>
        <v>LGCMG851LT</v>
      </c>
      <c r="E11" s="2" t="str">
        <f t="shared" si="3"/>
        <v>851</v>
      </c>
      <c r="F11" s="405" t="str">
        <f>VLOOKUP($D11,'Retail Rates'!$B$7:$D$40,3,FALSE)</f>
        <v>Commercial Gas Service (Lights)</v>
      </c>
      <c r="G11" s="20">
        <f>SUMIF('Mar20-Aug20 Billed-RETAIL'!$E$7:$E$155,$D11,'Mar20-Aug20 Billed-RETAIL'!$H$7:$H$155)</f>
        <v>6</v>
      </c>
      <c r="H11" s="20">
        <f>SUMIF('Mar20-Aug20 Billed-RETAIL'!$E$7:$E$155,$D11,'Mar20-Aug20 Billed-RETAIL'!$I$7:$I$155)</f>
        <v>0</v>
      </c>
      <c r="I11" s="20">
        <f>SUMIF('Mar20-Aug20 Billed-RETAIL'!$E$7:$E$155,$D11,'Mar20-Aug20 Billed-RETAIL'!$P$7:$P$155)</f>
        <v>181</v>
      </c>
      <c r="J11" s="20">
        <f>SUMIF('Mar20-Aug20 Billed-RETAIL'!$E$7:$E$155,$D11,'Mar20-Aug20 Billed-RETAIL'!$Q$7:$Q$155)</f>
        <v>0</v>
      </c>
      <c r="K11" s="20">
        <f>SUMIF('Mar20-Aug20 Billed-RETAIL'!$E$7:$E$155,$D11,'Mar20-Aug20 Billed-RETAIL'!$J$7:$J$155)</f>
        <v>1612</v>
      </c>
      <c r="L11" s="20">
        <f>(SUMIF('Mar20-Aug20 Billed-RETAIL'!$E$7:$E$155,$D11,'Mar20-Aug20 Billed-RETAIL'!$K$7:$K$155))/10</f>
        <v>0</v>
      </c>
      <c r="M11" s="20">
        <f>SUMIF('Mar20-Aug20 Billed-RETAIL'!$E$7:$E$155,$D11,'Mar20-Aug20 Billed-RETAIL'!$L$7:$L$155)</f>
        <v>0</v>
      </c>
      <c r="N11" s="20">
        <f>SUMIF('Mar20-Aug20 Billed-RETAIL'!$E$7:$E$155,$D11,'Mar20-Aug20 Billed-RETAIL'!$M$7:$M$155)</f>
        <v>0</v>
      </c>
      <c r="O11" s="20">
        <f>SUMIF('Mar20-Aug20 Billed-RETAIL'!$E$7:$E$155,$D11,'Mar20-Aug20 Billed-RETAIL'!$N$7:$N$155)</f>
        <v>0</v>
      </c>
      <c r="P11" s="20">
        <f>SUMIF('Mar20-Aug20 Billed-RETAIL'!$E$7:$E$155,$D11,'Mar20-Aug20 Billed-RETAIL'!$O$7:$O$155)</f>
        <v>0</v>
      </c>
      <c r="Q11" s="904">
        <f>SUMIF('Mar20-Aug20 Billed-RETAIL'!$E$7:$E$155,$D11,'Mar20-Aug20 Billed-RETAIL'!$AF$7:$AF$155)</f>
        <v>0</v>
      </c>
      <c r="R11" s="904">
        <f>SUMIF('Mar20-Aug20 Billed-RETAIL'!$E$7:$E$155,$D11,'Mar20-Aug20 Billed-RETAIL'!$AG$7:$AG$155)</f>
        <v>0</v>
      </c>
      <c r="S11" s="904">
        <f>SUMIF('Mar20-Aug20 Billed-RETAIL'!$E$7:$E$155,$D11,'Mar20-Aug20 Billed-RETAIL'!$AH$7:$AH$155)</f>
        <v>0</v>
      </c>
      <c r="T11" s="904">
        <f>SUMIF('Mar20-Aug20 Billed-RETAIL'!$E$7:$E$155,$D11,'Mar20-Aug20 Billed-RETAIL'!$AI$7:$AI$155)</f>
        <v>0</v>
      </c>
      <c r="U11" s="904">
        <f>SUMIF('Mar20-Aug20 Billed-RETAIL'!$E$7:$E$155,$D11,'Mar20-Aug20 Billed-RETAIL'!$AJ$7:$AJ$155)</f>
        <v>0</v>
      </c>
      <c r="V11" s="904">
        <f>SUMIF('Mar20-Aug20 Billed-RETAIL'!$E$7:$E$155,$D11,'Mar20-Aug20 Billed-RETAIL'!$AK$7:$AK$155)</f>
        <v>0</v>
      </c>
      <c r="W11" s="904">
        <f>SUMIF('Mar20-Aug20 Billed-RETAIL'!$E$7:$E$155,$D11,'Mar20-Aug20 Billed-RETAIL'!$AL$7:$AL$155)</f>
        <v>0</v>
      </c>
      <c r="X11" s="904">
        <f>SUMIF('Mar20-Aug20 Billed-RETAIL'!$E$7:$E$155,$D11,'Mar20-Aug20 Billed-RETAIL'!$AM$7:$AM$155)</f>
        <v>0</v>
      </c>
      <c r="Y11" s="904">
        <f>SUMIF('Mar20-Aug20 Billed-RETAIL'!$E$7:$E$155,$D11,'Mar20-Aug20 Billed-RETAIL'!$AN$7:$AN$155)</f>
        <v>0</v>
      </c>
      <c r="Z11" s="904">
        <f>SUMIF('Mar20-Aug20 Billed-RETAIL'!$E$7:$E$155,$D11,'Mar20-Aug20 Billed-RETAIL'!$AO$7:$AO$155)</f>
        <v>0</v>
      </c>
      <c r="AA11" s="20">
        <f>SUMIF('Mar20-Aug20 Billed-RETAIL'!$E$7:$E$155,$D11,'Mar20-Aug20 Billed-RETAIL'!$AP$7:$AP$155)</f>
        <v>356.57</v>
      </c>
      <c r="AB11" s="20">
        <f>SUMIF('Mar20-Aug20 Billed-RETAIL'!$E$7:$E$155,$D11,'Mar20-Aug20 Billed-RETAIL'!$AQ$7:$AQ$155)</f>
        <v>0</v>
      </c>
      <c r="AC11" s="20">
        <v>0</v>
      </c>
      <c r="AD11" s="20">
        <f>SUMIF('Mar20-Aug20 Billed-RETAIL'!$E$7:$E$155,$D11,'Mar20-Aug20 Billed-RETAIL'!$AR$7:$AR$155)</f>
        <v>494.40039999999993</v>
      </c>
      <c r="AE11" s="20">
        <f>SUMIF('Mar20-Aug20 Billed-RETAIL'!$E$7:$E$155,$D11,'Mar20-Aug20 Billed-RETAIL'!$AS$7:$AS$155)</f>
        <v>0</v>
      </c>
      <c r="AF11" s="20">
        <f>SUMIF('Mar20-Aug20 Billed-RETAIL'!$E$7:$E$155,$D11,'Mar20-Aug20 Billed-RETAIL'!$AT$7:$AT$155)</f>
        <v>0</v>
      </c>
      <c r="AG11" s="20">
        <f>SUMIF('Mar20-Aug20 Billed-RETAIL'!$E$7:$E$155,$D11,'Mar20-Aug20 Billed-RETAIL'!$AU$7:$AU$155)</f>
        <v>0</v>
      </c>
      <c r="AH11" s="20">
        <f>SUMIF('Mar20-Aug20 Billed-RETAIL'!$E$7:$E$155,$D11,'Mar20-Aug20 Billed-RETAIL'!$AV$7:$AV$155)</f>
        <v>0.68</v>
      </c>
      <c r="AI11" s="20">
        <f>SUMIF('Mar20-Aug20 Billed-RETAIL'!$E$7:$E$155,$D11,'Mar20-Aug20 Billed-RETAIL'!$AW$7:$AW$155)</f>
        <v>466.23000000000008</v>
      </c>
      <c r="AJ11" s="20">
        <f>SUMIF('Mar20-Aug20 Billed-RETAIL'!$E$7:$E$155,$D11,'Mar20-Aug20 Billed-RETAIL'!$AX$7:$AX$155)</f>
        <v>-0.09</v>
      </c>
      <c r="AK11" s="20">
        <f>SUMIF('Mar20-Aug20 Billed-RETAIL'!$E$7:$E$155,$D11,'Mar20-Aug20 Billed-RETAIL'!$AY$7:$AY$155)</f>
        <v>46.44</v>
      </c>
      <c r="AL11" s="20">
        <f>SUMIF('Mar20-Aug20 Billed-RETAIL'!$E$7:$E$155,$D11,'Mar20-Aug20 Billed-RETAIL'!$AZ$7:$AZ$155)</f>
        <v>23.96</v>
      </c>
      <c r="AM11" s="28">
        <f t="shared" si="6"/>
        <v>1388.1904000000002</v>
      </c>
      <c r="AN11" s="28">
        <f t="shared" si="5"/>
        <v>1388.1900000000003</v>
      </c>
      <c r="AO11" s="29">
        <f>IF(AN11=0,0,ROUND(AN11/AM11,5))</f>
        <v>1</v>
      </c>
      <c r="AP11" s="28">
        <f>SUMIF('Mar20-Aug20 Billed-RETAIL'!$E$7:$E$155,$D11,'Mar20-Aug20 Billed-RETAIL'!$BD$7:$BD$155)</f>
        <v>356.57</v>
      </c>
      <c r="AQ11" s="28">
        <f>SUMIF('Mar20-Aug20 Billed-RETAIL'!$E$7:$E$155,$D11,'Mar20-Aug20 Billed-RETAIL'!$BE$7:$BE$155)</f>
        <v>494.4</v>
      </c>
      <c r="AR11" s="28">
        <f>SUMIF('Mar20-Aug20 Billed-RETAIL'!$E$7:$E$155,$D11,'Mar20-Aug20 Billed-RETAIL'!$BF$7:$BF$155)</f>
        <v>0</v>
      </c>
      <c r="AS11" s="28">
        <f>SUMIF('Mar20-Aug20 Billed-RETAIL'!$E$7:$E$155,$D11,'Mar20-Aug20 Billed-RETAIL'!$BG$7:$BG$155)</f>
        <v>0.68</v>
      </c>
      <c r="AT11" s="28">
        <f>SUMIF('Mar20-Aug20 Billed-RETAIL'!$E$7:$E$155,$D11,'Mar20-Aug20 Billed-RETAIL'!$BH$7:$BH$155)</f>
        <v>466.23000000000008</v>
      </c>
      <c r="AU11" s="28">
        <f>SUMIF('Mar20-Aug20 Billed-RETAIL'!$E$7:$E$155,$D11,'Mar20-Aug20 Billed-RETAIL'!$BI$7:$BI$155)</f>
        <v>-0.09</v>
      </c>
      <c r="AV11" s="28">
        <f>SUMIF('Mar20-Aug20 Billed-RETAIL'!$E$7:$E$155,$D11,'Mar20-Aug20 Billed-RETAIL'!$BJ$7:$BJ$155)</f>
        <v>46.44</v>
      </c>
      <c r="AW11" s="28">
        <f>SUMIF('Mar20-Aug20 Billed-RETAIL'!$E$7:$E$155,$D11,'Mar20-Aug20 Billed-RETAIL'!$BK$7:$BK$155)</f>
        <v>23.96</v>
      </c>
      <c r="AX11" s="28">
        <f>SUMIF('Mar20-Aug20 Billed-RETAIL'!$E$7:$E$155,$D11,'Mar20-Aug20 Billed-RETAIL'!$BL$7:$BL$155)</f>
        <v>0</v>
      </c>
    </row>
    <row r="12" spans="1:56" x14ac:dyDescent="0.25">
      <c r="A12" s="1">
        <f t="shared" ref="A12:A42" si="7">+A11+1</f>
        <v>5</v>
      </c>
      <c r="B12" s="9" t="s">
        <v>170</v>
      </c>
      <c r="C12" s="9" t="s">
        <v>59</v>
      </c>
      <c r="D12" s="9" t="str">
        <f>'Retail Rates'!B11</f>
        <v>LGING855</v>
      </c>
      <c r="E12" s="2" t="str">
        <f t="shared" si="3"/>
        <v>855</v>
      </c>
      <c r="F12" s="405" t="str">
        <f>VLOOKUP($D12,'Retail Rates'!$B$7:$D$40,3,FALSE)</f>
        <v>Firm Industrial Gas Service-DSM Opt-Out</v>
      </c>
      <c r="G12" s="20">
        <f>SUMIF('Mar20-Aug20 Billed-RETAIL'!$E$7:$E$155,$D12,'Mar20-Aug20 Billed-RETAIL'!$H$7:$H$155)</f>
        <v>943</v>
      </c>
      <c r="H12" s="20">
        <f>SUMIF('Mar20-Aug20 Billed-RETAIL'!$E$7:$E$155,$D12,'Mar20-Aug20 Billed-RETAIL'!$I$7:$I$155)</f>
        <v>831</v>
      </c>
      <c r="I12" s="20">
        <f>SUMIF('Mar20-Aug20 Billed-RETAIL'!$E$7:$E$155,$D12,'Mar20-Aug20 Billed-RETAIL'!$P$7:$P$155)</f>
        <v>28331</v>
      </c>
      <c r="J12" s="20">
        <f>SUMIF('Mar20-Aug20 Billed-RETAIL'!$E$7:$E$155,$D12,'Mar20-Aug20 Billed-RETAIL'!$Q$7:$Q$155)</f>
        <v>25094.999999999996</v>
      </c>
      <c r="K12" s="20">
        <f>SUMIF('Mar20-Aug20 Billed-RETAIL'!$E$7:$E$155,$D12,'Mar20-Aug20 Billed-RETAIL'!$J$7:$J$155)</f>
        <v>5173828.2444412485</v>
      </c>
      <c r="L12" s="20">
        <f>(SUMIF('Mar20-Aug20 Billed-RETAIL'!$E$7:$E$155,$D12,'Mar20-Aug20 Billed-RETAIL'!$K$7:$K$155))</f>
        <v>2159860.6932546603</v>
      </c>
      <c r="M12" s="20">
        <f>SUMIF('Mar20-Aug20 Billed-RETAIL'!$E$7:$E$155,$D12,'Mar20-Aug20 Billed-RETAIL'!$L$7:$L$155)</f>
        <v>0</v>
      </c>
      <c r="N12" s="20">
        <f>SUMIF('Mar20-Aug20 Billed-RETAIL'!$E$7:$E$155,$D12,'Mar20-Aug20 Billed-RETAIL'!$M$7:$M$155)</f>
        <v>0</v>
      </c>
      <c r="O12" s="20">
        <f>SUMIF('Mar20-Aug20 Billed-RETAIL'!$E$7:$E$155,$D12,'Mar20-Aug20 Billed-RETAIL'!$N$7:$N$155)</f>
        <v>0</v>
      </c>
      <c r="P12" s="20">
        <f>SUMIF('Mar20-Aug20 Billed-RETAIL'!$E$7:$E$155,$D12,'Mar20-Aug20 Billed-RETAIL'!$O$7:$O$155)</f>
        <v>0</v>
      </c>
      <c r="Q12" s="904">
        <f>SUMIF('Mar20-Aug20 Billed-RETAIL'!$E$7:$E$155,$D12,'Mar20-Aug20 Billed-RETAIL'!$AF$7:$AF$155)</f>
        <v>-1</v>
      </c>
      <c r="R12" s="904">
        <f>SUMIF('Mar20-Aug20 Billed-RETAIL'!$E$7:$E$155,$D12,'Mar20-Aug20 Billed-RETAIL'!$AG$7:$AG$155)</f>
        <v>0</v>
      </c>
      <c r="S12" s="904">
        <f>SUMIF('Mar20-Aug20 Billed-RETAIL'!$E$7:$E$155,$D12,'Mar20-Aug20 Billed-RETAIL'!$AH$7:$AH$155)</f>
        <v>-97.56</v>
      </c>
      <c r="T12" s="904">
        <f>SUMIF('Mar20-Aug20 Billed-RETAIL'!$E$7:$E$155,$D12,'Mar20-Aug20 Billed-RETAIL'!$AI$7:$AI$155)</f>
        <v>0</v>
      </c>
      <c r="U12" s="904">
        <f>SUMIF('Mar20-Aug20 Billed-RETAIL'!$E$7:$E$155,$D12,'Mar20-Aug20 Billed-RETAIL'!$AJ$7:$AJ$155)</f>
        <v>0</v>
      </c>
      <c r="V12" s="904">
        <f>SUMIF('Mar20-Aug20 Billed-RETAIL'!$E$7:$E$155,$D12,'Mar20-Aug20 Billed-RETAIL'!$AK$7:$AK$155)</f>
        <v>0</v>
      </c>
      <c r="W12" s="904">
        <f>SUMIF('Mar20-Aug20 Billed-RETAIL'!$E$7:$E$155,$D12,'Mar20-Aug20 Billed-RETAIL'!$AL$7:$AL$155)</f>
        <v>-0.04</v>
      </c>
      <c r="X12" s="904">
        <f>SUMIF('Mar20-Aug20 Billed-RETAIL'!$E$7:$E$155,$D12,'Mar20-Aug20 Billed-RETAIL'!$AM$7:$AM$155)</f>
        <v>0</v>
      </c>
      <c r="Y12" s="904">
        <f>SUMIF('Mar20-Aug20 Billed-RETAIL'!$E$7:$E$155,$D12,'Mar20-Aug20 Billed-RETAIL'!$AN$7:$AN$155)</f>
        <v>0</v>
      </c>
      <c r="Z12" s="904">
        <f>SUMIF('Mar20-Aug20 Billed-RETAIL'!$E$7:$E$155,$D12,'Mar20-Aug20 Billed-RETAIL'!$AO$7:$AO$155)</f>
        <v>0</v>
      </c>
      <c r="AA12" s="20">
        <f>SUMIF('Mar20-Aug20 Billed-RETAIL'!$E$7:$E$155,$D12,'Mar20-Aug20 Billed-RETAIL'!$AP$7:$AP$155)</f>
        <v>153456.46</v>
      </c>
      <c r="AB12" s="20">
        <f>SUMIF('Mar20-Aug20 Billed-RETAIL'!$E$7:$E$155,$D12,'Mar20-Aug20 Billed-RETAIL'!$AQ$7:$AQ$155)</f>
        <v>618340.79999999993</v>
      </c>
      <c r="AC12" s="20">
        <v>0</v>
      </c>
      <c r="AD12" s="20">
        <f>SUMIF('Mar20-Aug20 Billed-RETAIL'!$E$7:$E$155,$D12,'Mar20-Aug20 Billed-RETAIL'!$AR$7:$AR$155)</f>
        <v>1134568.7557235216</v>
      </c>
      <c r="AE12" s="20">
        <f>SUMIF('Mar20-Aug20 Billed-RETAIL'!$E$7:$E$155,$D12,'Mar20-Aug20 Billed-RETAIL'!$AS$7:$AS$155)</f>
        <v>365642.81676108146</v>
      </c>
      <c r="AF12" s="20">
        <f>SUMIF('Mar20-Aug20 Billed-RETAIL'!$E$7:$E$155,$D12,'Mar20-Aug20 Billed-RETAIL'!$AT$7:$AT$155)</f>
        <v>0</v>
      </c>
      <c r="AG12" s="20">
        <f>SUMIF('Mar20-Aug20 Billed-RETAIL'!$E$7:$E$155,$D12,'Mar20-Aug20 Billed-RETAIL'!$AU$7:$AU$155)</f>
        <v>0</v>
      </c>
      <c r="AH12" s="20">
        <f>SUMIF('Mar20-Aug20 Billed-RETAIL'!$E$7:$E$155,$D12,'Mar20-Aug20 Billed-RETAIL'!$AV$7:$AV$155)</f>
        <v>0</v>
      </c>
      <c r="AI12" s="20">
        <f>SUMIF('Mar20-Aug20 Billed-RETAIL'!$E$7:$E$155,$D12,'Mar20-Aug20 Billed-RETAIL'!$AW$7:$AW$155)</f>
        <v>2542992.4920173096</v>
      </c>
      <c r="AJ12" s="20">
        <f>SUMIF('Mar20-Aug20 Billed-RETAIL'!$E$7:$E$155,$D12,'Mar20-Aug20 Billed-RETAIL'!$AX$7:$AX$155)</f>
        <v>0</v>
      </c>
      <c r="AK12" s="20">
        <f>SUMIF('Mar20-Aug20 Billed-RETAIL'!$E$7:$E$155,$D12,'Mar20-Aug20 Billed-RETAIL'!$AY$7:$AY$155)</f>
        <v>317319.96248895611</v>
      </c>
      <c r="AL12" s="20">
        <f>SUMIF('Mar20-Aug20 Billed-RETAIL'!$E$7:$E$155,$D12,'Mar20-Aug20 Billed-RETAIL'!$AZ$7:$AZ$155)</f>
        <v>18044.16</v>
      </c>
      <c r="AM12" s="28">
        <f t="shared" si="6"/>
        <v>5150365.446990869</v>
      </c>
      <c r="AN12" s="28">
        <f t="shared" si="5"/>
        <v>5150365.4556008698</v>
      </c>
      <c r="AO12" s="29">
        <f t="shared" si="4"/>
        <v>1</v>
      </c>
      <c r="AP12" s="28">
        <f>SUMIF('Mar20-Aug20 Billed-RETAIL'!$E$7:$E$155,$D12,'Mar20-Aug20 Billed-RETAIL'!$BD$7:$BD$155)</f>
        <v>771797.25999999989</v>
      </c>
      <c r="AQ12" s="28">
        <f>SUMIF('Mar20-Aug20 Billed-RETAIL'!$E$7:$E$155,$D12,'Mar20-Aug20 Billed-RETAIL'!$BE$7:$BE$155)</f>
        <v>1500211.5810946047</v>
      </c>
      <c r="AR12" s="28">
        <f>SUMIF('Mar20-Aug20 Billed-RETAIL'!$E$7:$E$155,$D12,'Mar20-Aug20 Billed-RETAIL'!$BF$7:$BF$155)</f>
        <v>0</v>
      </c>
      <c r="AS12" s="28">
        <f>SUMIF('Mar20-Aug20 Billed-RETAIL'!$E$7:$E$155,$D12,'Mar20-Aug20 Billed-RETAIL'!$BG$7:$BG$155)</f>
        <v>0</v>
      </c>
      <c r="AT12" s="28">
        <f>SUMIF('Mar20-Aug20 Billed-RETAIL'!$E$7:$E$155,$D12,'Mar20-Aug20 Billed-RETAIL'!$BH$7:$BH$155)</f>
        <v>2542992.4920173096</v>
      </c>
      <c r="AU12" s="28">
        <f>SUMIF('Mar20-Aug20 Billed-RETAIL'!$E$7:$E$155,$D12,'Mar20-Aug20 Billed-RETAIL'!$BI$7:$BI$155)</f>
        <v>0</v>
      </c>
      <c r="AV12" s="28">
        <f>SUMIF('Mar20-Aug20 Billed-RETAIL'!$E$7:$E$155,$D12,'Mar20-Aug20 Billed-RETAIL'!$BJ$7:$BJ$155)</f>
        <v>317319.96248895611</v>
      </c>
      <c r="AW12" s="28">
        <f>SUMIF('Mar20-Aug20 Billed-RETAIL'!$E$7:$E$155,$D12,'Mar20-Aug20 Billed-RETAIL'!$BK$7:$BK$155)</f>
        <v>18044.16</v>
      </c>
      <c r="AX12" s="28">
        <f>SUMIF('Mar20-Aug20 Billed-RETAIL'!$E$7:$E$155,$D12,'Mar20-Aug20 Billed-RETAIL'!$BL$7:$BL$155)</f>
        <v>0</v>
      </c>
    </row>
    <row r="13" spans="1:56" x14ac:dyDescent="0.25">
      <c r="A13" s="1">
        <f t="shared" si="7"/>
        <v>6</v>
      </c>
      <c r="B13" s="9" t="s">
        <v>170</v>
      </c>
      <c r="C13" s="9" t="s">
        <v>59</v>
      </c>
      <c r="D13" s="9" t="str">
        <f>'Retail Rates'!B12</f>
        <v>LGING855DS</v>
      </c>
      <c r="E13" s="2" t="str">
        <f t="shared" si="3"/>
        <v>855</v>
      </c>
      <c r="F13" s="405" t="str">
        <f>VLOOKUP($D13,'Retail Rates'!$B$7:$D$40,3,FALSE)</f>
        <v>Firm Industrial Gas Service-DSM Opt-In</v>
      </c>
      <c r="G13" s="20">
        <f>SUMIF('Mar20-Aug20 Billed-RETAIL'!$E$7:$E$155,$D13,'Mar20-Aug20 Billed-RETAIL'!$H$7:$H$155)</f>
        <v>448</v>
      </c>
      <c r="H13" s="20">
        <f>SUMIF('Mar20-Aug20 Billed-RETAIL'!$E$7:$E$155,$D13,'Mar20-Aug20 Billed-RETAIL'!$I$7:$I$155)</f>
        <v>363</v>
      </c>
      <c r="I13" s="20">
        <f>SUMIF('Mar20-Aug20 Billed-RETAIL'!$E$7:$E$155,$D13,'Mar20-Aug20 Billed-RETAIL'!$P$7:$P$155)</f>
        <v>13248</v>
      </c>
      <c r="J13" s="20">
        <f>SUMIF('Mar20-Aug20 Billed-RETAIL'!$E$7:$E$155,$D13,'Mar20-Aug20 Billed-RETAIL'!$Q$7:$Q$155)</f>
        <v>10938</v>
      </c>
      <c r="K13" s="20">
        <f>SUMIF('Mar20-Aug20 Billed-RETAIL'!$E$7:$E$155,$D13,'Mar20-Aug20 Billed-RETAIL'!$J$7:$J$155)</f>
        <v>977393</v>
      </c>
      <c r="L13" s="20">
        <f>(SUMIF('Mar20-Aug20 Billed-RETAIL'!$E$7:$E$155,$D13,'Mar20-Aug20 Billed-RETAIL'!$K$7:$K$155))</f>
        <v>1729744</v>
      </c>
      <c r="M13" s="20">
        <f>SUMIF('Mar20-Aug20 Billed-RETAIL'!$E$7:$E$155,$D13,'Mar20-Aug20 Billed-RETAIL'!$L$7:$L$155)</f>
        <v>0</v>
      </c>
      <c r="N13" s="20">
        <f>SUMIF('Mar20-Aug20 Billed-RETAIL'!$E$7:$E$155,$D13,'Mar20-Aug20 Billed-RETAIL'!$M$7:$M$155)</f>
        <v>0</v>
      </c>
      <c r="O13" s="20">
        <f>SUMIF('Mar20-Aug20 Billed-RETAIL'!$E$7:$E$155,$D13,'Mar20-Aug20 Billed-RETAIL'!$N$7:$N$155)</f>
        <v>0</v>
      </c>
      <c r="P13" s="20">
        <f>SUMIF('Mar20-Aug20 Billed-RETAIL'!$E$7:$E$155,$D13,'Mar20-Aug20 Billed-RETAIL'!$O$7:$O$155)</f>
        <v>0</v>
      </c>
      <c r="Q13" s="904">
        <f>SUMIF('Mar20-Aug20 Billed-RETAIL'!$E$7:$E$155,$D13,'Mar20-Aug20 Billed-RETAIL'!$AF$7:$AF$155)</f>
        <v>0</v>
      </c>
      <c r="R13" s="904">
        <f>SUMIF('Mar20-Aug20 Billed-RETAIL'!$E$7:$E$155,$D13,'Mar20-Aug20 Billed-RETAIL'!$AG$7:$AG$155)</f>
        <v>-2</v>
      </c>
      <c r="S13" s="904">
        <f>SUMIF('Mar20-Aug20 Billed-RETAIL'!$E$7:$E$155,$D13,'Mar20-Aug20 Billed-RETAIL'!$AH$7:$AH$155)</f>
        <v>0</v>
      </c>
      <c r="T13" s="904">
        <f>SUMIF('Mar20-Aug20 Billed-RETAIL'!$E$7:$E$155,$D13,'Mar20-Aug20 Billed-RETAIL'!$AI$7:$AI$155)</f>
        <v>887.04</v>
      </c>
      <c r="U13" s="904">
        <f>SUMIF('Mar20-Aug20 Billed-RETAIL'!$E$7:$E$155,$D13,'Mar20-Aug20 Billed-RETAIL'!$AJ$7:$AJ$155)</f>
        <v>-11197</v>
      </c>
      <c r="V13" s="904">
        <f>SUMIF('Mar20-Aug20 Billed-RETAIL'!$E$7:$E$155,$D13,'Mar20-Aug20 Billed-RETAIL'!$AK$7:$AK$155)</f>
        <v>0</v>
      </c>
      <c r="W13" s="904">
        <f>SUMIF('Mar20-Aug20 Billed-RETAIL'!$E$7:$E$155,$D13,'Mar20-Aug20 Billed-RETAIL'!$AL$7:$AL$155)</f>
        <v>2455.39</v>
      </c>
      <c r="X13" s="904">
        <f>SUMIF('Mar20-Aug20 Billed-RETAIL'!$E$7:$E$155,$D13,'Mar20-Aug20 Billed-RETAIL'!$AM$7:$AM$155)</f>
        <v>0</v>
      </c>
      <c r="Y13" s="904">
        <f>SUMIF('Mar20-Aug20 Billed-RETAIL'!$E$7:$E$155,$D13,'Mar20-Aug20 Billed-RETAIL'!$AN$7:$AN$155)</f>
        <v>0</v>
      </c>
      <c r="Z13" s="904">
        <f>SUMIF('Mar20-Aug20 Billed-RETAIL'!$E$7:$E$155,$D13,'Mar20-Aug20 Billed-RETAIL'!$AO$7:$AO$155)</f>
        <v>0</v>
      </c>
      <c r="AA13" s="20">
        <f>SUMIF('Mar20-Aug20 Billed-RETAIL'!$E$7:$E$155,$D13,'Mar20-Aug20 Billed-RETAIL'!$AP$7:$AP$155)</f>
        <v>71804.159999999989</v>
      </c>
      <c r="AB13" s="20">
        <f>SUMIF('Mar20-Aug20 Billed-RETAIL'!$E$7:$E$155,$D13,'Mar20-Aug20 Billed-RETAIL'!$AQ$7:$AQ$155)</f>
        <v>270399.35999999999</v>
      </c>
      <c r="AC13" s="20">
        <v>0</v>
      </c>
      <c r="AD13" s="20">
        <f>SUMIF('Mar20-Aug20 Billed-RETAIL'!$E$7:$E$155,$D13,'Mar20-Aug20 Billed-RETAIL'!$AR$7:$AR$155)</f>
        <v>216787.90097000002</v>
      </c>
      <c r="AE13" s="20">
        <f>SUMIF('Mar20-Aug20 Billed-RETAIL'!$E$7:$E$155,$D13,'Mar20-Aug20 Billed-RETAIL'!$AS$7:$AS$155)</f>
        <v>292828.36176</v>
      </c>
      <c r="AF13" s="20">
        <f>SUMIF('Mar20-Aug20 Billed-RETAIL'!$E$7:$E$155,$D13,'Mar20-Aug20 Billed-RETAIL'!$AT$7:$AT$155)</f>
        <v>0</v>
      </c>
      <c r="AG13" s="20">
        <f>SUMIF('Mar20-Aug20 Billed-RETAIL'!$E$7:$E$155,$D13,'Mar20-Aug20 Billed-RETAIL'!$AU$7:$AU$155)</f>
        <v>0</v>
      </c>
      <c r="AH13" s="20">
        <f>SUMIF('Mar20-Aug20 Billed-RETAIL'!$E$7:$E$155,$D13,'Mar20-Aug20 Billed-RETAIL'!$AV$7:$AV$155)</f>
        <v>1030.76</v>
      </c>
      <c r="AI13" s="20">
        <f>SUMIF('Mar20-Aug20 Billed-RETAIL'!$E$7:$E$155,$D13,'Mar20-Aug20 Billed-RETAIL'!$AW$7:$AW$155)</f>
        <v>816305.45</v>
      </c>
      <c r="AJ13" s="20">
        <f>SUMIF('Mar20-Aug20 Billed-RETAIL'!$E$7:$E$155,$D13,'Mar20-Aug20 Billed-RETAIL'!$AX$7:$AX$155)</f>
        <v>0</v>
      </c>
      <c r="AK13" s="20">
        <f>SUMIF('Mar20-Aug20 Billed-RETAIL'!$E$7:$E$155,$D13,'Mar20-Aug20 Billed-RETAIL'!$AY$7:$AY$155)</f>
        <v>72975.570000000007</v>
      </c>
      <c r="AL13" s="20">
        <f>SUMIF('Mar20-Aug20 Billed-RETAIL'!$E$7:$E$155,$D13,'Mar20-Aug20 Billed-RETAIL'!$AZ$7:$AZ$155)</f>
        <v>21585.62</v>
      </c>
      <c r="AM13" s="28">
        <f>SUM(AA13:AL13)</f>
        <v>1763717.1827300002</v>
      </c>
      <c r="AN13" s="28">
        <f t="shared" si="5"/>
        <v>1763717.28</v>
      </c>
      <c r="AO13" s="29">
        <f t="shared" si="4"/>
        <v>1</v>
      </c>
      <c r="AP13" s="28">
        <f>SUMIF('Mar20-Aug20 Billed-RETAIL'!$E$7:$E$155,$D13,'Mar20-Aug20 Billed-RETAIL'!$BD$7:$BD$155)</f>
        <v>342203.52</v>
      </c>
      <c r="AQ13" s="28">
        <f>SUMIF('Mar20-Aug20 Billed-RETAIL'!$E$7:$E$155,$D13,'Mar20-Aug20 Billed-RETAIL'!$BE$7:$BE$155)</f>
        <v>509616.36</v>
      </c>
      <c r="AR13" s="28">
        <f>SUMIF('Mar20-Aug20 Billed-RETAIL'!$E$7:$E$155,$D13,'Mar20-Aug20 Billed-RETAIL'!$BF$7:$BF$155)</f>
        <v>0</v>
      </c>
      <c r="AS13" s="28">
        <f>SUMIF('Mar20-Aug20 Billed-RETAIL'!$E$7:$E$155,$D13,'Mar20-Aug20 Billed-RETAIL'!$BG$7:$BG$155)</f>
        <v>1030.76</v>
      </c>
      <c r="AT13" s="28">
        <f>SUMIF('Mar20-Aug20 Billed-RETAIL'!$E$7:$E$155,$D13,'Mar20-Aug20 Billed-RETAIL'!$BH$7:$BH$155)</f>
        <v>816305.45</v>
      </c>
      <c r="AU13" s="28">
        <f>SUMIF('Mar20-Aug20 Billed-RETAIL'!$E$7:$E$155,$D13,'Mar20-Aug20 Billed-RETAIL'!$BI$7:$BI$155)</f>
        <v>0</v>
      </c>
      <c r="AV13" s="28">
        <f>SUMIF('Mar20-Aug20 Billed-RETAIL'!$E$7:$E$155,$D13,'Mar20-Aug20 Billed-RETAIL'!$BJ$7:$BJ$155)</f>
        <v>72975.570000000007</v>
      </c>
      <c r="AW13" s="28">
        <f>SUMIF('Mar20-Aug20 Billed-RETAIL'!$E$7:$E$155,$D13,'Mar20-Aug20 Billed-RETAIL'!$BK$7:$BK$155)</f>
        <v>21585.62</v>
      </c>
      <c r="AX13" s="28">
        <f>SUMIF('Mar20-Aug20 Billed-RETAIL'!$E$7:$E$155,$D13,'Mar20-Aug20 Billed-RETAIL'!$BL$7:$BL$155)</f>
        <v>0</v>
      </c>
    </row>
    <row r="14" spans="1:56" x14ac:dyDescent="0.25">
      <c r="A14" s="1">
        <f t="shared" si="7"/>
        <v>7</v>
      </c>
      <c r="B14" s="9" t="s">
        <v>170</v>
      </c>
      <c r="C14" s="9" t="s">
        <v>56</v>
      </c>
      <c r="D14" s="9" t="str">
        <f>'Retail Rates'!B13</f>
        <v>LGCMG863</v>
      </c>
      <c r="E14" s="2" t="str">
        <f t="shared" si="3"/>
        <v>863</v>
      </c>
      <c r="F14" s="405" t="str">
        <f>VLOOKUP($D14,'Retail Rates'!$B$7:$D$40,3,FALSE)</f>
        <v>Unmetered Insight Gas Generators</v>
      </c>
      <c r="G14" s="20">
        <f>SUMIF('Mar20-Aug20 Billed-RETAIL'!$E$7:$E$155,$D14,'Mar20-Aug20 Billed-RETAIL'!$H$7:$H$155)</f>
        <v>3647</v>
      </c>
      <c r="H14" s="20">
        <f>SUMIF('Mar20-Aug20 Billed-RETAIL'!$E$7:$E$155,$D14,'Mar20-Aug20 Billed-RETAIL'!$I$7:$I$155)</f>
        <v>0</v>
      </c>
      <c r="I14" s="20">
        <f>SUMIF('Mar20-Aug20 Billed-RETAIL'!$E$7:$E$155,$D14,'Mar20-Aug20 Billed-RETAIL'!$P$7:$P$155)</f>
        <v>110431</v>
      </c>
      <c r="J14" s="20">
        <f>SUMIF('Mar20-Aug20 Billed-RETAIL'!$E$7:$E$155,$D14,'Mar20-Aug20 Billed-RETAIL'!$Q$7:$Q$155)</f>
        <v>0</v>
      </c>
      <c r="K14" s="20">
        <f>SUMIF('Mar20-Aug20 Billed-RETAIL'!$E$7:$E$155,$D14,'Mar20-Aug20 Billed-RETAIL'!$J$7:$J$155)</f>
        <v>3606</v>
      </c>
      <c r="L14" s="20">
        <f>(SUMIF('Mar20-Aug20 Billed-RETAIL'!$E$7:$E$155,$D14,'Mar20-Aug20 Billed-RETAIL'!$K$7:$K$155))/10</f>
        <v>0</v>
      </c>
      <c r="M14" s="20">
        <f>SUMIF('Mar20-Aug20 Billed-RETAIL'!$E$7:$E$155,$D14,'Mar20-Aug20 Billed-RETAIL'!$L$7:$L$155)</f>
        <v>0</v>
      </c>
      <c r="N14" s="20">
        <f>SUMIF('Mar20-Aug20 Billed-RETAIL'!$E$7:$E$155,$D14,'Mar20-Aug20 Billed-RETAIL'!$M$7:$M$155)</f>
        <v>0</v>
      </c>
      <c r="O14" s="20">
        <f>SUMIF('Mar20-Aug20 Billed-RETAIL'!$E$7:$E$155,$D14,'Mar20-Aug20 Billed-RETAIL'!$N$7:$N$155)</f>
        <v>0</v>
      </c>
      <c r="P14" s="20">
        <f>SUMIF('Mar20-Aug20 Billed-RETAIL'!$E$7:$E$155,$D14,'Mar20-Aug20 Billed-RETAIL'!$O$7:$O$155)</f>
        <v>0</v>
      </c>
      <c r="Q14" s="904">
        <f>SUMIF('Mar20-Aug20 Billed-RETAIL'!$E$7:$E$155,$D14,'Mar20-Aug20 Billed-RETAIL'!$AF$7:$AF$155)</f>
        <v>0</v>
      </c>
      <c r="R14" s="904">
        <f>SUMIF('Mar20-Aug20 Billed-RETAIL'!$E$7:$E$155,$D14,'Mar20-Aug20 Billed-RETAIL'!$AG$7:$AG$155)</f>
        <v>0</v>
      </c>
      <c r="S14" s="904">
        <f>SUMIF('Mar20-Aug20 Billed-RETAIL'!$E$7:$E$155,$D14,'Mar20-Aug20 Billed-RETAIL'!$AH$7:$AH$155)</f>
        <v>0</v>
      </c>
      <c r="T14" s="904">
        <f>SUMIF('Mar20-Aug20 Billed-RETAIL'!$E$7:$E$155,$D14,'Mar20-Aug20 Billed-RETAIL'!$AI$7:$AI$155)</f>
        <v>0</v>
      </c>
      <c r="U14" s="904">
        <f>SUMIF('Mar20-Aug20 Billed-RETAIL'!$E$7:$E$155,$D14,'Mar20-Aug20 Billed-RETAIL'!$AJ$7:$AJ$155)</f>
        <v>0</v>
      </c>
      <c r="V14" s="904">
        <f>SUMIF('Mar20-Aug20 Billed-RETAIL'!$E$7:$E$155,$D14,'Mar20-Aug20 Billed-RETAIL'!$AK$7:$AK$155)</f>
        <v>0</v>
      </c>
      <c r="W14" s="904">
        <f>SUMIF('Mar20-Aug20 Billed-RETAIL'!$E$7:$E$155,$D14,'Mar20-Aug20 Billed-RETAIL'!$AL$7:$AL$155)</f>
        <v>0</v>
      </c>
      <c r="X14" s="904">
        <f>SUMIF('Mar20-Aug20 Billed-RETAIL'!$E$7:$E$155,$D14,'Mar20-Aug20 Billed-RETAIL'!$AM$7:$AM$155)</f>
        <v>0</v>
      </c>
      <c r="Y14" s="904">
        <f>SUMIF('Mar20-Aug20 Billed-RETAIL'!$E$7:$E$155,$D14,'Mar20-Aug20 Billed-RETAIL'!$AN$7:$AN$155)</f>
        <v>0</v>
      </c>
      <c r="Z14" s="904">
        <f>SUMIF('Mar20-Aug20 Billed-RETAIL'!$E$7:$E$155,$D14,'Mar20-Aug20 Billed-RETAIL'!$AO$7:$AO$155)</f>
        <v>0</v>
      </c>
      <c r="AA14" s="20">
        <f>SUMIF('Mar20-Aug20 Billed-RETAIL'!$E$7:$E$155,$D14,'Mar20-Aug20 Billed-RETAIL'!$AP$7:$AP$155)</f>
        <v>217549.07</v>
      </c>
      <c r="AB14" s="20">
        <f>SUMIF('Mar20-Aug20 Billed-RETAIL'!$E$7:$E$155,$D14,'Mar20-Aug20 Billed-RETAIL'!$AQ$7:$AQ$155)</f>
        <v>0</v>
      </c>
      <c r="AC14" s="20">
        <v>0</v>
      </c>
      <c r="AD14" s="20">
        <f>SUMIF('Mar20-Aug20 Billed-RETAIL'!$E$7:$E$155,$D14,'Mar20-Aug20 Billed-RETAIL'!$AR$7:$AR$155)</f>
        <v>1117.8599999999999</v>
      </c>
      <c r="AE14" s="20">
        <f>SUMIF('Mar20-Aug20 Billed-RETAIL'!$E$7:$E$155,$D14,'Mar20-Aug20 Billed-RETAIL'!$AS$7:$AS$155)</f>
        <v>0</v>
      </c>
      <c r="AF14" s="20">
        <f>SUMIF('Mar20-Aug20 Billed-RETAIL'!$E$7:$E$155,$D14,'Mar20-Aug20 Billed-RETAIL'!$AT$7:$AT$155)</f>
        <v>0</v>
      </c>
      <c r="AG14" s="20">
        <f>SUMIF('Mar20-Aug20 Billed-RETAIL'!$E$7:$E$155,$D14,'Mar20-Aug20 Billed-RETAIL'!$AU$7:$AU$155)</f>
        <v>0</v>
      </c>
      <c r="AH14" s="20">
        <f>SUMIF('Mar20-Aug20 Billed-RETAIL'!$E$7:$E$155,$D14,'Mar20-Aug20 Billed-RETAIL'!$AV$7:$AV$155)</f>
        <v>0</v>
      </c>
      <c r="AI14" s="20">
        <f>SUMIF('Mar20-Aug20 Billed-RETAIL'!$E$7:$E$155,$D14,'Mar20-Aug20 Billed-RETAIL'!$AW$7:$AW$155)</f>
        <v>1053.03</v>
      </c>
      <c r="AJ14" s="20">
        <f>SUMIF('Mar20-Aug20 Billed-RETAIL'!$E$7:$E$155,$D14,'Mar20-Aug20 Billed-RETAIL'!$AX$7:$AX$155)</f>
        <v>0</v>
      </c>
      <c r="AK14" s="20">
        <f>SUMIF('Mar20-Aug20 Billed-RETAIL'!$E$7:$E$155,$D14,'Mar20-Aug20 Billed-RETAIL'!$AY$7:$AY$155)</f>
        <v>27417.54</v>
      </c>
      <c r="AL14" s="20">
        <f>SUMIF('Mar20-Aug20 Billed-RETAIL'!$E$7:$E$155,$D14,'Mar20-Aug20 Billed-RETAIL'!$AZ$7:$AZ$155)</f>
        <v>56.769999999999996</v>
      </c>
      <c r="AM14" s="28">
        <f t="shared" si="6"/>
        <v>247194.27</v>
      </c>
      <c r="AN14" s="28">
        <f t="shared" si="5"/>
        <v>247194.27</v>
      </c>
      <c r="AO14" s="29">
        <f t="shared" si="4"/>
        <v>1</v>
      </c>
      <c r="AP14" s="28">
        <f>SUMIF('Mar20-Aug20 Billed-RETAIL'!$E$7:$E$155,$D14,'Mar20-Aug20 Billed-RETAIL'!$BD$7:$BD$155)</f>
        <v>217549.07</v>
      </c>
      <c r="AQ14" s="28">
        <f>SUMIF('Mar20-Aug20 Billed-RETAIL'!$E$7:$E$155,$D14,'Mar20-Aug20 Billed-RETAIL'!$BE$7:$BE$155)</f>
        <v>1117.8599999999999</v>
      </c>
      <c r="AR14" s="28">
        <f>SUMIF('Mar20-Aug20 Billed-RETAIL'!$E$7:$E$155,$D14,'Mar20-Aug20 Billed-RETAIL'!$BF$7:$BF$155)</f>
        <v>0</v>
      </c>
      <c r="AS14" s="28">
        <f>SUMIF('Mar20-Aug20 Billed-RETAIL'!$E$7:$E$155,$D14,'Mar20-Aug20 Billed-RETAIL'!$BG$7:$BG$155)</f>
        <v>0</v>
      </c>
      <c r="AT14" s="28">
        <f>SUMIF('Mar20-Aug20 Billed-RETAIL'!$E$7:$E$155,$D14,'Mar20-Aug20 Billed-RETAIL'!$BH$7:$BH$155)</f>
        <v>1053.03</v>
      </c>
      <c r="AU14" s="28">
        <f>SUMIF('Mar20-Aug20 Billed-RETAIL'!$E$7:$E$155,$D14,'Mar20-Aug20 Billed-RETAIL'!$BI$7:$BI$155)</f>
        <v>0</v>
      </c>
      <c r="AV14" s="28">
        <f>SUMIF('Mar20-Aug20 Billed-RETAIL'!$E$7:$E$155,$D14,'Mar20-Aug20 Billed-RETAIL'!$BJ$7:$BJ$155)</f>
        <v>27417.54</v>
      </c>
      <c r="AW14" s="28">
        <f>SUMIF('Mar20-Aug20 Billed-RETAIL'!$E$7:$E$155,$D14,'Mar20-Aug20 Billed-RETAIL'!$BK$7:$BK$155)</f>
        <v>56.769999999999996</v>
      </c>
      <c r="AX14" s="28">
        <f>SUMIF('Mar20-Aug20 Billed-RETAIL'!$E$7:$E$155,$D14,'Mar20-Aug20 Billed-RETAIL'!$BL$7:$BL$155)</f>
        <v>0</v>
      </c>
    </row>
    <row r="15" spans="1:56" x14ac:dyDescent="0.25">
      <c r="A15" s="1">
        <f t="shared" si="7"/>
        <v>8</v>
      </c>
      <c r="B15" s="9" t="s">
        <v>170</v>
      </c>
      <c r="C15" s="9" t="s">
        <v>223</v>
      </c>
      <c r="D15" s="9" t="str">
        <f>'Retail Rates'!B14</f>
        <v>LGCMG865</v>
      </c>
      <c r="E15" s="2" t="str">
        <f t="shared" si="3"/>
        <v>865</v>
      </c>
      <c r="F15" s="405" t="str">
        <f>VLOOKUP($D15,'Retail Rates'!$B$7:$D$40,3,FALSE)</f>
        <v>As-Available Gas Service, Commercial</v>
      </c>
      <c r="G15" s="20">
        <f>SUMIF('Mar20-Aug20 Billed-RETAIL'!$E$7:$E$155,$D15,'Mar20-Aug20 Billed-RETAIL'!$H$7:$H$155)</f>
        <v>26</v>
      </c>
      <c r="H15" s="20">
        <f>SUMIF('Mar20-Aug20 Billed-RETAIL'!$E$7:$E$155,$D15,'Mar20-Aug20 Billed-RETAIL'!$I$7:$I$155)</f>
        <v>0</v>
      </c>
      <c r="I15" s="20">
        <f>SUMIF('Mar20-Aug20 Billed-RETAIL'!$E$7:$E$155,$D15,'Mar20-Aug20 Billed-RETAIL'!$P$7:$P$155)</f>
        <v>0</v>
      </c>
      <c r="J15" s="20">
        <f>SUMIF('Mar20-Aug20 Billed-RETAIL'!$E$7:$E$155,$D15,'Mar20-Aug20 Billed-RETAIL'!$Q$7:$Q$155)</f>
        <v>0</v>
      </c>
      <c r="K15" s="20">
        <f>SUMIF('Mar20-Aug20 Billed-RETAIL'!$E$7:$E$155,$D15,'Mar20-Aug20 Billed-RETAIL'!$J$7:$J$155)</f>
        <v>0</v>
      </c>
      <c r="L15" s="20">
        <f>(SUMIF('Mar20-Aug20 Billed-RETAIL'!$E$7:$E$155,$D15,'Mar20-Aug20 Billed-RETAIL'!$K$7:$K$155))/10</f>
        <v>0</v>
      </c>
      <c r="M15" s="20">
        <f>SUMIF('Mar20-Aug20 Billed-RETAIL'!$E$7:$E$155,$D15,'Mar20-Aug20 Billed-RETAIL'!$L$7:$L$155)</f>
        <v>0</v>
      </c>
      <c r="N15" s="20">
        <f>SUMIF('Mar20-Aug20 Billed-RETAIL'!$E$7:$E$155,$D15,'Mar20-Aug20 Billed-RETAIL'!$M$7:$M$155)</f>
        <v>65808.174983812816</v>
      </c>
      <c r="O15" s="20">
        <f>SUMIF('Mar20-Aug20 Billed-RETAIL'!$E$7:$E$155,$D15,'Mar20-Aug20 Billed-RETAIL'!$N$7:$N$155)</f>
        <v>0</v>
      </c>
      <c r="P15" s="20">
        <f>SUMIF('Mar20-Aug20 Billed-RETAIL'!$E$7:$E$155,$D15,'Mar20-Aug20 Billed-RETAIL'!$O$7:$O$155)</f>
        <v>0</v>
      </c>
      <c r="Q15" s="904">
        <f>SUMIF('Mar20-Aug20 Billed-RETAIL'!$E$7:$E$155,$D15,'Mar20-Aug20 Billed-RETAIL'!$AF$7:$AF$155)</f>
        <v>0</v>
      </c>
      <c r="R15" s="904">
        <f>SUMIF('Mar20-Aug20 Billed-RETAIL'!$E$7:$E$155,$D15,'Mar20-Aug20 Billed-RETAIL'!$AG$7:$AG$155)</f>
        <v>0</v>
      </c>
      <c r="S15" s="904">
        <f>SUMIF('Mar20-Aug20 Billed-RETAIL'!$E$7:$E$155,$D15,'Mar20-Aug20 Billed-RETAIL'!$AH$7:$AH$155)</f>
        <v>0</v>
      </c>
      <c r="T15" s="904">
        <f>SUMIF('Mar20-Aug20 Billed-RETAIL'!$E$7:$E$155,$D15,'Mar20-Aug20 Billed-RETAIL'!$AI$7:$AI$155)</f>
        <v>0</v>
      </c>
      <c r="U15" s="904">
        <f>SUMIF('Mar20-Aug20 Billed-RETAIL'!$E$7:$E$155,$D15,'Mar20-Aug20 Billed-RETAIL'!$AJ$7:$AJ$155)</f>
        <v>0</v>
      </c>
      <c r="V15" s="904">
        <f>SUMIF('Mar20-Aug20 Billed-RETAIL'!$E$7:$E$155,$D15,'Mar20-Aug20 Billed-RETAIL'!$AK$7:$AK$155)</f>
        <v>0</v>
      </c>
      <c r="W15" s="904">
        <f>SUMIF('Mar20-Aug20 Billed-RETAIL'!$E$7:$E$155,$D15,'Mar20-Aug20 Billed-RETAIL'!$AL$7:$AL$155)</f>
        <v>0</v>
      </c>
      <c r="X15" s="904">
        <f>SUMIF('Mar20-Aug20 Billed-RETAIL'!$E$7:$E$155,$D15,'Mar20-Aug20 Billed-RETAIL'!$AM$7:$AM$155)</f>
        <v>0</v>
      </c>
      <c r="Y15" s="904">
        <f>SUMIF('Mar20-Aug20 Billed-RETAIL'!$E$7:$E$155,$D15,'Mar20-Aug20 Billed-RETAIL'!$AN$7:$AN$155)</f>
        <v>0</v>
      </c>
      <c r="Z15" s="904">
        <f>SUMIF('Mar20-Aug20 Billed-RETAIL'!$E$7:$E$155,$D15,'Mar20-Aug20 Billed-RETAIL'!$AO$7:$AO$155)</f>
        <v>0</v>
      </c>
      <c r="AA15" s="20">
        <f>SUMIF('Mar20-Aug20 Billed-RETAIL'!$E$7:$E$155,$D15,'Mar20-Aug20 Billed-RETAIL'!$AP$7:$AP$155)</f>
        <v>13000</v>
      </c>
      <c r="AB15" s="20">
        <f>SUMIF('Mar20-Aug20 Billed-RETAIL'!$E$7:$E$155,$D15,'Mar20-Aug20 Billed-RETAIL'!$AQ$7:$AQ$155)</f>
        <v>0</v>
      </c>
      <c r="AC15" s="20">
        <v>0</v>
      </c>
      <c r="AD15" s="20">
        <f>SUMIF('Mar20-Aug20 Billed-RETAIL'!$E$7:$E$155,$D15,'Mar20-Aug20 Billed-RETAIL'!$AR$7:$AR$155)</f>
        <v>70046.221452770362</v>
      </c>
      <c r="AE15" s="20">
        <f>SUMIF('Mar20-Aug20 Billed-RETAIL'!$E$7:$E$155,$D15,'Mar20-Aug20 Billed-RETAIL'!$AS$7:$AS$155)</f>
        <v>0</v>
      </c>
      <c r="AF15" s="20">
        <f>SUMIF('Mar20-Aug20 Billed-RETAIL'!$E$7:$E$155,$D15,'Mar20-Aug20 Billed-RETAIL'!$AT$7:$AT$155)</f>
        <v>0</v>
      </c>
      <c r="AG15" s="20">
        <f>SUMIF('Mar20-Aug20 Billed-RETAIL'!$E$7:$E$155,$D15,'Mar20-Aug20 Billed-RETAIL'!$AU$7:$AU$155)</f>
        <v>0</v>
      </c>
      <c r="AH15" s="20">
        <f>SUMIF('Mar20-Aug20 Billed-RETAIL'!$E$7:$E$155,$D15,'Mar20-Aug20 Billed-RETAIL'!$AV$7:$AV$155)</f>
        <v>2421.1426545083432</v>
      </c>
      <c r="AI15" s="20">
        <f>SUMIF('Mar20-Aug20 Billed-RETAIL'!$E$7:$E$155,$D15,'Mar20-Aug20 Billed-RETAIL'!$AW$7:$AW$155)</f>
        <v>212585.73219336601</v>
      </c>
      <c r="AJ15" s="20">
        <f>SUMIF('Mar20-Aug20 Billed-RETAIL'!$E$7:$E$155,$D15,'Mar20-Aug20 Billed-RETAIL'!$AX$7:$AX$155)</f>
        <v>0</v>
      </c>
      <c r="AK15" s="20">
        <f>SUMIF('Mar20-Aug20 Billed-RETAIL'!$E$7:$E$155,$D15,'Mar20-Aug20 Billed-RETAIL'!$AY$7:$AY$155)</f>
        <v>14951.799042538591</v>
      </c>
      <c r="AL15" s="20">
        <f>SUMIF('Mar20-Aug20 Billed-RETAIL'!$E$7:$E$155,$D15,'Mar20-Aug20 Billed-RETAIL'!$AZ$7:$AZ$155)</f>
        <v>2616.04</v>
      </c>
      <c r="AM15" s="28">
        <f t="shared" si="6"/>
        <v>315620.93534318323</v>
      </c>
      <c r="AN15" s="28">
        <f t="shared" si="5"/>
        <v>315620.94614318322</v>
      </c>
      <c r="AO15" s="29">
        <f>IF(AN15=0,0,ROUND(AN15/AM15,6))</f>
        <v>1</v>
      </c>
      <c r="AP15" s="28">
        <f>SUMIF('Mar20-Aug20 Billed-RETAIL'!$E$7:$E$155,$D15,'Mar20-Aug20 Billed-RETAIL'!$BD$7:$BD$155)</f>
        <v>13000</v>
      </c>
      <c r="AQ15" s="28">
        <f>SUMIF('Mar20-Aug20 Billed-RETAIL'!$E$7:$E$155,$D15,'Mar20-Aug20 Billed-RETAIL'!$BE$7:$BE$155)</f>
        <v>70046.232252770307</v>
      </c>
      <c r="AR15" s="28">
        <f>SUMIF('Mar20-Aug20 Billed-RETAIL'!$E$7:$E$155,$D15,'Mar20-Aug20 Billed-RETAIL'!$BF$7:$BF$155)</f>
        <v>0</v>
      </c>
      <c r="AS15" s="28">
        <f>SUMIF('Mar20-Aug20 Billed-RETAIL'!$E$7:$E$155,$D15,'Mar20-Aug20 Billed-RETAIL'!$BG$7:$BG$155)</f>
        <v>2421.1426545083432</v>
      </c>
      <c r="AT15" s="28">
        <f>SUMIF('Mar20-Aug20 Billed-RETAIL'!$E$7:$E$155,$D15,'Mar20-Aug20 Billed-RETAIL'!$BH$7:$BH$155)</f>
        <v>212585.73219336601</v>
      </c>
      <c r="AU15" s="28">
        <f>SUMIF('Mar20-Aug20 Billed-RETAIL'!$E$7:$E$155,$D15,'Mar20-Aug20 Billed-RETAIL'!$BI$7:$BI$155)</f>
        <v>0</v>
      </c>
      <c r="AV15" s="28">
        <f>SUMIF('Mar20-Aug20 Billed-RETAIL'!$E$7:$E$155,$D15,'Mar20-Aug20 Billed-RETAIL'!$BJ$7:$BJ$155)</f>
        <v>14951.799042538591</v>
      </c>
      <c r="AW15" s="28">
        <f>SUMIF('Mar20-Aug20 Billed-RETAIL'!$E$7:$E$155,$D15,'Mar20-Aug20 Billed-RETAIL'!$BK$7:$BK$155)</f>
        <v>2616.04</v>
      </c>
      <c r="AX15" s="28">
        <f>SUMIF('Mar20-Aug20 Billed-RETAIL'!$E$7:$E$155,$D15,'Mar20-Aug20 Billed-RETAIL'!$BL$7:$BL$155)</f>
        <v>0</v>
      </c>
    </row>
    <row r="16" spans="1:56" x14ac:dyDescent="0.25">
      <c r="A16" s="1">
        <f t="shared" si="7"/>
        <v>9</v>
      </c>
      <c r="B16" s="9" t="s">
        <v>170</v>
      </c>
      <c r="C16" s="9" t="s">
        <v>223</v>
      </c>
      <c r="D16" s="9" t="str">
        <f>'Retail Rates'!B15</f>
        <v>LGING866</v>
      </c>
      <c r="E16" s="2" t="str">
        <f t="shared" si="3"/>
        <v>866</v>
      </c>
      <c r="F16" s="405" t="str">
        <f>VLOOKUP($D16,'Retail Rates'!$B$7:$D$40,3,FALSE)</f>
        <v>As-Available Gas Service, Industrial Opt Out</v>
      </c>
      <c r="G16" s="20">
        <f>SUMIF('Mar20-Aug20 Billed-RETAIL'!$E$7:$E$155,$D16,'Mar20-Aug20 Billed-RETAIL'!$H$7:$H$155)</f>
        <v>0</v>
      </c>
      <c r="H16" s="20">
        <f>SUMIF('Mar20-Aug20 Billed-RETAIL'!$E$7:$E$155,$D16,'Mar20-Aug20 Billed-RETAIL'!$I$7:$I$155)</f>
        <v>0</v>
      </c>
      <c r="I16" s="20">
        <f>SUMIF('Mar20-Aug20 Billed-RETAIL'!$E$7:$E$155,$D16,'Mar20-Aug20 Billed-RETAIL'!$P$7:$P$155)</f>
        <v>0</v>
      </c>
      <c r="J16" s="20">
        <f>SUMIF('Mar20-Aug20 Billed-RETAIL'!$E$7:$E$155,$D16,'Mar20-Aug20 Billed-RETAIL'!$Q$7:$Q$155)</f>
        <v>0</v>
      </c>
      <c r="K16" s="20">
        <f>SUMIF('Mar20-Aug20 Billed-RETAIL'!$E$7:$E$155,$D16,'Mar20-Aug20 Billed-RETAIL'!$J$7:$J$155)</f>
        <v>0</v>
      </c>
      <c r="L16" s="20">
        <f>(SUMIF('Mar20-Aug20 Billed-RETAIL'!$E$7:$E$155,$D16,'Mar20-Aug20 Billed-RETAIL'!$K$7:$K$155))/10</f>
        <v>0</v>
      </c>
      <c r="M16" s="20">
        <f>SUMIF('Mar20-Aug20 Billed-RETAIL'!$E$7:$E$155,$D16,'Mar20-Aug20 Billed-RETAIL'!$L$7:$L$155)</f>
        <v>0</v>
      </c>
      <c r="N16" s="20">
        <f>SUMIF('Mar20-Aug20 Billed-RETAIL'!$E$7:$E$155,$D16,'Mar20-Aug20 Billed-RETAIL'!$M$7:$M$155)</f>
        <v>0</v>
      </c>
      <c r="O16" s="20">
        <f>SUMIF('Mar20-Aug20 Billed-RETAIL'!$E$7:$E$155,$D16,'Mar20-Aug20 Billed-RETAIL'!$N$7:$N$155)</f>
        <v>0</v>
      </c>
      <c r="P16" s="20">
        <f>SUMIF('Mar20-Aug20 Billed-RETAIL'!$E$7:$E$155,$D16,'Mar20-Aug20 Billed-RETAIL'!$O$7:$O$155)</f>
        <v>0</v>
      </c>
      <c r="Q16" s="904">
        <f>SUMIF('Mar20-Aug20 Billed-RETAIL'!$E$7:$E$155,$D16,'Mar20-Aug20 Billed-RETAIL'!$AF$7:$AF$155)</f>
        <v>0</v>
      </c>
      <c r="R16" s="904">
        <f>SUMIF('Mar20-Aug20 Billed-RETAIL'!$E$7:$E$155,$D16,'Mar20-Aug20 Billed-RETAIL'!$AG$7:$AG$155)</f>
        <v>0</v>
      </c>
      <c r="S16" s="904">
        <f>SUMIF('Mar20-Aug20 Billed-RETAIL'!$E$7:$E$155,$D16,'Mar20-Aug20 Billed-RETAIL'!$AH$7:$AH$155)</f>
        <v>0</v>
      </c>
      <c r="T16" s="904">
        <f>SUMIF('Mar20-Aug20 Billed-RETAIL'!$E$7:$E$155,$D16,'Mar20-Aug20 Billed-RETAIL'!$AI$7:$AI$155)</f>
        <v>0</v>
      </c>
      <c r="U16" s="904">
        <f>SUMIF('Mar20-Aug20 Billed-RETAIL'!$E$7:$E$155,$D16,'Mar20-Aug20 Billed-RETAIL'!$AJ$7:$AJ$155)</f>
        <v>0</v>
      </c>
      <c r="V16" s="904">
        <f>SUMIF('Mar20-Aug20 Billed-RETAIL'!$E$7:$E$155,$D16,'Mar20-Aug20 Billed-RETAIL'!$AK$7:$AK$155)</f>
        <v>0</v>
      </c>
      <c r="W16" s="904">
        <f>SUMIF('Mar20-Aug20 Billed-RETAIL'!$E$7:$E$155,$D16,'Mar20-Aug20 Billed-RETAIL'!$AL$7:$AL$155)</f>
        <v>0</v>
      </c>
      <c r="X16" s="904">
        <f>SUMIF('Mar20-Aug20 Billed-RETAIL'!$E$7:$E$155,$D16,'Mar20-Aug20 Billed-RETAIL'!$AM$7:$AM$155)</f>
        <v>0</v>
      </c>
      <c r="Y16" s="904">
        <f>SUMIF('Mar20-Aug20 Billed-RETAIL'!$E$7:$E$155,$D16,'Mar20-Aug20 Billed-RETAIL'!$AN$7:$AN$155)</f>
        <v>0</v>
      </c>
      <c r="Z16" s="904">
        <f>SUMIF('Mar20-Aug20 Billed-RETAIL'!$E$7:$E$155,$D16,'Mar20-Aug20 Billed-RETAIL'!$AO$7:$AO$155)</f>
        <v>0</v>
      </c>
      <c r="AA16" s="20">
        <f>SUMIF('Mar20-Aug20 Billed-RETAIL'!$E$7:$E$155,$D16,'Mar20-Aug20 Billed-RETAIL'!$AP$7:$AP$155)</f>
        <v>0</v>
      </c>
      <c r="AB16" s="20">
        <f>SUMIF('Mar20-Aug20 Billed-RETAIL'!$E$7:$E$155,$D16,'Mar20-Aug20 Billed-RETAIL'!$AQ$7:$AQ$155)</f>
        <v>0</v>
      </c>
      <c r="AC16" s="20">
        <v>0</v>
      </c>
      <c r="AD16" s="20">
        <f>SUMIF('Mar20-Aug20 Billed-RETAIL'!$E$7:$E$155,$D16,'Mar20-Aug20 Billed-RETAIL'!$AR$7:$AR$155)</f>
        <v>0</v>
      </c>
      <c r="AE16" s="20">
        <f>SUMIF('Mar20-Aug20 Billed-RETAIL'!$E$7:$E$155,$D16,'Mar20-Aug20 Billed-RETAIL'!$AS$7:$AS$155)</f>
        <v>0</v>
      </c>
      <c r="AF16" s="20">
        <f>SUMIF('Mar20-Aug20 Billed-RETAIL'!$E$7:$E$155,$D16,'Mar20-Aug20 Billed-RETAIL'!$AT$7:$AT$155)</f>
        <v>0</v>
      </c>
      <c r="AG16" s="20">
        <f>SUMIF('Mar20-Aug20 Billed-RETAIL'!$E$7:$E$155,$D16,'Mar20-Aug20 Billed-RETAIL'!$AU$7:$AU$155)</f>
        <v>0</v>
      </c>
      <c r="AH16" s="20">
        <f>SUMIF('Mar20-Aug20 Billed-RETAIL'!$E$7:$E$155,$D16,'Mar20-Aug20 Billed-RETAIL'!$AV$7:$AV$155)</f>
        <v>0</v>
      </c>
      <c r="AI16" s="20">
        <f>SUMIF('Mar20-Aug20 Billed-RETAIL'!$E$7:$E$155,$D16,'Mar20-Aug20 Billed-RETAIL'!$AW$7:$AW$155)</f>
        <v>0</v>
      </c>
      <c r="AJ16" s="20">
        <f>SUMIF('Mar20-Aug20 Billed-RETAIL'!$E$7:$E$155,$D16,'Mar20-Aug20 Billed-RETAIL'!$AX$7:$AX$155)</f>
        <v>0</v>
      </c>
      <c r="AK16" s="20">
        <f>SUMIF('Mar20-Aug20 Billed-RETAIL'!$E$7:$E$155,$D16,'Mar20-Aug20 Billed-RETAIL'!$AY$7:$AY$155)</f>
        <v>0</v>
      </c>
      <c r="AL16" s="20">
        <f>SUMIF('Mar20-Aug20 Billed-RETAIL'!$E$7:$E$155,$D16,'Mar20-Aug20 Billed-RETAIL'!$AZ$7:$AZ$155)</f>
        <v>0</v>
      </c>
      <c r="AM16" s="28">
        <f t="shared" si="6"/>
        <v>0</v>
      </c>
      <c r="AN16" s="28">
        <f t="shared" si="5"/>
        <v>0</v>
      </c>
      <c r="AO16" s="29">
        <f t="shared" si="4"/>
        <v>0</v>
      </c>
      <c r="AP16" s="28">
        <f>SUMIF('Mar20-Aug20 Billed-RETAIL'!$E$7:$E$155,$D16,'Mar20-Aug20 Billed-RETAIL'!$BD$7:$BD$155)</f>
        <v>0</v>
      </c>
      <c r="AQ16" s="28">
        <f>SUMIF('Mar20-Aug20 Billed-RETAIL'!$E$7:$E$155,$D16,'Mar20-Aug20 Billed-RETAIL'!$BE$7:$BE$155)</f>
        <v>0</v>
      </c>
      <c r="AR16" s="28">
        <f>SUMIF('Mar20-Aug20 Billed-RETAIL'!$E$7:$E$155,$D16,'Mar20-Aug20 Billed-RETAIL'!$BF$7:$BF$155)</f>
        <v>0</v>
      </c>
      <c r="AS16" s="28">
        <f>SUMIF('Mar20-Aug20 Billed-RETAIL'!$E$7:$E$155,$D16,'Mar20-Aug20 Billed-RETAIL'!$BG$7:$BG$155)</f>
        <v>0</v>
      </c>
      <c r="AT16" s="28">
        <f>SUMIF('Mar20-Aug20 Billed-RETAIL'!$E$7:$E$155,$D16,'Mar20-Aug20 Billed-RETAIL'!$BH$7:$BH$155)</f>
        <v>0</v>
      </c>
      <c r="AU16" s="28">
        <f>SUMIF('Mar20-Aug20 Billed-RETAIL'!$E$7:$E$155,$D16,'Mar20-Aug20 Billed-RETAIL'!$BI$7:$BI$155)</f>
        <v>0</v>
      </c>
      <c r="AV16" s="28">
        <f>SUMIF('Mar20-Aug20 Billed-RETAIL'!$E$7:$E$155,$D16,'Mar20-Aug20 Billed-RETAIL'!$BJ$7:$BJ$155)</f>
        <v>0</v>
      </c>
      <c r="AW16" s="28">
        <f>SUMIF('Mar20-Aug20 Billed-RETAIL'!$E$7:$E$155,$D16,'Mar20-Aug20 Billed-RETAIL'!$BK$7:$BK$155)</f>
        <v>0</v>
      </c>
      <c r="AX16" s="28">
        <f>SUMIF('Mar20-Aug20 Billed-RETAIL'!$E$7:$E$155,$D16,'Mar20-Aug20 Billed-RETAIL'!$BL$7:$BL$155)</f>
        <v>0</v>
      </c>
    </row>
    <row r="17" spans="1:50" x14ac:dyDescent="0.25">
      <c r="A17" s="1">
        <f t="shared" si="7"/>
        <v>10</v>
      </c>
      <c r="B17" s="9" t="s">
        <v>170</v>
      </c>
      <c r="C17" s="9" t="s">
        <v>223</v>
      </c>
      <c r="D17" s="9" t="str">
        <f>'Retail Rates'!B16</f>
        <v>LGING866DS</v>
      </c>
      <c r="E17" s="2" t="str">
        <f t="shared" si="3"/>
        <v>866</v>
      </c>
      <c r="F17" s="405" t="str">
        <f>VLOOKUP($D17,'Retail Rates'!$B$7:$D$40,3,FALSE)</f>
        <v>As-Available Gas Service, Industrial Opt In</v>
      </c>
      <c r="G17" s="20">
        <f>SUMIF('Mar20-Aug20 Billed-RETAIL'!$E$7:$E$155,$D17,'Mar20-Aug20 Billed-RETAIL'!$H$7:$H$155)</f>
        <v>6</v>
      </c>
      <c r="H17" s="20">
        <f>SUMIF('Mar20-Aug20 Billed-RETAIL'!$E$7:$E$155,$D17,'Mar20-Aug20 Billed-RETAIL'!$I$7:$I$155)</f>
        <v>0</v>
      </c>
      <c r="I17" s="20">
        <f>SUMIF('Mar20-Aug20 Billed-RETAIL'!$E$7:$E$155,$D17,'Mar20-Aug20 Billed-RETAIL'!$P$7:$P$155)</f>
        <v>0</v>
      </c>
      <c r="J17" s="20">
        <f>SUMIF('Mar20-Aug20 Billed-RETAIL'!$E$7:$E$155,$D17,'Mar20-Aug20 Billed-RETAIL'!$Q$7:$Q$155)</f>
        <v>0</v>
      </c>
      <c r="K17" s="20">
        <f>SUMIF('Mar20-Aug20 Billed-RETAIL'!$E$7:$E$155,$D17,'Mar20-Aug20 Billed-RETAIL'!$J$7:$J$155)</f>
        <v>0</v>
      </c>
      <c r="L17" s="20">
        <f>(SUMIF('Mar20-Aug20 Billed-RETAIL'!$E$7:$E$155,$D17,'Mar20-Aug20 Billed-RETAIL'!$K$7:$K$155))/10</f>
        <v>0</v>
      </c>
      <c r="M17" s="20">
        <f>SUMIF('Mar20-Aug20 Billed-RETAIL'!$E$7:$E$155,$D17,'Mar20-Aug20 Billed-RETAIL'!$L$7:$L$155)</f>
        <v>0</v>
      </c>
      <c r="N17" s="20">
        <f>SUMIF('Mar20-Aug20 Billed-RETAIL'!$E$7:$E$155,$D17,'Mar20-Aug20 Billed-RETAIL'!$M$7:$M$155)</f>
        <v>18474.400000000001</v>
      </c>
      <c r="O17" s="20">
        <f>SUMIF('Mar20-Aug20 Billed-RETAIL'!$E$7:$E$155,$D17,'Mar20-Aug20 Billed-RETAIL'!$N$7:$N$155)</f>
        <v>0</v>
      </c>
      <c r="P17" s="20">
        <f>SUMIF('Mar20-Aug20 Billed-RETAIL'!$E$7:$E$155,$D17,'Mar20-Aug20 Billed-RETAIL'!$O$7:$O$155)</f>
        <v>0</v>
      </c>
      <c r="Q17" s="904">
        <f>SUMIF('Mar20-Aug20 Billed-RETAIL'!$E$7:$E$155,$D17,'Mar20-Aug20 Billed-RETAIL'!$AF$7:$AF$155)</f>
        <v>0</v>
      </c>
      <c r="R17" s="904">
        <f>SUMIF('Mar20-Aug20 Billed-RETAIL'!$E$7:$E$155,$D17,'Mar20-Aug20 Billed-RETAIL'!$AG$7:$AG$155)</f>
        <v>0</v>
      </c>
      <c r="S17" s="904">
        <f>SUMIF('Mar20-Aug20 Billed-RETAIL'!$E$7:$E$155,$D17,'Mar20-Aug20 Billed-RETAIL'!$AH$7:$AH$155)</f>
        <v>0</v>
      </c>
      <c r="T17" s="904">
        <f>SUMIF('Mar20-Aug20 Billed-RETAIL'!$E$7:$E$155,$D17,'Mar20-Aug20 Billed-RETAIL'!$AI$7:$AI$155)</f>
        <v>0</v>
      </c>
      <c r="U17" s="904">
        <f>SUMIF('Mar20-Aug20 Billed-RETAIL'!$E$7:$E$155,$D17,'Mar20-Aug20 Billed-RETAIL'!$AJ$7:$AJ$155)</f>
        <v>0</v>
      </c>
      <c r="V17" s="904">
        <f>SUMIF('Mar20-Aug20 Billed-RETAIL'!$E$7:$E$155,$D17,'Mar20-Aug20 Billed-RETAIL'!$AK$7:$AK$155)</f>
        <v>0</v>
      </c>
      <c r="W17" s="904">
        <f>SUMIF('Mar20-Aug20 Billed-RETAIL'!$E$7:$E$155,$D17,'Mar20-Aug20 Billed-RETAIL'!$AL$7:$AL$155)</f>
        <v>0</v>
      </c>
      <c r="X17" s="904">
        <f>SUMIF('Mar20-Aug20 Billed-RETAIL'!$E$7:$E$155,$D17,'Mar20-Aug20 Billed-RETAIL'!$AM$7:$AM$155)</f>
        <v>0</v>
      </c>
      <c r="Y17" s="904">
        <f>SUMIF('Mar20-Aug20 Billed-RETAIL'!$E$7:$E$155,$D17,'Mar20-Aug20 Billed-RETAIL'!$AN$7:$AN$155)</f>
        <v>0</v>
      </c>
      <c r="Z17" s="904">
        <f>SUMIF('Mar20-Aug20 Billed-RETAIL'!$E$7:$E$155,$D17,'Mar20-Aug20 Billed-RETAIL'!$AO$7:$AO$155)</f>
        <v>0</v>
      </c>
      <c r="AA17" s="20">
        <f>SUMIF('Mar20-Aug20 Billed-RETAIL'!$E$7:$E$155,$D17,'Mar20-Aug20 Billed-RETAIL'!$AP$7:$AP$155)</f>
        <v>3000</v>
      </c>
      <c r="AB17" s="20">
        <f>SUMIF('Mar20-Aug20 Billed-RETAIL'!$E$7:$E$155,$D17,'Mar20-Aug20 Billed-RETAIL'!$AQ$7:$AQ$155)</f>
        <v>0</v>
      </c>
      <c r="AC17" s="20">
        <v>0</v>
      </c>
      <c r="AD17" s="20">
        <f>SUMIF('Mar20-Aug20 Billed-RETAIL'!$E$7:$E$155,$D17,'Mar20-Aug20 Billed-RETAIL'!$AR$7:$AR$155)</f>
        <v>19664.15136</v>
      </c>
      <c r="AE17" s="20">
        <f>SUMIF('Mar20-Aug20 Billed-RETAIL'!$E$7:$E$155,$D17,'Mar20-Aug20 Billed-RETAIL'!$AS$7:$AS$155)</f>
        <v>0</v>
      </c>
      <c r="AF17" s="20">
        <f>SUMIF('Mar20-Aug20 Billed-RETAIL'!$E$7:$E$155,$D17,'Mar20-Aug20 Billed-RETAIL'!$AT$7:$AT$155)</f>
        <v>0</v>
      </c>
      <c r="AG17" s="20">
        <f>SUMIF('Mar20-Aug20 Billed-RETAIL'!$E$7:$E$155,$D17,'Mar20-Aug20 Billed-RETAIL'!$AU$7:$AU$155)</f>
        <v>0</v>
      </c>
      <c r="AH17" s="20">
        <f>SUMIF('Mar20-Aug20 Billed-RETAIL'!$E$7:$E$155,$D17,'Mar20-Aug20 Billed-RETAIL'!$AV$7:$AV$155)</f>
        <v>82.820000000000007</v>
      </c>
      <c r="AI17" s="20">
        <f>SUMIF('Mar20-Aug20 Billed-RETAIL'!$E$7:$E$155,$D17,'Mar20-Aug20 Billed-RETAIL'!$AW$7:$AW$155)</f>
        <v>52478.44</v>
      </c>
      <c r="AJ17" s="20">
        <f>SUMIF('Mar20-Aug20 Billed-RETAIL'!$E$7:$E$155,$D17,'Mar20-Aug20 Billed-RETAIL'!$AX$7:$AX$155)</f>
        <v>0</v>
      </c>
      <c r="AK17" s="20">
        <f>SUMIF('Mar20-Aug20 Billed-RETAIL'!$E$7:$E$155,$D17,'Mar20-Aug20 Billed-RETAIL'!$AY$7:$AY$155)</f>
        <v>569.64</v>
      </c>
      <c r="AL17" s="20">
        <f>SUMIF('Mar20-Aug20 Billed-RETAIL'!$E$7:$E$155,$D17,'Mar20-Aug20 Billed-RETAIL'!$AZ$7:$AZ$155)</f>
        <v>1811.1000000000001</v>
      </c>
      <c r="AM17" s="28">
        <f t="shared" si="6"/>
        <v>77606.151360000003</v>
      </c>
      <c r="AN17" s="28">
        <f t="shared" si="5"/>
        <v>77606.140000000014</v>
      </c>
      <c r="AO17" s="29">
        <f t="shared" si="4"/>
        <v>1</v>
      </c>
      <c r="AP17" s="28">
        <f>SUMIF('Mar20-Aug20 Billed-RETAIL'!$E$7:$E$155,$D17,'Mar20-Aug20 Billed-RETAIL'!$BD$7:$BD$155)</f>
        <v>3000</v>
      </c>
      <c r="AQ17" s="28">
        <f>SUMIF('Mar20-Aug20 Billed-RETAIL'!$E$7:$E$155,$D17,'Mar20-Aug20 Billed-RETAIL'!$BE$7:$BE$155)</f>
        <v>19664.140000000003</v>
      </c>
      <c r="AR17" s="28">
        <f>SUMIF('Mar20-Aug20 Billed-RETAIL'!$E$7:$E$155,$D17,'Mar20-Aug20 Billed-RETAIL'!$BF$7:$BF$155)</f>
        <v>0</v>
      </c>
      <c r="AS17" s="28">
        <f>SUMIF('Mar20-Aug20 Billed-RETAIL'!$E$7:$E$155,$D17,'Mar20-Aug20 Billed-RETAIL'!$BG$7:$BG$155)</f>
        <v>82.820000000000007</v>
      </c>
      <c r="AT17" s="28">
        <f>SUMIF('Mar20-Aug20 Billed-RETAIL'!$E$7:$E$155,$D17,'Mar20-Aug20 Billed-RETAIL'!$BH$7:$BH$155)</f>
        <v>52478.44</v>
      </c>
      <c r="AU17" s="28">
        <f>SUMIF('Mar20-Aug20 Billed-RETAIL'!$E$7:$E$155,$D17,'Mar20-Aug20 Billed-RETAIL'!$BI$7:$BI$155)</f>
        <v>0</v>
      </c>
      <c r="AV17" s="28">
        <f>SUMIF('Mar20-Aug20 Billed-RETAIL'!$E$7:$E$155,$D17,'Mar20-Aug20 Billed-RETAIL'!$BJ$7:$BJ$155)</f>
        <v>569.64</v>
      </c>
      <c r="AW17" s="28">
        <f>SUMIF('Mar20-Aug20 Billed-RETAIL'!$E$7:$E$155,$D17,'Mar20-Aug20 Billed-RETAIL'!$BK$7:$BK$155)</f>
        <v>1811.1000000000001</v>
      </c>
      <c r="AX17" s="28">
        <f>SUMIF('Mar20-Aug20 Billed-RETAIL'!$E$7:$E$155,$D17,'Mar20-Aug20 Billed-RETAIL'!$BL$7:$BL$155)</f>
        <v>0</v>
      </c>
    </row>
    <row r="18" spans="1:50" x14ac:dyDescent="0.25">
      <c r="A18" s="1">
        <f t="shared" si="7"/>
        <v>11</v>
      </c>
      <c r="B18" s="9" t="s">
        <v>170</v>
      </c>
      <c r="C18" s="9" t="s">
        <v>553</v>
      </c>
      <c r="D18" s="9" t="str">
        <f>'Retail Rates'!B17</f>
        <v>LGCMG870</v>
      </c>
      <c r="E18" s="2" t="str">
        <f t="shared" si="3"/>
        <v>870</v>
      </c>
      <c r="F18" s="405" t="str">
        <f>VLOOKUP($D18,'Retail Rates'!$B$7:$D$40,3,FALSE)</f>
        <v>Substitute Gas Sales Service-Commercial</v>
      </c>
      <c r="G18" s="20">
        <f>SUMIF('Mar20-Aug20 Billed-RETAIL'!$E$7:$E$155,$D18,'Mar20-Aug20 Billed-RETAIL'!$H$7:$H$155)</f>
        <v>12</v>
      </c>
      <c r="H18" s="20">
        <f>SUMIF('Mar20-Aug20 Billed-RETAIL'!$E$7:$E$155,$D18,'Mar20-Aug20 Billed-RETAIL'!$I$7:$I$155)</f>
        <v>0</v>
      </c>
      <c r="I18" s="20">
        <f>SUMIF('Mar20-Aug20 Billed-RETAIL'!$E$7:$E$155,$D18,'Mar20-Aug20 Billed-RETAIL'!$P$7:$P$155)</f>
        <v>0</v>
      </c>
      <c r="J18" s="20">
        <f>SUMIF('Mar20-Aug20 Billed-RETAIL'!$E$7:$E$155,$D18,'Mar20-Aug20 Billed-RETAIL'!$Q$7:$Q$155)</f>
        <v>0</v>
      </c>
      <c r="K18" s="20">
        <f>SUMIF('Mar20-Aug20 Billed-RETAIL'!$E$7:$E$155,$D18,'Mar20-Aug20 Billed-RETAIL'!$J$7:$J$155)</f>
        <v>0</v>
      </c>
      <c r="L18" s="20">
        <f>(SUMIF('Mar20-Aug20 Billed-RETAIL'!$E$7:$E$155,$D18,'Mar20-Aug20 Billed-RETAIL'!$K$7:$K$155))/10</f>
        <v>0</v>
      </c>
      <c r="M18" s="20">
        <f>SUMIF('Mar20-Aug20 Billed-RETAIL'!$E$7:$E$155,$D18,'Mar20-Aug20 Billed-RETAIL'!$L$7:$L$155)</f>
        <v>0</v>
      </c>
      <c r="N18" s="20">
        <f>SUMIF('Mar20-Aug20 Billed-RETAIL'!$E$7:$E$155,$D18,'Mar20-Aug20 Billed-RETAIL'!$M$7:$M$155)</f>
        <v>1252.5</v>
      </c>
      <c r="O18" s="20">
        <f>SUMIF('Mar20-Aug20 Billed-RETAIL'!$E$7:$E$155,$D18,'Mar20-Aug20 Billed-RETAIL'!$N$7:$N$155)</f>
        <v>0</v>
      </c>
      <c r="P18" s="20">
        <f>SUMIF('Mar20-Aug20 Billed-RETAIL'!$E$7:$E$155,$D18,'Mar20-Aug20 Billed-RETAIL'!$O$7:$O$155)</f>
        <v>28181.006707317083</v>
      </c>
      <c r="Q18" s="904">
        <f>SUMIF('Mar20-Aug20 Billed-RETAIL'!$E$7:$E$155,$D18,'Mar20-Aug20 Billed-RETAIL'!$AF$7:$AF$155)</f>
        <v>-1</v>
      </c>
      <c r="R18" s="904">
        <f>SUMIF('Mar20-Aug20 Billed-RETAIL'!$E$7:$E$155,$D18,'Mar20-Aug20 Billed-RETAIL'!$AG$7:$AG$155)</f>
        <v>0</v>
      </c>
      <c r="S18" s="904">
        <f>SUMIF('Mar20-Aug20 Billed-RETAIL'!$E$7:$E$155,$D18,'Mar20-Aug20 Billed-RETAIL'!$AH$7:$AH$155)</f>
        <v>285</v>
      </c>
      <c r="T18" s="904">
        <f>SUMIF('Mar20-Aug20 Billed-RETAIL'!$E$7:$E$155,$D18,'Mar20-Aug20 Billed-RETAIL'!$AI$7:$AI$155)</f>
        <v>0</v>
      </c>
      <c r="U18" s="904">
        <f>SUMIF('Mar20-Aug20 Billed-RETAIL'!$E$7:$E$155,$D18,'Mar20-Aug20 Billed-RETAIL'!$AJ$7:$AJ$155)</f>
        <v>-16997</v>
      </c>
      <c r="V18" s="904">
        <f>SUMIF('Mar20-Aug20 Billed-RETAIL'!$E$7:$E$155,$D18,'Mar20-Aug20 Billed-RETAIL'!$AK$7:$AK$155)</f>
        <v>0</v>
      </c>
      <c r="W18" s="904">
        <f>SUMIF('Mar20-Aug20 Billed-RETAIL'!$E$7:$E$155,$D18,'Mar20-Aug20 Billed-RETAIL'!$AL$7:$AL$155)</f>
        <v>612.4</v>
      </c>
      <c r="X18" s="904">
        <f>SUMIF('Mar20-Aug20 Billed-RETAIL'!$E$7:$E$155,$D18,'Mar20-Aug20 Billed-RETAIL'!$AM$7:$AM$155)</f>
        <v>0</v>
      </c>
      <c r="Y18" s="904">
        <f>SUMIF('Mar20-Aug20 Billed-RETAIL'!$E$7:$E$155,$D18,'Mar20-Aug20 Billed-RETAIL'!$AN$7:$AN$155)</f>
        <v>-2418.1</v>
      </c>
      <c r="Z18" s="904">
        <f>SUMIF('Mar20-Aug20 Billed-RETAIL'!$E$7:$E$155,$D18,'Mar20-Aug20 Billed-RETAIL'!$AO$7:$AO$155)</f>
        <v>15862.72</v>
      </c>
      <c r="AA18" s="20">
        <f>SUMIF('Mar20-Aug20 Billed-RETAIL'!$E$7:$E$155,$D18,'Mar20-Aug20 Billed-RETAIL'!$AP$7:$AP$155)</f>
        <v>3705</v>
      </c>
      <c r="AB18" s="20">
        <f>SUMIF('Mar20-Aug20 Billed-RETAIL'!$E$7:$E$155,$D18,'Mar20-Aug20 Billed-RETAIL'!$AQ$7:$AQ$155)</f>
        <v>0</v>
      </c>
      <c r="AC18" s="20">
        <v>0</v>
      </c>
      <c r="AD18" s="20">
        <f>SUMIF('Mar20-Aug20 Billed-RETAIL'!$E$7:$E$155,$D18,'Mar20-Aug20 Billed-RETAIL'!$AR$7:$AR$155)</f>
        <v>1063.6757499999999</v>
      </c>
      <c r="AE18" s="20">
        <f>SUMIF('Mar20-Aug20 Billed-RETAIL'!$E$7:$E$155,$D18,'Mar20-Aug20 Billed-RETAIL'!$AS$7:$AS$155)</f>
        <v>0</v>
      </c>
      <c r="AF18" s="20">
        <f>SUMIF('Mar20-Aug20 Billed-RETAIL'!$E$7:$E$155,$D18,'Mar20-Aug20 Billed-RETAIL'!$AT$7:$AT$155)</f>
        <v>200730.1240000001</v>
      </c>
      <c r="AG18" s="20">
        <f>SUMIF('Mar20-Aug20 Billed-RETAIL'!$E$7:$E$155,$D18,'Mar20-Aug20 Billed-RETAIL'!$AU$7:$AU$155)</f>
        <v>0</v>
      </c>
      <c r="AH18" s="20">
        <f>SUMIF('Mar20-Aug20 Billed-RETAIL'!$E$7:$E$155,$D18,'Mar20-Aug20 Billed-RETAIL'!$AV$7:$AV$155)</f>
        <v>33.101134987067731</v>
      </c>
      <c r="AI18" s="20">
        <f>SUMIF('Mar20-Aug20 Billed-RETAIL'!$E$7:$E$155,$D18,'Mar20-Aug20 Billed-RETAIL'!$AW$7:$AW$155)</f>
        <v>10468.589022697131</v>
      </c>
      <c r="AJ18" s="20">
        <f>SUMIF('Mar20-Aug20 Billed-RETAIL'!$E$7:$E$155,$D18,'Mar20-Aug20 Billed-RETAIL'!$AX$7:$AX$155)</f>
        <v>0</v>
      </c>
      <c r="AK18" s="20">
        <f>SUMIF('Mar20-Aug20 Billed-RETAIL'!$E$7:$E$155,$D18,'Mar20-Aug20 Billed-RETAIL'!$AY$7:$AY$155)</f>
        <v>5352.8815374135593</v>
      </c>
      <c r="AL18" s="20">
        <f>SUMIF('Mar20-Aug20 Billed-RETAIL'!$E$7:$E$155,$D18,'Mar20-Aug20 Billed-RETAIL'!$AZ$7:$AZ$155)</f>
        <v>123.22</v>
      </c>
      <c r="AM18" s="28">
        <f t="shared" si="6"/>
        <v>221476.59144509785</v>
      </c>
      <c r="AN18" s="28">
        <f t="shared" si="5"/>
        <v>221476.60169509772</v>
      </c>
      <c r="AO18" s="29">
        <f t="shared" si="4"/>
        <v>1</v>
      </c>
      <c r="AP18" s="28">
        <f>SUMIF('Mar20-Aug20 Billed-RETAIL'!$E$7:$E$155,$D18,'Mar20-Aug20 Billed-RETAIL'!$BD$7:$BD$155)</f>
        <v>3705</v>
      </c>
      <c r="AQ18" s="28">
        <f>SUMIF('Mar20-Aug20 Billed-RETAIL'!$E$7:$E$155,$D18,'Mar20-Aug20 Billed-RETAIL'!$BE$7:$BE$155)</f>
        <v>1063.67</v>
      </c>
      <c r="AR18" s="28">
        <f>SUMIF('Mar20-Aug20 Billed-RETAIL'!$E$7:$E$155,$D18,'Mar20-Aug20 Billed-RETAIL'!$BF$7:$BF$155)</f>
        <v>200730.13999999998</v>
      </c>
      <c r="AS18" s="28">
        <f>SUMIF('Mar20-Aug20 Billed-RETAIL'!$E$7:$E$155,$D18,'Mar20-Aug20 Billed-RETAIL'!$BG$7:$BG$155)</f>
        <v>33.101134987067731</v>
      </c>
      <c r="AT18" s="28">
        <f>SUMIF('Mar20-Aug20 Billed-RETAIL'!$E$7:$E$155,$D18,'Mar20-Aug20 Billed-RETAIL'!$BH$7:$BH$155)</f>
        <v>10468.589022697131</v>
      </c>
      <c r="AU18" s="28">
        <f>SUMIF('Mar20-Aug20 Billed-RETAIL'!$E$7:$E$155,$D18,'Mar20-Aug20 Billed-RETAIL'!$BI$7:$BI$155)</f>
        <v>0</v>
      </c>
      <c r="AV18" s="28">
        <f>SUMIF('Mar20-Aug20 Billed-RETAIL'!$E$7:$E$155,$D18,'Mar20-Aug20 Billed-RETAIL'!$BJ$7:$BJ$155)</f>
        <v>5352.8815374135593</v>
      </c>
      <c r="AW18" s="28">
        <f>SUMIF('Mar20-Aug20 Billed-RETAIL'!$E$7:$E$155,$D18,'Mar20-Aug20 Billed-RETAIL'!$BK$7:$BK$155)</f>
        <v>123.22</v>
      </c>
      <c r="AX18" s="28">
        <f>SUMIF('Mar20-Aug20 Billed-RETAIL'!$E$7:$E$155,$D18,'Mar20-Aug20 Billed-RETAIL'!$BL$7:$BL$155)</f>
        <v>0</v>
      </c>
    </row>
    <row r="19" spans="1:50" x14ac:dyDescent="0.25">
      <c r="A19" s="1">
        <f t="shared" si="7"/>
        <v>12</v>
      </c>
      <c r="B19" s="9" t="s">
        <v>170</v>
      </c>
      <c r="C19" s="9" t="s">
        <v>555</v>
      </c>
      <c r="D19" s="9" t="str">
        <f>'Retail Rates'!B18</f>
        <v>LGING871DO</v>
      </c>
      <c r="E19" s="2" t="str">
        <f t="shared" si="3"/>
        <v>871</v>
      </c>
      <c r="F19" s="405" t="str">
        <f>VLOOKUP($D19,'Retail Rates'!$B$7:$D$40,3,FALSE)</f>
        <v>Substitute Gas Sales Service-Industrial Opt Out</v>
      </c>
      <c r="G19" s="20">
        <f>SUMIF('Mar20-Aug20 Billed-RETAIL'!$E$7:$E$155,$D19,'Mar20-Aug20 Billed-RETAIL'!$H$7:$H$155)</f>
        <v>0</v>
      </c>
      <c r="H19" s="20">
        <f>SUMIF('Mar20-Aug20 Billed-RETAIL'!$E$7:$E$155,$D19,'Mar20-Aug20 Billed-RETAIL'!$I$7:$I$155)</f>
        <v>0</v>
      </c>
      <c r="I19" s="20">
        <f>SUMIF('Mar20-Aug20 Billed-RETAIL'!$E$7:$E$155,$D19,'Mar20-Aug20 Billed-RETAIL'!$P$7:$P$155)</f>
        <v>0</v>
      </c>
      <c r="J19" s="20">
        <f>SUMIF('Mar20-Aug20 Billed-RETAIL'!$E$7:$E$155,$D19,'Mar20-Aug20 Billed-RETAIL'!$Q$7:$Q$155)</f>
        <v>0</v>
      </c>
      <c r="K19" s="20">
        <f>SUMIF('Mar20-Aug20 Billed-RETAIL'!$E$7:$E$155,$D19,'Mar20-Aug20 Billed-RETAIL'!$J$7:$J$155)</f>
        <v>0</v>
      </c>
      <c r="L19" s="20">
        <f>(SUMIF('Mar20-Aug20 Billed-RETAIL'!$E$7:$E$155,$D19,'Mar20-Aug20 Billed-RETAIL'!$K$7:$K$155))/10</f>
        <v>0</v>
      </c>
      <c r="M19" s="20">
        <f>SUMIF('Mar20-Aug20 Billed-RETAIL'!$E$7:$E$155,$D19,'Mar20-Aug20 Billed-RETAIL'!$L$7:$L$155)</f>
        <v>0</v>
      </c>
      <c r="N19" s="20">
        <f>SUMIF('Mar20-Aug20 Billed-RETAIL'!$E$7:$E$155,$D19,'Mar20-Aug20 Billed-RETAIL'!$M$7:$M$155)</f>
        <v>0</v>
      </c>
      <c r="O19" s="20">
        <f>SUMIF('Mar20-Aug20 Billed-RETAIL'!$E$7:$E$155,$D19,'Mar20-Aug20 Billed-RETAIL'!$N$7:$N$155)</f>
        <v>0</v>
      </c>
      <c r="P19" s="20">
        <f>SUMIF('Mar20-Aug20 Billed-RETAIL'!$E$7:$E$155,$D19,'Mar20-Aug20 Billed-RETAIL'!$O$7:$O$155)</f>
        <v>0</v>
      </c>
      <c r="Q19" s="904">
        <f>SUMIF('Mar20-Aug20 Billed-RETAIL'!$E$7:$E$155,$D19,'Mar20-Aug20 Billed-RETAIL'!$AF$7:$AF$155)</f>
        <v>0</v>
      </c>
      <c r="R19" s="904">
        <f>SUMIF('Mar20-Aug20 Billed-RETAIL'!$E$7:$E$155,$D19,'Mar20-Aug20 Billed-RETAIL'!$AG$7:$AG$155)</f>
        <v>0</v>
      </c>
      <c r="S19" s="904">
        <f>SUMIF('Mar20-Aug20 Billed-RETAIL'!$E$7:$E$155,$D19,'Mar20-Aug20 Billed-RETAIL'!$AH$7:$AH$155)</f>
        <v>0</v>
      </c>
      <c r="T19" s="904">
        <f>SUMIF('Mar20-Aug20 Billed-RETAIL'!$E$7:$E$155,$D19,'Mar20-Aug20 Billed-RETAIL'!$AI$7:$AI$155)</f>
        <v>0</v>
      </c>
      <c r="U19" s="904">
        <f>SUMIF('Mar20-Aug20 Billed-RETAIL'!$E$7:$E$155,$D19,'Mar20-Aug20 Billed-RETAIL'!$AJ$7:$AJ$155)</f>
        <v>0</v>
      </c>
      <c r="V19" s="904">
        <f>SUMIF('Mar20-Aug20 Billed-RETAIL'!$E$7:$E$155,$D19,'Mar20-Aug20 Billed-RETAIL'!$AK$7:$AK$155)</f>
        <v>0</v>
      </c>
      <c r="W19" s="904">
        <f>SUMIF('Mar20-Aug20 Billed-RETAIL'!$E$7:$E$155,$D19,'Mar20-Aug20 Billed-RETAIL'!$AL$7:$AL$155)</f>
        <v>0</v>
      </c>
      <c r="X19" s="904">
        <f>SUMIF('Mar20-Aug20 Billed-RETAIL'!$E$7:$E$155,$D19,'Mar20-Aug20 Billed-RETAIL'!$AM$7:$AM$155)</f>
        <v>0</v>
      </c>
      <c r="Y19" s="904">
        <f>SUMIF('Mar20-Aug20 Billed-RETAIL'!$E$7:$E$155,$D19,'Mar20-Aug20 Billed-RETAIL'!$AN$7:$AN$155)</f>
        <v>0</v>
      </c>
      <c r="Z19" s="904">
        <f>SUMIF('Mar20-Aug20 Billed-RETAIL'!$E$7:$E$155,$D19,'Mar20-Aug20 Billed-RETAIL'!$AO$7:$AO$155)</f>
        <v>0</v>
      </c>
      <c r="AA19" s="20">
        <f>SUMIF('Mar20-Aug20 Billed-RETAIL'!$E$7:$E$155,$D19,'Mar20-Aug20 Billed-RETAIL'!$AP$7:$AP$155)</f>
        <v>0</v>
      </c>
      <c r="AB19" s="20">
        <f>SUMIF('Mar20-Aug20 Billed-RETAIL'!$E$7:$E$155,$D19,'Mar20-Aug20 Billed-RETAIL'!$AQ$7:$AQ$155)</f>
        <v>0</v>
      </c>
      <c r="AC19" s="20">
        <v>0</v>
      </c>
      <c r="AD19" s="20">
        <f>SUMIF('Mar20-Aug20 Billed-RETAIL'!$E$7:$E$155,$D19,'Mar20-Aug20 Billed-RETAIL'!$AR$7:$AR$155)</f>
        <v>0</v>
      </c>
      <c r="AE19" s="20">
        <f>SUMIF('Mar20-Aug20 Billed-RETAIL'!$E$7:$E$155,$D19,'Mar20-Aug20 Billed-RETAIL'!$AS$7:$AS$155)</f>
        <v>0</v>
      </c>
      <c r="AF19" s="20">
        <f>SUMIF('Mar20-Aug20 Billed-RETAIL'!$E$7:$E$155,$D19,'Mar20-Aug20 Billed-RETAIL'!$AT$7:$AT$155)</f>
        <v>0</v>
      </c>
      <c r="AG19" s="20">
        <f>SUMIF('Mar20-Aug20 Billed-RETAIL'!$E$7:$E$155,$D19,'Mar20-Aug20 Billed-RETAIL'!$AU$7:$AU$155)</f>
        <v>0</v>
      </c>
      <c r="AH19" s="20">
        <f>SUMIF('Mar20-Aug20 Billed-RETAIL'!$E$7:$E$155,$D19,'Mar20-Aug20 Billed-RETAIL'!$AV$7:$AV$155)</f>
        <v>0</v>
      </c>
      <c r="AI19" s="20">
        <f>SUMIF('Mar20-Aug20 Billed-RETAIL'!$E$7:$E$155,$D19,'Mar20-Aug20 Billed-RETAIL'!$AW$7:$AW$155)</f>
        <v>0</v>
      </c>
      <c r="AJ19" s="20">
        <f>SUMIF('Mar20-Aug20 Billed-RETAIL'!$E$7:$E$155,$D19,'Mar20-Aug20 Billed-RETAIL'!$AX$7:$AX$155)</f>
        <v>0</v>
      </c>
      <c r="AK19" s="20">
        <f>SUMIF('Mar20-Aug20 Billed-RETAIL'!$E$7:$E$155,$D19,'Mar20-Aug20 Billed-RETAIL'!$AY$7:$AY$155)</f>
        <v>0</v>
      </c>
      <c r="AL19" s="20">
        <f>SUMIF('Mar20-Aug20 Billed-RETAIL'!$E$7:$E$155,$D19,'Mar20-Aug20 Billed-RETAIL'!$AZ$7:$AZ$155)</f>
        <v>0</v>
      </c>
      <c r="AM19" s="28">
        <f t="shared" si="6"/>
        <v>0</v>
      </c>
      <c r="AN19" s="28">
        <f t="shared" si="5"/>
        <v>0</v>
      </c>
      <c r="AO19" s="29">
        <f t="shared" si="4"/>
        <v>0</v>
      </c>
      <c r="AP19" s="28">
        <f>SUMIF('Mar20-Aug20 Billed-RETAIL'!$E$7:$E$155,$D19,'Mar20-Aug20 Billed-RETAIL'!$BD$7:$BD$155)</f>
        <v>0</v>
      </c>
      <c r="AQ19" s="28">
        <f>SUMIF('Mar20-Aug20 Billed-RETAIL'!$E$7:$E$155,$D19,'Mar20-Aug20 Billed-RETAIL'!$BE$7:$BE$155)</f>
        <v>0</v>
      </c>
      <c r="AR19" s="28">
        <f>SUMIF('Mar20-Aug20 Billed-RETAIL'!$E$7:$E$155,$D19,'Mar20-Aug20 Billed-RETAIL'!$BF$7:$BF$155)</f>
        <v>0</v>
      </c>
      <c r="AS19" s="28">
        <f>SUMIF('Mar20-Aug20 Billed-RETAIL'!$E$7:$E$155,$D19,'Mar20-Aug20 Billed-RETAIL'!$BG$7:$BG$155)</f>
        <v>0</v>
      </c>
      <c r="AT19" s="28">
        <f>SUMIF('Mar20-Aug20 Billed-RETAIL'!$E$7:$E$155,$D19,'Mar20-Aug20 Billed-RETAIL'!$BH$7:$BH$155)</f>
        <v>0</v>
      </c>
      <c r="AU19" s="28">
        <f>SUMIF('Mar20-Aug20 Billed-RETAIL'!$E$7:$E$155,$D19,'Mar20-Aug20 Billed-RETAIL'!$BI$7:$BI$155)</f>
        <v>0</v>
      </c>
      <c r="AV19" s="28">
        <f>SUMIF('Mar20-Aug20 Billed-RETAIL'!$E$7:$E$155,$D19,'Mar20-Aug20 Billed-RETAIL'!$BJ$7:$BJ$155)</f>
        <v>0</v>
      </c>
      <c r="AW19" s="28">
        <f>SUMIF('Mar20-Aug20 Billed-RETAIL'!$E$7:$E$155,$D19,'Mar20-Aug20 Billed-RETAIL'!$BK$7:$BK$155)</f>
        <v>0</v>
      </c>
      <c r="AX19" s="28">
        <f>SUMIF('Mar20-Aug20 Billed-RETAIL'!$E$7:$E$155,$D19,'Mar20-Aug20 Billed-RETAIL'!$BL$7:$BL$155)</f>
        <v>0</v>
      </c>
    </row>
    <row r="20" spans="1:50" x14ac:dyDescent="0.25">
      <c r="A20" s="1">
        <f t="shared" si="7"/>
        <v>13</v>
      </c>
      <c r="B20" s="9" t="s">
        <v>170</v>
      </c>
      <c r="C20" s="9" t="s">
        <v>555</v>
      </c>
      <c r="D20" s="9" t="str">
        <f>'Retail Rates'!B19</f>
        <v>LGING871DS</v>
      </c>
      <c r="E20" s="2" t="str">
        <f t="shared" si="3"/>
        <v>871</v>
      </c>
      <c r="F20" s="405" t="str">
        <f>VLOOKUP($D20,'Retail Rates'!$B$7:$D$40,3,FALSE)</f>
        <v>Substitute Gas Sales Service-Industrial Opt In</v>
      </c>
      <c r="G20" s="20">
        <f>SUMIF('Mar20-Aug20 Billed-RETAIL'!$E$7:$E$155,$D20,'Mar20-Aug20 Billed-RETAIL'!$H$7:$H$155)</f>
        <v>0</v>
      </c>
      <c r="H20" s="20">
        <f>SUMIF('Mar20-Aug20 Billed-RETAIL'!$E$7:$E$155,$D20,'Mar20-Aug20 Billed-RETAIL'!$I$7:$I$155)</f>
        <v>0</v>
      </c>
      <c r="I20" s="20">
        <f>SUMIF('Mar20-Aug20 Billed-RETAIL'!$E$7:$E$155,$D20,'Mar20-Aug20 Billed-RETAIL'!$P$7:$P$155)</f>
        <v>0</v>
      </c>
      <c r="J20" s="20">
        <f>SUMIF('Mar20-Aug20 Billed-RETAIL'!$E$7:$E$155,$D20,'Mar20-Aug20 Billed-RETAIL'!$Q$7:$Q$155)</f>
        <v>0</v>
      </c>
      <c r="K20" s="20">
        <f>SUMIF('Mar20-Aug20 Billed-RETAIL'!$E$7:$E$155,$D20,'Mar20-Aug20 Billed-RETAIL'!$J$7:$J$155)</f>
        <v>0</v>
      </c>
      <c r="L20" s="20">
        <f>(SUMIF('Mar20-Aug20 Billed-RETAIL'!$E$7:$E$155,$D20,'Mar20-Aug20 Billed-RETAIL'!$K$7:$K$155))/10</f>
        <v>0</v>
      </c>
      <c r="M20" s="20">
        <f>SUMIF('Mar20-Aug20 Billed-RETAIL'!$E$7:$E$155,$D20,'Mar20-Aug20 Billed-RETAIL'!$L$7:$L$155)</f>
        <v>0</v>
      </c>
      <c r="N20" s="20">
        <f>SUMIF('Mar20-Aug20 Billed-RETAIL'!$E$7:$E$155,$D20,'Mar20-Aug20 Billed-RETAIL'!$M$7:$M$155)</f>
        <v>0</v>
      </c>
      <c r="O20" s="20">
        <f>SUMIF('Mar20-Aug20 Billed-RETAIL'!$E$7:$E$155,$D20,'Mar20-Aug20 Billed-RETAIL'!$N$7:$N$155)</f>
        <v>0</v>
      </c>
      <c r="P20" s="20">
        <f>SUMIF('Mar20-Aug20 Billed-RETAIL'!$E$7:$E$155,$D20,'Mar20-Aug20 Billed-RETAIL'!$O$7:$O$155)</f>
        <v>0</v>
      </c>
      <c r="Q20" s="904">
        <f>SUMIF('Mar20-Aug20 Billed-RETAIL'!$E$7:$E$155,$D20,'Mar20-Aug20 Billed-RETAIL'!$AF$7:$AF$155)</f>
        <v>0</v>
      </c>
      <c r="R20" s="904">
        <f>SUMIF('Mar20-Aug20 Billed-RETAIL'!$E$7:$E$155,$D20,'Mar20-Aug20 Billed-RETAIL'!$AG$7:$AG$155)</f>
        <v>0</v>
      </c>
      <c r="S20" s="904">
        <f>SUMIF('Mar20-Aug20 Billed-RETAIL'!$E$7:$E$155,$D20,'Mar20-Aug20 Billed-RETAIL'!$AH$7:$AH$155)</f>
        <v>0</v>
      </c>
      <c r="T20" s="904">
        <f>SUMIF('Mar20-Aug20 Billed-RETAIL'!$E$7:$E$155,$D20,'Mar20-Aug20 Billed-RETAIL'!$AI$7:$AI$155)</f>
        <v>0</v>
      </c>
      <c r="U20" s="904">
        <f>SUMIF('Mar20-Aug20 Billed-RETAIL'!$E$7:$E$155,$D20,'Mar20-Aug20 Billed-RETAIL'!$AJ$7:$AJ$155)</f>
        <v>0</v>
      </c>
      <c r="V20" s="904">
        <f>SUMIF('Mar20-Aug20 Billed-RETAIL'!$E$7:$E$155,$D20,'Mar20-Aug20 Billed-RETAIL'!$AK$7:$AK$155)</f>
        <v>0</v>
      </c>
      <c r="W20" s="904">
        <f>SUMIF('Mar20-Aug20 Billed-RETAIL'!$E$7:$E$155,$D20,'Mar20-Aug20 Billed-RETAIL'!$AL$7:$AL$155)</f>
        <v>0</v>
      </c>
      <c r="X20" s="904">
        <f>SUMIF('Mar20-Aug20 Billed-RETAIL'!$E$7:$E$155,$D20,'Mar20-Aug20 Billed-RETAIL'!$AM$7:$AM$155)</f>
        <v>0</v>
      </c>
      <c r="Y20" s="904">
        <f>SUMIF('Mar20-Aug20 Billed-RETAIL'!$E$7:$E$155,$D20,'Mar20-Aug20 Billed-RETAIL'!$AN$7:$AN$155)</f>
        <v>0</v>
      </c>
      <c r="Z20" s="904">
        <f>SUMIF('Mar20-Aug20 Billed-RETAIL'!$E$7:$E$155,$D20,'Mar20-Aug20 Billed-RETAIL'!$AO$7:$AO$155)</f>
        <v>0</v>
      </c>
      <c r="AA20" s="20">
        <f>SUMIF('Mar20-Aug20 Billed-RETAIL'!$E$7:$E$155,$D20,'Mar20-Aug20 Billed-RETAIL'!$AP$7:$AP$155)</f>
        <v>0</v>
      </c>
      <c r="AB20" s="20">
        <f>SUMIF('Mar20-Aug20 Billed-RETAIL'!$E$7:$E$155,$D20,'Mar20-Aug20 Billed-RETAIL'!$AQ$7:$AQ$155)</f>
        <v>0</v>
      </c>
      <c r="AC20" s="20">
        <v>0</v>
      </c>
      <c r="AD20" s="20">
        <f>SUMIF('Mar20-Aug20 Billed-RETAIL'!$E$7:$E$155,$D20,'Mar20-Aug20 Billed-RETAIL'!$AR$7:$AR$155)</f>
        <v>0</v>
      </c>
      <c r="AE20" s="20">
        <f>SUMIF('Mar20-Aug20 Billed-RETAIL'!$E$7:$E$155,$D20,'Mar20-Aug20 Billed-RETAIL'!$AS$7:$AS$155)</f>
        <v>0</v>
      </c>
      <c r="AF20" s="20">
        <f>SUMIF('Mar20-Aug20 Billed-RETAIL'!$E$7:$E$155,$D20,'Mar20-Aug20 Billed-RETAIL'!$AT$7:$AT$155)</f>
        <v>0</v>
      </c>
      <c r="AG20" s="20">
        <f>SUMIF('Mar20-Aug20 Billed-RETAIL'!$E$7:$E$155,$D20,'Mar20-Aug20 Billed-RETAIL'!$AU$7:$AU$155)</f>
        <v>0</v>
      </c>
      <c r="AH20" s="20">
        <f>SUMIF('Mar20-Aug20 Billed-RETAIL'!$E$7:$E$155,$D20,'Mar20-Aug20 Billed-RETAIL'!$AV$7:$AV$155)</f>
        <v>0</v>
      </c>
      <c r="AI20" s="20">
        <f>SUMIF('Mar20-Aug20 Billed-RETAIL'!$E$7:$E$155,$D20,'Mar20-Aug20 Billed-RETAIL'!$AW$7:$AW$155)</f>
        <v>0</v>
      </c>
      <c r="AJ20" s="20">
        <f>SUMIF('Mar20-Aug20 Billed-RETAIL'!$E$7:$E$155,$D20,'Mar20-Aug20 Billed-RETAIL'!$AX$7:$AX$155)</f>
        <v>0</v>
      </c>
      <c r="AK20" s="20">
        <f>SUMIF('Mar20-Aug20 Billed-RETAIL'!$E$7:$E$155,$D20,'Mar20-Aug20 Billed-RETAIL'!$AY$7:$AY$155)</f>
        <v>0</v>
      </c>
      <c r="AL20" s="20">
        <f>SUMIF('Mar20-Aug20 Billed-RETAIL'!$E$7:$E$155,$D20,'Mar20-Aug20 Billed-RETAIL'!$AZ$7:$AZ$155)</f>
        <v>0</v>
      </c>
      <c r="AM20" s="28">
        <f t="shared" si="6"/>
        <v>0</v>
      </c>
      <c r="AN20" s="28">
        <f t="shared" si="5"/>
        <v>0</v>
      </c>
      <c r="AO20" s="29">
        <f t="shared" si="4"/>
        <v>0</v>
      </c>
      <c r="AP20" s="28">
        <f>SUMIF('Mar20-Aug20 Billed-RETAIL'!$E$7:$E$155,$D20,'Mar20-Aug20 Billed-RETAIL'!$BD$7:$BD$155)</f>
        <v>0</v>
      </c>
      <c r="AQ20" s="28">
        <f>SUMIF('Mar20-Aug20 Billed-RETAIL'!$E$7:$E$155,$D20,'Mar20-Aug20 Billed-RETAIL'!$BE$7:$BE$155)</f>
        <v>0</v>
      </c>
      <c r="AR20" s="28">
        <f>SUMIF('Mar20-Aug20 Billed-RETAIL'!$E$7:$E$155,$D20,'Mar20-Aug20 Billed-RETAIL'!$BF$7:$BF$155)</f>
        <v>0</v>
      </c>
      <c r="AS20" s="28">
        <f>SUMIF('Mar20-Aug20 Billed-RETAIL'!$E$7:$E$155,$D20,'Mar20-Aug20 Billed-RETAIL'!$BG$7:$BG$155)</f>
        <v>0</v>
      </c>
      <c r="AT20" s="28">
        <f>SUMIF('Mar20-Aug20 Billed-RETAIL'!$E$7:$E$155,$D20,'Mar20-Aug20 Billed-RETAIL'!$BH$7:$BH$155)</f>
        <v>0</v>
      </c>
      <c r="AU20" s="28">
        <f>SUMIF('Mar20-Aug20 Billed-RETAIL'!$E$7:$E$155,$D20,'Mar20-Aug20 Billed-RETAIL'!$BI$7:$BI$155)</f>
        <v>0</v>
      </c>
      <c r="AV20" s="28">
        <f>SUMIF('Mar20-Aug20 Billed-RETAIL'!$E$7:$E$155,$D20,'Mar20-Aug20 Billed-RETAIL'!$BJ$7:$BJ$155)</f>
        <v>0</v>
      </c>
      <c r="AW20" s="28">
        <f>SUMIF('Mar20-Aug20 Billed-RETAIL'!$E$7:$E$155,$D20,'Mar20-Aug20 Billed-RETAIL'!$BK$7:$BK$155)</f>
        <v>0</v>
      </c>
      <c r="AX20" s="28">
        <f>SUMIF('Mar20-Aug20 Billed-RETAIL'!$E$7:$E$155,$D20,'Mar20-Aug20 Billed-RETAIL'!$BL$7:$BL$155)</f>
        <v>0</v>
      </c>
    </row>
    <row r="21" spans="1:50" x14ac:dyDescent="0.25">
      <c r="A21" s="1">
        <f t="shared" si="7"/>
        <v>14</v>
      </c>
      <c r="B21" s="9" t="s">
        <v>170</v>
      </c>
      <c r="C21" s="9" t="s">
        <v>551</v>
      </c>
      <c r="D21" s="9" t="str">
        <f>'Retail Rates'!B20</f>
        <v>LGCMG872</v>
      </c>
      <c r="E21" s="2" t="str">
        <f t="shared" si="3"/>
        <v>872</v>
      </c>
      <c r="F21" s="405" t="str">
        <f>VLOOKUP($D21,'Retail Rates'!$B$7:$D$40,3,FALSE)</f>
        <v>Local Gas Delivery Service</v>
      </c>
      <c r="G21" s="20">
        <f>SUMIF('Mar20-Aug20 Billed-RETAIL'!$E$7:$E$155,$D21,'Mar20-Aug20 Billed-RETAIL'!$H$7:$H$155)</f>
        <v>0</v>
      </c>
      <c r="H21" s="20">
        <f>SUMIF('Mar20-Aug20 Billed-RETAIL'!$E$7:$E$155,$D21,'Mar20-Aug20 Billed-RETAIL'!$I$7:$I$155)</f>
        <v>0</v>
      </c>
      <c r="I21" s="20">
        <f>SUMIF('Mar20-Aug20 Billed-RETAIL'!$E$7:$E$155,$D21,'Mar20-Aug20 Billed-RETAIL'!$P$7:$P$155)</f>
        <v>0</v>
      </c>
      <c r="J21" s="20">
        <f>SUMIF('Mar20-Aug20 Billed-RETAIL'!$E$7:$E$155,$D21,'Mar20-Aug20 Billed-RETAIL'!$Q$7:$Q$155)</f>
        <v>0</v>
      </c>
      <c r="K21" s="20">
        <f>SUMIF('Mar20-Aug20 Billed-RETAIL'!$E$7:$E$155,$D21,'Mar20-Aug20 Billed-RETAIL'!$J$7:$J$155)</f>
        <v>0</v>
      </c>
      <c r="L21" s="20">
        <f>(SUMIF('Mar20-Aug20 Billed-RETAIL'!$E$7:$E$155,$D21,'Mar20-Aug20 Billed-RETAIL'!$K$7:$K$155))/10</f>
        <v>0</v>
      </c>
      <c r="M21" s="20">
        <f>SUMIF('Mar20-Aug20 Billed-RETAIL'!$E$7:$E$155,$D21,'Mar20-Aug20 Billed-RETAIL'!$L$7:$L$155)</f>
        <v>0</v>
      </c>
      <c r="N21" s="20">
        <f>SUMIF('Mar20-Aug20 Billed-RETAIL'!$E$7:$E$155,$D21,'Mar20-Aug20 Billed-RETAIL'!$M$7:$M$155)</f>
        <v>0</v>
      </c>
      <c r="O21" s="20">
        <f>SUMIF('Mar20-Aug20 Billed-RETAIL'!$E$7:$E$155,$D21,'Mar20-Aug20 Billed-RETAIL'!$N$7:$N$155)</f>
        <v>0</v>
      </c>
      <c r="P21" s="20">
        <f>SUMIF('Mar20-Aug20 Billed-RETAIL'!$E$7:$E$155,$D21,'Mar20-Aug20 Billed-RETAIL'!$O$7:$O$155)</f>
        <v>0</v>
      </c>
      <c r="Q21" s="904">
        <f>SUMIF('Mar20-Aug20 Billed-RETAIL'!$E$7:$E$155,$D21,'Mar20-Aug20 Billed-RETAIL'!$AF$7:$AF$155)</f>
        <v>0</v>
      </c>
      <c r="R21" s="904">
        <f>SUMIF('Mar20-Aug20 Billed-RETAIL'!$E$7:$E$155,$D21,'Mar20-Aug20 Billed-RETAIL'!$AG$7:$AG$155)</f>
        <v>0</v>
      </c>
      <c r="S21" s="904">
        <f>SUMIF('Mar20-Aug20 Billed-RETAIL'!$E$7:$E$155,$D21,'Mar20-Aug20 Billed-RETAIL'!$AH$7:$AH$155)</f>
        <v>0</v>
      </c>
      <c r="T21" s="904">
        <f>SUMIF('Mar20-Aug20 Billed-RETAIL'!$E$7:$E$155,$D21,'Mar20-Aug20 Billed-RETAIL'!$AI$7:$AI$155)</f>
        <v>0</v>
      </c>
      <c r="U21" s="904">
        <f>SUMIF('Mar20-Aug20 Billed-RETAIL'!$E$7:$E$155,$D21,'Mar20-Aug20 Billed-RETAIL'!$AJ$7:$AJ$155)</f>
        <v>0</v>
      </c>
      <c r="V21" s="904">
        <f>SUMIF('Mar20-Aug20 Billed-RETAIL'!$E$7:$E$155,$D21,'Mar20-Aug20 Billed-RETAIL'!$AK$7:$AK$155)</f>
        <v>0</v>
      </c>
      <c r="W21" s="904">
        <f>SUMIF('Mar20-Aug20 Billed-RETAIL'!$E$7:$E$155,$D21,'Mar20-Aug20 Billed-RETAIL'!$AL$7:$AL$155)</f>
        <v>0</v>
      </c>
      <c r="X21" s="904">
        <f>SUMIF('Mar20-Aug20 Billed-RETAIL'!$E$7:$E$155,$D21,'Mar20-Aug20 Billed-RETAIL'!$AM$7:$AM$155)</f>
        <v>0</v>
      </c>
      <c r="Y21" s="904">
        <f>SUMIF('Mar20-Aug20 Billed-RETAIL'!$E$7:$E$155,$D21,'Mar20-Aug20 Billed-RETAIL'!$AN$7:$AN$155)</f>
        <v>0</v>
      </c>
      <c r="Z21" s="904">
        <f>SUMIF('Mar20-Aug20 Billed-RETAIL'!$E$7:$E$155,$D21,'Mar20-Aug20 Billed-RETAIL'!$AO$7:$AO$155)</f>
        <v>0</v>
      </c>
      <c r="AA21" s="20">
        <f>SUMIF('Mar20-Aug20 Billed-RETAIL'!$E$7:$E$155,$D21,'Mar20-Aug20 Billed-RETAIL'!$AP$7:$AP$155)</f>
        <v>0</v>
      </c>
      <c r="AB21" s="20">
        <f>SUMIF('Mar20-Aug20 Billed-RETAIL'!$E$7:$E$155,$D21,'Mar20-Aug20 Billed-RETAIL'!$AQ$7:$AQ$155)</f>
        <v>0</v>
      </c>
      <c r="AC21" s="20">
        <v>0</v>
      </c>
      <c r="AD21" s="20">
        <f>SUMIF('Mar20-Aug20 Billed-RETAIL'!$E$7:$E$155,$D21,'Mar20-Aug20 Billed-RETAIL'!$AR$7:$AR$155)</f>
        <v>0</v>
      </c>
      <c r="AE21" s="20">
        <f>SUMIF('Mar20-Aug20 Billed-RETAIL'!$E$7:$E$155,$D21,'Mar20-Aug20 Billed-RETAIL'!$AS$7:$AS$155)</f>
        <v>0</v>
      </c>
      <c r="AF21" s="20">
        <f>SUMIF('Mar20-Aug20 Billed-RETAIL'!$E$7:$E$155,$D21,'Mar20-Aug20 Billed-RETAIL'!$AT$7:$AT$155)</f>
        <v>0</v>
      </c>
      <c r="AG21" s="20">
        <f>SUMIF('Mar20-Aug20 Billed-RETAIL'!$E$7:$E$155,$D21,'Mar20-Aug20 Billed-RETAIL'!$AU$7:$AU$155)</f>
        <v>0</v>
      </c>
      <c r="AH21" s="20">
        <f>SUMIF('Mar20-Aug20 Billed-RETAIL'!$E$7:$E$155,$D21,'Mar20-Aug20 Billed-RETAIL'!$AV$7:$AV$155)</f>
        <v>0</v>
      </c>
      <c r="AI21" s="20">
        <f>SUMIF('Mar20-Aug20 Billed-RETAIL'!$E$7:$E$155,$D21,'Mar20-Aug20 Billed-RETAIL'!$AW$7:$AW$155)</f>
        <v>0</v>
      </c>
      <c r="AJ21" s="20">
        <f>SUMIF('Mar20-Aug20 Billed-RETAIL'!$E$7:$E$155,$D21,'Mar20-Aug20 Billed-RETAIL'!$AX$7:$AX$155)</f>
        <v>0</v>
      </c>
      <c r="AK21" s="20">
        <f>SUMIF('Mar20-Aug20 Billed-RETAIL'!$E$7:$E$155,$D21,'Mar20-Aug20 Billed-RETAIL'!$AY$7:$AY$155)</f>
        <v>0</v>
      </c>
      <c r="AL21" s="20">
        <f>SUMIF('Mar20-Aug20 Billed-RETAIL'!$E$7:$E$155,$D21,'Mar20-Aug20 Billed-RETAIL'!$AZ$7:$AZ$155)</f>
        <v>0</v>
      </c>
      <c r="AM21" s="28">
        <f t="shared" si="6"/>
        <v>0</v>
      </c>
      <c r="AN21" s="28">
        <f t="shared" si="5"/>
        <v>0</v>
      </c>
      <c r="AO21" s="29">
        <f t="shared" si="4"/>
        <v>0</v>
      </c>
      <c r="AP21" s="28">
        <f>SUMIF('Mar20-Aug20 Billed-RETAIL'!$E$7:$E$155,$D21,'Mar20-Aug20 Billed-RETAIL'!$BD$7:$BD$155)</f>
        <v>0</v>
      </c>
      <c r="AQ21" s="28">
        <f>SUMIF('Mar20-Aug20 Billed-RETAIL'!$E$7:$E$155,$D21,'Mar20-Aug20 Billed-RETAIL'!$BE$7:$BE$155)</f>
        <v>0</v>
      </c>
      <c r="AR21" s="28">
        <f>SUMIF('Mar20-Aug20 Billed-RETAIL'!$E$7:$E$155,$D21,'Mar20-Aug20 Billed-RETAIL'!$BF$7:$BF$155)</f>
        <v>0</v>
      </c>
      <c r="AS21" s="28">
        <f>SUMIF('Mar20-Aug20 Billed-RETAIL'!$E$7:$E$155,$D21,'Mar20-Aug20 Billed-RETAIL'!$BG$7:$BG$155)</f>
        <v>0</v>
      </c>
      <c r="AT21" s="28">
        <f>SUMIF('Mar20-Aug20 Billed-RETAIL'!$E$7:$E$155,$D21,'Mar20-Aug20 Billed-RETAIL'!$BH$7:$BH$155)</f>
        <v>0</v>
      </c>
      <c r="AU21" s="28">
        <f>SUMIF('Mar20-Aug20 Billed-RETAIL'!$E$7:$E$155,$D21,'Mar20-Aug20 Billed-RETAIL'!$BI$7:$BI$155)</f>
        <v>0</v>
      </c>
      <c r="AV21" s="28">
        <f>SUMIF('Mar20-Aug20 Billed-RETAIL'!$E$7:$E$155,$D21,'Mar20-Aug20 Billed-RETAIL'!$BJ$7:$BJ$155)</f>
        <v>0</v>
      </c>
      <c r="AW21" s="28">
        <f>SUMIF('Mar20-Aug20 Billed-RETAIL'!$E$7:$E$155,$D21,'Mar20-Aug20 Billed-RETAIL'!$BK$7:$BK$155)</f>
        <v>0</v>
      </c>
      <c r="AX21" s="28">
        <f>SUMIF('Mar20-Aug20 Billed-RETAIL'!$E$7:$E$155,$D21,'Mar20-Aug20 Billed-RETAIL'!$BL$7:$BL$155)</f>
        <v>0</v>
      </c>
    </row>
    <row r="22" spans="1:50" x14ac:dyDescent="0.25">
      <c r="A22" s="1">
        <f t="shared" si="7"/>
        <v>15</v>
      </c>
      <c r="B22" s="9" t="s">
        <v>170</v>
      </c>
      <c r="C22" s="9" t="s">
        <v>428</v>
      </c>
      <c r="D22" s="9" t="str">
        <f>'Retail Rates'!B21</f>
        <v>LGCMG875</v>
      </c>
      <c r="E22" s="2" t="str">
        <f t="shared" si="3"/>
        <v>875</v>
      </c>
      <c r="F22" s="405" t="str">
        <f>VLOOKUP($D22,'Retail Rates'!$B$7:$D$40,3,FALSE)</f>
        <v>Distributed Generation Gas Service, Commercial</v>
      </c>
      <c r="G22" s="20">
        <f>SUMIF('Mar20-Aug20 Billed-RETAIL'!$E$7:$E$155,$D22,'Mar20-Aug20 Billed-RETAIL'!$H$7:$H$155)</f>
        <v>28</v>
      </c>
      <c r="H22" s="20">
        <f>SUMIF('Mar20-Aug20 Billed-RETAIL'!$E$7:$E$155,$D22,'Mar20-Aug20 Billed-RETAIL'!$I$7:$I$155)</f>
        <v>0</v>
      </c>
      <c r="I22" s="20">
        <f>SUMIF('Mar20-Aug20 Billed-RETAIL'!$E$7:$E$155,$D22,'Mar20-Aug20 Billed-RETAIL'!$P$7:$P$155)</f>
        <v>0</v>
      </c>
      <c r="J22" s="20">
        <f>SUMIF('Mar20-Aug20 Billed-RETAIL'!$E$7:$E$155,$D22,'Mar20-Aug20 Billed-RETAIL'!$Q$7:$Q$155)</f>
        <v>0</v>
      </c>
      <c r="K22" s="20">
        <f>SUMIF('Mar20-Aug20 Billed-RETAIL'!$E$7:$E$155,$D22,'Mar20-Aug20 Billed-RETAIL'!$J$7:$J$155)</f>
        <v>258</v>
      </c>
      <c r="L22" s="20">
        <f>(SUMIF('Mar20-Aug20 Billed-RETAIL'!$E$7:$E$155,$D22,'Mar20-Aug20 Billed-RETAIL'!$K$7:$K$155))/10</f>
        <v>0</v>
      </c>
      <c r="M22" s="20">
        <f>SUMIF('Mar20-Aug20 Billed-RETAIL'!$E$7:$E$155,$D22,'Mar20-Aug20 Billed-RETAIL'!$L$7:$L$155)</f>
        <v>14628.236891849732</v>
      </c>
      <c r="N22" s="20">
        <f>SUMIF('Mar20-Aug20 Billed-RETAIL'!$E$7:$E$155,$D22,'Mar20-Aug20 Billed-RETAIL'!$M$7:$M$155)</f>
        <v>0</v>
      </c>
      <c r="O22" s="20">
        <f>SUMIF('Mar20-Aug20 Billed-RETAIL'!$E$7:$E$155,$D22,'Mar20-Aug20 Billed-RETAIL'!$N$7:$N$155)</f>
        <v>0</v>
      </c>
      <c r="P22" s="20">
        <f>SUMIF('Mar20-Aug20 Billed-RETAIL'!$E$7:$E$155,$D22,'Mar20-Aug20 Billed-RETAIL'!$O$7:$O$155)</f>
        <v>0</v>
      </c>
      <c r="Q22" s="904">
        <f>SUMIF('Mar20-Aug20 Billed-RETAIL'!$E$7:$E$155,$D22,'Mar20-Aug20 Billed-RETAIL'!$AF$7:$AF$155)</f>
        <v>0</v>
      </c>
      <c r="R22" s="904">
        <f>SUMIF('Mar20-Aug20 Billed-RETAIL'!$E$7:$E$155,$D22,'Mar20-Aug20 Billed-RETAIL'!$AG$7:$AG$155)</f>
        <v>0</v>
      </c>
      <c r="S22" s="904">
        <f>SUMIF('Mar20-Aug20 Billed-RETAIL'!$E$7:$E$155,$D22,'Mar20-Aug20 Billed-RETAIL'!$AH$7:$AH$155)</f>
        <v>0</v>
      </c>
      <c r="T22" s="904">
        <f>SUMIF('Mar20-Aug20 Billed-RETAIL'!$E$7:$E$155,$D22,'Mar20-Aug20 Billed-RETAIL'!$AI$7:$AI$155)</f>
        <v>0</v>
      </c>
      <c r="U22" s="904">
        <f>SUMIF('Mar20-Aug20 Billed-RETAIL'!$E$7:$E$155,$D22,'Mar20-Aug20 Billed-RETAIL'!$AJ$7:$AJ$155)</f>
        <v>0</v>
      </c>
      <c r="V22" s="904">
        <f>SUMIF('Mar20-Aug20 Billed-RETAIL'!$E$7:$E$155,$D22,'Mar20-Aug20 Billed-RETAIL'!$AK$7:$AK$155)</f>
        <v>0</v>
      </c>
      <c r="W22" s="904">
        <f>SUMIF('Mar20-Aug20 Billed-RETAIL'!$E$7:$E$155,$D22,'Mar20-Aug20 Billed-RETAIL'!$AL$7:$AL$155)</f>
        <v>0</v>
      </c>
      <c r="X22" s="904">
        <f>SUMIF('Mar20-Aug20 Billed-RETAIL'!$E$7:$E$155,$D22,'Mar20-Aug20 Billed-RETAIL'!$AM$7:$AM$155)</f>
        <v>0</v>
      </c>
      <c r="Y22" s="904">
        <f>SUMIF('Mar20-Aug20 Billed-RETAIL'!$E$7:$E$155,$D22,'Mar20-Aug20 Billed-RETAIL'!$AN$7:$AN$155)</f>
        <v>0</v>
      </c>
      <c r="Z22" s="904">
        <f>SUMIF('Mar20-Aug20 Billed-RETAIL'!$E$7:$E$155,$D22,'Mar20-Aug20 Billed-RETAIL'!$AO$7:$AO$155)</f>
        <v>0</v>
      </c>
      <c r="AA22" s="20">
        <f>SUMIF('Mar20-Aug20 Billed-RETAIL'!$E$7:$E$155,$D22,'Mar20-Aug20 Billed-RETAIL'!$AP$7:$AP$155)</f>
        <v>4620</v>
      </c>
      <c r="AB22" s="20">
        <f>SUMIF('Mar20-Aug20 Billed-RETAIL'!$E$7:$E$155,$D22,'Mar20-Aug20 Billed-RETAIL'!$AQ$7:$AQ$155)</f>
        <v>0</v>
      </c>
      <c r="AC22" s="20">
        <v>0</v>
      </c>
      <c r="AD22" s="20">
        <f>SUMIF('Mar20-Aug20 Billed-RETAIL'!$E$7:$E$155,$D22,'Mar20-Aug20 Billed-RETAIL'!$AR$7:$AR$155)</f>
        <v>7.7193599999999982</v>
      </c>
      <c r="AE22" s="20">
        <f>SUMIF('Mar20-Aug20 Billed-RETAIL'!$E$7:$E$155,$D22,'Mar20-Aug20 Billed-RETAIL'!$AS$7:$AS$155)</f>
        <v>0</v>
      </c>
      <c r="AF22" s="20">
        <f>SUMIF('Mar20-Aug20 Billed-RETAIL'!$E$7:$E$155,$D22,'Mar20-Aug20 Billed-RETAIL'!$AT$7:$AT$155)</f>
        <v>15941.560000000003</v>
      </c>
      <c r="AG22" s="20">
        <f>SUMIF('Mar20-Aug20 Billed-RETAIL'!$E$7:$E$155,$D22,'Mar20-Aug20 Billed-RETAIL'!$AU$7:$AU$155)</f>
        <v>0</v>
      </c>
      <c r="AH22" s="20">
        <f>SUMIF('Mar20-Aug20 Billed-RETAIL'!$E$7:$E$155,$D22,'Mar20-Aug20 Billed-RETAIL'!$AV$7:$AV$155)</f>
        <v>0</v>
      </c>
      <c r="AI22" s="20">
        <f>SUMIF('Mar20-Aug20 Billed-RETAIL'!$E$7:$E$155,$D22,'Mar20-Aug20 Billed-RETAIL'!$AW$7:$AW$155)</f>
        <v>77.923519507462814</v>
      </c>
      <c r="AJ22" s="20">
        <f>SUMIF('Mar20-Aug20 Billed-RETAIL'!$E$7:$E$155,$D22,'Mar20-Aug20 Billed-RETAIL'!$AX$7:$AX$155)</f>
        <v>0</v>
      </c>
      <c r="AK22" s="20">
        <f>SUMIF('Mar20-Aug20 Billed-RETAIL'!$E$7:$E$155,$D22,'Mar20-Aug20 Billed-RETAIL'!$AY$7:$AY$155)</f>
        <v>2250.4088508914911</v>
      </c>
      <c r="AL22" s="20">
        <f>SUMIF('Mar20-Aug20 Billed-RETAIL'!$E$7:$E$155,$D22,'Mar20-Aug20 Billed-RETAIL'!$AZ$7:$AZ$155)</f>
        <v>1.98</v>
      </c>
      <c r="AM22" s="28">
        <f t="shared" si="6"/>
        <v>22899.591730398955</v>
      </c>
      <c r="AN22" s="28">
        <f t="shared" si="5"/>
        <v>22899.599010398953</v>
      </c>
      <c r="AO22" s="29">
        <f>IF(AN22=0,0,ROUND(AN22/AM22,5))</f>
        <v>1</v>
      </c>
      <c r="AP22" s="28">
        <f>SUMIF('Mar20-Aug20 Billed-RETAIL'!$E$7:$E$155,$D22,'Mar20-Aug20 Billed-RETAIL'!$BD$7:$BD$155)</f>
        <v>4620</v>
      </c>
      <c r="AQ22" s="28">
        <f>SUMIF('Mar20-Aug20 Billed-RETAIL'!$E$7:$E$155,$D22,'Mar20-Aug20 Billed-RETAIL'!$BE$7:$BE$155)</f>
        <v>7.7266399999999997</v>
      </c>
      <c r="AR22" s="28">
        <f>SUMIF('Mar20-Aug20 Billed-RETAIL'!$E$7:$E$155,$D22,'Mar20-Aug20 Billed-RETAIL'!$BF$7:$BF$155)</f>
        <v>15941.560000000003</v>
      </c>
      <c r="AS22" s="28">
        <f>SUMIF('Mar20-Aug20 Billed-RETAIL'!$E$7:$E$155,$D22,'Mar20-Aug20 Billed-RETAIL'!$BG$7:$BG$155)</f>
        <v>0</v>
      </c>
      <c r="AT22" s="28">
        <f>SUMIF('Mar20-Aug20 Billed-RETAIL'!$E$7:$E$155,$D22,'Mar20-Aug20 Billed-RETAIL'!$BH$7:$BH$155)</f>
        <v>77.923519507462814</v>
      </c>
      <c r="AU22" s="28">
        <f>SUMIF('Mar20-Aug20 Billed-RETAIL'!$E$7:$E$155,$D22,'Mar20-Aug20 Billed-RETAIL'!$BI$7:$BI$155)</f>
        <v>0</v>
      </c>
      <c r="AV22" s="28">
        <f>SUMIF('Mar20-Aug20 Billed-RETAIL'!$E$7:$E$155,$D22,'Mar20-Aug20 Billed-RETAIL'!$BJ$7:$BJ$155)</f>
        <v>2250.4088508914911</v>
      </c>
      <c r="AW22" s="28">
        <f>SUMIF('Mar20-Aug20 Billed-RETAIL'!$E$7:$E$155,$D22,'Mar20-Aug20 Billed-RETAIL'!$BK$7:$BK$155)</f>
        <v>1.98</v>
      </c>
      <c r="AX22" s="28">
        <f>SUMIF('Mar20-Aug20 Billed-RETAIL'!$E$7:$E$155,$D22,'Mar20-Aug20 Billed-RETAIL'!$BL$7:$BL$155)</f>
        <v>0</v>
      </c>
    </row>
    <row r="23" spans="1:50" x14ac:dyDescent="0.25">
      <c r="A23" s="1"/>
      <c r="B23" s="9"/>
      <c r="C23" s="9"/>
      <c r="D23" s="9"/>
      <c r="E23" s="2"/>
      <c r="F23" s="405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904"/>
      <c r="R23" s="904"/>
      <c r="S23" s="904"/>
      <c r="T23" s="904"/>
      <c r="U23" s="904"/>
      <c r="V23" s="904"/>
      <c r="W23" s="904"/>
      <c r="X23" s="904"/>
      <c r="Y23" s="904"/>
      <c r="Z23" s="904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8"/>
      <c r="AN23" s="28"/>
      <c r="AO23" s="29"/>
      <c r="AP23" s="28"/>
      <c r="AQ23" s="28"/>
      <c r="AR23" s="28"/>
      <c r="AS23" s="28"/>
      <c r="AT23" s="28"/>
      <c r="AU23" s="28"/>
      <c r="AV23" s="28"/>
      <c r="AW23" s="28"/>
      <c r="AX23" s="28"/>
    </row>
    <row r="24" spans="1:50" x14ac:dyDescent="0.25">
      <c r="A24" s="1"/>
      <c r="B24" s="9"/>
      <c r="C24" s="9"/>
      <c r="D24" s="9"/>
      <c r="E24" s="2"/>
      <c r="F24" s="405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8"/>
      <c r="AN24" s="28"/>
      <c r="AO24" s="29"/>
      <c r="AP24" s="28"/>
      <c r="AQ24" s="28"/>
      <c r="AR24" s="28"/>
      <c r="AS24" s="28"/>
      <c r="AT24" s="28"/>
      <c r="AU24" s="28"/>
      <c r="AV24" s="28"/>
      <c r="AW24" s="28"/>
      <c r="AX24" s="28"/>
    </row>
    <row r="25" spans="1:50" ht="19.5" customHeight="1" x14ac:dyDescent="0.3">
      <c r="A25" s="1"/>
      <c r="B25" s="533" t="s">
        <v>659</v>
      </c>
      <c r="C25" s="533"/>
      <c r="D25" s="9"/>
      <c r="E25" s="2"/>
      <c r="F25" s="534" t="s">
        <v>660</v>
      </c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8"/>
      <c r="AN25" s="28"/>
      <c r="AO25" s="29"/>
      <c r="AP25" s="537"/>
      <c r="AQ25" s="28"/>
      <c r="AR25" s="28"/>
      <c r="AS25" s="28"/>
      <c r="AT25" s="28"/>
      <c r="AU25" s="28"/>
      <c r="AV25" s="28"/>
      <c r="AW25" s="28"/>
      <c r="AX25" s="28"/>
    </row>
    <row r="26" spans="1:50" x14ac:dyDescent="0.25">
      <c r="A26" s="1">
        <f>+A22+1</f>
        <v>16</v>
      </c>
      <c r="B26" s="9" t="s">
        <v>170</v>
      </c>
      <c r="C26" s="9" t="s">
        <v>546</v>
      </c>
      <c r="D26" s="9" t="str">
        <f>'Retail Rates'!B22</f>
        <v>LGCMG881</v>
      </c>
      <c r="E26" s="2" t="str">
        <f t="shared" si="3"/>
        <v>881</v>
      </c>
      <c r="F26" s="405" t="str">
        <f>VLOOKUP($D26,'Retail Rates'!$B$7:$D$40,3,FALSE)</f>
        <v>Gas Transport Service, TS/TS-2 (CGS)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904">
        <v>0</v>
      </c>
      <c r="R26" s="904">
        <v>0</v>
      </c>
      <c r="S26" s="904">
        <v>0</v>
      </c>
      <c r="T26" s="904">
        <v>0</v>
      </c>
      <c r="U26" s="904">
        <v>0</v>
      </c>
      <c r="V26" s="904">
        <v>0</v>
      </c>
      <c r="W26" s="904">
        <v>0</v>
      </c>
      <c r="X26" s="904">
        <v>0</v>
      </c>
      <c r="Y26" s="904">
        <v>0</v>
      </c>
      <c r="Z26" s="904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8">
        <f>SUM(AA26:AL26)</f>
        <v>0</v>
      </c>
      <c r="AN26" s="28">
        <f t="shared" ref="AN26:AN42" si="8">SUM(AP26:AX26)</f>
        <v>0</v>
      </c>
      <c r="AO26" s="29">
        <f t="shared" ref="AO26:AO46" si="9">IF(AN26=0,0,ROUND(AN26/AM26,6))</f>
        <v>0</v>
      </c>
      <c r="AP26" s="28"/>
      <c r="AQ26" s="28"/>
      <c r="AR26" s="28"/>
      <c r="AS26" s="28"/>
      <c r="AT26" s="28"/>
      <c r="AU26" s="28"/>
      <c r="AV26" s="28"/>
      <c r="AW26" s="28"/>
      <c r="AX26" s="28"/>
    </row>
    <row r="27" spans="1:50" x14ac:dyDescent="0.25">
      <c r="A27" s="1">
        <f t="shared" si="7"/>
        <v>17</v>
      </c>
      <c r="B27" s="9" t="s">
        <v>170</v>
      </c>
      <c r="C27" s="9" t="s">
        <v>546</v>
      </c>
      <c r="D27" s="9" t="str">
        <f>'Retail Rates'!B23</f>
        <v>LGCMG881PM</v>
      </c>
      <c r="E27" s="2" t="str">
        <f t="shared" si="3"/>
        <v>881</v>
      </c>
      <c r="F27" s="405" t="str">
        <f>VLOOKUP($D27,'Retail Rates'!$B$7:$D$40,3,FALSE)</f>
        <v>Gas Transport Service, PS-TS (CGS)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4">
        <v>0</v>
      </c>
      <c r="Y27" s="904">
        <v>0</v>
      </c>
      <c r="Z27" s="904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8">
        <f>SUM(AA27:AL27)</f>
        <v>0</v>
      </c>
      <c r="AN27" s="28">
        <f t="shared" si="8"/>
        <v>0</v>
      </c>
      <c r="AO27" s="29">
        <f t="shared" si="9"/>
        <v>0</v>
      </c>
      <c r="AP27" s="28"/>
      <c r="AQ27" s="28"/>
      <c r="AR27" s="28"/>
      <c r="AS27" s="28"/>
      <c r="AT27" s="28"/>
      <c r="AU27" s="28"/>
      <c r="AV27" s="28"/>
      <c r="AW27" s="28"/>
      <c r="AX27" s="28"/>
    </row>
    <row r="28" spans="1:50" x14ac:dyDescent="0.25">
      <c r="A28" s="1">
        <f t="shared" si="7"/>
        <v>18</v>
      </c>
      <c r="B28" s="9" t="s">
        <v>170</v>
      </c>
      <c r="C28" s="9" t="s">
        <v>549</v>
      </c>
      <c r="D28" s="9" t="str">
        <f>'Retail Rates'!B24</f>
        <v>LGING882</v>
      </c>
      <c r="E28" s="2" t="str">
        <f t="shared" si="3"/>
        <v>882</v>
      </c>
      <c r="F28" s="405" t="str">
        <f>VLOOKUP($D28,'Retail Rates'!$B$7:$D$40,3,FALSE)</f>
        <v>Gas Transport Service, TS/TS-2 (IGS)-Opt Out</v>
      </c>
      <c r="G28" s="20">
        <v>0</v>
      </c>
      <c r="H28" s="20">
        <f>'Mar20-Aug20 Transport Actuals'!P243+SUMIF('Sep20-Feb21 Transport Forecast'!$D$6:$D$46,$D28,'Sep20-Feb21 Transport Forecast'!$G$6:$G$46)+SUMIF('Sep20-Feb21 Transport Forecast'!$D$6:$D$46,$D28,'Sep20-Feb21 Transport Forecast'!$H$6:$H$46)</f>
        <v>60</v>
      </c>
      <c r="I28" s="20">
        <v>0</v>
      </c>
      <c r="J28" s="20">
        <f>SBR!D62</f>
        <v>1812</v>
      </c>
      <c r="K28" s="20">
        <v>0</v>
      </c>
      <c r="L28" s="20">
        <v>0</v>
      </c>
      <c r="M28" s="20">
        <v>0</v>
      </c>
      <c r="N28" s="20">
        <f>('Mar20-Aug20 Transport Actuals'!P244+SUMIF('Sep20-Feb21 Transport Forecast'!D5:D45,D28,'Sep20-Feb21 Transport Forecast'!I5:I45))</f>
        <v>120367.11537268505</v>
      </c>
      <c r="O28" s="20">
        <f ca="1">('Mar20-Aug20 Transport Actuals'!P245+SUMIF('Sep20-Feb21 Transport Forecast'!D5:D45,D28,'Sep20-Feb21 Transport Forecast'!J5:J44))</f>
        <v>128710.08542368482</v>
      </c>
      <c r="P28" s="20">
        <v>0</v>
      </c>
      <c r="Q28" s="904">
        <v>0</v>
      </c>
      <c r="R28" s="904">
        <v>0</v>
      </c>
      <c r="S28" s="904">
        <v>0</v>
      </c>
      <c r="T28" s="904">
        <v>0</v>
      </c>
      <c r="U28" s="904">
        <v>0</v>
      </c>
      <c r="V28" s="904">
        <v>0</v>
      </c>
      <c r="W28" s="904">
        <v>0</v>
      </c>
      <c r="X28" s="904">
        <v>0</v>
      </c>
      <c r="Y28" s="904">
        <v>0</v>
      </c>
      <c r="Z28" s="904">
        <v>0</v>
      </c>
      <c r="AA28" s="20">
        <v>0</v>
      </c>
      <c r="AB28" s="20">
        <f>'Mar20-Aug20 Transport Actuals'!P255+SUMIF('Sep20-Feb21 Transport Forecast'!D5:D45,D28,'Sep20-Feb21 Transport Forecast'!V5:V45)</f>
        <v>44647.68</v>
      </c>
      <c r="AC28" s="20">
        <f>'Mar20-Aug20 Transport Actuals'!P254+SUMIF('Sep20-Feb21 Transport Forecast'!E5:E45,E28,'Sep20-Feb21 Transport Forecast'!W5:W45)</f>
        <v>33000</v>
      </c>
      <c r="AD28" s="20">
        <f>'Mar20-Aug20 Transport Actuals'!P256+SUMIF('Sep20-Feb21 Transport Forecast'!D6:D46,D28,'Sep20-Feb21 Transport Forecast'!X6:X46)</f>
        <v>263953.04964076105</v>
      </c>
      <c r="AE28" s="20">
        <f>'Mar20-Aug20 Transport Actuals'!P257+SUMIF('Sep20-Feb21 Transport Forecast'!D6:D46,D28,'Sep20-Feb21 Transport Forecast'!Y6:Y46)</f>
        <v>217893.30970375607</v>
      </c>
      <c r="AF28" s="20">
        <v>0</v>
      </c>
      <c r="AG28" s="20">
        <v>0</v>
      </c>
      <c r="AH28" s="20">
        <v>0</v>
      </c>
      <c r="AI28" s="20">
        <f>'Mar20-Aug20 Transport Actuals'!P262+'Mar20-Aug20 Transport Actuals'!P259+SUMIF('Sep20-Feb21 Transport Forecast'!D5:D45,D28,'Sep20-Feb21 Transport Forecast'!AQ5:AQ45)</f>
        <v>52800.350000000006</v>
      </c>
      <c r="AJ28" s="20">
        <v>0</v>
      </c>
      <c r="AK28" s="20">
        <f>'Mar20-Aug20 Transport Actuals'!P260++SUMIF('Sep20-Feb21 Transport Forecast'!D6:D46,D28,'Sep20-Feb21 Transport Forecast'!AS6:AS46)</f>
        <v>40059.148812913823</v>
      </c>
      <c r="AL28" s="20">
        <f>'Mar20-Aug20 Transport Actuals'!P261</f>
        <v>4588.579999999999</v>
      </c>
      <c r="AM28" s="28">
        <f>SUM(AA28:AL28)</f>
        <v>656942.11815743078</v>
      </c>
      <c r="AN28" s="28">
        <f t="shared" si="8"/>
        <v>0</v>
      </c>
      <c r="AO28" s="29">
        <f t="shared" si="9"/>
        <v>0</v>
      </c>
      <c r="AP28" s="28"/>
      <c r="AQ28" s="28"/>
      <c r="AR28" s="28"/>
      <c r="AS28" s="28"/>
      <c r="AT28" s="28"/>
      <c r="AU28" s="28"/>
      <c r="AV28" s="28"/>
      <c r="AW28" s="28"/>
      <c r="AX28" s="28"/>
    </row>
    <row r="29" spans="1:50" x14ac:dyDescent="0.25">
      <c r="A29" s="1">
        <f t="shared" si="7"/>
        <v>19</v>
      </c>
      <c r="B29" s="9" t="s">
        <v>170</v>
      </c>
      <c r="C29" s="9" t="s">
        <v>549</v>
      </c>
      <c r="D29" s="9" t="str">
        <f>'Retail Rates'!B25</f>
        <v>LGING882DS</v>
      </c>
      <c r="E29" s="2" t="str">
        <f t="shared" si="3"/>
        <v>882</v>
      </c>
      <c r="F29" s="405" t="str">
        <f>VLOOKUP($D29,'Retail Rates'!$B$7:$D$40,3,FALSE)</f>
        <v>Gas Transport Service, TS/TS-2 (IGS)-Opt In</v>
      </c>
      <c r="G29" s="20">
        <v>0</v>
      </c>
      <c r="H29" s="20">
        <f>'Mar20-Aug20 Transport Actuals'!P265+'Mar20-Aug20 Transport Actuals'!P339+SUMIF('Sep20-Feb21 Transport Forecast'!$D$6:$D$46,$D29,'Sep20-Feb21 Transport Forecast'!$G$6:$G$46)+SUMIF('Sep20-Feb21 Transport Forecast'!$D$6:$D$46,$D29,'Sep20-Feb21 Transport Forecast'!$H$6:$H$46)</f>
        <v>36</v>
      </c>
      <c r="I29" s="20">
        <v>0</v>
      </c>
      <c r="J29" s="20">
        <f>SBR!D63</f>
        <v>1092</v>
      </c>
      <c r="K29" s="20">
        <v>0</v>
      </c>
      <c r="L29" s="20">
        <v>0</v>
      </c>
      <c r="M29" s="20">
        <v>0</v>
      </c>
      <c r="N29" s="20">
        <f>'Mar20-Aug20 Transport Actuals'!P266</f>
        <v>14580.1</v>
      </c>
      <c r="O29" s="20">
        <f>'Mar20-Aug20 Transport Actuals'!P267</f>
        <v>87400.1</v>
      </c>
      <c r="P29" s="20">
        <v>0</v>
      </c>
      <c r="Q29" s="904">
        <v>0</v>
      </c>
      <c r="R29" s="904">
        <v>0</v>
      </c>
      <c r="S29" s="904">
        <v>0</v>
      </c>
      <c r="T29" s="904">
        <v>0</v>
      </c>
      <c r="U29" s="904">
        <v>0</v>
      </c>
      <c r="V29" s="904">
        <v>0</v>
      </c>
      <c r="W29" s="904">
        <v>0</v>
      </c>
      <c r="X29" s="904">
        <v>0</v>
      </c>
      <c r="Y29" s="904">
        <v>0</v>
      </c>
      <c r="Z29" s="904">
        <v>0</v>
      </c>
      <c r="AA29" s="20">
        <v>0</v>
      </c>
      <c r="AB29" s="20">
        <f>'Mar20-Aug20 Transport Actuals'!P277</f>
        <v>26906.880000000001</v>
      </c>
      <c r="AC29" s="20">
        <f>'Mar20-Aug20 Transport Actuals'!P276+'Mar20-Aug20 Transport Actuals'!P349</f>
        <v>19800</v>
      </c>
      <c r="AD29" s="20">
        <f>'Mar20-Aug20 Transport Actuals'!P278+'Mar20-Aug20 Transport Actuals'!P351</f>
        <v>31972.700000000004</v>
      </c>
      <c r="AE29" s="20">
        <f>'Mar20-Aug20 Transport Actuals'!P279+'Mar20-Aug20 Transport Actuals'!P352</f>
        <v>147959.62</v>
      </c>
      <c r="AF29" s="20">
        <v>0</v>
      </c>
      <c r="AG29" s="20">
        <v>0</v>
      </c>
      <c r="AH29" s="20">
        <f>'Mar20-Aug20 Transport Actuals'!P281</f>
        <v>452.55</v>
      </c>
      <c r="AI29" s="20">
        <f>'Mar20-Aug20 Transport Actuals'!P282+'Mar20-Aug20 Transport Actuals'!P285+'Mar20-Aug20 Transport Actuals'!P355</f>
        <v>87588.13</v>
      </c>
      <c r="AJ29" s="20">
        <v>0</v>
      </c>
      <c r="AK29" s="20">
        <f>'Mar20-Aug20 Transport Actuals'!P283+'Mar20-Aug20 Transport Actuals'!P356</f>
        <v>3157.3799999999997</v>
      </c>
      <c r="AL29" s="20">
        <f>'Mar20-Aug20 Transport Actuals'!P284+'Mar20-Aug20 Transport Actuals'!P357</f>
        <v>8923.01</v>
      </c>
      <c r="AM29" s="28">
        <f>SUM(AA29:AL29)</f>
        <v>326760.27</v>
      </c>
      <c r="AN29" s="28">
        <f t="shared" si="8"/>
        <v>0</v>
      </c>
      <c r="AO29" s="29">
        <f t="shared" si="9"/>
        <v>0</v>
      </c>
      <c r="AP29" s="28"/>
      <c r="AQ29" s="28"/>
      <c r="AR29" s="28"/>
      <c r="AS29" s="28"/>
      <c r="AT29" s="28"/>
      <c r="AU29" s="28"/>
      <c r="AV29" s="28"/>
      <c r="AW29" s="28"/>
      <c r="AX29" s="28"/>
    </row>
    <row r="30" spans="1:50" x14ac:dyDescent="0.25">
      <c r="A30" s="1">
        <f t="shared" si="7"/>
        <v>20</v>
      </c>
      <c r="B30" s="9" t="s">
        <v>170</v>
      </c>
      <c r="C30" s="9" t="s">
        <v>549</v>
      </c>
      <c r="D30" s="9" t="str">
        <f>'Retail Rates'!B26</f>
        <v>LGING882PM</v>
      </c>
      <c r="E30" s="2" t="str">
        <f t="shared" si="3"/>
        <v>882</v>
      </c>
      <c r="F30" s="405" t="str">
        <f>VLOOKUP($D30,'Retail Rates'!$B$7:$D$40,3,FALSE)</f>
        <v>Gas Transport Service, PS-TS/TS-2 (IGS)</v>
      </c>
      <c r="G30" s="20">
        <f>SUMIF('Mar20-Aug20 Billed-RETAIL'!$E$7:$E$155,$D30,'Mar20-Aug20 Billed-RETAIL'!$H$7:$H$155)</f>
        <v>0</v>
      </c>
      <c r="H30" s="20">
        <f>SUMIF('Mar20-Aug20 Billed-RETAIL'!$E$7:$E$155,$D30,'Mar20-Aug20 Billed-RETAIL'!$I$7:$I$155)</f>
        <v>0</v>
      </c>
      <c r="I30" s="20">
        <v>0</v>
      </c>
      <c r="J30" s="20">
        <v>0</v>
      </c>
      <c r="K30" s="20">
        <f>SUMIF('Mar20-Aug20 Billed-RETAIL'!$E$7:$E$155,$D30,'Mar20-Aug20 Billed-RETAIL'!$J$7:$J$155)</f>
        <v>0</v>
      </c>
      <c r="L30" s="20">
        <f>SUMIF('Mar20-Aug20 Billed-RETAIL'!$E$7:$E$155,$D30,'Mar20-Aug20 Billed-RETAIL'!$K$7:$K$155)</f>
        <v>0</v>
      </c>
      <c r="M30" s="20">
        <f>SUMIF('Mar20-Aug20 Billed-RETAIL'!$E$7:$E$155,$D30,'Mar20-Aug20 Billed-RETAIL'!$L$7:$L$155)</f>
        <v>0</v>
      </c>
      <c r="N30" s="20">
        <v>0</v>
      </c>
      <c r="O30" s="20">
        <v>0</v>
      </c>
      <c r="P30" s="20">
        <f>SUMIF('Mar20-Aug20 Billed-RETAIL'!$E$7:$E$155,$D30,'Mar20-Aug20 Billed-RETAIL'!$L$7:$L$155)</f>
        <v>0</v>
      </c>
      <c r="Q30" s="904">
        <v>0</v>
      </c>
      <c r="R30" s="904">
        <v>0</v>
      </c>
      <c r="S30" s="904">
        <v>0</v>
      </c>
      <c r="T30" s="904">
        <v>0</v>
      </c>
      <c r="U30" s="904">
        <v>0</v>
      </c>
      <c r="V30" s="904">
        <v>0</v>
      </c>
      <c r="W30" s="904">
        <v>0</v>
      </c>
      <c r="X30" s="904">
        <v>0</v>
      </c>
      <c r="Y30" s="904">
        <v>0</v>
      </c>
      <c r="Z30" s="904">
        <v>0</v>
      </c>
      <c r="AA30" s="20"/>
      <c r="AB30" s="20">
        <f>SUMIF('Mar20-Aug20 Billed-RETAIL'!$E$7:$E$155,$D30,'Mar20-Aug20 Billed-RETAIL'!$AQ$7:$AQ$155)</f>
        <v>0</v>
      </c>
      <c r="AC30" s="20">
        <f>'Mar20-Aug20 Transport Actuals'!P291+SUM(SBR!AX83:BC83)</f>
        <v>8100</v>
      </c>
      <c r="AD30" s="20">
        <f>SUMIF('Mar20-Aug20 Billed-RETAIL'!$E$7:$E$155,$D30,'Mar20-Aug20 Billed-RETAIL'!$AR$7:$AR$155)</f>
        <v>0</v>
      </c>
      <c r="AE30" s="20">
        <f>SUMIF('Mar20-Aug20 Billed-RETAIL'!$E$7:$E$155,$D30,'Mar20-Aug20 Billed-RETAIL'!$AS$7:$AS$155)</f>
        <v>0</v>
      </c>
      <c r="AF30" s="20">
        <f>SUMIF('Mar20-Aug20 Billed-RETAIL'!$E$7:$E$155,$D30,'Mar20-Aug20 Billed-RETAIL'!$AT$7:$AT$155)</f>
        <v>0</v>
      </c>
      <c r="AG30" s="20">
        <f>SUMIF('Mar20-Aug20 Billed-RETAIL'!$E$7:$E$155,$D30,'Mar20-Aug20 Billed-RETAIL'!$AU$7:$AU$155)</f>
        <v>0</v>
      </c>
      <c r="AH30" s="20">
        <f>SUMIF('Mar20-Aug20 Billed-RETAIL'!$E$7:$E$155,$D30,'Mar20-Aug20 Billed-RETAIL'!$AV$7:$AV$155)</f>
        <v>0</v>
      </c>
      <c r="AI30" s="20">
        <f>SUMIF('Mar20-Aug20 Billed-RETAIL'!$E$7:$E$155,$D30,'Mar20-Aug20 Billed-RETAIL'!$AW$7:$AW$155)</f>
        <v>0</v>
      </c>
      <c r="AJ30" s="20">
        <f>SUMIF('Mar20-Aug20 Billed-RETAIL'!$E$7:$E$155,$D30,'Mar20-Aug20 Billed-RETAIL'!$AX$7:$AX$155)</f>
        <v>0</v>
      </c>
      <c r="AK30" s="20">
        <f>SUMIF('Mar20-Aug20 Billed-RETAIL'!$E$7:$E$155,$D30,'Mar20-Aug20 Billed-RETAIL'!$AY$7:$AY$155)</f>
        <v>0</v>
      </c>
      <c r="AL30" s="20">
        <f>SUMIF('Mar20-Aug20 Billed-RETAIL'!$E$7:$E$155,$D30,'Mar20-Aug20 Billed-RETAIL'!$AZ$7:$AZ$155)</f>
        <v>0</v>
      </c>
      <c r="AM30" s="28">
        <f>SUM(AB30:AL30)</f>
        <v>8100</v>
      </c>
      <c r="AN30" s="28">
        <f t="shared" si="8"/>
        <v>0</v>
      </c>
      <c r="AO30" s="29">
        <f t="shared" si="9"/>
        <v>0</v>
      </c>
      <c r="AP30" s="28"/>
      <c r="AQ30" s="28"/>
      <c r="AR30" s="28"/>
      <c r="AS30" s="28"/>
      <c r="AT30" s="28"/>
      <c r="AU30" s="28"/>
      <c r="AV30" s="28"/>
      <c r="AW30" s="28"/>
      <c r="AX30" s="28"/>
    </row>
    <row r="31" spans="1:50" x14ac:dyDescent="0.25">
      <c r="A31" s="1">
        <f t="shared" si="7"/>
        <v>21</v>
      </c>
      <c r="B31" s="9" t="s">
        <v>170</v>
      </c>
      <c r="C31" s="9" t="s">
        <v>576</v>
      </c>
      <c r="D31" s="9" t="str">
        <f>'Retail Rates'!B27</f>
        <v>LGCMG883</v>
      </c>
      <c r="E31" s="2" t="str">
        <f t="shared" si="3"/>
        <v>883</v>
      </c>
      <c r="F31" s="405" t="str">
        <f>VLOOKUP($D31,'Retail Rates'!$B$7:$D$40,3,FALSE)</f>
        <v>Distributed Generation Gas Service, Commercial,TS-2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904">
        <v>0</v>
      </c>
      <c r="R31" s="904">
        <v>0</v>
      </c>
      <c r="S31" s="904">
        <v>0</v>
      </c>
      <c r="T31" s="904">
        <v>0</v>
      </c>
      <c r="U31" s="904">
        <v>0</v>
      </c>
      <c r="V31" s="904">
        <v>0</v>
      </c>
      <c r="W31" s="904">
        <v>0</v>
      </c>
      <c r="X31" s="904">
        <v>0</v>
      </c>
      <c r="Y31" s="904">
        <v>0</v>
      </c>
      <c r="Z31" s="904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8">
        <f t="shared" ref="AM31:AM41" si="10">SUM(AA31:AL31)</f>
        <v>0</v>
      </c>
      <c r="AN31" s="28">
        <f t="shared" si="8"/>
        <v>0</v>
      </c>
      <c r="AO31" s="29">
        <f t="shared" si="9"/>
        <v>0</v>
      </c>
      <c r="AP31" s="28"/>
      <c r="AQ31" s="28"/>
      <c r="AR31" s="28"/>
      <c r="AS31" s="28"/>
      <c r="AT31" s="28"/>
      <c r="AU31" s="28"/>
      <c r="AV31" s="28"/>
      <c r="AW31" s="28"/>
      <c r="AX31" s="28"/>
    </row>
    <row r="32" spans="1:50" x14ac:dyDescent="0.25">
      <c r="A32" s="1">
        <f t="shared" si="7"/>
        <v>22</v>
      </c>
      <c r="B32" s="9" t="s">
        <v>170</v>
      </c>
      <c r="C32" s="9" t="s">
        <v>576</v>
      </c>
      <c r="D32" s="9" t="str">
        <f>'Retail Rates'!B28</f>
        <v>LGCMG883PM</v>
      </c>
      <c r="E32" s="2" t="str">
        <f t="shared" si="3"/>
        <v>883</v>
      </c>
      <c r="F32" s="405" t="str">
        <f>VLOOKUP($D32,'Retail Rates'!$B$7:$D$40,3,FALSE)</f>
        <v>Distributed Generation Gas Service, Commercial,TS-2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904">
        <v>0</v>
      </c>
      <c r="R32" s="904">
        <v>0</v>
      </c>
      <c r="S32" s="904">
        <v>0</v>
      </c>
      <c r="T32" s="904">
        <v>0</v>
      </c>
      <c r="U32" s="904">
        <v>0</v>
      </c>
      <c r="V32" s="904">
        <v>0</v>
      </c>
      <c r="W32" s="904">
        <v>0</v>
      </c>
      <c r="X32" s="904">
        <v>0</v>
      </c>
      <c r="Y32" s="904">
        <v>0</v>
      </c>
      <c r="Z32" s="904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8">
        <f t="shared" si="10"/>
        <v>0</v>
      </c>
      <c r="AN32" s="28">
        <f t="shared" si="8"/>
        <v>0</v>
      </c>
      <c r="AO32" s="29">
        <f t="shared" si="9"/>
        <v>0</v>
      </c>
      <c r="AP32" s="28"/>
      <c r="AQ32" s="28"/>
      <c r="AR32" s="28"/>
      <c r="AS32" s="28"/>
      <c r="AT32" s="28"/>
      <c r="AU32" s="28"/>
      <c r="AV32" s="28"/>
      <c r="AW32" s="28"/>
      <c r="AX32" s="28"/>
    </row>
    <row r="33" spans="1:50" x14ac:dyDescent="0.25">
      <c r="A33" s="1">
        <f t="shared" si="7"/>
        <v>23</v>
      </c>
      <c r="B33" s="9" t="s">
        <v>170</v>
      </c>
      <c r="C33" s="9" t="s">
        <v>445</v>
      </c>
      <c r="D33" s="9" t="str">
        <f>'Retail Rates'!B29</f>
        <v>LGCMG891</v>
      </c>
      <c r="E33" s="2" t="str">
        <f t="shared" si="3"/>
        <v>891</v>
      </c>
      <c r="F33" s="405" t="str">
        <f>VLOOKUP($D33,'Retail Rates'!$B$7:$D$40,3,FALSE)</f>
        <v>Gas Transport Service, TS /TS-2  (AAGS Comm)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904">
        <v>0</v>
      </c>
      <c r="R33" s="904">
        <v>0</v>
      </c>
      <c r="S33" s="904">
        <v>0</v>
      </c>
      <c r="T33" s="904">
        <v>0</v>
      </c>
      <c r="U33" s="904">
        <v>0</v>
      </c>
      <c r="V33" s="904">
        <v>0</v>
      </c>
      <c r="W33" s="904">
        <v>0</v>
      </c>
      <c r="X33" s="904">
        <v>0</v>
      </c>
      <c r="Y33" s="904">
        <v>0</v>
      </c>
      <c r="Z33" s="904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8">
        <f t="shared" si="10"/>
        <v>0</v>
      </c>
      <c r="AN33" s="28">
        <f t="shared" si="8"/>
        <v>0</v>
      </c>
      <c r="AO33" s="29">
        <f t="shared" si="9"/>
        <v>0</v>
      </c>
      <c r="AP33" s="28"/>
      <c r="AQ33" s="28"/>
      <c r="AR33" s="28"/>
      <c r="AS33" s="28"/>
      <c r="AT33" s="28"/>
      <c r="AU33" s="28"/>
      <c r="AV33" s="28"/>
      <c r="AW33" s="28"/>
      <c r="AX33" s="28"/>
    </row>
    <row r="34" spans="1:50" x14ac:dyDescent="0.25">
      <c r="A34" s="1">
        <f t="shared" si="7"/>
        <v>24</v>
      </c>
      <c r="B34" s="9" t="s">
        <v>170</v>
      </c>
      <c r="C34" s="9" t="s">
        <v>445</v>
      </c>
      <c r="D34" s="9" t="str">
        <f>'Retail Rates'!B30</f>
        <v>LGCMG891PM</v>
      </c>
      <c r="E34" s="2" t="str">
        <f t="shared" si="3"/>
        <v>891</v>
      </c>
      <c r="F34" s="405" t="str">
        <f>VLOOKUP($D34,'Retail Rates'!$B$7:$D$40,3,FALSE)</f>
        <v>Gas Transport Service, PS-TS/PS-TS-2  (AAGS Comm)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4">
        <v>0</v>
      </c>
      <c r="Y34" s="904">
        <v>0</v>
      </c>
      <c r="Z34" s="904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8">
        <f t="shared" si="10"/>
        <v>0</v>
      </c>
      <c r="AN34" s="28">
        <f t="shared" si="8"/>
        <v>0</v>
      </c>
      <c r="AO34" s="29">
        <f t="shared" si="9"/>
        <v>0</v>
      </c>
      <c r="AP34" s="28"/>
      <c r="AQ34" s="28"/>
      <c r="AR34" s="28"/>
      <c r="AS34" s="28"/>
      <c r="AT34" s="28"/>
      <c r="AU34" s="28"/>
      <c r="AV34" s="28"/>
      <c r="AW34" s="28"/>
      <c r="AX34" s="28"/>
    </row>
    <row r="35" spans="1:50" x14ac:dyDescent="0.25">
      <c r="A35" s="1">
        <f t="shared" si="7"/>
        <v>25</v>
      </c>
      <c r="B35" s="9" t="s">
        <v>170</v>
      </c>
      <c r="C35" s="9" t="s">
        <v>445</v>
      </c>
      <c r="D35" s="9" t="str">
        <f>'Retail Rates'!B31</f>
        <v>LGING892</v>
      </c>
      <c r="E35" s="2" t="str">
        <f t="shared" si="3"/>
        <v>892</v>
      </c>
      <c r="F35" s="405" t="str">
        <f>VLOOKUP($D35,'Retail Rates'!$B$7:$D$40,3,FALSE)</f>
        <v>Gas Transport Service, TS/TS-2 (AAGS Ind)-Opt Out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904">
        <v>0</v>
      </c>
      <c r="R35" s="904">
        <v>0</v>
      </c>
      <c r="S35" s="904">
        <v>0</v>
      </c>
      <c r="T35" s="904">
        <v>0</v>
      </c>
      <c r="U35" s="904">
        <v>0</v>
      </c>
      <c r="V35" s="904">
        <v>0</v>
      </c>
      <c r="W35" s="904">
        <v>0</v>
      </c>
      <c r="X35" s="904">
        <v>0</v>
      </c>
      <c r="Y35" s="904">
        <v>0</v>
      </c>
      <c r="Z35" s="904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8">
        <f t="shared" si="10"/>
        <v>0</v>
      </c>
      <c r="AN35" s="28">
        <f t="shared" si="8"/>
        <v>0</v>
      </c>
      <c r="AO35" s="29">
        <f t="shared" si="9"/>
        <v>0</v>
      </c>
      <c r="AP35" s="28"/>
      <c r="AQ35" s="28"/>
      <c r="AR35" s="28"/>
      <c r="AS35" s="28"/>
      <c r="AT35" s="28"/>
      <c r="AU35" s="28"/>
      <c r="AV35" s="28"/>
      <c r="AW35" s="28"/>
      <c r="AX35" s="28"/>
    </row>
    <row r="36" spans="1:50" x14ac:dyDescent="0.25">
      <c r="A36" s="1">
        <f t="shared" si="7"/>
        <v>26</v>
      </c>
      <c r="B36" s="9" t="s">
        <v>170</v>
      </c>
      <c r="C36" s="9" t="s">
        <v>445</v>
      </c>
      <c r="D36" s="9" t="str">
        <f>'Retail Rates'!B32</f>
        <v>LGING892DS</v>
      </c>
      <c r="E36" s="2" t="str">
        <f t="shared" si="3"/>
        <v>892</v>
      </c>
      <c r="F36" s="405" t="str">
        <f>VLOOKUP($D36,'Retail Rates'!$B$7:$D$40,3,FALSE)</f>
        <v>Gas Transport Service, TS/TS-2 (AAGS Ind)-Opt In</v>
      </c>
      <c r="G36" s="20">
        <f>'Mar20-Aug20 Transport Actuals'!P298+'Mar20-Aug20 Transport Actuals'!P362+SUMIF('Sep20-Feb21 Transport Forecast'!F6:F46,C36,'Sep20-Feb21 Transport Forecast'!G6:G46)</f>
        <v>12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f>('Mar20-Aug20 Transport Actuals'!P299+'Mar20-Aug20 Transport Actuals'!P363)+SUMIF('Sep20-Feb21 Transport Forecast'!F6:F46,C36,'Sep20-Feb21 Transport Forecast'!I6:I46)</f>
        <v>132040.22500000001</v>
      </c>
      <c r="O36" s="20">
        <v>0</v>
      </c>
      <c r="P36" s="20">
        <v>0</v>
      </c>
      <c r="Q36" s="904">
        <v>0</v>
      </c>
      <c r="R36" s="904">
        <v>0</v>
      </c>
      <c r="S36" s="904">
        <v>0</v>
      </c>
      <c r="T36" s="904">
        <v>0</v>
      </c>
      <c r="U36" s="904">
        <v>0</v>
      </c>
      <c r="V36" s="904">
        <v>0</v>
      </c>
      <c r="W36" s="904">
        <v>0</v>
      </c>
      <c r="X36" s="904">
        <v>0</v>
      </c>
      <c r="Y36" s="904">
        <v>0</v>
      </c>
      <c r="Z36" s="904">
        <v>0</v>
      </c>
      <c r="AA36" s="20">
        <f>'Mar20-Aug20 Transport Actuals'!P307+SUMIF('Sep20-Feb21 Transport Forecast'!F6:F46,C36,'Sep20-Feb21 Transport Forecast'!AI6:AI46)</f>
        <v>6000</v>
      </c>
      <c r="AB36" s="20">
        <v>0</v>
      </c>
      <c r="AC36" s="20">
        <f>'Mar20-Aug20 Transport Actuals'!P306+'Mar20-Aug20 Transport Actuals'!P368+SUMIF('Sep20-Feb21 Transport Forecast'!F6:F46,C36,'Sep20-Feb21 Transport Forecast'!AK6:AK46)</f>
        <v>6600</v>
      </c>
      <c r="AD36" s="20">
        <f>'Mar20-Aug20 Transport Actuals'!P308+'Mar20-Aug20 Transport Actuals'!P369+SUMIF('Sep20-Feb21 Transport Forecast'!F6:F46,C36,'Sep20-Feb21 Transport Forecast'!AL6:AL46)</f>
        <v>140543.61549</v>
      </c>
      <c r="AE36" s="20">
        <v>0</v>
      </c>
      <c r="AF36" s="20">
        <v>0</v>
      </c>
      <c r="AG36" s="20">
        <v>0</v>
      </c>
      <c r="AH36" s="20">
        <f>SUMIF('Sep20-Feb21 Transport Forecast'!F6:F46,C36,'Sep20-Feb21 Transport Forecast'!AR6:AR46)</f>
        <v>0</v>
      </c>
      <c r="AI36" s="20">
        <f>'Mar20-Aug20 Transport Actuals'!P309+'Mar20-Aug20 Transport Actuals'!P312+'Mar20-Aug20 Transport Actuals'!P372+'Mar20-Aug20 Transport Actuals'!P375+SUMIF('Sep20-Feb21 Transport Forecast'!F6:F46,C36,'Sep20-Feb21 Transport Forecast'!AQ6:AQ46)</f>
        <v>60746.899999999994</v>
      </c>
      <c r="AJ36" s="20">
        <v>0</v>
      </c>
      <c r="AK36" s="20">
        <f>'Mar20-Aug20 Transport Actuals'!P310+'Mar20-Aug20 Transport Actuals'!P373+SUMIF('Sep20-Feb21 Transport Forecast'!F6:F46,C36,'Sep20-Feb21 Transport Forecast'!AS6:AS46)</f>
        <v>6892.1724951326414</v>
      </c>
      <c r="AL36" s="20">
        <f>'Mar20-Aug20 Transport Actuals'!P311</f>
        <v>5007.17</v>
      </c>
      <c r="AM36" s="28">
        <f t="shared" si="10"/>
        <v>225789.85798513264</v>
      </c>
      <c r="AN36" s="28">
        <f t="shared" si="8"/>
        <v>0</v>
      </c>
      <c r="AO36" s="29">
        <f t="shared" si="9"/>
        <v>0</v>
      </c>
      <c r="AP36" s="28"/>
      <c r="AQ36" s="28"/>
      <c r="AR36" s="28"/>
      <c r="AS36" s="28"/>
      <c r="AT36" s="28"/>
      <c r="AU36" s="28"/>
      <c r="AV36" s="28"/>
      <c r="AW36" s="28"/>
      <c r="AX36" s="28"/>
    </row>
    <row r="37" spans="1:50" x14ac:dyDescent="0.25">
      <c r="A37" s="1">
        <f t="shared" si="7"/>
        <v>27</v>
      </c>
      <c r="B37" s="9" t="s">
        <v>170</v>
      </c>
      <c r="C37" s="9" t="s">
        <v>445</v>
      </c>
      <c r="D37" s="9" t="str">
        <f>'Retail Rates'!B33</f>
        <v>LGING892PM</v>
      </c>
      <c r="E37" s="2" t="str">
        <f t="shared" si="3"/>
        <v>892</v>
      </c>
      <c r="F37" s="405" t="str">
        <f>VLOOKUP($D37,'Retail Rates'!$B$7:$D$40,3,FALSE)</f>
        <v>Gas Transport Service,  PS-TS/TS-2 (AAGS Ind)</v>
      </c>
      <c r="G37" s="20">
        <f>SUMIF('Mar20-Aug20 Billed-RETAIL'!$E$7:$E$155,$D37,'Mar20-Aug20 Billed-RETAIL'!$H$7:$H$155)</f>
        <v>0</v>
      </c>
      <c r="H37" s="20">
        <f>SUMIF('Mar20-Aug20 Billed-RETAIL'!$E$7:$E$155,$D37,'Mar20-Aug20 Billed-RETAIL'!$I$7:$I$155)</f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904">
        <v>0</v>
      </c>
      <c r="R37" s="904">
        <v>0</v>
      </c>
      <c r="S37" s="904">
        <v>0</v>
      </c>
      <c r="T37" s="904">
        <v>0</v>
      </c>
      <c r="U37" s="904">
        <v>0</v>
      </c>
      <c r="V37" s="904">
        <v>0</v>
      </c>
      <c r="W37" s="904">
        <v>0</v>
      </c>
      <c r="X37" s="904">
        <v>0</v>
      </c>
      <c r="Y37" s="904">
        <v>0</v>
      </c>
      <c r="Z37" s="904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8">
        <f t="shared" si="10"/>
        <v>0</v>
      </c>
      <c r="AN37" s="28">
        <f t="shared" si="8"/>
        <v>0</v>
      </c>
      <c r="AO37" s="29">
        <f t="shared" si="9"/>
        <v>0</v>
      </c>
      <c r="AP37" s="28"/>
      <c r="AQ37" s="28"/>
      <c r="AR37" s="28"/>
      <c r="AS37" s="28"/>
      <c r="AT37" s="28"/>
      <c r="AU37" s="28"/>
      <c r="AV37" s="28"/>
      <c r="AW37" s="28"/>
      <c r="AX37" s="28"/>
    </row>
    <row r="38" spans="1:50" x14ac:dyDescent="0.25">
      <c r="A38" s="1">
        <f t="shared" si="7"/>
        <v>28</v>
      </c>
      <c r="B38" s="9" t="s">
        <v>170</v>
      </c>
      <c r="C38" s="9" t="s">
        <v>610</v>
      </c>
      <c r="D38" s="9" t="str">
        <f>'Retail Rates'!B34</f>
        <v>LGCMG895</v>
      </c>
      <c r="E38" s="2" t="str">
        <f t="shared" si="3"/>
        <v>895</v>
      </c>
      <c r="F38" s="405" t="str">
        <f>VLOOKUP($D38,'Retail Rates'!$B$7:$D$40,3,FALSE)</f>
        <v>Gas Transport Service, FT Commercial</v>
      </c>
      <c r="G38" s="20">
        <f>'Mar20-Aug20 Transport Actuals'!P11+'Mar20-Aug20 Transport Actuals'!P115+SUMIF('Sep20-Feb21 Transport Forecast'!F6:F46,C38,'Sep20-Feb21 Transport Forecast'!H6:H46)</f>
        <v>550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f>('Mar20-Aug20 Transport Actuals'!P12+'Mar20-Aug20 Transport Actuals'!P116)+SUMIF('Sep20-Feb21 Transport Forecast'!F6:F46,C38,'Sep20-Feb21 Transport Forecast'!I6:I46)</f>
        <v>6542021.054115341</v>
      </c>
      <c r="O38" s="20">
        <v>0</v>
      </c>
      <c r="P38" s="20">
        <f>(('Mar20-Aug20 Transport Actuals'!P20+'Mar20-Aug20 Transport Actuals'!P124)/4.89)+SUMIF('Sep20-Feb21 Transport Forecast'!F6:F46,C38,'Sep20-Feb21 Transport Forecast'!L6:L46)</f>
        <v>478901.19764777261</v>
      </c>
      <c r="Q38" s="904">
        <v>0</v>
      </c>
      <c r="R38" s="904">
        <v>0</v>
      </c>
      <c r="S38" s="904">
        <v>0</v>
      </c>
      <c r="T38" s="904">
        <v>0</v>
      </c>
      <c r="U38" s="904">
        <v>0</v>
      </c>
      <c r="V38" s="904">
        <v>0</v>
      </c>
      <c r="W38" s="904">
        <v>0</v>
      </c>
      <c r="X38" s="904">
        <v>0</v>
      </c>
      <c r="Y38" s="904">
        <v>0</v>
      </c>
      <c r="Z38" s="904">
        <v>0</v>
      </c>
      <c r="AA38" s="20">
        <v>0</v>
      </c>
      <c r="AB38" s="20">
        <f>'Mar20-Aug20 Transport Actuals'!P19+'Mar20-Aug20 Transport Actuals'!P123+SUMIF('Sep20-Feb21 Transport Forecast'!F6:F46,C38,'Sep20-Feb21 Transport Forecast'!AJ6:AJ46)</f>
        <v>412500</v>
      </c>
      <c r="AC38" s="20">
        <f>'Mar20-Aug20 Transport Actuals'!P18+'Mar20-Aug20 Transport Actuals'!P122+SUMIF('Sep20-Feb21 Transport Forecast'!F6:F46,C38,'Sep20-Feb21 Transport Forecast'!AK6:AK46)</f>
        <v>302500</v>
      </c>
      <c r="AD38" s="20">
        <f>'Mar20-Aug20 Transport Actuals'!P21+'Mar20-Aug20 Transport Actuals'!P125+SUMIF('Sep20-Feb21 Transport Forecast'!F6:F46,C38,'Sep20-Feb21 Transport Forecast'!AL6:AL46)</f>
        <v>248596.80165638297</v>
      </c>
      <c r="AE38" s="20">
        <v>0</v>
      </c>
      <c r="AF38" s="20">
        <f>('Mar20-Aug20 Transport Actuals'!P20+'Mar20-Aug20 Transport Actuals'!P124)+SUMIF('Sep20-Feb21 Transport Forecast'!F6:F46,C38,'Sep20-Feb21 Transport Forecast'!Z6:Z46)</f>
        <v>2341826.8564976081</v>
      </c>
      <c r="AG38" s="20">
        <v>0</v>
      </c>
      <c r="AH38" s="20">
        <f>'Mar20-Aug20 Transport Actuals'!P23+'Mar20-Aug20 Transport Actuals'!P127+SUMIF('Sep20-Feb21 Transport Forecast'!F6:F46,C38,'Sep20-Feb21 Transport Forecast'!AR6:AR46)</f>
        <v>949.44</v>
      </c>
      <c r="AI38" s="20">
        <f>'Mar20-Aug20 Transport Actuals'!P24+'Mar20-Aug20 Transport Actuals'!P25+'Mar20-Aug20 Transport Actuals'!P26+'Mar20-Aug20 Transport Actuals'!P27+'Mar20-Aug20 Transport Actuals'!P128+'Mar20-Aug20 Transport Actuals'!P129+'Mar20-Aug20 Transport Actuals'!P130+'Mar20-Aug20 Transport Actuals'!P131+SUMIF('Sep20-Feb21 Transport Forecast'!F6:F46,C38,'Sep20-Feb21 Transport Forecast'!AQ6:AQ46)</f>
        <v>904.19</v>
      </c>
      <c r="AJ38" s="20">
        <v>0</v>
      </c>
      <c r="AK38" s="20">
        <v>0</v>
      </c>
      <c r="AL38" s="20">
        <f>'Mar20-Aug20 Transport Actuals'!P28+'Mar20-Aug20 Transport Actuals'!P132+SUMIF('Sep20-Feb21 Transport Forecast'!F6:F46,C38,'Sep20-Feb21 Transport Forecast'!AS6:AS46)</f>
        <v>77686.896286804898</v>
      </c>
      <c r="AM38" s="28">
        <f t="shared" si="10"/>
        <v>3384964.1844407958</v>
      </c>
      <c r="AN38" s="28">
        <f>SUM(AP38:AX38)</f>
        <v>0</v>
      </c>
      <c r="AO38" s="29">
        <f t="shared" si="9"/>
        <v>0</v>
      </c>
      <c r="AP38" s="28"/>
      <c r="AQ38" s="28"/>
      <c r="AR38" s="28"/>
      <c r="AS38" s="28"/>
      <c r="AT38" s="28"/>
      <c r="AU38" s="28"/>
      <c r="AV38" s="28"/>
      <c r="AW38" s="28"/>
      <c r="AX38" s="28"/>
    </row>
    <row r="39" spans="1:50" x14ac:dyDescent="0.25">
      <c r="A39" s="1">
        <f t="shared" si="7"/>
        <v>29</v>
      </c>
      <c r="B39" s="9" t="s">
        <v>170</v>
      </c>
      <c r="C39" s="9" t="s">
        <v>661</v>
      </c>
      <c r="D39" s="9" t="str">
        <f>'Retail Rates'!B35</f>
        <v>LGCMG895PM</v>
      </c>
      <c r="E39" s="2" t="str">
        <f t="shared" si="3"/>
        <v>895</v>
      </c>
      <c r="F39" s="405" t="str">
        <f>VLOOKUP($D39,'Retail Rates'!$B$7:$D$40,3,FALSE)</f>
        <v>Gas Transport Service, PS-FT Commercial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904">
        <v>0</v>
      </c>
      <c r="R39" s="904">
        <v>0</v>
      </c>
      <c r="S39" s="904">
        <v>0</v>
      </c>
      <c r="T39" s="904">
        <v>0</v>
      </c>
      <c r="U39" s="904">
        <v>0</v>
      </c>
      <c r="V39" s="904">
        <v>0</v>
      </c>
      <c r="W39" s="904">
        <v>0</v>
      </c>
      <c r="X39" s="904">
        <v>0</v>
      </c>
      <c r="Y39" s="904">
        <v>0</v>
      </c>
      <c r="Z39" s="904">
        <v>0</v>
      </c>
      <c r="AA39" s="20">
        <v>0</v>
      </c>
      <c r="AB39" s="20">
        <v>0</v>
      </c>
      <c r="AC39" s="20">
        <f>'Mar20-Aug20 Transport Actuals'!P36</f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8">
        <f t="shared" si="10"/>
        <v>0</v>
      </c>
      <c r="AN39" s="28">
        <f t="shared" si="8"/>
        <v>0</v>
      </c>
      <c r="AO39" s="29">
        <f t="shared" si="9"/>
        <v>0</v>
      </c>
      <c r="AP39" s="28"/>
      <c r="AQ39" s="28"/>
      <c r="AR39" s="28"/>
      <c r="AS39" s="28"/>
      <c r="AT39" s="28"/>
      <c r="AU39" s="28"/>
      <c r="AV39" s="28"/>
      <c r="AW39" s="28"/>
      <c r="AX39" s="28"/>
    </row>
    <row r="40" spans="1:50" x14ac:dyDescent="0.25">
      <c r="A40" s="1">
        <f t="shared" si="7"/>
        <v>30</v>
      </c>
      <c r="B40" s="9" t="s">
        <v>170</v>
      </c>
      <c r="C40" s="9" t="s">
        <v>610</v>
      </c>
      <c r="D40" s="9" t="str">
        <f>'Retail Rates'!B36</f>
        <v>LGING896</v>
      </c>
      <c r="E40" s="2" t="str">
        <f t="shared" si="3"/>
        <v>896</v>
      </c>
      <c r="F40" s="405" t="str">
        <f>VLOOKUP($D40,'Retail Rates'!$B$7:$D$40,3,FALSE)</f>
        <v>Gas Transport Service, FT Industrial-Opt Out</v>
      </c>
      <c r="G40" s="20">
        <f>'Mar20-Aug20 Transport Actuals'!P50+'Mar20-Aug20 Transport Actuals'!P137</f>
        <v>301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f>('Mar20-Aug20 Transport Actuals'!P51+'Mar20-Aug20 Transport Actuals'!P138)</f>
        <v>5127603.3000000007</v>
      </c>
      <c r="O40" s="20">
        <v>0</v>
      </c>
      <c r="P40" s="20">
        <f>('Mar20-Aug20 Transport Actuals'!P59+'Mar20-Aug20 Transport Actuals'!P146)/4.89</f>
        <v>414985.5419222904</v>
      </c>
      <c r="Q40" s="904">
        <v>0</v>
      </c>
      <c r="R40" s="904">
        <v>0</v>
      </c>
      <c r="S40" s="904">
        <v>-1040</v>
      </c>
      <c r="T40" s="904">
        <v>0</v>
      </c>
      <c r="U40" s="904">
        <v>0</v>
      </c>
      <c r="V40" s="904">
        <v>0</v>
      </c>
      <c r="W40" s="904">
        <v>0</v>
      </c>
      <c r="X40" s="904">
        <v>0</v>
      </c>
      <c r="Y40" s="904">
        <v>0</v>
      </c>
      <c r="Z40" s="904">
        <v>0</v>
      </c>
      <c r="AA40" s="20">
        <v>0</v>
      </c>
      <c r="AB40" s="20">
        <f>'Mar20-Aug20 Transport Actuals'!P58+'Mar20-Aug20 Transport Actuals'!P145</f>
        <v>225150</v>
      </c>
      <c r="AC40" s="20">
        <f>'Mar20-Aug20 Transport Actuals'!P57+'Mar20-Aug20 Transport Actuals'!P144</f>
        <v>165110</v>
      </c>
      <c r="AD40" s="20">
        <f>'Mar20-Aug20 Transport Actuals'!P60+'Mar20-Aug20 Transport Actuals'!P147</f>
        <v>194848.91</v>
      </c>
      <c r="AE40" s="20">
        <v>0</v>
      </c>
      <c r="AF40" s="20">
        <f>('Mar20-Aug20 Transport Actuals'!P59+'Mar20-Aug20 Transport Actuals'!P146)</f>
        <v>2029279.2999999998</v>
      </c>
      <c r="AG40" s="20">
        <v>0</v>
      </c>
      <c r="AH40" s="20">
        <f>'Mar20-Aug20 Transport Actuals'!P62+'Mar20-Aug20 Transport Actuals'!P149</f>
        <v>0</v>
      </c>
      <c r="AI40" s="20">
        <f>'Mar20-Aug20 Transport Actuals'!P63+'Mar20-Aug20 Transport Actuals'!P64+'Mar20-Aug20 Transport Actuals'!P65+'Mar20-Aug20 Transport Actuals'!P66+'Mar20-Aug20 Transport Actuals'!P67+'Mar20-Aug20 Transport Actuals'!P152</f>
        <v>11602.22</v>
      </c>
      <c r="AJ40" s="20">
        <v>0</v>
      </c>
      <c r="AK40" s="20">
        <v>0</v>
      </c>
      <c r="AL40" s="20">
        <f>'Mar20-Aug20 Transport Actuals'!P68+'Mar20-Aug20 Transport Actuals'!P154</f>
        <v>34903.08</v>
      </c>
      <c r="AM40" s="28">
        <f t="shared" si="10"/>
        <v>2660893.5100000002</v>
      </c>
      <c r="AN40" s="28">
        <f t="shared" si="8"/>
        <v>0</v>
      </c>
      <c r="AO40" s="29">
        <f t="shared" si="9"/>
        <v>0</v>
      </c>
      <c r="AP40" s="28"/>
      <c r="AQ40" s="28"/>
      <c r="AR40" s="28"/>
      <c r="AS40" s="28"/>
      <c r="AT40" s="28"/>
      <c r="AU40" s="28"/>
      <c r="AV40" s="28"/>
      <c r="AW40" s="28"/>
      <c r="AX40" s="28"/>
    </row>
    <row r="41" spans="1:50" x14ac:dyDescent="0.25">
      <c r="A41" s="1">
        <f t="shared" si="7"/>
        <v>31</v>
      </c>
      <c r="B41" s="9" t="s">
        <v>170</v>
      </c>
      <c r="C41" s="9" t="s">
        <v>610</v>
      </c>
      <c r="D41" s="9" t="str">
        <f>'Retail Rates'!B37</f>
        <v>LGING896DS</v>
      </c>
      <c r="E41" s="2" t="str">
        <f t="shared" si="3"/>
        <v>896</v>
      </c>
      <c r="F41" s="405" t="str">
        <f>VLOOKUP($D41,'Retail Rates'!$B$7:$D$40,3,FALSE)</f>
        <v>Gas Transport Service, FT Industrial-Opt In</v>
      </c>
      <c r="G41" s="20">
        <f>'Mar20-Aug20 Transport Actuals'!P73+'Mar20-Aug20 Transport Actuals'!P157</f>
        <v>91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f>('Mar20-Aug20 Transport Actuals'!P74+'Mar20-Aug20 Transport Actuals'!P158)</f>
        <v>482809.8</v>
      </c>
      <c r="O41" s="20">
        <v>0</v>
      </c>
      <c r="P41" s="20">
        <f>('Mar20-Aug20 Transport Actuals'!P166+'Mar20-Aug20 Transport Actuals'!P82)/4.89</f>
        <v>32025.695296523525</v>
      </c>
      <c r="Q41" s="904">
        <v>0</v>
      </c>
      <c r="R41" s="904">
        <v>0</v>
      </c>
      <c r="S41" s="904">
        <v>-1126.67</v>
      </c>
      <c r="T41" s="904">
        <v>0</v>
      </c>
      <c r="U41" s="904">
        <v>0</v>
      </c>
      <c r="V41" s="904">
        <v>0</v>
      </c>
      <c r="W41" s="904">
        <v>0</v>
      </c>
      <c r="X41" s="904">
        <v>0</v>
      </c>
      <c r="Y41" s="904">
        <v>0</v>
      </c>
      <c r="Z41" s="904">
        <v>0</v>
      </c>
      <c r="AA41" s="20">
        <v>0</v>
      </c>
      <c r="AB41" s="20">
        <f>'Mar20-Aug20 Transport Actuals'!P81+'Mar20-Aug20 Transport Actuals'!P165</f>
        <v>67600</v>
      </c>
      <c r="AC41" s="20">
        <f>'Mar20-Aug20 Transport Actuals'!P80+'Mar20-Aug20 Transport Actuals'!P164</f>
        <v>49573.33</v>
      </c>
      <c r="AD41" s="20">
        <f>'Mar20-Aug20 Transport Actuals'!P83+'Mar20-Aug20 Transport Actuals'!P167</f>
        <v>18346.77</v>
      </c>
      <c r="AE41" s="20">
        <v>0</v>
      </c>
      <c r="AF41" s="20">
        <f>('Mar20-Aug20 Transport Actuals'!P166+'Mar20-Aug20 Transport Actuals'!P82)</f>
        <v>156605.65000000002</v>
      </c>
      <c r="AG41" s="20">
        <v>0</v>
      </c>
      <c r="AH41" s="20">
        <f>'Mar20-Aug20 Transport Actuals'!P85+'Mar20-Aug20 Transport Actuals'!P169</f>
        <v>1728.3799999999999</v>
      </c>
      <c r="AI41" s="20">
        <f>'Mar20-Aug20 Transport Actuals'!P86+'Mar20-Aug20 Transport Actuals'!P87+'Mar20-Aug20 Transport Actuals'!P88+'Mar20-Aug20 Transport Actuals'!P89+'Mar20-Aug20 Transport Actuals'!P90</f>
        <v>358.75999999999993</v>
      </c>
      <c r="AJ41" s="20">
        <v>0</v>
      </c>
      <c r="AK41" s="20">
        <v>0</v>
      </c>
      <c r="AL41" s="20">
        <f>'Mar20-Aug20 Transport Actuals'!P91+'Mar20-Aug20 Transport Actuals'!P174</f>
        <v>3364.0241800000003</v>
      </c>
      <c r="AM41" s="28">
        <f t="shared" si="10"/>
        <v>297576.91418000002</v>
      </c>
      <c r="AN41" s="28">
        <f t="shared" si="8"/>
        <v>0</v>
      </c>
      <c r="AO41" s="29">
        <f t="shared" si="9"/>
        <v>0</v>
      </c>
      <c r="AP41" s="28"/>
      <c r="AQ41" s="28"/>
      <c r="AR41" s="28"/>
      <c r="AS41" s="28"/>
      <c r="AT41" s="28"/>
      <c r="AU41" s="28"/>
      <c r="AV41" s="28"/>
      <c r="AW41" s="28"/>
      <c r="AX41" s="28"/>
    </row>
    <row r="42" spans="1:50" x14ac:dyDescent="0.25">
      <c r="A42" s="1">
        <f t="shared" si="7"/>
        <v>32</v>
      </c>
      <c r="B42" s="9" t="s">
        <v>170</v>
      </c>
      <c r="C42" s="9" t="s">
        <v>661</v>
      </c>
      <c r="D42" s="9" t="str">
        <f>'Retail Rates'!B38</f>
        <v>LGING896PM</v>
      </c>
      <c r="E42" s="2" t="str">
        <f t="shared" si="3"/>
        <v>896</v>
      </c>
      <c r="F42" s="405" t="str">
        <f>VLOOKUP($D42,'Retail Rates'!$B$7:$D$40,3,FALSE)</f>
        <v>Gas Transport Service, PS-FT Industrial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904">
        <v>0</v>
      </c>
      <c r="R42" s="904">
        <v>0</v>
      </c>
      <c r="S42" s="904">
        <v>0</v>
      </c>
      <c r="T42" s="904">
        <v>0</v>
      </c>
      <c r="U42" s="904">
        <v>0</v>
      </c>
      <c r="V42" s="904">
        <v>0</v>
      </c>
      <c r="W42" s="904">
        <v>0</v>
      </c>
      <c r="X42" s="904">
        <v>0</v>
      </c>
      <c r="Y42" s="904">
        <v>0</v>
      </c>
      <c r="Z42" s="904">
        <v>0</v>
      </c>
      <c r="AA42" s="20">
        <v>0</v>
      </c>
      <c r="AB42" s="20">
        <v>0</v>
      </c>
      <c r="AC42" s="20">
        <f>'Mar20-Aug20 Transport Actuals'!P99+SUMIF('Sep20-Feb21 Transport Forecast'!D6:D46,D38,'Sep20-Feb21 Transport Forecast'!AO6:AO46)</f>
        <v>63900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f>'Mar20-Aug20 Transport Actuals'!P100+'Mar20-Aug20 Transport Actuals'!P101+'Mar20-Aug20 Transport Actuals'!P102</f>
        <v>152306.57</v>
      </c>
      <c r="AJ42" s="20">
        <v>0</v>
      </c>
      <c r="AK42" s="20">
        <f>SUMIF('Mar20-Aug20 Billed-RETAIL'!$E$7:$E$155,$D42,'Mar20-Aug20 Billed-RETAIL'!$AY$7:$AY$155)</f>
        <v>0</v>
      </c>
      <c r="AL42" s="20">
        <f>SUMIF('Mar20-Aug20 Billed-RETAIL'!$E$7:$E$155,$D42,'Mar20-Aug20 Billed-RETAIL'!$AZ$7:$AZ$155)</f>
        <v>0</v>
      </c>
      <c r="AM42" s="28">
        <f>SUM(AA42:AL42)</f>
        <v>216206.57</v>
      </c>
      <c r="AN42" s="28">
        <f t="shared" si="8"/>
        <v>0</v>
      </c>
      <c r="AO42" s="29">
        <f t="shared" si="9"/>
        <v>0</v>
      </c>
      <c r="AP42" s="28"/>
      <c r="AQ42" s="28"/>
      <c r="AR42" s="28"/>
      <c r="AS42" s="28"/>
      <c r="AT42" s="28"/>
      <c r="AU42" s="28"/>
      <c r="AV42" s="28"/>
      <c r="AW42" s="28"/>
      <c r="AX42" s="28"/>
    </row>
    <row r="43" spans="1:50" x14ac:dyDescent="0.25">
      <c r="A43" s="1"/>
      <c r="B43" s="9"/>
      <c r="C43" s="9"/>
      <c r="D43" s="9"/>
      <c r="E43" s="2"/>
      <c r="F43" s="405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904"/>
      <c r="R43" s="904"/>
      <c r="S43" s="904"/>
      <c r="T43" s="904"/>
      <c r="U43" s="904"/>
      <c r="V43" s="904"/>
      <c r="W43" s="904"/>
      <c r="X43" s="904"/>
      <c r="Y43" s="904"/>
      <c r="Z43" s="904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8"/>
      <c r="AN43" s="28"/>
      <c r="AO43" s="29"/>
      <c r="AP43" s="28"/>
      <c r="AQ43" s="28"/>
      <c r="AR43" s="28"/>
      <c r="AS43" s="28"/>
      <c r="AT43" s="28"/>
      <c r="AU43" s="28"/>
      <c r="AV43" s="28"/>
      <c r="AW43" s="28"/>
      <c r="AX43" s="28"/>
    </row>
    <row r="44" spans="1:50" x14ac:dyDescent="0.25">
      <c r="A44" s="1"/>
      <c r="B44" s="9"/>
      <c r="C44" s="9"/>
      <c r="D44" s="9"/>
      <c r="E44" s="2"/>
      <c r="F44" s="405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904"/>
      <c r="R44" s="904"/>
      <c r="S44" s="904"/>
      <c r="T44" s="904"/>
      <c r="U44" s="904"/>
      <c r="V44" s="904"/>
      <c r="W44" s="904"/>
      <c r="X44" s="904"/>
      <c r="Y44" s="904"/>
      <c r="Z44" s="904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8"/>
      <c r="AN44" s="28"/>
      <c r="AO44" s="29"/>
      <c r="AP44" s="28"/>
      <c r="AQ44" s="28"/>
      <c r="AR44" s="28"/>
      <c r="AS44" s="28"/>
      <c r="AT44" s="28"/>
      <c r="AU44" s="28"/>
      <c r="AV44" s="28"/>
      <c r="AW44" s="28"/>
      <c r="AX44" s="28"/>
    </row>
    <row r="45" spans="1:50" ht="18.75" x14ac:dyDescent="0.3">
      <c r="A45" s="1"/>
      <c r="B45" s="533" t="s">
        <v>666</v>
      </c>
      <c r="C45" s="9"/>
      <c r="D45" s="9"/>
      <c r="E45" s="2"/>
      <c r="F45" s="405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904"/>
      <c r="R45" s="904"/>
      <c r="S45" s="904"/>
      <c r="T45" s="904"/>
      <c r="U45" s="904"/>
      <c r="V45" s="904"/>
      <c r="W45" s="904"/>
      <c r="X45" s="904"/>
      <c r="Y45" s="904"/>
      <c r="Z45" s="904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8"/>
      <c r="AN45" s="28"/>
      <c r="AO45" s="29"/>
      <c r="AP45" s="28"/>
      <c r="AQ45" s="28"/>
      <c r="AR45" s="28"/>
      <c r="AS45" s="28"/>
      <c r="AT45" s="28"/>
      <c r="AU45" s="28"/>
      <c r="AV45" s="28"/>
      <c r="AW45" s="28"/>
      <c r="AX45" s="28"/>
    </row>
    <row r="46" spans="1:50" x14ac:dyDescent="0.25">
      <c r="A46" s="1">
        <f>+A42+1</f>
        <v>33</v>
      </c>
      <c r="B46" s="9" t="s">
        <v>170</v>
      </c>
      <c r="C46" s="9" t="s">
        <v>495</v>
      </c>
      <c r="D46" s="9" t="str">
        <f>'Retail Rates'!B39</f>
        <v>LGING996</v>
      </c>
      <c r="E46" s="2" t="str">
        <f t="shared" si="3"/>
        <v>996</v>
      </c>
      <c r="F46" s="405" t="str">
        <f>VLOOKUP($D46,'Retail Rates'!$B$7:$D$40,3,FALSE)</f>
        <v>Gas Special Contracts - LG&amp;E</v>
      </c>
      <c r="G46" s="20">
        <f>SUMIF('Mar20-Aug20 Billed-RETAIL'!$E$7:$E$155,$D46,'Mar20-Aug20 Billed-RETAIL'!$H$7:$H$155)</f>
        <v>12</v>
      </c>
      <c r="H46" s="20">
        <f>SUMIF('Mar20-Aug20 Billed-RETAIL'!$E$7:$E$155,$D46,'Mar20-Aug20 Billed-RETAIL'!$I$7:$I$155)</f>
        <v>0</v>
      </c>
      <c r="I46" s="20"/>
      <c r="J46" s="20"/>
      <c r="K46" s="20">
        <f>SUMIF('Mar20-Aug20 Billed-RETAIL'!$E$7:$E$155,$D46,'Mar20-Aug20 Billed-RETAIL'!$J$7:$J$155)</f>
        <v>2576525</v>
      </c>
      <c r="L46" s="20">
        <f>SUMIF('Mar20-Aug20 Billed-RETAIL'!$E$7:$E$155,$D46,'Mar20-Aug20 Billed-RETAIL'!$K$7:$K$155)</f>
        <v>0</v>
      </c>
      <c r="M46" s="20">
        <f>SUMIF('Mar20-Aug20 Billed-RETAIL'!$E$7:$E$155,$D46,'Mar20-Aug20 Billed-RETAIL'!$L$7:$L$155)</f>
        <v>1987200.0201875623</v>
      </c>
      <c r="N46" s="20">
        <v>0</v>
      </c>
      <c r="O46" s="20">
        <v>0</v>
      </c>
      <c r="P46" s="20">
        <v>0</v>
      </c>
      <c r="Q46" s="904">
        <v>0</v>
      </c>
      <c r="R46" s="904">
        <v>0</v>
      </c>
      <c r="S46" s="904">
        <v>0</v>
      </c>
      <c r="T46" s="904">
        <v>0</v>
      </c>
      <c r="U46" s="904">
        <v>0</v>
      </c>
      <c r="V46" s="904">
        <v>0</v>
      </c>
      <c r="W46" s="904">
        <v>0</v>
      </c>
      <c r="X46" s="904">
        <v>0</v>
      </c>
      <c r="Y46" s="904">
        <v>0</v>
      </c>
      <c r="Z46" s="904">
        <v>0</v>
      </c>
      <c r="AA46" s="20">
        <f>SUMIF('Mar20-Aug20 Billed-RETAIL'!$E$7:$E$155,$D46,'Mar20-Aug20 Billed-RETAIL'!$AP$7:$AP$155)</f>
        <v>9000</v>
      </c>
      <c r="AB46" s="20">
        <f>SUMIF('Mar20-Aug20 Billed-RETAIL'!$E$7:$E$155,$D46,'Mar20-Aug20 Billed-RETAIL'!$AQ$7:$AQ$155)</f>
        <v>0</v>
      </c>
      <c r="AC46" s="20">
        <v>0</v>
      </c>
      <c r="AD46" s="20">
        <f>SUMIF('Mar20-Aug20 Billed-RETAIL'!$E$7:$E$155,$D46,'Mar20-Aug20 Billed-RETAIL'!$AR$7:$AR$155)</f>
        <v>77089.628000000012</v>
      </c>
      <c r="AE46" s="20">
        <f>SUMIF('Mar20-Aug20 Billed-RETAIL'!$E$7:$E$155,$D46,'Mar20-Aug20 Billed-RETAIL'!$AS$7:$AS$155)</f>
        <v>0</v>
      </c>
      <c r="AF46" s="20">
        <f>SUMIF('Mar20-Aug20 Billed-RETAIL'!$E$7:$E$155,$D46,'Mar20-Aug20 Billed-RETAIL'!$AT$7:$AT$155)</f>
        <v>2165610.8380000019</v>
      </c>
      <c r="AG46" s="20">
        <f>SUMIF('Mar20-Aug20 Billed-RETAIL'!$E$7:$E$155,$D46,'Mar20-Aug20 Billed-RETAIL'!$AU$7:$AU$155)</f>
        <v>0</v>
      </c>
      <c r="AH46" s="20">
        <f>SUMIF('Mar20-Aug20 Billed-RETAIL'!$E$7:$E$155,$D46,'Mar20-Aug20 Billed-RETAIL'!$AV$7:$AV$155)</f>
        <v>0</v>
      </c>
      <c r="AI46" s="20">
        <f>SUMIF('Mar20-Aug20 Billed-RETAIL'!$E$7:$E$155,$D46,'Mar20-Aug20 Billed-RETAIL'!$AW$7:$AW$155)</f>
        <v>861171.54627078143</v>
      </c>
      <c r="AJ46" s="20">
        <f>SUMIF('Mar20-Aug20 Billed-RETAIL'!$E$7:$E$155,$D46,'Mar20-Aug20 Billed-RETAIL'!$AX$7:$AX$155)</f>
        <v>0</v>
      </c>
      <c r="AK46" s="20">
        <f>SUMIF('Mar20-Aug20 Billed-RETAIL'!$E$7:$E$155,$D46,'Mar20-Aug20 Billed-RETAIL'!$AY$7:$AY$155)</f>
        <v>572.86</v>
      </c>
      <c r="AL46" s="20">
        <f>SUMIF('Mar20-Aug20 Billed-RETAIL'!$E$7:$E$155,$D46,'Mar20-Aug20 Billed-RETAIL'!$AZ$7:$AZ$155)</f>
        <v>7063.62</v>
      </c>
      <c r="AM46" s="28">
        <f>SUM(AA46:AL46)</f>
        <v>3120508.4922707831</v>
      </c>
      <c r="AN46" s="28">
        <f>SUM(AP46:AX46)</f>
        <v>3120508.4965907815</v>
      </c>
      <c r="AO46" s="29">
        <f t="shared" si="9"/>
        <v>1</v>
      </c>
      <c r="AP46" s="28">
        <f>SUMIF('Mar20-Aug20 Billed-RETAIL'!$E$7:$E$155,$D46,'Mar20-Aug20 Billed-RETAIL'!$BD$7:$BD$155)</f>
        <v>9000</v>
      </c>
      <c r="AQ46" s="28">
        <f>SUMIF('Mar20-Aug20 Billed-RETAIL'!$E$7:$E$155,$D46,'Mar20-Aug20 Billed-RETAIL'!$BE$7:$BE$155)</f>
        <v>77089.630320000011</v>
      </c>
      <c r="AR46" s="28">
        <f>SUMIF('Mar20-Aug20 Billed-RETAIL'!$E$7:$E$155,$D46,'Mar20-Aug20 Billed-RETAIL'!$BF$7:$BF$155)</f>
        <v>2165610.8400000003</v>
      </c>
      <c r="AS46" s="28">
        <f>SUMIF('Mar20-Aug20 Billed-RETAIL'!$E$7:$E$155,$D46,'Mar20-Aug20 Billed-RETAIL'!$BG$7:$BG$155)</f>
        <v>0</v>
      </c>
      <c r="AT46" s="28">
        <f>SUMIF('Mar20-Aug20 Billed-RETAIL'!$E$7:$E$155,$D46,'Mar20-Aug20 Billed-RETAIL'!$BH$7:$BH$155)</f>
        <v>861171.54627078143</v>
      </c>
      <c r="AU46" s="28">
        <f>SUMIF('Mar20-Aug20 Billed-RETAIL'!$E$7:$E$155,$D46,'Mar20-Aug20 Billed-RETAIL'!$BI$7:$BI$155)</f>
        <v>0</v>
      </c>
      <c r="AV46" s="28">
        <f>SUMIF('Mar20-Aug20 Billed-RETAIL'!$E$7:$E$155,$D46,'Mar20-Aug20 Billed-RETAIL'!$BJ$7:$BJ$155)</f>
        <v>572.86</v>
      </c>
      <c r="AW46" s="28">
        <f>SUMIF('Mar20-Aug20 Billed-RETAIL'!$E$7:$E$155,$D46,'Mar20-Aug20 Billed-RETAIL'!$BK$7:$BK$155)</f>
        <v>7063.62</v>
      </c>
      <c r="AX46" s="28">
        <f>SUMIF('Mar20-Aug20 Billed-RETAIL'!$E$7:$E$155,$D46,'Mar20-Aug20 Billed-RETAIL'!$BL$7:$BL$155)</f>
        <v>0</v>
      </c>
    </row>
    <row r="47" spans="1:50" x14ac:dyDescent="0.25">
      <c r="A47" s="57"/>
      <c r="B47" s="527"/>
      <c r="C47" s="527"/>
      <c r="D47" s="527"/>
      <c r="E47" s="7"/>
      <c r="F47" s="7"/>
      <c r="G47" s="528"/>
      <c r="H47" s="528"/>
      <c r="I47" s="528"/>
      <c r="J47" s="528"/>
      <c r="K47" s="528"/>
      <c r="L47" s="528"/>
      <c r="M47" s="528"/>
      <c r="N47" s="528"/>
      <c r="O47" s="528"/>
      <c r="P47" s="528"/>
      <c r="Q47" s="528"/>
      <c r="R47" s="528"/>
      <c r="S47" s="528">
        <f>SUM(S7:S46)</f>
        <v>2309.7199999999993</v>
      </c>
      <c r="T47" s="528">
        <f>SUM(T7:T46)</f>
        <v>7764.62</v>
      </c>
      <c r="U47" s="528"/>
      <c r="V47" s="528"/>
      <c r="W47" s="528">
        <f>SUM(W7:W46)</f>
        <v>115513.1262</v>
      </c>
      <c r="X47" s="528"/>
      <c r="Y47" s="528"/>
      <c r="Z47" s="528">
        <f t="shared" ref="Z47" si="11">SUM(Z7:Z46)</f>
        <v>15862.72</v>
      </c>
      <c r="AA47" s="529"/>
      <c r="AB47" s="529"/>
      <c r="AC47" s="529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/>
      <c r="AP47" s="529"/>
      <c r="AQ47" s="529"/>
      <c r="AR47" s="529"/>
      <c r="AS47" s="529"/>
      <c r="AT47" s="529"/>
      <c r="AU47" s="529"/>
      <c r="AV47" s="529"/>
      <c r="AW47" s="57"/>
    </row>
    <row r="48" spans="1:50" x14ac:dyDescent="0.25">
      <c r="A48" s="57"/>
      <c r="B48" s="527"/>
      <c r="C48" s="527"/>
      <c r="D48" s="527"/>
      <c r="E48" s="7"/>
      <c r="F48" s="425" t="s">
        <v>689</v>
      </c>
      <c r="G48" s="528">
        <f>SUM(G8:G46)</f>
        <v>3918402</v>
      </c>
      <c r="H48" s="528">
        <f>SUM(H8:H46)</f>
        <v>15647</v>
      </c>
      <c r="I48" s="528"/>
      <c r="J48" s="528"/>
      <c r="K48" s="528">
        <f>SUM(K8:K46)</f>
        <v>315758449.17573124</v>
      </c>
      <c r="L48" s="528">
        <f t="shared" ref="L48:AL48" si="12">SUM(L8:L46)</f>
        <v>12581378.8136371</v>
      </c>
      <c r="M48" s="528">
        <f t="shared" ref="M48" si="13">SUM(M8:M46)</f>
        <v>2001828.257079412</v>
      </c>
      <c r="N48" s="528"/>
      <c r="O48" s="528"/>
      <c r="P48" s="528">
        <f t="shared" si="12"/>
        <v>954093.44157390355</v>
      </c>
      <c r="Q48" s="528"/>
      <c r="R48" s="528"/>
      <c r="S48" s="528"/>
      <c r="T48" s="528"/>
      <c r="U48" s="528"/>
      <c r="V48" s="528"/>
      <c r="W48" s="528"/>
      <c r="X48" s="528"/>
      <c r="Y48" s="528"/>
      <c r="Z48" s="528"/>
      <c r="AA48" s="528">
        <f t="shared" si="12"/>
        <v>88856095.349999964</v>
      </c>
      <c r="AB48" s="528">
        <f t="shared" si="12"/>
        <v>5737175.1499999966</v>
      </c>
      <c r="AC48" s="528">
        <f t="shared" si="12"/>
        <v>648583.32999999996</v>
      </c>
      <c r="AD48" s="528">
        <f t="shared" si="12"/>
        <v>109435883.21439667</v>
      </c>
      <c r="AE48" s="528">
        <f t="shared" si="12"/>
        <v>3255502.5249270098</v>
      </c>
      <c r="AF48" s="528">
        <f t="shared" si="12"/>
        <v>6909994.3284976091</v>
      </c>
      <c r="AG48" s="528">
        <f t="shared" si="12"/>
        <v>-228.21999999999997</v>
      </c>
      <c r="AH48" s="528">
        <f t="shared" si="12"/>
        <v>772347.79706999753</v>
      </c>
      <c r="AI48" s="528">
        <f t="shared" si="12"/>
        <v>117414226.25616053</v>
      </c>
      <c r="AJ48" s="528">
        <f t="shared" si="12"/>
        <v>1459473.5699999998</v>
      </c>
      <c r="AK48" s="528">
        <f t="shared" si="12"/>
        <v>13417738.179563854</v>
      </c>
      <c r="AL48" s="528">
        <f t="shared" si="12"/>
        <v>1342914.6704668051</v>
      </c>
      <c r="AM48" s="528">
        <f>SUM(AM8:AM46)</f>
        <v>349249706.15108234</v>
      </c>
      <c r="AN48" s="528"/>
      <c r="AO48"/>
      <c r="AP48" s="814"/>
      <c r="AQ48" s="529"/>
      <c r="AR48" s="529"/>
      <c r="AS48" s="529"/>
      <c r="AT48" s="529"/>
      <c r="AU48" s="529"/>
      <c r="AV48" s="529"/>
      <c r="AW48" s="57"/>
    </row>
    <row r="49" spans="1:49" x14ac:dyDescent="0.25">
      <c r="A49" s="57"/>
      <c r="B49" s="527"/>
      <c r="C49" s="527"/>
      <c r="D49" s="527"/>
      <c r="E49" s="7"/>
      <c r="F49" s="425" t="s">
        <v>691</v>
      </c>
      <c r="G49" s="528">
        <f>G48+H48</f>
        <v>3934049</v>
      </c>
      <c r="H49" s="528"/>
      <c r="I49" s="528"/>
      <c r="J49" s="528"/>
      <c r="K49" s="528">
        <f>K48+L48</f>
        <v>328339827.98936832</v>
      </c>
      <c r="L49" s="528"/>
      <c r="M49" s="528"/>
      <c r="N49" s="528"/>
      <c r="O49" s="528"/>
      <c r="P49" s="528"/>
      <c r="Q49" s="528"/>
      <c r="R49" s="528"/>
      <c r="S49" s="528"/>
      <c r="T49" s="528"/>
      <c r="U49" s="528"/>
      <c r="V49" s="528"/>
      <c r="W49" s="528"/>
      <c r="X49" s="528"/>
      <c r="Y49" s="528"/>
      <c r="Z49" s="528"/>
      <c r="AA49" s="529"/>
      <c r="AB49" s="529"/>
      <c r="AC49" s="529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/>
      <c r="AP49" s="529"/>
      <c r="AQ49" s="529"/>
      <c r="AR49" s="529"/>
      <c r="AS49" s="529"/>
      <c r="AT49" s="529"/>
      <c r="AU49" s="529"/>
      <c r="AV49" s="529"/>
      <c r="AW49" s="57"/>
    </row>
    <row r="50" spans="1:49" x14ac:dyDescent="0.25">
      <c r="A50" s="57"/>
      <c r="B50" s="527"/>
      <c r="C50" s="527"/>
      <c r="D50" s="527"/>
      <c r="E50" s="7"/>
      <c r="F50" s="229" t="s">
        <v>690</v>
      </c>
      <c r="G50" s="780">
        <f>SBR!C95</f>
        <v>3934049</v>
      </c>
      <c r="H50" s="780"/>
      <c r="I50" s="780"/>
      <c r="J50" s="780"/>
      <c r="K50" s="780">
        <f>SBR!E95*10</f>
        <v>449616910.53832358</v>
      </c>
      <c r="L50" s="780"/>
      <c r="M50" s="780"/>
      <c r="N50" s="780"/>
      <c r="O50" s="780"/>
      <c r="P50" s="780"/>
      <c r="Q50" s="888"/>
      <c r="R50" s="888"/>
      <c r="S50" s="888"/>
      <c r="T50" s="888"/>
      <c r="U50" s="888"/>
      <c r="V50" s="888"/>
      <c r="W50" s="888"/>
      <c r="X50" s="888"/>
      <c r="Y50" s="888"/>
      <c r="Z50" s="888"/>
      <c r="AA50" s="529"/>
      <c r="AB50" s="529"/>
      <c r="AC50" s="529"/>
      <c r="AD50" s="529"/>
      <c r="AE50" s="529"/>
      <c r="AF50" s="529"/>
      <c r="AG50" s="529"/>
      <c r="AH50" s="529"/>
      <c r="AI50" s="529"/>
      <c r="AJ50" s="529"/>
      <c r="AK50" s="529"/>
      <c r="AL50" s="529"/>
      <c r="AM50" s="657"/>
      <c r="AN50" s="529"/>
      <c r="AO50"/>
      <c r="AP50" s="529"/>
      <c r="AQ50" s="529"/>
      <c r="AR50" s="529"/>
      <c r="AS50" s="529"/>
      <c r="AT50" s="529"/>
      <c r="AU50" s="529"/>
      <c r="AV50" s="529"/>
      <c r="AW50" s="57"/>
    </row>
    <row r="51" spans="1:49" x14ac:dyDescent="0.25">
      <c r="A51" s="57"/>
      <c r="B51" s="527"/>
      <c r="C51" s="527"/>
      <c r="D51" s="527"/>
      <c r="E51" s="7"/>
      <c r="F51" s="425" t="s">
        <v>373</v>
      </c>
      <c r="G51" s="528">
        <f>G49-G50</f>
        <v>0</v>
      </c>
      <c r="H51" s="528"/>
      <c r="I51" s="528"/>
      <c r="J51" s="528"/>
      <c r="K51" s="528">
        <f>K49-K50</f>
        <v>-121277082.54895526</v>
      </c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9"/>
      <c r="AB51" s="529"/>
      <c r="AC51" s="529"/>
      <c r="AD51" s="529"/>
      <c r="AE51" s="529"/>
      <c r="AF51" s="529"/>
      <c r="AG51" s="529"/>
      <c r="AH51" s="528"/>
      <c r="AI51" s="529"/>
      <c r="AJ51" s="529"/>
      <c r="AK51" s="529"/>
      <c r="AL51" s="529"/>
      <c r="AM51" s="529"/>
      <c r="AN51" s="529"/>
      <c r="AO51"/>
      <c r="AP51" s="529"/>
      <c r="AQ51" s="529"/>
      <c r="AR51" s="529"/>
      <c r="AS51" s="529"/>
      <c r="AT51" s="529"/>
      <c r="AU51" s="529"/>
      <c r="AV51" s="529"/>
      <c r="AW51" s="57"/>
    </row>
    <row r="52" spans="1:49" x14ac:dyDescent="0.25">
      <c r="A52" s="57"/>
      <c r="B52" s="527"/>
      <c r="C52" s="527"/>
      <c r="D52" s="527"/>
      <c r="E52" s="7"/>
      <c r="F52" s="425"/>
      <c r="G52" s="528"/>
      <c r="H52" s="528"/>
      <c r="I52" s="528"/>
      <c r="J52" s="528"/>
      <c r="K52" s="528" t="s">
        <v>740</v>
      </c>
      <c r="L52" s="528"/>
      <c r="M52" s="528"/>
      <c r="N52" s="528"/>
      <c r="O52" s="528"/>
      <c r="P52" s="528"/>
      <c r="Q52" s="528"/>
      <c r="R52" s="528"/>
      <c r="S52" s="528"/>
      <c r="T52" s="528"/>
      <c r="U52" s="528"/>
      <c r="V52" s="528"/>
      <c r="W52" s="528"/>
      <c r="X52" s="528"/>
      <c r="Y52" s="528"/>
      <c r="Z52" s="528"/>
      <c r="AA52" s="529"/>
      <c r="AB52" s="529"/>
      <c r="AC52" s="529"/>
      <c r="AD52" s="529"/>
      <c r="AE52" s="529"/>
      <c r="AF52" s="529"/>
      <c r="AG52" s="529"/>
      <c r="AH52" s="528"/>
      <c r="AI52" s="529"/>
      <c r="AJ52" s="529"/>
      <c r="AK52" s="529"/>
      <c r="AL52" s="529"/>
      <c r="AM52" s="529"/>
      <c r="AN52" s="529"/>
      <c r="AO52"/>
      <c r="AP52" s="529"/>
      <c r="AQ52" s="529"/>
      <c r="AR52" s="529"/>
      <c r="AS52" s="529"/>
      <c r="AT52" s="529"/>
      <c r="AU52" s="529"/>
      <c r="AV52" s="529"/>
      <c r="AW52" s="57"/>
    </row>
    <row r="53" spans="1:49" x14ac:dyDescent="0.25">
      <c r="A53" s="57"/>
      <c r="B53" s="527"/>
      <c r="C53" s="527"/>
      <c r="D53" s="527"/>
      <c r="E53" s="7"/>
      <c r="F53" s="7"/>
      <c r="G53" s="528"/>
      <c r="H53" s="528"/>
      <c r="I53" s="528"/>
      <c r="J53" s="528"/>
      <c r="K53" s="528" t="s">
        <v>741</v>
      </c>
      <c r="L53" s="528"/>
      <c r="M53" s="528"/>
      <c r="N53" s="528"/>
      <c r="O53" s="528"/>
      <c r="P53" s="528"/>
      <c r="Q53" s="528"/>
      <c r="R53" s="528"/>
      <c r="S53" s="528"/>
      <c r="T53" s="528"/>
      <c r="U53" s="528"/>
      <c r="V53" s="528"/>
      <c r="W53" s="528"/>
      <c r="X53" s="528"/>
      <c r="Y53" s="528"/>
      <c r="Z53" s="528"/>
      <c r="AA53" s="529"/>
      <c r="AB53" s="529">
        <v>1250</v>
      </c>
      <c r="AC53" s="529">
        <v>917</v>
      </c>
      <c r="AD53" s="529"/>
      <c r="AE53" s="529"/>
      <c r="AF53" s="529"/>
      <c r="AG53" s="529"/>
      <c r="AH53" s="529"/>
      <c r="AI53" s="529"/>
      <c r="AJ53" s="529"/>
      <c r="AK53" s="529"/>
      <c r="AL53" s="529"/>
      <c r="AM53" s="529"/>
      <c r="AN53" s="529"/>
      <c r="AO53"/>
      <c r="AP53" s="529"/>
      <c r="AQ53" s="529"/>
      <c r="AR53" s="529"/>
      <c r="AS53" s="529"/>
      <c r="AT53" s="529"/>
      <c r="AU53" s="529"/>
      <c r="AV53" s="529"/>
      <c r="AW53" s="57"/>
    </row>
    <row r="54" spans="1:49" x14ac:dyDescent="0.25">
      <c r="A54" s="57"/>
      <c r="B54" s="527"/>
      <c r="C54" s="527"/>
      <c r="D54" s="527"/>
      <c r="E54" s="7"/>
      <c r="F54" s="7"/>
      <c r="G54" s="528"/>
      <c r="H54" s="528"/>
      <c r="I54" s="528"/>
      <c r="J54" s="528"/>
      <c r="K54" s="528" t="s">
        <v>742</v>
      </c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9"/>
      <c r="AB54" s="529"/>
      <c r="AC54" s="529"/>
      <c r="AD54" s="529"/>
      <c r="AE54" s="529"/>
      <c r="AF54" s="529"/>
      <c r="AG54" s="529"/>
      <c r="AH54" s="529"/>
      <c r="AI54" s="529"/>
      <c r="AJ54" s="529"/>
      <c r="AK54" s="529"/>
      <c r="AL54" s="529"/>
      <c r="AM54" s="529"/>
      <c r="AN54" s="529"/>
      <c r="AO54"/>
      <c r="AP54" s="529"/>
      <c r="AQ54" s="529"/>
      <c r="AR54" s="529"/>
      <c r="AS54" s="529"/>
      <c r="AT54" s="529"/>
      <c r="AU54" s="529"/>
      <c r="AV54" s="529"/>
      <c r="AW54" s="57"/>
    </row>
    <row r="55" spans="1:49" x14ac:dyDescent="0.25">
      <c r="A55" s="57"/>
      <c r="B55" s="527"/>
      <c r="C55" s="527"/>
      <c r="D55" s="527"/>
      <c r="E55" s="7"/>
      <c r="F55" s="7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9"/>
      <c r="AB55" s="529"/>
      <c r="AC55" s="529"/>
      <c r="AD55" s="529"/>
      <c r="AE55" s="529"/>
      <c r="AF55" s="529"/>
      <c r="AG55" s="529"/>
      <c r="AH55" s="529"/>
      <c r="AI55" s="529"/>
      <c r="AJ55" s="529"/>
      <c r="AK55" s="529"/>
      <c r="AL55" s="529"/>
      <c r="AM55" s="529"/>
      <c r="AN55" s="529"/>
      <c r="AO55"/>
      <c r="AP55" s="529"/>
      <c r="AQ55" s="529"/>
      <c r="AR55" s="529"/>
      <c r="AS55" s="529"/>
      <c r="AT55" s="529"/>
      <c r="AU55" s="529"/>
      <c r="AV55" s="529"/>
      <c r="AW55" s="57"/>
    </row>
    <row r="56" spans="1:49" x14ac:dyDescent="0.25">
      <c r="A56" s="57"/>
      <c r="B56" s="527"/>
      <c r="C56" s="527"/>
      <c r="D56" s="527"/>
      <c r="E56" s="7"/>
      <c r="F56" s="7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9"/>
      <c r="AB56" s="529"/>
      <c r="AC56" s="529"/>
      <c r="AD56" s="529"/>
      <c r="AE56" s="529"/>
      <c r="AF56" s="529"/>
      <c r="AG56" s="529"/>
      <c r="AH56" s="529"/>
      <c r="AI56" s="529"/>
      <c r="AJ56" s="529"/>
      <c r="AK56" s="529"/>
      <c r="AL56" s="529"/>
      <c r="AM56" s="529"/>
      <c r="AN56" s="529"/>
      <c r="AO56"/>
      <c r="AP56" s="529"/>
      <c r="AQ56" s="529"/>
      <c r="AR56" s="529"/>
      <c r="AS56" s="529"/>
      <c r="AT56" s="529"/>
      <c r="AU56" s="529"/>
      <c r="AV56" s="529"/>
      <c r="AW56" s="57"/>
    </row>
    <row r="57" spans="1:49" x14ac:dyDescent="0.25">
      <c r="A57" s="57"/>
      <c r="B57" s="527"/>
      <c r="C57" s="527"/>
      <c r="D57" s="527"/>
      <c r="E57" s="7"/>
      <c r="F57" s="7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/>
      <c r="AP57" s="529"/>
      <c r="AQ57" s="529"/>
      <c r="AR57" s="529"/>
      <c r="AS57" s="529"/>
      <c r="AT57" s="529"/>
      <c r="AU57" s="529"/>
      <c r="AV57" s="529"/>
      <c r="AW57" s="57"/>
    </row>
    <row r="58" spans="1:49" x14ac:dyDescent="0.25">
      <c r="A58" s="57"/>
      <c r="B58" s="527"/>
      <c r="C58" s="527"/>
      <c r="D58" s="527"/>
      <c r="E58" s="7"/>
      <c r="F58" s="7"/>
      <c r="G58" s="528"/>
      <c r="H58" s="528"/>
      <c r="I58" s="528"/>
      <c r="J58" s="528"/>
      <c r="K58" s="528"/>
      <c r="L58" s="528"/>
      <c r="M58" s="528"/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9"/>
      <c r="AB58" s="529"/>
      <c r="AC58" s="529"/>
      <c r="AD58" s="529"/>
      <c r="AE58" s="529"/>
      <c r="AF58" s="529"/>
      <c r="AG58" s="529"/>
      <c r="AH58" s="529"/>
      <c r="AI58" s="529"/>
      <c r="AJ58" s="529"/>
      <c r="AK58" s="529"/>
      <c r="AL58" s="529"/>
      <c r="AM58" s="529"/>
      <c r="AN58" s="529"/>
      <c r="AO58"/>
      <c r="AP58" s="529"/>
      <c r="AQ58" s="529"/>
      <c r="AR58" s="529"/>
      <c r="AS58" s="529"/>
      <c r="AT58" s="529"/>
      <c r="AU58" s="529"/>
      <c r="AV58" s="529"/>
      <c r="AW58" s="57"/>
    </row>
    <row r="59" spans="1:49" x14ac:dyDescent="0.25">
      <c r="A59" s="57"/>
      <c r="B59" s="527"/>
      <c r="C59" s="527"/>
      <c r="D59" s="527"/>
      <c r="E59" s="7"/>
      <c r="F59" s="7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9"/>
      <c r="AB59" s="529"/>
      <c r="AC59" s="529"/>
      <c r="AD59" s="529"/>
      <c r="AE59" s="529"/>
      <c r="AF59" s="529"/>
      <c r="AG59" s="529"/>
      <c r="AH59" s="529"/>
      <c r="AI59" s="529"/>
      <c r="AJ59" s="529"/>
      <c r="AK59" s="529"/>
      <c r="AL59" s="529"/>
      <c r="AM59" s="529"/>
      <c r="AN59" s="529"/>
      <c r="AO59"/>
      <c r="AP59" s="529"/>
      <c r="AQ59" s="529"/>
      <c r="AR59" s="529"/>
      <c r="AS59" s="529"/>
      <c r="AT59" s="529"/>
      <c r="AU59" s="529"/>
      <c r="AV59" s="529"/>
      <c r="AW59" s="57"/>
    </row>
    <row r="60" spans="1:49" x14ac:dyDescent="0.25">
      <c r="A60" s="57"/>
      <c r="B60" s="527"/>
      <c r="C60" s="527"/>
      <c r="D60" s="527"/>
      <c r="E60" s="7"/>
      <c r="F60" s="7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9"/>
      <c r="AB60" s="529"/>
      <c r="AC60" s="529"/>
      <c r="AD60" s="529"/>
      <c r="AE60" s="529"/>
      <c r="AF60" s="529"/>
      <c r="AG60" s="529"/>
      <c r="AH60" s="529"/>
      <c r="AI60" s="529"/>
      <c r="AJ60" s="529"/>
      <c r="AK60" s="529"/>
      <c r="AL60" s="529"/>
      <c r="AM60" s="529"/>
      <c r="AN60" s="529"/>
      <c r="AO60"/>
      <c r="AP60" s="529"/>
      <c r="AQ60" s="529"/>
      <c r="AR60" s="529"/>
      <c r="AS60" s="529"/>
      <c r="AT60" s="529"/>
      <c r="AU60" s="529"/>
      <c r="AV60" s="529"/>
      <c r="AW60" s="57"/>
    </row>
    <row r="61" spans="1:49" x14ac:dyDescent="0.25">
      <c r="A61" s="57"/>
      <c r="B61" s="527"/>
      <c r="C61" s="527"/>
      <c r="D61" s="527"/>
      <c r="E61" s="7"/>
      <c r="F61" s="7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9"/>
      <c r="AB61" s="529"/>
      <c r="AC61" s="529"/>
      <c r="AD61" s="529"/>
      <c r="AE61" s="529"/>
      <c r="AF61" s="529"/>
      <c r="AG61" s="529"/>
      <c r="AH61" s="529"/>
      <c r="AI61" s="529"/>
      <c r="AJ61" s="529"/>
      <c r="AK61" s="529"/>
      <c r="AL61" s="529"/>
      <c r="AM61" s="529"/>
      <c r="AN61" s="529"/>
      <c r="AO61"/>
      <c r="AP61" s="529"/>
      <c r="AQ61" s="529"/>
      <c r="AR61" s="529"/>
      <c r="AS61" s="529"/>
      <c r="AT61" s="529"/>
      <c r="AU61" s="529"/>
      <c r="AV61" s="529"/>
      <c r="AW61" s="57"/>
    </row>
    <row r="62" spans="1:49" x14ac:dyDescent="0.25">
      <c r="A62" s="57"/>
      <c r="B62" s="527"/>
      <c r="C62" s="527"/>
      <c r="D62" s="527"/>
      <c r="E62" s="7"/>
      <c r="F62" s="7"/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528"/>
      <c r="R62" s="528"/>
      <c r="S62" s="528"/>
      <c r="T62" s="528"/>
      <c r="U62" s="528"/>
      <c r="V62" s="528"/>
      <c r="W62" s="528"/>
      <c r="X62" s="528"/>
      <c r="Y62" s="528"/>
      <c r="Z62" s="528"/>
      <c r="AA62" s="529"/>
      <c r="AB62" s="529"/>
      <c r="AC62" s="529"/>
      <c r="AD62" s="529"/>
      <c r="AE62" s="529"/>
      <c r="AF62" s="529"/>
      <c r="AG62" s="529"/>
      <c r="AH62" s="529"/>
      <c r="AI62" s="529"/>
      <c r="AJ62" s="529"/>
      <c r="AK62" s="529"/>
      <c r="AL62" s="529"/>
      <c r="AM62" s="529"/>
      <c r="AN62" s="529"/>
      <c r="AO62"/>
      <c r="AP62" s="529"/>
      <c r="AQ62" s="529"/>
      <c r="AR62" s="529"/>
      <c r="AS62" s="529"/>
      <c r="AT62" s="529"/>
      <c r="AU62" s="529"/>
      <c r="AV62" s="529"/>
      <c r="AW62" s="57"/>
    </row>
    <row r="63" spans="1:49" x14ac:dyDescent="0.25">
      <c r="A63" s="57"/>
      <c r="B63" s="527"/>
      <c r="C63" s="527"/>
      <c r="D63" s="527"/>
      <c r="E63" s="7"/>
      <c r="F63" s="7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/>
      <c r="AP63" s="529"/>
      <c r="AQ63" s="529"/>
      <c r="AR63" s="529"/>
      <c r="AS63" s="529"/>
      <c r="AT63" s="529"/>
      <c r="AU63" s="529"/>
      <c r="AV63" s="529"/>
      <c r="AW63" s="57"/>
    </row>
    <row r="64" spans="1:49" x14ac:dyDescent="0.25">
      <c r="A64" s="57"/>
      <c r="B64" s="527"/>
      <c r="C64" s="527"/>
      <c r="D64" s="527"/>
      <c r="E64" s="7"/>
      <c r="F64" s="7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528"/>
      <c r="R64" s="528"/>
      <c r="S64" s="528"/>
      <c r="T64" s="528"/>
      <c r="U64" s="528"/>
      <c r="V64" s="528"/>
      <c r="W64" s="528"/>
      <c r="X64" s="528"/>
      <c r="Y64" s="528"/>
      <c r="Z64" s="528"/>
      <c r="AA64" s="529"/>
      <c r="AB64" s="529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/>
      <c r="AP64" s="529"/>
      <c r="AQ64" s="529"/>
      <c r="AR64" s="529"/>
      <c r="AS64" s="529"/>
      <c r="AT64" s="529"/>
      <c r="AU64" s="529"/>
      <c r="AV64" s="529"/>
      <c r="AW64" s="57"/>
    </row>
    <row r="65" spans="1:50" x14ac:dyDescent="0.25">
      <c r="A65" s="57"/>
      <c r="B65" s="527"/>
      <c r="C65" s="527"/>
      <c r="D65" s="527"/>
      <c r="E65" s="7"/>
      <c r="F65" s="7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9"/>
      <c r="AB65" s="529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/>
      <c r="AP65" s="529"/>
      <c r="AQ65" s="529"/>
      <c r="AR65" s="529"/>
      <c r="AS65" s="529"/>
      <c r="AT65" s="529"/>
      <c r="AU65" s="529"/>
      <c r="AV65" s="529"/>
      <c r="AW65" s="57"/>
    </row>
    <row r="66" spans="1:50" x14ac:dyDescent="0.25">
      <c r="A66" s="57"/>
      <c r="B66" s="527"/>
      <c r="C66" s="527"/>
      <c r="D66" s="527"/>
      <c r="E66" s="7"/>
      <c r="F66" s="7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9"/>
      <c r="AB66" s="529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/>
      <c r="AP66" s="529"/>
      <c r="AQ66" s="529"/>
      <c r="AR66" s="529"/>
      <c r="AS66" s="529"/>
      <c r="AT66" s="529"/>
      <c r="AU66" s="529"/>
      <c r="AV66" s="529"/>
      <c r="AW66" s="57"/>
    </row>
    <row r="67" spans="1:50" x14ac:dyDescent="0.25">
      <c r="A67" s="57"/>
      <c r="B67" s="527"/>
      <c r="C67" s="527"/>
      <c r="D67" s="527"/>
      <c r="E67" s="7"/>
      <c r="F67" s="7"/>
      <c r="G67" s="528"/>
      <c r="H67" s="528"/>
      <c r="I67" s="528"/>
      <c r="J67" s="528"/>
      <c r="K67" s="528"/>
      <c r="L67" s="528"/>
      <c r="M67" s="528"/>
      <c r="N67" s="528"/>
      <c r="O67" s="528"/>
      <c r="P67" s="528"/>
      <c r="Q67" s="528"/>
      <c r="R67" s="528"/>
      <c r="S67" s="528"/>
      <c r="T67" s="528"/>
      <c r="U67" s="528"/>
      <c r="V67" s="528"/>
      <c r="W67" s="528"/>
      <c r="X67" s="528"/>
      <c r="Y67" s="528"/>
      <c r="Z67" s="528"/>
      <c r="AA67" s="529"/>
      <c r="AB67" s="529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/>
      <c r="AP67" s="814"/>
      <c r="AQ67" s="529"/>
      <c r="AR67" s="529"/>
      <c r="AS67" s="529"/>
      <c r="AT67" s="529"/>
      <c r="AU67" s="529"/>
      <c r="AV67" s="529"/>
      <c r="AW67" s="57"/>
    </row>
    <row r="68" spans="1:50" x14ac:dyDescent="0.25">
      <c r="A68" s="57"/>
      <c r="B68" s="527"/>
      <c r="C68" s="527"/>
      <c r="D68" s="527"/>
      <c r="E68" s="7"/>
      <c r="F68" s="7"/>
      <c r="G68" s="528"/>
      <c r="H68" s="528"/>
      <c r="I68" s="528"/>
      <c r="J68" s="528"/>
      <c r="K68" s="528"/>
      <c r="L68" s="528"/>
      <c r="M68" s="528"/>
      <c r="N68" s="528"/>
      <c r="O68" s="528"/>
      <c r="P68" s="528"/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9"/>
      <c r="AB68" s="529"/>
      <c r="AC68" s="529"/>
      <c r="AD68" s="529"/>
      <c r="AE68" s="529"/>
      <c r="AF68" s="529"/>
      <c r="AG68" s="529"/>
      <c r="AH68" s="529"/>
      <c r="AI68" s="529"/>
      <c r="AJ68" s="529"/>
      <c r="AK68" s="529"/>
      <c r="AL68" s="529"/>
      <c r="AM68" s="529"/>
      <c r="AN68" s="529"/>
      <c r="AO68"/>
      <c r="AP68" s="529"/>
      <c r="AQ68" s="529"/>
      <c r="AR68" s="529"/>
      <c r="AS68" s="529"/>
      <c r="AT68" s="529"/>
      <c r="AU68" s="529"/>
      <c r="AV68" s="529"/>
      <c r="AW68" s="529"/>
      <c r="AX68" s="529"/>
    </row>
    <row r="69" spans="1:50" x14ac:dyDescent="0.25">
      <c r="A69" s="57"/>
      <c r="B69" s="527"/>
      <c r="C69" s="527"/>
      <c r="D69" s="527"/>
      <c r="E69" s="7"/>
      <c r="F69" s="7"/>
      <c r="G69" s="528"/>
      <c r="H69" s="528"/>
      <c r="I69" s="528"/>
      <c r="J69" s="528"/>
      <c r="K69" s="528"/>
      <c r="L69" s="528"/>
      <c r="M69" s="528"/>
      <c r="N69" s="528"/>
      <c r="O69" s="528"/>
      <c r="P69" s="52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9"/>
      <c r="AB69" s="529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/>
      <c r="AP69" s="529"/>
      <c r="AQ69" s="529"/>
      <c r="AR69" s="529"/>
      <c r="AS69" s="529"/>
      <c r="AT69" s="529"/>
      <c r="AU69" s="529"/>
      <c r="AV69" s="529"/>
      <c r="AW69" s="529"/>
      <c r="AX69" s="529"/>
    </row>
    <row r="70" spans="1:50" x14ac:dyDescent="0.25">
      <c r="A70" s="57"/>
      <c r="B70" s="527"/>
      <c r="C70" s="527"/>
      <c r="D70" s="527"/>
      <c r="E70" s="7"/>
      <c r="F70" s="7"/>
      <c r="G70" s="528"/>
      <c r="H70" s="528"/>
      <c r="I70" s="528"/>
      <c r="J70" s="528"/>
      <c r="K70" s="528"/>
      <c r="L70" s="528"/>
      <c r="M70" s="528"/>
      <c r="N70" s="528"/>
      <c r="O70" s="528"/>
      <c r="P70" s="528"/>
      <c r="Q70" s="528"/>
      <c r="R70" s="528"/>
      <c r="S70" s="528"/>
      <c r="T70" s="528"/>
      <c r="U70" s="528"/>
      <c r="V70" s="528"/>
      <c r="W70" s="528"/>
      <c r="X70" s="528"/>
      <c r="Y70" s="528"/>
      <c r="Z70" s="528"/>
      <c r="AA70" s="529"/>
      <c r="AB70" s="529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/>
      <c r="AP70" s="529"/>
      <c r="AQ70" s="529"/>
      <c r="AR70" s="529"/>
      <c r="AS70" s="529"/>
      <c r="AT70" s="529"/>
      <c r="AU70" s="529"/>
      <c r="AV70" s="529"/>
      <c r="AW70" s="529"/>
      <c r="AX70" s="529"/>
    </row>
    <row r="71" spans="1:50" x14ac:dyDescent="0.25">
      <c r="A71" s="57"/>
      <c r="B71" s="527"/>
      <c r="C71" s="527"/>
      <c r="D71" s="527"/>
      <c r="E71" s="7"/>
      <c r="F71" s="7"/>
      <c r="G71" s="528"/>
      <c r="H71" s="528"/>
      <c r="I71" s="528"/>
      <c r="J71" s="528"/>
      <c r="K71" s="528"/>
      <c r="L71" s="528"/>
      <c r="M71" s="528"/>
      <c r="N71" s="528"/>
      <c r="O71" s="528"/>
      <c r="P71" s="528"/>
      <c r="Q71" s="528"/>
      <c r="R71" s="528"/>
      <c r="S71" s="528"/>
      <c r="T71" s="528"/>
      <c r="U71" s="528"/>
      <c r="V71" s="528"/>
      <c r="W71" s="528"/>
      <c r="X71" s="528"/>
      <c r="Y71" s="528"/>
      <c r="Z71" s="528"/>
      <c r="AA71" s="529"/>
      <c r="AB71" s="529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/>
      <c r="AP71" s="529"/>
      <c r="AQ71" s="529"/>
      <c r="AR71" s="529"/>
      <c r="AS71" s="529"/>
      <c r="AT71" s="529"/>
      <c r="AU71" s="529"/>
      <c r="AV71" s="529"/>
      <c r="AW71" s="529"/>
      <c r="AX71" s="529"/>
    </row>
    <row r="72" spans="1:50" x14ac:dyDescent="0.25">
      <c r="A72" s="57"/>
      <c r="B72" s="527"/>
      <c r="C72" s="527"/>
      <c r="D72" s="527"/>
      <c r="E72" s="7"/>
      <c r="F72" s="7"/>
      <c r="G72" s="528"/>
      <c r="H72" s="528"/>
      <c r="I72" s="528"/>
      <c r="J72" s="528"/>
      <c r="K72" s="528"/>
      <c r="L72" s="528"/>
      <c r="M72" s="528"/>
      <c r="N72" s="528"/>
      <c r="O72" s="528"/>
      <c r="P72" s="528"/>
      <c r="Q72" s="528"/>
      <c r="R72" s="528"/>
      <c r="S72" s="528"/>
      <c r="T72" s="528"/>
      <c r="U72" s="528"/>
      <c r="V72" s="528"/>
      <c r="W72" s="528"/>
      <c r="X72" s="528"/>
      <c r="Y72" s="528"/>
      <c r="Z72" s="528"/>
      <c r="AA72" s="529"/>
      <c r="AB72" s="529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/>
      <c r="AP72" s="529"/>
      <c r="AQ72" s="529"/>
      <c r="AR72" s="529"/>
      <c r="AS72" s="529"/>
      <c r="AT72" s="529"/>
      <c r="AU72" s="529"/>
      <c r="AV72" s="529"/>
      <c r="AW72" s="529"/>
      <c r="AX72" s="529"/>
    </row>
    <row r="73" spans="1:50" x14ac:dyDescent="0.25">
      <c r="A73" s="57"/>
      <c r="B73" s="527"/>
      <c r="C73" s="527"/>
      <c r="D73" s="527"/>
      <c r="E73" s="7"/>
      <c r="F73" s="7"/>
      <c r="G73" s="528"/>
      <c r="H73" s="528"/>
      <c r="I73" s="528"/>
      <c r="J73" s="528"/>
      <c r="K73" s="528"/>
      <c r="L73" s="528"/>
      <c r="M73" s="528"/>
      <c r="N73" s="528"/>
      <c r="O73" s="528"/>
      <c r="P73" s="528"/>
      <c r="Q73" s="528"/>
      <c r="R73" s="528"/>
      <c r="S73" s="528"/>
      <c r="T73" s="528"/>
      <c r="U73" s="528"/>
      <c r="V73" s="528"/>
      <c r="W73" s="528"/>
      <c r="X73" s="528"/>
      <c r="Y73" s="528"/>
      <c r="Z73" s="528"/>
      <c r="AA73" s="529"/>
      <c r="AB73" s="529"/>
      <c r="AC73" s="529"/>
      <c r="AD73" s="529"/>
      <c r="AE73" s="529"/>
      <c r="AF73" s="529"/>
      <c r="AG73" s="529"/>
      <c r="AH73" s="529"/>
      <c r="AI73" s="529"/>
      <c r="AJ73" s="529"/>
      <c r="AK73" s="529"/>
      <c r="AL73" s="529"/>
      <c r="AM73" s="529"/>
      <c r="AN73" s="529"/>
      <c r="AO73"/>
      <c r="AP73" s="529"/>
      <c r="AQ73" s="529"/>
      <c r="AR73" s="529"/>
      <c r="AS73" s="529"/>
      <c r="AT73" s="529"/>
      <c r="AU73" s="529"/>
      <c r="AV73" s="529"/>
      <c r="AW73" s="529"/>
      <c r="AX73" s="529"/>
    </row>
    <row r="74" spans="1:50" x14ac:dyDescent="0.25">
      <c r="A74" s="57"/>
      <c r="B74" s="527"/>
      <c r="C74" s="527"/>
      <c r="D74" s="527"/>
      <c r="E74" s="7"/>
      <c r="F74" s="7"/>
      <c r="G74" s="528"/>
      <c r="H74" s="528"/>
      <c r="I74" s="528"/>
      <c r="J74" s="528"/>
      <c r="K74" s="528"/>
      <c r="L74" s="528"/>
      <c r="M74" s="528"/>
      <c r="N74" s="528"/>
      <c r="O74" s="528"/>
      <c r="P74" s="528"/>
      <c r="Q74" s="528"/>
      <c r="R74" s="528"/>
      <c r="S74" s="528"/>
      <c r="T74" s="528"/>
      <c r="U74" s="528"/>
      <c r="V74" s="528"/>
      <c r="W74" s="528"/>
      <c r="X74" s="528"/>
      <c r="Y74" s="528"/>
      <c r="Z74" s="528"/>
      <c r="AA74" s="529"/>
      <c r="AB74" s="529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/>
      <c r="AP74" s="529"/>
      <c r="AQ74" s="529"/>
      <c r="AR74" s="529"/>
      <c r="AS74" s="529"/>
      <c r="AT74" s="529"/>
      <c r="AU74" s="529"/>
      <c r="AV74" s="529"/>
      <c r="AW74" s="529"/>
      <c r="AX74" s="529"/>
    </row>
    <row r="75" spans="1:50" x14ac:dyDescent="0.25">
      <c r="A75" s="57"/>
      <c r="B75" s="527"/>
      <c r="C75" s="527"/>
      <c r="D75" s="527"/>
      <c r="E75" s="7"/>
      <c r="F75" s="7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  <c r="Z75" s="528"/>
      <c r="AA75" s="529"/>
      <c r="AB75" s="529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/>
      <c r="AP75" s="529"/>
      <c r="AQ75" s="529"/>
      <c r="AR75" s="529"/>
      <c r="AS75" s="529"/>
      <c r="AT75" s="529"/>
      <c r="AU75" s="529"/>
      <c r="AV75" s="529"/>
      <c r="AW75" s="529"/>
      <c r="AX75" s="529"/>
    </row>
    <row r="76" spans="1:50" x14ac:dyDescent="0.25">
      <c r="A76" s="57"/>
      <c r="B76" s="527"/>
      <c r="C76" s="527"/>
      <c r="D76" s="527"/>
      <c r="E76" s="7"/>
      <c r="F76" s="7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9"/>
      <c r="AB76" s="529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/>
      <c r="AP76" s="529"/>
      <c r="AQ76" s="529"/>
      <c r="AR76" s="529"/>
      <c r="AS76" s="529"/>
      <c r="AT76" s="529"/>
      <c r="AU76" s="529"/>
      <c r="AV76" s="529"/>
      <c r="AW76" s="529"/>
      <c r="AX76" s="529"/>
    </row>
    <row r="77" spans="1:50" x14ac:dyDescent="0.25">
      <c r="A77" s="57"/>
      <c r="B77" s="527"/>
      <c r="C77" s="527"/>
      <c r="D77" s="527"/>
      <c r="E77" s="7"/>
      <c r="F77" s="7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8"/>
      <c r="W77" s="528"/>
      <c r="X77" s="528"/>
      <c r="Y77" s="528"/>
      <c r="Z77" s="528"/>
      <c r="AA77" s="529"/>
      <c r="AB77" s="529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/>
      <c r="AP77" s="529"/>
      <c r="AQ77" s="529"/>
      <c r="AR77" s="529"/>
      <c r="AS77" s="529"/>
      <c r="AT77" s="529"/>
      <c r="AU77" s="529"/>
      <c r="AV77" s="529"/>
      <c r="AW77" s="529"/>
      <c r="AX77" s="529"/>
    </row>
    <row r="78" spans="1:50" x14ac:dyDescent="0.25">
      <c r="A78" s="57"/>
      <c r="B78" s="527"/>
      <c r="C78" s="527"/>
      <c r="D78" s="527"/>
      <c r="E78" s="7"/>
      <c r="F78" s="7"/>
      <c r="G78" s="528"/>
      <c r="H78" s="528"/>
      <c r="I78" s="528"/>
      <c r="J78" s="528"/>
      <c r="K78" s="528"/>
      <c r="L78" s="528"/>
      <c r="M78" s="528"/>
      <c r="N78" s="528"/>
      <c r="O78" s="528"/>
      <c r="P78" s="528"/>
      <c r="Q78" s="528"/>
      <c r="R78" s="528"/>
      <c r="S78" s="528"/>
      <c r="T78" s="528"/>
      <c r="U78" s="528"/>
      <c r="V78" s="528"/>
      <c r="W78" s="528"/>
      <c r="X78" s="528"/>
      <c r="Y78" s="528"/>
      <c r="Z78" s="528"/>
      <c r="AA78" s="529"/>
      <c r="AB78" s="529"/>
      <c r="AC78" s="529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/>
      <c r="AP78" s="529"/>
      <c r="AQ78" s="529"/>
      <c r="AR78" s="529"/>
      <c r="AS78" s="529"/>
      <c r="AT78" s="529"/>
      <c r="AU78" s="529"/>
      <c r="AV78" s="529"/>
      <c r="AW78" s="529"/>
      <c r="AX78" s="529"/>
    </row>
    <row r="79" spans="1:50" x14ac:dyDescent="0.25">
      <c r="A79" s="57"/>
      <c r="B79" s="527"/>
      <c r="C79" s="527"/>
      <c r="D79" s="527"/>
      <c r="E79" s="7"/>
      <c r="F79" s="7"/>
      <c r="G79" s="528"/>
      <c r="H79" s="528"/>
      <c r="I79" s="528"/>
      <c r="J79" s="528"/>
      <c r="K79" s="528"/>
      <c r="L79" s="528"/>
      <c r="M79" s="528"/>
      <c r="N79" s="528"/>
      <c r="O79" s="528"/>
      <c r="P79" s="528"/>
      <c r="Q79" s="528"/>
      <c r="R79" s="528"/>
      <c r="S79" s="528"/>
      <c r="T79" s="528"/>
      <c r="U79" s="528"/>
      <c r="V79" s="528"/>
      <c r="W79" s="528"/>
      <c r="X79" s="528"/>
      <c r="Y79" s="528"/>
      <c r="Z79" s="528"/>
      <c r="AA79" s="529"/>
      <c r="AB79" s="529"/>
      <c r="AC79" s="529"/>
      <c r="AD79" s="529"/>
      <c r="AE79" s="529"/>
      <c r="AF79" s="529"/>
      <c r="AG79" s="529"/>
      <c r="AH79" s="529"/>
      <c r="AI79" s="529"/>
      <c r="AJ79" s="529"/>
      <c r="AK79" s="529"/>
      <c r="AL79" s="529"/>
      <c r="AM79" s="529"/>
      <c r="AN79" s="529"/>
      <c r="AO79"/>
      <c r="AP79" s="529"/>
      <c r="AQ79" s="529"/>
      <c r="AR79" s="529"/>
      <c r="AS79" s="529"/>
      <c r="AT79" s="529"/>
      <c r="AU79" s="529"/>
      <c r="AV79" s="529"/>
      <c r="AW79" s="529"/>
      <c r="AX79" s="529"/>
    </row>
    <row r="80" spans="1:50" x14ac:dyDescent="0.25">
      <c r="A80" s="57"/>
      <c r="B80" s="527"/>
      <c r="C80" s="527"/>
      <c r="D80" s="527"/>
      <c r="E80" s="7"/>
      <c r="F80" s="7"/>
      <c r="G80" s="528"/>
      <c r="H80" s="528"/>
      <c r="I80" s="528"/>
      <c r="J80" s="528"/>
      <c r="K80" s="528"/>
      <c r="L80" s="528"/>
      <c r="M80" s="528"/>
      <c r="N80" s="528"/>
      <c r="O80" s="528"/>
      <c r="P80" s="528"/>
      <c r="Q80" s="528"/>
      <c r="R80" s="528"/>
      <c r="S80" s="528"/>
      <c r="T80" s="528"/>
      <c r="U80" s="528"/>
      <c r="V80" s="528"/>
      <c r="W80" s="528"/>
      <c r="X80" s="528"/>
      <c r="Y80" s="528"/>
      <c r="Z80" s="528"/>
      <c r="AA80" s="529"/>
      <c r="AB80" s="529"/>
      <c r="AC80" s="529"/>
      <c r="AD80" s="529"/>
      <c r="AE80" s="529"/>
      <c r="AF80" s="529"/>
      <c r="AG80" s="529"/>
      <c r="AH80" s="529"/>
      <c r="AI80" s="529"/>
      <c r="AJ80" s="529"/>
      <c r="AK80" s="529"/>
      <c r="AL80" s="529"/>
      <c r="AM80" s="529"/>
      <c r="AN80" s="529"/>
      <c r="AO80"/>
      <c r="AP80" s="529"/>
      <c r="AQ80" s="529"/>
      <c r="AR80" s="529"/>
      <c r="AS80" s="529"/>
      <c r="AT80" s="529"/>
      <c r="AU80" s="529"/>
      <c r="AV80" s="529"/>
      <c r="AW80" s="529"/>
      <c r="AX80" s="529"/>
    </row>
    <row r="81" spans="1:50" x14ac:dyDescent="0.25">
      <c r="A81" s="57"/>
      <c r="B81" s="527"/>
      <c r="C81" s="527"/>
      <c r="D81" s="527"/>
      <c r="E81" s="7"/>
      <c r="F81" s="7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9"/>
      <c r="AB81" s="529"/>
      <c r="AC81" s="529"/>
      <c r="AD81" s="529"/>
      <c r="AE81" s="529"/>
      <c r="AF81" s="529"/>
      <c r="AG81" s="529"/>
      <c r="AH81" s="528"/>
      <c r="AI81" s="529"/>
      <c r="AJ81" s="529"/>
      <c r="AK81" s="529"/>
      <c r="AL81" s="529"/>
      <c r="AM81" s="529"/>
      <c r="AN81" s="529"/>
      <c r="AO81"/>
      <c r="AP81" s="529"/>
      <c r="AQ81" s="529"/>
      <c r="AR81" s="529"/>
      <c r="AS81" s="529"/>
      <c r="AT81" s="529"/>
      <c r="AU81" s="529"/>
      <c r="AV81" s="529"/>
      <c r="AW81" s="529"/>
      <c r="AX81" s="529"/>
    </row>
    <row r="82" spans="1:50" x14ac:dyDescent="0.25">
      <c r="A82" s="57"/>
      <c r="B82" s="527"/>
      <c r="C82" s="527"/>
      <c r="D82" s="527"/>
      <c r="E82" s="7"/>
      <c r="F82" s="7"/>
      <c r="G82" s="528"/>
      <c r="H82" s="528"/>
      <c r="I82" s="528"/>
      <c r="J82" s="528"/>
      <c r="K82" s="528"/>
      <c r="L82" s="528"/>
      <c r="M82" s="528"/>
      <c r="N82" s="528"/>
      <c r="O82" s="528"/>
      <c r="P82" s="528"/>
      <c r="Q82" s="528"/>
      <c r="R82" s="528"/>
      <c r="S82" s="528"/>
      <c r="T82" s="528"/>
      <c r="U82" s="528"/>
      <c r="V82" s="528"/>
      <c r="W82" s="528"/>
      <c r="X82" s="528"/>
      <c r="Y82" s="528"/>
      <c r="Z82" s="528"/>
      <c r="AA82" s="529"/>
      <c r="AB82" s="529"/>
      <c r="AC82" s="529"/>
      <c r="AD82" s="529"/>
      <c r="AE82" s="529"/>
      <c r="AF82" s="529"/>
      <c r="AG82" s="529"/>
      <c r="AH82" s="528"/>
      <c r="AI82" s="529"/>
      <c r="AJ82" s="529"/>
      <c r="AK82" s="529"/>
      <c r="AL82" s="529"/>
      <c r="AM82" s="529"/>
      <c r="AN82" s="529"/>
      <c r="AO82"/>
      <c r="AP82" s="529"/>
      <c r="AQ82" s="529"/>
      <c r="AR82" s="529"/>
      <c r="AS82" s="529"/>
      <c r="AT82" s="529"/>
      <c r="AU82" s="529"/>
      <c r="AV82" s="529"/>
      <c r="AW82" s="529"/>
      <c r="AX82" s="529"/>
    </row>
    <row r="83" spans="1:50" x14ac:dyDescent="0.25">
      <c r="A83" s="57"/>
      <c r="B83" s="527"/>
      <c r="C83" s="527"/>
      <c r="D83" s="527"/>
      <c r="E83" s="7"/>
      <c r="F83" s="7"/>
      <c r="G83" s="528"/>
      <c r="H83" s="528"/>
      <c r="I83" s="528"/>
      <c r="J83" s="528"/>
      <c r="K83" s="528"/>
      <c r="L83" s="528"/>
      <c r="M83" s="528"/>
      <c r="N83" s="528"/>
      <c r="O83" s="528"/>
      <c r="P83" s="528"/>
      <c r="Q83" s="528"/>
      <c r="R83" s="528"/>
      <c r="S83" s="528"/>
      <c r="T83" s="528"/>
      <c r="U83" s="528"/>
      <c r="V83" s="528"/>
      <c r="W83" s="528"/>
      <c r="X83" s="528"/>
      <c r="Y83" s="528"/>
      <c r="Z83" s="528"/>
      <c r="AA83" s="529"/>
      <c r="AB83" s="529"/>
      <c r="AC83" s="529"/>
      <c r="AD83" s="529"/>
      <c r="AE83" s="529"/>
      <c r="AF83" s="529"/>
      <c r="AG83" s="529"/>
      <c r="AH83" s="529"/>
      <c r="AI83" s="529"/>
      <c r="AJ83" s="529"/>
      <c r="AK83" s="529"/>
      <c r="AL83" s="529"/>
      <c r="AM83" s="529"/>
      <c r="AN83" s="529"/>
      <c r="AO83"/>
      <c r="AP83" s="529"/>
      <c r="AQ83" s="529"/>
      <c r="AR83" s="529"/>
      <c r="AS83" s="529"/>
      <c r="AT83" s="529"/>
      <c r="AU83" s="529"/>
      <c r="AV83" s="529"/>
      <c r="AW83" s="529"/>
      <c r="AX83" s="529"/>
    </row>
    <row r="84" spans="1:50" x14ac:dyDescent="0.25">
      <c r="A84" s="57"/>
      <c r="B84" s="527"/>
      <c r="C84" s="527"/>
      <c r="D84" s="527"/>
      <c r="E84" s="7"/>
      <c r="F84" s="7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528"/>
      <c r="R84" s="528"/>
      <c r="S84" s="528"/>
      <c r="T84" s="528"/>
      <c r="U84" s="528"/>
      <c r="V84" s="528"/>
      <c r="W84" s="528"/>
      <c r="X84" s="528"/>
      <c r="Y84" s="528"/>
      <c r="Z84" s="528"/>
      <c r="AA84" s="529"/>
      <c r="AB84" s="529"/>
      <c r="AC84" s="529"/>
      <c r="AD84" s="529"/>
      <c r="AE84" s="529"/>
      <c r="AF84" s="529"/>
      <c r="AG84" s="529"/>
      <c r="AH84" s="529"/>
      <c r="AI84" s="529"/>
      <c r="AJ84" s="529"/>
      <c r="AK84" s="529"/>
      <c r="AL84" s="529"/>
      <c r="AM84" s="529"/>
      <c r="AN84" s="529"/>
      <c r="AO84"/>
      <c r="AP84" s="529"/>
      <c r="AQ84" s="529"/>
      <c r="AR84" s="529"/>
      <c r="AS84" s="529"/>
      <c r="AT84" s="529"/>
      <c r="AU84" s="529"/>
      <c r="AV84" s="529"/>
      <c r="AW84" s="529"/>
      <c r="AX84" s="529"/>
    </row>
    <row r="85" spans="1:50" x14ac:dyDescent="0.25">
      <c r="A85" s="57"/>
      <c r="B85" s="527"/>
      <c r="C85" s="527"/>
      <c r="D85" s="527"/>
      <c r="E85" s="7"/>
      <c r="F85" s="7"/>
      <c r="G85" s="528"/>
      <c r="H85" s="528"/>
      <c r="I85" s="528"/>
      <c r="J85" s="528"/>
      <c r="K85" s="528"/>
      <c r="L85" s="528"/>
      <c r="M85" s="528"/>
      <c r="N85" s="528"/>
      <c r="O85" s="528"/>
      <c r="P85" s="528"/>
      <c r="Q85" s="528"/>
      <c r="R85" s="528"/>
      <c r="S85" s="528"/>
      <c r="T85" s="528"/>
      <c r="U85" s="528"/>
      <c r="V85" s="528"/>
      <c r="W85" s="528"/>
      <c r="X85" s="528"/>
      <c r="Y85" s="528"/>
      <c r="Z85" s="528"/>
      <c r="AA85" s="529"/>
      <c r="AB85" s="529"/>
      <c r="AC85" s="529"/>
      <c r="AD85" s="529"/>
      <c r="AE85" s="529"/>
      <c r="AF85" s="529"/>
      <c r="AG85" s="529"/>
      <c r="AH85" s="529"/>
      <c r="AI85" s="529"/>
      <c r="AJ85" s="529"/>
      <c r="AK85" s="529"/>
      <c r="AL85" s="529"/>
      <c r="AM85" s="529"/>
      <c r="AN85" s="529"/>
      <c r="AO85"/>
      <c r="AP85" s="529"/>
      <c r="AQ85" s="529"/>
      <c r="AR85" s="529"/>
      <c r="AS85" s="529"/>
      <c r="AT85" s="529"/>
      <c r="AU85" s="529"/>
      <c r="AV85" s="529"/>
      <c r="AW85" s="57"/>
    </row>
    <row r="86" spans="1:50" x14ac:dyDescent="0.25">
      <c r="A86" s="57"/>
      <c r="B86" s="527"/>
      <c r="C86" s="527"/>
      <c r="D86" s="527"/>
      <c r="E86" s="7"/>
      <c r="F86" s="7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9"/>
      <c r="AB86" s="529"/>
      <c r="AC86" s="529"/>
      <c r="AD86" s="529"/>
      <c r="AE86" s="529"/>
      <c r="AF86" s="529"/>
      <c r="AG86" s="529"/>
      <c r="AH86" s="529"/>
      <c r="AI86" s="529"/>
      <c r="AJ86" s="529"/>
      <c r="AK86" s="529"/>
      <c r="AL86" s="529"/>
      <c r="AM86" s="529"/>
      <c r="AN86" s="529"/>
      <c r="AO86"/>
      <c r="AP86" s="529"/>
      <c r="AQ86" s="529"/>
      <c r="AR86" s="529"/>
      <c r="AS86" s="529"/>
      <c r="AT86" s="529"/>
      <c r="AU86" s="529"/>
      <c r="AV86" s="529"/>
      <c r="AW86" s="57"/>
    </row>
    <row r="87" spans="1:50" x14ac:dyDescent="0.25">
      <c r="A87" s="57"/>
      <c r="B87" s="527"/>
      <c r="C87" s="527"/>
      <c r="D87" s="527"/>
      <c r="E87" s="7"/>
      <c r="F87" s="7"/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9"/>
      <c r="AB87" s="529"/>
      <c r="AC87" s="529"/>
      <c r="AD87" s="529"/>
      <c r="AE87" s="529"/>
      <c r="AF87" s="529"/>
      <c r="AG87" s="529"/>
      <c r="AH87" s="529"/>
      <c r="AI87" s="529"/>
      <c r="AJ87" s="529"/>
      <c r="AK87" s="529"/>
      <c r="AL87" s="529"/>
      <c r="AM87" s="529"/>
      <c r="AN87" s="529"/>
      <c r="AO87"/>
      <c r="AP87" s="529"/>
      <c r="AQ87" s="529"/>
      <c r="AR87" s="529"/>
      <c r="AS87" s="529"/>
      <c r="AT87" s="529"/>
      <c r="AU87" s="529"/>
      <c r="AV87" s="529"/>
      <c r="AW87" s="57"/>
    </row>
    <row r="88" spans="1:50" x14ac:dyDescent="0.25">
      <c r="A88" s="57"/>
      <c r="B88" s="527"/>
      <c r="C88" s="527"/>
      <c r="D88" s="527"/>
      <c r="E88" s="7"/>
      <c r="F88" s="7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528"/>
      <c r="AA88" s="529"/>
      <c r="AB88" s="529"/>
      <c r="AC88" s="529"/>
      <c r="AD88" s="529"/>
      <c r="AE88" s="529"/>
      <c r="AF88" s="529"/>
      <c r="AG88" s="529"/>
      <c r="AH88" s="529"/>
      <c r="AI88" s="529"/>
      <c r="AJ88" s="529"/>
      <c r="AK88" s="529"/>
      <c r="AL88" s="529"/>
      <c r="AM88" s="529"/>
      <c r="AN88" s="529"/>
      <c r="AO88"/>
      <c r="AP88" s="529"/>
      <c r="AQ88" s="529"/>
      <c r="AR88" s="529"/>
      <c r="AS88" s="529"/>
      <c r="AT88" s="529"/>
      <c r="AU88" s="529"/>
      <c r="AV88" s="529"/>
      <c r="AW88" s="57"/>
    </row>
    <row r="89" spans="1:50" x14ac:dyDescent="0.25">
      <c r="A89" s="57"/>
      <c r="B89" s="527"/>
      <c r="C89" s="527"/>
      <c r="D89" s="527"/>
      <c r="E89" s="7"/>
      <c r="F89" s="7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29"/>
      <c r="AB89" s="529"/>
      <c r="AC89" s="529"/>
      <c r="AD89" s="529"/>
      <c r="AE89" s="529"/>
      <c r="AF89" s="529"/>
      <c r="AG89" s="529"/>
      <c r="AH89" s="529"/>
      <c r="AI89" s="529"/>
      <c r="AJ89" s="529"/>
      <c r="AK89" s="529"/>
      <c r="AL89" s="529"/>
      <c r="AM89" s="529"/>
      <c r="AN89" s="529"/>
      <c r="AO89"/>
      <c r="AP89" s="529"/>
      <c r="AQ89" s="529"/>
      <c r="AR89" s="529"/>
      <c r="AS89" s="529"/>
      <c r="AT89" s="529"/>
      <c r="AU89" s="529"/>
      <c r="AV89" s="529"/>
      <c r="AW89" s="57"/>
    </row>
    <row r="90" spans="1:50" x14ac:dyDescent="0.25">
      <c r="A90" s="57"/>
      <c r="B90" s="527"/>
      <c r="C90" s="527"/>
      <c r="D90" s="527"/>
      <c r="E90" s="7"/>
      <c r="F90" s="7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9"/>
      <c r="AB90" s="529"/>
      <c r="AC90" s="529"/>
      <c r="AD90" s="529"/>
      <c r="AE90" s="529"/>
      <c r="AF90" s="529"/>
      <c r="AG90" s="529"/>
      <c r="AH90" s="529"/>
      <c r="AI90" s="529"/>
      <c r="AJ90" s="529"/>
      <c r="AK90" s="529"/>
      <c r="AL90" s="529"/>
      <c r="AM90" s="529"/>
      <c r="AN90" s="529"/>
      <c r="AO90"/>
      <c r="AP90" s="529"/>
      <c r="AQ90" s="529"/>
      <c r="AR90" s="529"/>
      <c r="AS90" s="529"/>
      <c r="AT90" s="529"/>
      <c r="AU90" s="529"/>
      <c r="AV90" s="529"/>
      <c r="AW90" s="57"/>
    </row>
    <row r="91" spans="1:50" x14ac:dyDescent="0.25">
      <c r="A91" s="57"/>
      <c r="B91" s="527"/>
      <c r="C91" s="527"/>
      <c r="D91" s="527"/>
      <c r="E91" s="7"/>
      <c r="F91" s="7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9"/>
      <c r="AB91" s="529"/>
      <c r="AC91" s="529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/>
      <c r="AP91" s="529"/>
      <c r="AQ91" s="529"/>
      <c r="AR91" s="529"/>
      <c r="AS91" s="529"/>
      <c r="AT91" s="529"/>
      <c r="AU91" s="529"/>
      <c r="AV91" s="529"/>
      <c r="AW91" s="57"/>
    </row>
    <row r="92" spans="1:50" x14ac:dyDescent="0.25">
      <c r="A92" s="57"/>
      <c r="B92" s="527"/>
      <c r="C92" s="527"/>
      <c r="D92" s="527"/>
      <c r="E92" s="7"/>
      <c r="F92" s="7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528"/>
      <c r="AA92" s="529"/>
      <c r="AB92" s="529"/>
      <c r="AC92" s="529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/>
      <c r="AP92" s="529"/>
      <c r="AQ92" s="529"/>
      <c r="AR92" s="529"/>
      <c r="AS92" s="529"/>
      <c r="AT92" s="529"/>
      <c r="AU92" s="529"/>
      <c r="AV92" s="529"/>
      <c r="AW92" s="57"/>
    </row>
    <row r="93" spans="1:50" x14ac:dyDescent="0.25">
      <c r="A93" s="57"/>
      <c r="B93" s="527"/>
      <c r="C93" s="527"/>
      <c r="D93" s="527"/>
      <c r="E93" s="7"/>
      <c r="F93" s="7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9"/>
      <c r="AB93" s="529"/>
      <c r="AC93" s="529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/>
      <c r="AP93" s="529"/>
      <c r="AQ93" s="529"/>
      <c r="AR93" s="529"/>
      <c r="AS93" s="529"/>
      <c r="AT93" s="529"/>
      <c r="AU93" s="529"/>
      <c r="AV93" s="529"/>
      <c r="AW93" s="57"/>
    </row>
    <row r="94" spans="1:50" x14ac:dyDescent="0.25">
      <c r="A94" s="57"/>
      <c r="B94" s="527"/>
      <c r="C94" s="527"/>
      <c r="D94" s="527"/>
      <c r="E94" s="7"/>
      <c r="F94" s="7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9"/>
      <c r="AB94" s="529"/>
      <c r="AC94" s="529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/>
      <c r="AP94" s="529"/>
      <c r="AQ94" s="529"/>
      <c r="AR94" s="529"/>
      <c r="AS94" s="529"/>
      <c r="AT94" s="529"/>
      <c r="AU94" s="529"/>
      <c r="AV94" s="529"/>
      <c r="AW94" s="57"/>
    </row>
    <row r="95" spans="1:50" x14ac:dyDescent="0.25">
      <c r="A95" s="57"/>
      <c r="B95" s="527"/>
      <c r="C95" s="527"/>
      <c r="D95" s="527"/>
      <c r="E95" s="7"/>
      <c r="F95" s="7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9"/>
      <c r="AB95" s="529"/>
      <c r="AC95" s="529"/>
      <c r="AD95" s="529"/>
      <c r="AE95" s="529"/>
      <c r="AF95" s="529"/>
      <c r="AG95" s="529"/>
      <c r="AH95" s="529"/>
      <c r="AI95" s="529"/>
      <c r="AJ95" s="529"/>
      <c r="AK95" s="529"/>
      <c r="AL95" s="529"/>
      <c r="AM95" s="529"/>
      <c r="AN95" s="529"/>
      <c r="AO95"/>
      <c r="AP95" s="529"/>
      <c r="AQ95" s="529"/>
      <c r="AR95" s="529"/>
      <c r="AS95" s="529"/>
      <c r="AT95" s="529"/>
      <c r="AU95" s="529"/>
      <c r="AV95" s="529"/>
      <c r="AW95" s="57"/>
    </row>
    <row r="96" spans="1:50" x14ac:dyDescent="0.25">
      <c r="A96" s="57"/>
      <c r="B96" s="527"/>
      <c r="C96" s="527"/>
      <c r="D96" s="527"/>
      <c r="E96" s="7"/>
      <c r="F96" s="7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528"/>
      <c r="AA96" s="529"/>
      <c r="AB96" s="529"/>
      <c r="AC96" s="529"/>
      <c r="AD96" s="529"/>
      <c r="AE96" s="529"/>
      <c r="AF96" s="529"/>
      <c r="AG96" s="529"/>
      <c r="AH96" s="529"/>
      <c r="AI96" s="529"/>
      <c r="AJ96" s="529"/>
      <c r="AK96" s="529"/>
      <c r="AL96" s="529"/>
      <c r="AM96" s="529"/>
      <c r="AN96" s="529"/>
      <c r="AO96"/>
      <c r="AP96" s="529"/>
      <c r="AQ96" s="529"/>
      <c r="AR96" s="529"/>
      <c r="AS96" s="529"/>
      <c r="AT96" s="529"/>
      <c r="AU96" s="529"/>
      <c r="AV96" s="529"/>
      <c r="AW96" s="57"/>
    </row>
    <row r="97" spans="1:49" x14ac:dyDescent="0.25">
      <c r="A97" s="57"/>
      <c r="B97" s="527"/>
      <c r="C97" s="527"/>
      <c r="D97" s="527"/>
      <c r="E97" s="7"/>
      <c r="F97" s="7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9"/>
      <c r="AB97" s="529"/>
      <c r="AC97" s="529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/>
      <c r="AP97" s="529"/>
      <c r="AQ97" s="529"/>
      <c r="AR97" s="529"/>
      <c r="AS97" s="529"/>
      <c r="AT97" s="529"/>
      <c r="AU97" s="529"/>
      <c r="AV97" s="529"/>
      <c r="AW97" s="57"/>
    </row>
    <row r="98" spans="1:49" x14ac:dyDescent="0.25">
      <c r="A98" s="57"/>
      <c r="B98" s="527"/>
      <c r="C98" s="527"/>
      <c r="D98" s="527"/>
      <c r="E98" s="7"/>
      <c r="F98" s="7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528"/>
      <c r="AA98" s="529"/>
      <c r="AB98" s="529"/>
      <c r="AC98" s="529"/>
      <c r="AD98" s="529"/>
      <c r="AE98" s="529"/>
      <c r="AF98" s="529"/>
      <c r="AG98" s="529"/>
      <c r="AH98" s="529"/>
      <c r="AI98" s="529"/>
      <c r="AJ98" s="529"/>
      <c r="AK98" s="529"/>
      <c r="AL98" s="529"/>
      <c r="AM98" s="529"/>
      <c r="AN98" s="529"/>
      <c r="AO98"/>
      <c r="AP98" s="529"/>
      <c r="AQ98" s="529"/>
      <c r="AR98" s="529"/>
      <c r="AS98" s="529"/>
      <c r="AT98" s="529"/>
      <c r="AU98" s="529"/>
      <c r="AV98" s="529"/>
      <c r="AW98" s="57"/>
    </row>
    <row r="99" spans="1:49" x14ac:dyDescent="0.25">
      <c r="A99" s="57"/>
      <c r="B99" s="527"/>
      <c r="C99" s="527"/>
      <c r="D99" s="527"/>
      <c r="E99" s="7"/>
      <c r="F99" s="7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9"/>
      <c r="AB99" s="529"/>
      <c r="AC99" s="529"/>
      <c r="AD99" s="529"/>
      <c r="AE99" s="529"/>
      <c r="AF99" s="529"/>
      <c r="AG99" s="529"/>
      <c r="AH99" s="529"/>
      <c r="AI99" s="529"/>
      <c r="AJ99" s="529"/>
      <c r="AK99" s="529"/>
      <c r="AL99" s="529"/>
      <c r="AM99" s="529"/>
      <c r="AN99" s="529"/>
      <c r="AO99"/>
      <c r="AP99" s="529"/>
      <c r="AQ99" s="529"/>
      <c r="AR99" s="529"/>
      <c r="AS99" s="529"/>
      <c r="AT99" s="529"/>
      <c r="AU99" s="529"/>
      <c r="AV99" s="529"/>
      <c r="AW99" s="57"/>
    </row>
    <row r="100" spans="1:49" x14ac:dyDescent="0.25">
      <c r="A100" s="57"/>
      <c r="B100" s="527"/>
      <c r="C100" s="527"/>
      <c r="D100" s="527"/>
      <c r="E100" s="7"/>
      <c r="F100" s="7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9"/>
      <c r="AB100" s="529"/>
      <c r="AC100" s="529"/>
      <c r="AD100" s="529"/>
      <c r="AE100" s="529"/>
      <c r="AF100" s="529"/>
      <c r="AG100" s="529"/>
      <c r="AH100" s="529"/>
      <c r="AI100" s="529"/>
      <c r="AJ100" s="529"/>
      <c r="AK100" s="529"/>
      <c r="AL100" s="529"/>
      <c r="AM100" s="529"/>
      <c r="AN100" s="529"/>
      <c r="AO100"/>
      <c r="AP100" s="529"/>
      <c r="AQ100" s="529"/>
      <c r="AR100" s="529"/>
      <c r="AS100" s="529"/>
      <c r="AT100" s="529"/>
      <c r="AU100" s="529"/>
      <c r="AV100" s="529"/>
      <c r="AW100" s="57"/>
    </row>
    <row r="101" spans="1:49" x14ac:dyDescent="0.25">
      <c r="A101" s="57"/>
      <c r="B101" s="527"/>
      <c r="C101" s="527"/>
      <c r="D101" s="527"/>
      <c r="E101" s="7"/>
      <c r="F101" s="7"/>
      <c r="G101" s="528"/>
      <c r="H101" s="528"/>
      <c r="I101" s="528"/>
      <c r="J101" s="528"/>
      <c r="K101" s="528"/>
      <c r="L101" s="528"/>
      <c r="M101" s="528"/>
      <c r="N101" s="528"/>
      <c r="O101" s="528"/>
      <c r="P101" s="528"/>
      <c r="Q101" s="528"/>
      <c r="R101" s="528"/>
      <c r="S101" s="528"/>
      <c r="T101" s="528"/>
      <c r="U101" s="528"/>
      <c r="V101" s="528"/>
      <c r="W101" s="528"/>
      <c r="X101" s="528"/>
      <c r="Y101" s="528"/>
      <c r="Z101" s="528"/>
      <c r="AA101" s="529"/>
      <c r="AB101" s="529"/>
      <c r="AC101" s="529"/>
      <c r="AD101" s="529"/>
      <c r="AE101" s="529"/>
      <c r="AF101" s="529"/>
      <c r="AG101" s="529"/>
      <c r="AH101" s="529"/>
      <c r="AI101" s="529"/>
      <c r="AJ101" s="529"/>
      <c r="AK101" s="529"/>
      <c r="AL101" s="529"/>
      <c r="AM101" s="529"/>
      <c r="AN101" s="529"/>
      <c r="AO101"/>
      <c r="AP101" s="529"/>
      <c r="AQ101" s="529"/>
      <c r="AR101" s="529"/>
      <c r="AS101" s="529"/>
      <c r="AT101" s="529"/>
      <c r="AU101" s="529"/>
      <c r="AV101" s="529"/>
      <c r="AW101" s="57"/>
    </row>
    <row r="102" spans="1:49" x14ac:dyDescent="0.25">
      <c r="A102" s="57"/>
      <c r="B102" s="527"/>
      <c r="C102" s="527"/>
      <c r="D102" s="527"/>
      <c r="E102" s="7"/>
      <c r="F102" s="7"/>
      <c r="G102" s="528"/>
      <c r="H102" s="528"/>
      <c r="I102" s="528"/>
      <c r="J102" s="528"/>
      <c r="K102" s="528"/>
      <c r="L102" s="528"/>
      <c r="M102" s="528"/>
      <c r="N102" s="528"/>
      <c r="O102" s="528"/>
      <c r="P102" s="528"/>
      <c r="Q102" s="528"/>
      <c r="R102" s="528"/>
      <c r="S102" s="528"/>
      <c r="T102" s="528"/>
      <c r="U102" s="528"/>
      <c r="V102" s="528"/>
      <c r="W102" s="528"/>
      <c r="X102" s="528"/>
      <c r="Y102" s="528"/>
      <c r="Z102" s="528"/>
      <c r="AA102" s="529"/>
      <c r="AB102" s="529"/>
      <c r="AC102" s="529"/>
      <c r="AD102" s="529"/>
      <c r="AE102" s="529"/>
      <c r="AF102" s="529"/>
      <c r="AG102" s="529"/>
      <c r="AH102" s="529"/>
      <c r="AI102" s="529"/>
      <c r="AJ102" s="529"/>
      <c r="AK102" s="529"/>
      <c r="AL102" s="529"/>
      <c r="AM102" s="529"/>
      <c r="AN102" s="529"/>
      <c r="AO102"/>
      <c r="AP102" s="529"/>
      <c r="AQ102" s="529"/>
      <c r="AR102" s="529"/>
      <c r="AS102" s="529"/>
      <c r="AT102" s="529"/>
      <c r="AU102" s="529"/>
      <c r="AV102" s="529"/>
      <c r="AW102" s="57"/>
    </row>
    <row r="103" spans="1:49" x14ac:dyDescent="0.25">
      <c r="A103" s="57"/>
      <c r="B103" s="527"/>
      <c r="C103" s="527"/>
      <c r="D103" s="527"/>
      <c r="E103" s="7"/>
      <c r="F103" s="7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8"/>
      <c r="T103" s="528"/>
      <c r="U103" s="528"/>
      <c r="V103" s="528"/>
      <c r="W103" s="528"/>
      <c r="X103" s="528"/>
      <c r="Y103" s="528"/>
      <c r="Z103" s="528"/>
      <c r="AA103" s="529"/>
      <c r="AB103" s="529"/>
      <c r="AC103" s="529"/>
      <c r="AD103" s="529"/>
      <c r="AE103" s="529"/>
      <c r="AF103" s="529"/>
      <c r="AG103" s="529"/>
      <c r="AH103" s="529"/>
      <c r="AI103" s="529"/>
      <c r="AJ103" s="529"/>
      <c r="AK103" s="529"/>
      <c r="AL103" s="529"/>
      <c r="AM103" s="529"/>
      <c r="AN103" s="529"/>
      <c r="AO103"/>
      <c r="AP103" s="529"/>
      <c r="AQ103" s="529"/>
      <c r="AR103" s="529"/>
      <c r="AS103" s="529"/>
      <c r="AT103" s="529"/>
      <c r="AU103" s="529"/>
      <c r="AV103" s="529"/>
      <c r="AW103" s="57"/>
    </row>
    <row r="104" spans="1:49" x14ac:dyDescent="0.25">
      <c r="A104" s="57"/>
      <c r="B104" s="527"/>
      <c r="C104" s="527"/>
      <c r="D104" s="527"/>
      <c r="E104" s="7"/>
      <c r="F104" s="7"/>
      <c r="G104" s="528"/>
      <c r="H104" s="528"/>
      <c r="I104" s="528"/>
      <c r="J104" s="528"/>
      <c r="K104" s="528"/>
      <c r="L104" s="528"/>
      <c r="M104" s="528"/>
      <c r="N104" s="528"/>
      <c r="O104" s="528"/>
      <c r="P104" s="528"/>
      <c r="Q104" s="528"/>
      <c r="R104" s="528"/>
      <c r="S104" s="528"/>
      <c r="T104" s="528"/>
      <c r="U104" s="528"/>
      <c r="V104" s="528"/>
      <c r="W104" s="528"/>
      <c r="X104" s="528"/>
      <c r="Y104" s="528"/>
      <c r="Z104" s="528"/>
      <c r="AA104" s="529"/>
      <c r="AB104" s="529"/>
      <c r="AC104" s="529"/>
      <c r="AD104" s="529"/>
      <c r="AE104" s="529"/>
      <c r="AF104" s="529"/>
      <c r="AG104" s="529"/>
      <c r="AH104" s="529"/>
      <c r="AI104" s="529"/>
      <c r="AJ104" s="529"/>
      <c r="AK104" s="529"/>
      <c r="AL104" s="529"/>
      <c r="AM104" s="529"/>
      <c r="AN104" s="529"/>
      <c r="AO104"/>
      <c r="AP104" s="529"/>
      <c r="AQ104" s="529"/>
      <c r="AR104" s="529"/>
      <c r="AS104" s="529"/>
      <c r="AT104" s="529"/>
      <c r="AU104" s="529"/>
      <c r="AV104" s="529"/>
      <c r="AW104" s="57"/>
    </row>
    <row r="105" spans="1:49" x14ac:dyDescent="0.25">
      <c r="A105" s="57"/>
      <c r="B105" s="527"/>
      <c r="C105" s="527"/>
      <c r="D105" s="527"/>
      <c r="E105" s="7"/>
      <c r="F105" s="7"/>
      <c r="G105" s="528"/>
      <c r="H105" s="528"/>
      <c r="I105" s="528"/>
      <c r="J105" s="528"/>
      <c r="K105" s="528"/>
      <c r="L105" s="528"/>
      <c r="M105" s="528"/>
      <c r="N105" s="528"/>
      <c r="O105" s="528"/>
      <c r="P105" s="528"/>
      <c r="Q105" s="528"/>
      <c r="R105" s="528"/>
      <c r="S105" s="528"/>
      <c r="T105" s="528"/>
      <c r="U105" s="528"/>
      <c r="V105" s="528"/>
      <c r="W105" s="528"/>
      <c r="X105" s="528"/>
      <c r="Y105" s="528"/>
      <c r="Z105" s="528"/>
      <c r="AA105" s="529"/>
      <c r="AB105" s="529"/>
      <c r="AC105" s="529"/>
      <c r="AD105" s="529"/>
      <c r="AE105" s="529"/>
      <c r="AF105" s="529"/>
      <c r="AG105" s="529"/>
      <c r="AH105" s="529"/>
      <c r="AI105" s="529"/>
      <c r="AJ105" s="529"/>
      <c r="AK105" s="529"/>
      <c r="AL105" s="529"/>
      <c r="AM105" s="529"/>
      <c r="AN105" s="529"/>
      <c r="AO105"/>
      <c r="AP105" s="529"/>
      <c r="AQ105" s="529"/>
      <c r="AR105" s="529"/>
      <c r="AS105" s="529"/>
      <c r="AT105" s="529"/>
      <c r="AU105" s="529"/>
      <c r="AV105" s="529"/>
      <c r="AW105" s="57"/>
    </row>
    <row r="106" spans="1:49" x14ac:dyDescent="0.25">
      <c r="A106" s="57"/>
      <c r="B106" s="527"/>
      <c r="C106" s="527"/>
      <c r="D106" s="527"/>
      <c r="E106" s="7"/>
      <c r="F106" s="7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  <c r="W106" s="528"/>
      <c r="X106" s="528"/>
      <c r="Y106" s="528"/>
      <c r="Z106" s="528"/>
      <c r="AA106" s="529"/>
      <c r="AB106" s="529"/>
      <c r="AC106" s="529"/>
      <c r="AD106" s="529"/>
      <c r="AE106" s="529"/>
      <c r="AF106" s="529"/>
      <c r="AG106" s="529"/>
      <c r="AH106" s="529"/>
      <c r="AI106" s="529"/>
      <c r="AJ106" s="529"/>
      <c r="AK106" s="529"/>
      <c r="AL106" s="529"/>
      <c r="AM106" s="529"/>
      <c r="AN106" s="529"/>
      <c r="AO106"/>
      <c r="AP106" s="529"/>
      <c r="AQ106" s="529"/>
      <c r="AR106" s="529"/>
      <c r="AS106" s="529"/>
      <c r="AT106" s="529"/>
      <c r="AU106" s="529"/>
      <c r="AV106" s="529"/>
      <c r="AW106" s="57"/>
    </row>
    <row r="107" spans="1:49" x14ac:dyDescent="0.25">
      <c r="A107" s="57"/>
      <c r="B107" s="527"/>
      <c r="C107" s="527"/>
      <c r="D107" s="527"/>
      <c r="E107" s="7"/>
      <c r="F107" s="7"/>
      <c r="G107" s="528"/>
      <c r="H107" s="528"/>
      <c r="I107" s="528"/>
      <c r="J107" s="528"/>
      <c r="K107" s="528"/>
      <c r="L107" s="528"/>
      <c r="M107" s="528"/>
      <c r="N107" s="528"/>
      <c r="O107" s="528"/>
      <c r="P107" s="528"/>
      <c r="Q107" s="528"/>
      <c r="R107" s="528"/>
      <c r="S107" s="528"/>
      <c r="T107" s="528"/>
      <c r="U107" s="528"/>
      <c r="V107" s="528"/>
      <c r="W107" s="528"/>
      <c r="X107" s="528"/>
      <c r="Y107" s="528"/>
      <c r="Z107" s="528"/>
      <c r="AA107" s="529"/>
      <c r="AB107" s="529"/>
      <c r="AC107" s="529"/>
      <c r="AD107" s="529"/>
      <c r="AE107" s="529"/>
      <c r="AF107" s="529"/>
      <c r="AG107" s="529"/>
      <c r="AH107" s="529"/>
      <c r="AI107" s="529"/>
      <c r="AJ107" s="529"/>
      <c r="AK107" s="529"/>
      <c r="AL107" s="529"/>
      <c r="AM107" s="529"/>
      <c r="AN107" s="529"/>
      <c r="AO107"/>
      <c r="AP107" s="529"/>
      <c r="AQ107" s="529"/>
      <c r="AR107" s="529"/>
      <c r="AS107" s="529"/>
      <c r="AT107" s="529"/>
      <c r="AU107" s="529"/>
      <c r="AV107" s="529"/>
      <c r="AW107" s="57"/>
    </row>
    <row r="108" spans="1:49" x14ac:dyDescent="0.25">
      <c r="A108" s="57"/>
      <c r="B108" s="527"/>
      <c r="C108" s="527"/>
      <c r="D108" s="527"/>
      <c r="E108" s="7"/>
      <c r="F108" s="7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9"/>
      <c r="AB108" s="529"/>
      <c r="AC108" s="529"/>
      <c r="AD108" s="529"/>
      <c r="AE108" s="529"/>
      <c r="AF108" s="529"/>
      <c r="AG108" s="529"/>
      <c r="AH108" s="529"/>
      <c r="AI108" s="529"/>
      <c r="AJ108" s="529"/>
      <c r="AK108" s="529"/>
      <c r="AL108" s="529"/>
      <c r="AM108" s="529"/>
      <c r="AN108" s="529"/>
      <c r="AO108"/>
      <c r="AP108" s="529"/>
      <c r="AQ108" s="529"/>
      <c r="AR108" s="529"/>
      <c r="AS108" s="529"/>
      <c r="AT108" s="529"/>
      <c r="AU108" s="529"/>
      <c r="AV108" s="529"/>
      <c r="AW108" s="57"/>
    </row>
    <row r="109" spans="1:49" x14ac:dyDescent="0.25">
      <c r="A109" s="57"/>
      <c r="B109" s="527"/>
      <c r="C109" s="527"/>
      <c r="D109" s="527"/>
      <c r="E109" s="7"/>
      <c r="F109" s="7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9"/>
      <c r="AB109" s="529"/>
      <c r="AC109" s="529"/>
      <c r="AD109" s="529"/>
      <c r="AE109" s="529"/>
      <c r="AF109" s="529"/>
      <c r="AG109" s="529"/>
      <c r="AH109" s="529"/>
      <c r="AI109" s="529"/>
      <c r="AJ109" s="529"/>
      <c r="AK109" s="529"/>
      <c r="AL109" s="529"/>
      <c r="AM109" s="529"/>
      <c r="AN109" s="529"/>
      <c r="AO109"/>
      <c r="AP109" s="529"/>
      <c r="AQ109" s="529"/>
      <c r="AR109" s="529"/>
      <c r="AS109" s="529"/>
      <c r="AT109" s="529"/>
      <c r="AU109" s="529"/>
      <c r="AV109" s="529"/>
      <c r="AW109" s="57"/>
    </row>
    <row r="110" spans="1:49" x14ac:dyDescent="0.25">
      <c r="A110" s="57"/>
      <c r="B110" s="527"/>
      <c r="C110" s="527"/>
      <c r="D110" s="527"/>
      <c r="E110" s="7"/>
      <c r="F110" s="7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9"/>
      <c r="AB110" s="529"/>
      <c r="AC110" s="529"/>
      <c r="AD110" s="529"/>
      <c r="AE110" s="529"/>
      <c r="AF110" s="529"/>
      <c r="AG110" s="529"/>
      <c r="AH110" s="528"/>
      <c r="AI110" s="529"/>
      <c r="AJ110" s="529"/>
      <c r="AK110" s="529"/>
      <c r="AL110" s="529"/>
      <c r="AM110" s="529"/>
      <c r="AN110" s="529"/>
      <c r="AO110"/>
      <c r="AP110" s="529"/>
      <c r="AQ110" s="529"/>
      <c r="AR110" s="529"/>
      <c r="AS110" s="529"/>
      <c r="AT110" s="529"/>
      <c r="AU110" s="529"/>
      <c r="AV110" s="529"/>
      <c r="AW110" s="57"/>
    </row>
    <row r="111" spans="1:49" x14ac:dyDescent="0.25">
      <c r="A111" s="57"/>
      <c r="B111" s="527"/>
      <c r="C111" s="527"/>
      <c r="D111" s="527"/>
      <c r="E111" s="7"/>
      <c r="F111" s="7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9"/>
      <c r="AB111" s="529"/>
      <c r="AC111" s="529"/>
      <c r="AD111" s="529"/>
      <c r="AE111" s="529"/>
      <c r="AF111" s="529"/>
      <c r="AG111" s="529"/>
      <c r="AH111" s="528"/>
      <c r="AI111" s="529"/>
      <c r="AJ111" s="529"/>
      <c r="AK111" s="529"/>
      <c r="AL111" s="529"/>
      <c r="AM111" s="529"/>
      <c r="AN111" s="529"/>
      <c r="AO111"/>
      <c r="AP111" s="529"/>
      <c r="AQ111" s="529"/>
      <c r="AR111" s="529"/>
      <c r="AS111" s="529"/>
      <c r="AT111" s="529"/>
      <c r="AU111" s="529"/>
      <c r="AV111" s="529"/>
      <c r="AW111" s="57"/>
    </row>
    <row r="112" spans="1:49" x14ac:dyDescent="0.25">
      <c r="A112" s="57"/>
      <c r="B112" s="527"/>
      <c r="C112" s="527"/>
      <c r="D112" s="527"/>
      <c r="E112" s="7"/>
      <c r="F112" s="7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9"/>
      <c r="AB112" s="529"/>
      <c r="AC112" s="529"/>
      <c r="AD112" s="529"/>
      <c r="AE112" s="529"/>
      <c r="AF112" s="529"/>
      <c r="AG112" s="529"/>
      <c r="AH112" s="529"/>
      <c r="AI112" s="529"/>
      <c r="AJ112" s="529"/>
      <c r="AK112" s="529"/>
      <c r="AL112" s="529"/>
      <c r="AM112" s="529"/>
      <c r="AN112" s="529"/>
      <c r="AO112"/>
      <c r="AP112" s="529"/>
      <c r="AQ112" s="529"/>
      <c r="AR112" s="529"/>
      <c r="AS112" s="529"/>
      <c r="AT112" s="529"/>
      <c r="AU112" s="529"/>
      <c r="AV112" s="529"/>
      <c r="AW112" s="57"/>
    </row>
    <row r="113" spans="1:49" x14ac:dyDescent="0.25">
      <c r="A113" s="57"/>
      <c r="B113" s="527"/>
      <c r="C113" s="527"/>
      <c r="D113" s="527"/>
      <c r="E113" s="7"/>
      <c r="F113" s="7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9"/>
      <c r="AB113" s="529"/>
      <c r="AC113" s="529"/>
      <c r="AD113" s="529"/>
      <c r="AE113" s="529"/>
      <c r="AF113" s="529"/>
      <c r="AG113" s="529"/>
      <c r="AH113" s="529"/>
      <c r="AI113" s="529"/>
      <c r="AJ113" s="529"/>
      <c r="AK113" s="529"/>
      <c r="AL113" s="529"/>
      <c r="AM113" s="529"/>
      <c r="AN113" s="529"/>
      <c r="AO113"/>
      <c r="AP113" s="529"/>
      <c r="AQ113" s="529"/>
      <c r="AR113" s="529"/>
      <c r="AS113" s="529"/>
      <c r="AT113" s="529"/>
      <c r="AU113" s="529"/>
      <c r="AV113" s="529"/>
      <c r="AW113" s="57"/>
    </row>
    <row r="114" spans="1:49" x14ac:dyDescent="0.25">
      <c r="A114" s="57"/>
      <c r="B114" s="527"/>
      <c r="C114" s="527"/>
      <c r="D114" s="527"/>
      <c r="E114" s="7"/>
      <c r="F114" s="7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/>
      <c r="AP114" s="529"/>
      <c r="AQ114" s="529"/>
      <c r="AR114" s="529"/>
      <c r="AS114" s="529"/>
      <c r="AT114" s="529"/>
      <c r="AU114" s="529"/>
      <c r="AV114" s="529"/>
      <c r="AW114" s="57"/>
    </row>
    <row r="115" spans="1:49" x14ac:dyDescent="0.25">
      <c r="A115" s="57"/>
      <c r="B115" s="527"/>
      <c r="C115" s="527"/>
      <c r="D115" s="527"/>
      <c r="E115" s="7"/>
      <c r="F115" s="7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9"/>
      <c r="AB115" s="529"/>
      <c r="AC115" s="529"/>
      <c r="AD115" s="529"/>
      <c r="AE115" s="529"/>
      <c r="AF115" s="529"/>
      <c r="AG115" s="529"/>
      <c r="AH115" s="529"/>
      <c r="AI115" s="529"/>
      <c r="AJ115" s="529"/>
      <c r="AK115" s="529"/>
      <c r="AL115" s="529"/>
      <c r="AM115" s="529"/>
      <c r="AN115" s="529"/>
      <c r="AO115"/>
      <c r="AP115" s="529"/>
      <c r="AQ115" s="529"/>
      <c r="AR115" s="529"/>
      <c r="AS115" s="529"/>
      <c r="AT115" s="529"/>
      <c r="AU115" s="529"/>
      <c r="AV115" s="529"/>
      <c r="AW115" s="57"/>
    </row>
    <row r="116" spans="1:49" x14ac:dyDescent="0.25">
      <c r="A116" s="57"/>
      <c r="B116" s="527"/>
      <c r="C116" s="527"/>
      <c r="D116" s="527"/>
      <c r="E116" s="7"/>
      <c r="F116" s="7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9"/>
      <c r="AB116" s="529"/>
      <c r="AC116" s="529"/>
      <c r="AD116" s="529"/>
      <c r="AE116" s="529"/>
      <c r="AF116" s="529"/>
      <c r="AG116" s="529"/>
      <c r="AH116" s="529"/>
      <c r="AI116" s="529"/>
      <c r="AJ116" s="529"/>
      <c r="AK116" s="529"/>
      <c r="AL116" s="529"/>
      <c r="AM116" s="529"/>
      <c r="AN116" s="529"/>
      <c r="AO116"/>
      <c r="AP116" s="529"/>
      <c r="AQ116" s="529"/>
      <c r="AR116" s="529"/>
      <c r="AS116" s="529"/>
      <c r="AT116" s="529"/>
      <c r="AU116" s="529"/>
      <c r="AV116" s="529"/>
      <c r="AW116" s="57"/>
    </row>
    <row r="117" spans="1:49" x14ac:dyDescent="0.25">
      <c r="A117" s="57"/>
      <c r="B117" s="527"/>
      <c r="C117" s="527"/>
      <c r="D117" s="527"/>
      <c r="E117" s="7"/>
      <c r="F117" s="7"/>
      <c r="G117" s="528"/>
      <c r="H117" s="528"/>
      <c r="I117" s="528"/>
      <c r="J117" s="528"/>
      <c r="K117" s="528"/>
      <c r="L117" s="528"/>
      <c r="M117" s="528"/>
      <c r="N117" s="528"/>
      <c r="O117" s="528"/>
      <c r="P117" s="528"/>
      <c r="Q117" s="528"/>
      <c r="R117" s="528"/>
      <c r="S117" s="528"/>
      <c r="T117" s="528"/>
      <c r="U117" s="528"/>
      <c r="V117" s="528"/>
      <c r="W117" s="528"/>
      <c r="X117" s="528"/>
      <c r="Y117" s="528"/>
      <c r="Z117" s="528"/>
      <c r="AA117" s="529"/>
      <c r="AB117" s="529"/>
      <c r="AC117" s="529"/>
      <c r="AD117" s="529"/>
      <c r="AE117" s="529"/>
      <c r="AF117" s="529"/>
      <c r="AG117" s="529"/>
      <c r="AH117" s="529"/>
      <c r="AI117" s="529"/>
      <c r="AJ117" s="529"/>
      <c r="AK117" s="529"/>
      <c r="AL117" s="529"/>
      <c r="AM117" s="529"/>
      <c r="AN117" s="529"/>
      <c r="AO117"/>
      <c r="AP117" s="529"/>
      <c r="AQ117" s="529"/>
      <c r="AR117" s="529"/>
      <c r="AS117" s="529"/>
      <c r="AT117" s="529"/>
      <c r="AU117" s="529"/>
      <c r="AV117" s="529"/>
      <c r="AW117" s="57"/>
    </row>
    <row r="118" spans="1:49" x14ac:dyDescent="0.25">
      <c r="A118" s="57"/>
      <c r="B118" s="527"/>
      <c r="C118" s="527"/>
      <c r="D118" s="527"/>
      <c r="E118" s="7"/>
      <c r="F118" s="7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9"/>
      <c r="AB118" s="529"/>
      <c r="AC118" s="529"/>
      <c r="AD118" s="529"/>
      <c r="AE118" s="529"/>
      <c r="AF118" s="529"/>
      <c r="AG118" s="529"/>
      <c r="AH118" s="529"/>
      <c r="AI118" s="529"/>
      <c r="AJ118" s="529"/>
      <c r="AK118" s="529"/>
      <c r="AL118" s="529"/>
      <c r="AM118" s="529"/>
      <c r="AN118" s="529"/>
      <c r="AO118"/>
      <c r="AP118" s="529"/>
      <c r="AQ118" s="529"/>
      <c r="AR118" s="529"/>
      <c r="AS118" s="529"/>
      <c r="AT118" s="529"/>
      <c r="AU118" s="529"/>
      <c r="AV118" s="529"/>
      <c r="AW118" s="57"/>
    </row>
    <row r="119" spans="1:49" x14ac:dyDescent="0.25">
      <c r="A119" s="57"/>
      <c r="B119" s="527"/>
      <c r="C119" s="527"/>
      <c r="D119" s="527"/>
      <c r="E119" s="7"/>
      <c r="F119" s="7"/>
      <c r="G119" s="528"/>
      <c r="H119" s="528"/>
      <c r="I119" s="528"/>
      <c r="J119" s="528"/>
      <c r="K119" s="528"/>
      <c r="L119" s="528"/>
      <c r="M119" s="528"/>
      <c r="N119" s="528"/>
      <c r="O119" s="528"/>
      <c r="P119" s="528"/>
      <c r="Q119" s="528"/>
      <c r="R119" s="528"/>
      <c r="S119" s="528"/>
      <c r="T119" s="528"/>
      <c r="U119" s="528"/>
      <c r="V119" s="528"/>
      <c r="W119" s="528"/>
      <c r="X119" s="528"/>
      <c r="Y119" s="528"/>
      <c r="Z119" s="528"/>
      <c r="AA119" s="529"/>
      <c r="AB119" s="529"/>
      <c r="AC119" s="529"/>
      <c r="AD119" s="529"/>
      <c r="AE119" s="529"/>
      <c r="AF119" s="529"/>
      <c r="AG119" s="529"/>
      <c r="AH119" s="529"/>
      <c r="AI119" s="529"/>
      <c r="AJ119" s="529"/>
      <c r="AK119" s="529"/>
      <c r="AL119" s="529"/>
      <c r="AM119" s="529"/>
      <c r="AN119" s="529"/>
      <c r="AO119"/>
      <c r="AP119" s="529"/>
      <c r="AQ119" s="529"/>
      <c r="AR119" s="529"/>
      <c r="AS119" s="529"/>
      <c r="AT119" s="529"/>
      <c r="AU119" s="529"/>
      <c r="AV119" s="529"/>
      <c r="AW119" s="57"/>
    </row>
    <row r="120" spans="1:49" x14ac:dyDescent="0.25">
      <c r="A120" s="57"/>
      <c r="B120" s="527"/>
      <c r="C120" s="527"/>
      <c r="D120" s="527"/>
      <c r="E120" s="7"/>
      <c r="F120" s="7"/>
      <c r="G120" s="528"/>
      <c r="H120" s="528"/>
      <c r="I120" s="528"/>
      <c r="J120" s="528"/>
      <c r="K120" s="528"/>
      <c r="L120" s="528"/>
      <c r="M120" s="528"/>
      <c r="N120" s="528"/>
      <c r="O120" s="528"/>
      <c r="P120" s="528"/>
      <c r="Q120" s="528"/>
      <c r="R120" s="528"/>
      <c r="S120" s="528"/>
      <c r="T120" s="528"/>
      <c r="U120" s="528"/>
      <c r="V120" s="528"/>
      <c r="W120" s="528"/>
      <c r="X120" s="528"/>
      <c r="Y120" s="528"/>
      <c r="Z120" s="528"/>
      <c r="AA120" s="529"/>
      <c r="AB120" s="529"/>
      <c r="AC120" s="529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/>
      <c r="AP120" s="529"/>
      <c r="AQ120" s="529"/>
      <c r="AR120" s="529"/>
      <c r="AS120" s="529"/>
      <c r="AT120" s="529"/>
      <c r="AU120" s="529"/>
      <c r="AV120" s="529"/>
      <c r="AW120" s="57"/>
    </row>
    <row r="121" spans="1:49" x14ac:dyDescent="0.25">
      <c r="A121" s="57"/>
      <c r="B121" s="527"/>
      <c r="C121" s="527"/>
      <c r="D121" s="527"/>
      <c r="E121" s="7"/>
      <c r="F121" s="7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8"/>
      <c r="S121" s="528"/>
      <c r="T121" s="528"/>
      <c r="U121" s="528"/>
      <c r="V121" s="528"/>
      <c r="W121" s="528"/>
      <c r="X121" s="528"/>
      <c r="Y121" s="528"/>
      <c r="Z121" s="528"/>
      <c r="AA121" s="529"/>
      <c r="AB121" s="529"/>
      <c r="AC121" s="529"/>
      <c r="AD121" s="529"/>
      <c r="AE121" s="529"/>
      <c r="AF121" s="529"/>
      <c r="AG121" s="529"/>
      <c r="AH121" s="529"/>
      <c r="AI121" s="529"/>
      <c r="AJ121" s="529"/>
      <c r="AK121" s="529"/>
      <c r="AL121" s="529"/>
      <c r="AM121" s="529"/>
      <c r="AN121" s="529"/>
      <c r="AO121"/>
      <c r="AP121" s="529"/>
      <c r="AQ121" s="529"/>
      <c r="AR121" s="529"/>
      <c r="AS121" s="529"/>
      <c r="AT121" s="529"/>
      <c r="AU121" s="529"/>
      <c r="AV121" s="529"/>
      <c r="AW121" s="57"/>
    </row>
    <row r="122" spans="1:49" x14ac:dyDescent="0.25">
      <c r="A122" s="57"/>
      <c r="B122" s="527"/>
      <c r="C122" s="527"/>
      <c r="D122" s="527"/>
      <c r="E122" s="7"/>
      <c r="F122" s="7"/>
      <c r="G122" s="528"/>
      <c r="H122" s="528"/>
      <c r="I122" s="528"/>
      <c r="J122" s="528"/>
      <c r="K122" s="528"/>
      <c r="L122" s="528"/>
      <c r="M122" s="528"/>
      <c r="N122" s="528"/>
      <c r="O122" s="528"/>
      <c r="P122" s="528"/>
      <c r="Q122" s="528"/>
      <c r="R122" s="528"/>
      <c r="S122" s="528"/>
      <c r="T122" s="528"/>
      <c r="U122" s="528"/>
      <c r="V122" s="528"/>
      <c r="W122" s="528"/>
      <c r="X122" s="528"/>
      <c r="Y122" s="528"/>
      <c r="Z122" s="528"/>
      <c r="AA122" s="529"/>
      <c r="AB122" s="529"/>
      <c r="AC122" s="529"/>
      <c r="AD122" s="529"/>
      <c r="AE122" s="529"/>
      <c r="AF122" s="529"/>
      <c r="AG122" s="529"/>
      <c r="AH122" s="529"/>
      <c r="AI122" s="529"/>
      <c r="AJ122" s="529"/>
      <c r="AK122" s="529"/>
      <c r="AL122" s="529"/>
      <c r="AM122" s="529"/>
      <c r="AN122" s="529"/>
      <c r="AO122"/>
      <c r="AP122" s="529"/>
      <c r="AQ122" s="529"/>
      <c r="AR122" s="529"/>
      <c r="AS122" s="529"/>
      <c r="AT122" s="529"/>
      <c r="AU122" s="529"/>
      <c r="AV122" s="529"/>
      <c r="AW122" s="57"/>
    </row>
    <row r="123" spans="1:49" x14ac:dyDescent="0.25">
      <c r="A123" s="57"/>
      <c r="B123" s="527"/>
      <c r="C123" s="527"/>
      <c r="D123" s="527"/>
      <c r="E123" s="7"/>
      <c r="F123" s="7"/>
      <c r="G123" s="528"/>
      <c r="H123" s="528"/>
      <c r="I123" s="528"/>
      <c r="J123" s="528"/>
      <c r="K123" s="528"/>
      <c r="L123" s="528"/>
      <c r="M123" s="528"/>
      <c r="N123" s="528"/>
      <c r="O123" s="528"/>
      <c r="P123" s="528"/>
      <c r="Q123" s="528"/>
      <c r="R123" s="528"/>
      <c r="S123" s="528"/>
      <c r="T123" s="528"/>
      <c r="U123" s="528"/>
      <c r="V123" s="528"/>
      <c r="W123" s="528"/>
      <c r="X123" s="528"/>
      <c r="Y123" s="528"/>
      <c r="Z123" s="528"/>
      <c r="AA123" s="529"/>
      <c r="AB123" s="529"/>
      <c r="AC123" s="529"/>
      <c r="AD123" s="529"/>
      <c r="AE123" s="529"/>
      <c r="AF123" s="529"/>
      <c r="AG123" s="529"/>
      <c r="AH123" s="529"/>
      <c r="AI123" s="529"/>
      <c r="AJ123" s="529"/>
      <c r="AK123" s="529"/>
      <c r="AL123" s="529"/>
      <c r="AM123" s="529"/>
      <c r="AN123" s="529"/>
      <c r="AO123"/>
      <c r="AP123" s="529"/>
      <c r="AQ123" s="529"/>
      <c r="AR123" s="529"/>
      <c r="AS123" s="529"/>
      <c r="AT123" s="529"/>
      <c r="AU123" s="529"/>
      <c r="AV123" s="529"/>
      <c r="AW123" s="57"/>
    </row>
    <row r="124" spans="1:49" x14ac:dyDescent="0.25">
      <c r="A124" s="57"/>
      <c r="B124" s="527"/>
      <c r="C124" s="527"/>
      <c r="D124" s="527"/>
      <c r="E124" s="7"/>
      <c r="F124" s="7"/>
      <c r="G124" s="528"/>
      <c r="H124" s="528"/>
      <c r="I124" s="528"/>
      <c r="J124" s="528"/>
      <c r="K124" s="528"/>
      <c r="L124" s="528"/>
      <c r="M124" s="528"/>
      <c r="N124" s="528"/>
      <c r="O124" s="528"/>
      <c r="P124" s="528"/>
      <c r="Q124" s="528"/>
      <c r="R124" s="528"/>
      <c r="S124" s="528"/>
      <c r="T124" s="528"/>
      <c r="U124" s="528"/>
      <c r="V124" s="528"/>
      <c r="W124" s="528"/>
      <c r="X124" s="528"/>
      <c r="Y124" s="528"/>
      <c r="Z124" s="528"/>
      <c r="AA124" s="529"/>
      <c r="AB124" s="529"/>
      <c r="AC124" s="529"/>
      <c r="AD124" s="529"/>
      <c r="AE124" s="529"/>
      <c r="AF124" s="529"/>
      <c r="AG124" s="529"/>
      <c r="AH124" s="529"/>
      <c r="AI124" s="529"/>
      <c r="AJ124" s="529"/>
      <c r="AK124" s="529"/>
      <c r="AL124" s="529"/>
      <c r="AM124" s="529"/>
      <c r="AN124" s="529"/>
      <c r="AO124"/>
      <c r="AP124" s="529"/>
      <c r="AQ124" s="529"/>
      <c r="AR124" s="529"/>
      <c r="AS124" s="529"/>
      <c r="AT124" s="529"/>
      <c r="AU124" s="529"/>
      <c r="AV124" s="529"/>
      <c r="AW124" s="57"/>
    </row>
    <row r="125" spans="1:49" x14ac:dyDescent="0.25">
      <c r="A125" s="57"/>
      <c r="B125" s="527"/>
      <c r="C125" s="527"/>
      <c r="D125" s="527"/>
      <c r="E125" s="7"/>
      <c r="F125" s="7"/>
      <c r="G125" s="528"/>
      <c r="H125" s="528"/>
      <c r="I125" s="528"/>
      <c r="J125" s="528"/>
      <c r="K125" s="528"/>
      <c r="L125" s="528"/>
      <c r="M125" s="528"/>
      <c r="N125" s="528"/>
      <c r="O125" s="528"/>
      <c r="P125" s="528"/>
      <c r="Q125" s="528"/>
      <c r="R125" s="528"/>
      <c r="S125" s="528"/>
      <c r="T125" s="528"/>
      <c r="U125" s="528"/>
      <c r="V125" s="528"/>
      <c r="W125" s="528"/>
      <c r="X125" s="528"/>
      <c r="Y125" s="528"/>
      <c r="Z125" s="528"/>
      <c r="AA125" s="529"/>
      <c r="AB125" s="529"/>
      <c r="AC125" s="529"/>
      <c r="AD125" s="529"/>
      <c r="AE125" s="529"/>
      <c r="AF125" s="529"/>
      <c r="AG125" s="529"/>
      <c r="AH125" s="529"/>
      <c r="AI125" s="529"/>
      <c r="AJ125" s="529"/>
      <c r="AK125" s="529"/>
      <c r="AL125" s="529"/>
      <c r="AM125" s="529"/>
      <c r="AN125" s="529"/>
      <c r="AO125"/>
      <c r="AP125" s="529"/>
      <c r="AQ125" s="529"/>
      <c r="AR125" s="529"/>
      <c r="AS125" s="529"/>
      <c r="AT125" s="529"/>
      <c r="AU125" s="529"/>
      <c r="AV125" s="529"/>
      <c r="AW125" s="57"/>
    </row>
    <row r="126" spans="1:49" x14ac:dyDescent="0.25">
      <c r="A126" s="57"/>
      <c r="B126" s="527"/>
      <c r="C126" s="527"/>
      <c r="D126" s="527"/>
      <c r="E126" s="7"/>
      <c r="F126" s="7"/>
      <c r="G126" s="528"/>
      <c r="H126" s="528"/>
      <c r="I126" s="528"/>
      <c r="J126" s="528"/>
      <c r="K126" s="528"/>
      <c r="L126" s="528"/>
      <c r="M126" s="528"/>
      <c r="N126" s="528"/>
      <c r="O126" s="528"/>
      <c r="P126" s="528"/>
      <c r="Q126" s="528"/>
      <c r="R126" s="528"/>
      <c r="S126" s="528"/>
      <c r="T126" s="528"/>
      <c r="U126" s="528"/>
      <c r="V126" s="528"/>
      <c r="W126" s="528"/>
      <c r="X126" s="528"/>
      <c r="Y126" s="528"/>
      <c r="Z126" s="528"/>
      <c r="AA126" s="529"/>
      <c r="AB126" s="529"/>
      <c r="AC126" s="529"/>
      <c r="AD126" s="529"/>
      <c r="AE126" s="529"/>
      <c r="AF126" s="529"/>
      <c r="AG126" s="529"/>
      <c r="AH126" s="529"/>
      <c r="AI126" s="529"/>
      <c r="AJ126" s="529"/>
      <c r="AK126" s="529"/>
      <c r="AL126" s="529"/>
      <c r="AM126" s="529"/>
      <c r="AN126" s="529"/>
      <c r="AO126"/>
      <c r="AP126" s="529"/>
      <c r="AQ126" s="529"/>
      <c r="AR126" s="529"/>
      <c r="AS126" s="529"/>
      <c r="AT126" s="529"/>
      <c r="AU126" s="529"/>
      <c r="AV126" s="529"/>
      <c r="AW126" s="57"/>
    </row>
    <row r="127" spans="1:49" x14ac:dyDescent="0.25">
      <c r="A127" s="57"/>
      <c r="B127" s="527"/>
      <c r="C127" s="527"/>
      <c r="D127" s="527"/>
      <c r="E127" s="7"/>
      <c r="F127" s="7"/>
      <c r="G127" s="528"/>
      <c r="H127" s="528"/>
      <c r="I127" s="528"/>
      <c r="J127" s="528"/>
      <c r="K127" s="528"/>
      <c r="L127" s="528"/>
      <c r="M127" s="528"/>
      <c r="N127" s="528"/>
      <c r="O127" s="528"/>
      <c r="P127" s="528"/>
      <c r="Q127" s="528"/>
      <c r="R127" s="528"/>
      <c r="S127" s="528"/>
      <c r="T127" s="528"/>
      <c r="U127" s="528"/>
      <c r="V127" s="528"/>
      <c r="W127" s="528"/>
      <c r="X127" s="528"/>
      <c r="Y127" s="528"/>
      <c r="Z127" s="528"/>
      <c r="AA127" s="529"/>
      <c r="AB127" s="529"/>
      <c r="AC127" s="529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/>
      <c r="AP127" s="529"/>
      <c r="AQ127" s="529"/>
      <c r="AR127" s="529"/>
      <c r="AS127" s="529"/>
      <c r="AT127" s="529"/>
      <c r="AU127" s="529"/>
      <c r="AV127" s="529"/>
      <c r="AW127" s="57"/>
    </row>
    <row r="128" spans="1:49" x14ac:dyDescent="0.25">
      <c r="A128" s="57"/>
      <c r="B128" s="527"/>
      <c r="C128" s="527"/>
      <c r="D128" s="527"/>
      <c r="E128" s="7"/>
      <c r="F128" s="7"/>
      <c r="G128" s="528"/>
      <c r="H128" s="528"/>
      <c r="I128" s="528"/>
      <c r="J128" s="528"/>
      <c r="K128" s="528"/>
      <c r="L128" s="528"/>
      <c r="M128" s="528"/>
      <c r="N128" s="528"/>
      <c r="O128" s="528"/>
      <c r="P128" s="528"/>
      <c r="Q128" s="528"/>
      <c r="R128" s="528"/>
      <c r="S128" s="528"/>
      <c r="T128" s="528"/>
      <c r="U128" s="528"/>
      <c r="V128" s="528"/>
      <c r="W128" s="528"/>
      <c r="X128" s="528"/>
      <c r="Y128" s="528"/>
      <c r="Z128" s="528"/>
      <c r="AA128" s="529"/>
      <c r="AB128" s="529"/>
      <c r="AC128" s="529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/>
      <c r="AP128" s="529"/>
      <c r="AQ128" s="529"/>
      <c r="AR128" s="529"/>
      <c r="AS128" s="529"/>
      <c r="AT128" s="529"/>
      <c r="AU128" s="529"/>
      <c r="AV128" s="529"/>
      <c r="AW128" s="57"/>
    </row>
    <row r="129" spans="1:49" x14ac:dyDescent="0.25">
      <c r="A129" s="57"/>
      <c r="B129" s="527"/>
      <c r="C129" s="527"/>
      <c r="D129" s="527"/>
      <c r="E129" s="7"/>
      <c r="F129" s="7"/>
      <c r="G129" s="528"/>
      <c r="H129" s="528"/>
      <c r="I129" s="528"/>
      <c r="J129" s="528"/>
      <c r="K129" s="528"/>
      <c r="L129" s="528"/>
      <c r="M129" s="528"/>
      <c r="N129" s="528"/>
      <c r="O129" s="528"/>
      <c r="P129" s="528"/>
      <c r="Q129" s="528"/>
      <c r="R129" s="528"/>
      <c r="S129" s="528"/>
      <c r="T129" s="528"/>
      <c r="U129" s="528"/>
      <c r="V129" s="528"/>
      <c r="W129" s="528"/>
      <c r="X129" s="528"/>
      <c r="Y129" s="528"/>
      <c r="Z129" s="528"/>
      <c r="AA129" s="529"/>
      <c r="AB129" s="529"/>
      <c r="AC129" s="529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/>
      <c r="AP129" s="529"/>
      <c r="AQ129" s="529"/>
      <c r="AR129" s="529"/>
      <c r="AS129" s="529"/>
      <c r="AT129" s="529"/>
      <c r="AU129" s="529"/>
      <c r="AV129" s="529"/>
      <c r="AW129" s="57"/>
    </row>
    <row r="130" spans="1:49" x14ac:dyDescent="0.25">
      <c r="A130" s="57"/>
      <c r="B130" s="527"/>
      <c r="C130" s="527"/>
      <c r="D130" s="527"/>
      <c r="E130" s="7"/>
      <c r="F130" s="7"/>
      <c r="G130" s="528"/>
      <c r="H130" s="528"/>
      <c r="I130" s="528"/>
      <c r="J130" s="528"/>
      <c r="K130" s="528"/>
      <c r="L130" s="528"/>
      <c r="M130" s="528"/>
      <c r="N130" s="528"/>
      <c r="O130" s="528"/>
      <c r="P130" s="528"/>
      <c r="Q130" s="528"/>
      <c r="R130" s="528"/>
      <c r="S130" s="528"/>
      <c r="T130" s="528"/>
      <c r="U130" s="528"/>
      <c r="V130" s="528"/>
      <c r="W130" s="528"/>
      <c r="X130" s="528"/>
      <c r="Y130" s="528"/>
      <c r="Z130" s="528"/>
      <c r="AA130" s="529"/>
      <c r="AB130" s="529"/>
      <c r="AC130" s="529"/>
      <c r="AD130" s="529"/>
      <c r="AE130" s="529"/>
      <c r="AF130" s="529"/>
      <c r="AG130" s="529"/>
      <c r="AH130" s="529"/>
      <c r="AI130" s="529"/>
      <c r="AJ130" s="529"/>
      <c r="AK130" s="529"/>
      <c r="AL130" s="529"/>
      <c r="AM130" s="529"/>
      <c r="AN130" s="529"/>
      <c r="AO130"/>
      <c r="AP130" s="529"/>
      <c r="AQ130" s="529"/>
      <c r="AR130" s="529"/>
      <c r="AS130" s="529"/>
      <c r="AT130" s="529"/>
      <c r="AU130" s="529"/>
      <c r="AV130" s="529"/>
      <c r="AW130" s="57"/>
    </row>
    <row r="131" spans="1:49" x14ac:dyDescent="0.25">
      <c r="A131" s="57"/>
      <c r="B131" s="527"/>
      <c r="C131" s="527"/>
      <c r="D131" s="527"/>
      <c r="E131" s="7"/>
      <c r="F131" s="7"/>
      <c r="G131" s="528"/>
      <c r="H131" s="528"/>
      <c r="I131" s="528"/>
      <c r="J131" s="528"/>
      <c r="K131" s="528"/>
      <c r="L131" s="528"/>
      <c r="M131" s="528"/>
      <c r="N131" s="528"/>
      <c r="O131" s="528"/>
      <c r="P131" s="528"/>
      <c r="Q131" s="528"/>
      <c r="R131" s="528"/>
      <c r="S131" s="528"/>
      <c r="T131" s="528"/>
      <c r="U131" s="528"/>
      <c r="V131" s="528"/>
      <c r="W131" s="528"/>
      <c r="X131" s="528"/>
      <c r="Y131" s="528"/>
      <c r="Z131" s="528"/>
      <c r="AA131" s="529"/>
      <c r="AB131" s="529"/>
      <c r="AC131" s="529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/>
      <c r="AP131" s="529"/>
      <c r="AQ131" s="529"/>
      <c r="AR131" s="529"/>
      <c r="AS131" s="529"/>
      <c r="AT131" s="529"/>
      <c r="AU131" s="529"/>
      <c r="AV131" s="529"/>
      <c r="AW131" s="57"/>
    </row>
    <row r="132" spans="1:49" x14ac:dyDescent="0.25">
      <c r="A132" s="57"/>
      <c r="B132" s="527"/>
      <c r="C132" s="527"/>
      <c r="D132" s="527"/>
      <c r="E132" s="7"/>
      <c r="F132" s="7"/>
      <c r="G132" s="528"/>
      <c r="H132" s="528"/>
      <c r="I132" s="528"/>
      <c r="J132" s="528"/>
      <c r="K132" s="528"/>
      <c r="L132" s="528"/>
      <c r="M132" s="528"/>
      <c r="N132" s="528"/>
      <c r="O132" s="528"/>
      <c r="P132" s="528"/>
      <c r="Q132" s="528"/>
      <c r="R132" s="528"/>
      <c r="S132" s="528"/>
      <c r="T132" s="528"/>
      <c r="U132" s="528"/>
      <c r="V132" s="528"/>
      <c r="W132" s="528"/>
      <c r="X132" s="528"/>
      <c r="Y132" s="528"/>
      <c r="Z132" s="528"/>
      <c r="AA132" s="529"/>
      <c r="AB132" s="529"/>
      <c r="AC132" s="529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/>
      <c r="AP132" s="529"/>
      <c r="AQ132" s="529"/>
      <c r="AR132" s="529"/>
      <c r="AS132" s="529"/>
      <c r="AT132" s="529"/>
      <c r="AU132" s="529"/>
      <c r="AV132" s="529"/>
      <c r="AW132" s="57"/>
    </row>
    <row r="133" spans="1:49" x14ac:dyDescent="0.25">
      <c r="A133" s="57"/>
      <c r="B133" s="527"/>
      <c r="C133" s="527"/>
      <c r="D133" s="527"/>
      <c r="E133" s="7"/>
      <c r="F133" s="7"/>
      <c r="G133" s="528"/>
      <c r="H133" s="528"/>
      <c r="I133" s="528"/>
      <c r="J133" s="528"/>
      <c r="K133" s="528"/>
      <c r="L133" s="528"/>
      <c r="M133" s="528"/>
      <c r="N133" s="528"/>
      <c r="O133" s="528"/>
      <c r="P133" s="528"/>
      <c r="Q133" s="528"/>
      <c r="R133" s="528"/>
      <c r="S133" s="528"/>
      <c r="T133" s="528"/>
      <c r="U133" s="528"/>
      <c r="V133" s="528"/>
      <c r="W133" s="528"/>
      <c r="X133" s="528"/>
      <c r="Y133" s="528"/>
      <c r="Z133" s="528"/>
      <c r="AA133" s="529"/>
      <c r="AB133" s="529"/>
      <c r="AC133" s="529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/>
      <c r="AP133" s="529"/>
      <c r="AQ133" s="529"/>
      <c r="AR133" s="529"/>
      <c r="AS133" s="529"/>
      <c r="AT133" s="529"/>
      <c r="AU133" s="529"/>
      <c r="AV133" s="529"/>
      <c r="AW133" s="57"/>
    </row>
    <row r="134" spans="1:49" x14ac:dyDescent="0.25">
      <c r="A134" s="57"/>
      <c r="B134" s="527"/>
      <c r="C134" s="527"/>
      <c r="D134" s="527"/>
      <c r="E134" s="7"/>
      <c r="F134" s="7"/>
      <c r="G134" s="528"/>
      <c r="H134" s="528"/>
      <c r="I134" s="528"/>
      <c r="J134" s="528"/>
      <c r="K134" s="528"/>
      <c r="L134" s="528"/>
      <c r="M134" s="528"/>
      <c r="N134" s="528"/>
      <c r="O134" s="528"/>
      <c r="P134" s="528"/>
      <c r="Q134" s="528"/>
      <c r="R134" s="528"/>
      <c r="S134" s="528"/>
      <c r="T134" s="528"/>
      <c r="U134" s="528"/>
      <c r="V134" s="528"/>
      <c r="W134" s="528"/>
      <c r="X134" s="528"/>
      <c r="Y134" s="528"/>
      <c r="Z134" s="528"/>
      <c r="AA134" s="529"/>
      <c r="AB134" s="529"/>
      <c r="AC134" s="529"/>
      <c r="AD134" s="529"/>
      <c r="AE134" s="529"/>
      <c r="AF134" s="529"/>
      <c r="AG134" s="529"/>
      <c r="AH134" s="529"/>
      <c r="AI134" s="529"/>
      <c r="AJ134" s="529"/>
      <c r="AK134" s="529"/>
      <c r="AL134" s="529"/>
      <c r="AM134" s="529"/>
      <c r="AN134" s="529"/>
      <c r="AO134"/>
      <c r="AP134" s="529"/>
      <c r="AQ134" s="529"/>
      <c r="AR134" s="529"/>
      <c r="AS134" s="529"/>
      <c r="AT134" s="529"/>
      <c r="AU134" s="529"/>
      <c r="AV134" s="529"/>
      <c r="AW134" s="57"/>
    </row>
    <row r="135" spans="1:49" x14ac:dyDescent="0.25">
      <c r="A135" s="57"/>
      <c r="B135" s="527"/>
      <c r="C135" s="527"/>
      <c r="D135" s="527"/>
      <c r="E135" s="7"/>
      <c r="F135" s="7"/>
      <c r="G135" s="528"/>
      <c r="H135" s="528"/>
      <c r="I135" s="528"/>
      <c r="J135" s="528"/>
      <c r="K135" s="528"/>
      <c r="L135" s="528"/>
      <c r="M135" s="528"/>
      <c r="N135" s="528"/>
      <c r="O135" s="528"/>
      <c r="P135" s="528"/>
      <c r="Q135" s="528"/>
      <c r="R135" s="528"/>
      <c r="S135" s="528"/>
      <c r="T135" s="528"/>
      <c r="U135" s="528"/>
      <c r="V135" s="528"/>
      <c r="W135" s="528"/>
      <c r="X135" s="528"/>
      <c r="Y135" s="528"/>
      <c r="Z135" s="528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529"/>
      <c r="AO135"/>
      <c r="AP135" s="529"/>
      <c r="AQ135" s="529"/>
      <c r="AR135" s="529"/>
      <c r="AS135" s="529"/>
      <c r="AT135" s="529"/>
      <c r="AU135" s="529"/>
      <c r="AV135" s="529"/>
      <c r="AW135" s="57"/>
    </row>
    <row r="136" spans="1:49" x14ac:dyDescent="0.25">
      <c r="A136" s="57"/>
      <c r="B136" s="527"/>
      <c r="C136" s="527"/>
      <c r="D136" s="527"/>
      <c r="E136" s="7"/>
      <c r="F136" s="7"/>
      <c r="G136" s="528"/>
      <c r="H136" s="528"/>
      <c r="I136" s="528"/>
      <c r="J136" s="528"/>
      <c r="K136" s="528"/>
      <c r="L136" s="528"/>
      <c r="M136" s="528"/>
      <c r="N136" s="528"/>
      <c r="O136" s="528"/>
      <c r="P136" s="528"/>
      <c r="Q136" s="528"/>
      <c r="R136" s="528"/>
      <c r="S136" s="528"/>
      <c r="T136" s="528"/>
      <c r="U136" s="528"/>
      <c r="V136" s="528"/>
      <c r="W136" s="528"/>
      <c r="X136" s="528"/>
      <c r="Y136" s="528"/>
      <c r="Z136" s="528"/>
      <c r="AA136" s="529"/>
      <c r="AB136" s="529"/>
      <c r="AC136" s="529"/>
      <c r="AD136" s="529"/>
      <c r="AE136" s="529"/>
      <c r="AF136" s="529"/>
      <c r="AG136" s="529"/>
      <c r="AH136" s="529"/>
      <c r="AI136" s="529"/>
      <c r="AJ136" s="529"/>
      <c r="AK136" s="529"/>
      <c r="AL136" s="529"/>
      <c r="AM136" s="529"/>
      <c r="AN136" s="529"/>
      <c r="AO136"/>
      <c r="AP136" s="529"/>
      <c r="AQ136" s="529"/>
      <c r="AR136" s="529"/>
      <c r="AS136" s="529"/>
      <c r="AT136" s="529"/>
      <c r="AU136" s="529"/>
      <c r="AV136" s="529"/>
      <c r="AW136" s="57"/>
    </row>
    <row r="137" spans="1:49" x14ac:dyDescent="0.25">
      <c r="A137" s="57"/>
      <c r="B137" s="527"/>
      <c r="C137" s="527"/>
      <c r="D137" s="527"/>
      <c r="E137" s="7"/>
      <c r="F137" s="7"/>
      <c r="G137" s="528"/>
      <c r="H137" s="528"/>
      <c r="I137" s="528"/>
      <c r="J137" s="528"/>
      <c r="K137" s="528"/>
      <c r="L137" s="528"/>
      <c r="M137" s="528"/>
      <c r="N137" s="528"/>
      <c r="O137" s="528"/>
      <c r="P137" s="528"/>
      <c r="Q137" s="528"/>
      <c r="R137" s="528"/>
      <c r="S137" s="528"/>
      <c r="T137" s="528"/>
      <c r="U137" s="528"/>
      <c r="V137" s="528"/>
      <c r="W137" s="528"/>
      <c r="X137" s="528"/>
      <c r="Y137" s="528"/>
      <c r="Z137" s="528"/>
      <c r="AA137" s="529"/>
      <c r="AB137" s="529"/>
      <c r="AC137" s="529"/>
      <c r="AD137" s="529"/>
      <c r="AE137" s="529"/>
      <c r="AF137" s="529"/>
      <c r="AG137" s="529"/>
      <c r="AH137" s="529"/>
      <c r="AI137" s="529"/>
      <c r="AJ137" s="529"/>
      <c r="AK137" s="529"/>
      <c r="AL137" s="529"/>
      <c r="AM137" s="529"/>
      <c r="AN137" s="529"/>
      <c r="AO137"/>
      <c r="AP137" s="529"/>
      <c r="AQ137" s="529"/>
      <c r="AR137" s="529"/>
      <c r="AS137" s="529"/>
      <c r="AT137" s="529"/>
      <c r="AU137" s="529"/>
      <c r="AV137" s="529"/>
      <c r="AW137" s="57"/>
    </row>
    <row r="138" spans="1:49" x14ac:dyDescent="0.25">
      <c r="A138" s="57"/>
      <c r="B138" s="527"/>
      <c r="C138" s="527"/>
      <c r="D138" s="527"/>
      <c r="E138" s="7"/>
      <c r="F138" s="7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  <c r="R138" s="528"/>
      <c r="S138" s="528"/>
      <c r="T138" s="528"/>
      <c r="U138" s="528"/>
      <c r="V138" s="528"/>
      <c r="W138" s="528"/>
      <c r="X138" s="528"/>
      <c r="Y138" s="528"/>
      <c r="Z138" s="528"/>
      <c r="AA138" s="529"/>
      <c r="AB138" s="529"/>
      <c r="AC138" s="529"/>
      <c r="AD138" s="529"/>
      <c r="AE138" s="529"/>
      <c r="AF138" s="529"/>
      <c r="AG138" s="529"/>
      <c r="AH138" s="529"/>
      <c r="AI138" s="529"/>
      <c r="AJ138" s="529"/>
      <c r="AK138" s="529"/>
      <c r="AL138" s="529"/>
      <c r="AM138" s="529"/>
      <c r="AN138" s="529"/>
      <c r="AO138"/>
      <c r="AP138" s="529"/>
      <c r="AQ138" s="529"/>
      <c r="AR138" s="529"/>
      <c r="AS138" s="529"/>
      <c r="AT138" s="529"/>
      <c r="AU138" s="529"/>
      <c r="AV138" s="529"/>
      <c r="AW138" s="57"/>
    </row>
    <row r="139" spans="1:49" x14ac:dyDescent="0.25">
      <c r="A139" s="57"/>
      <c r="B139" s="527"/>
      <c r="C139" s="527"/>
      <c r="D139" s="527"/>
      <c r="E139" s="7"/>
      <c r="F139" s="7"/>
      <c r="G139" s="528"/>
      <c r="H139" s="528"/>
      <c r="I139" s="528"/>
      <c r="J139" s="528"/>
      <c r="K139" s="528"/>
      <c r="L139" s="528"/>
      <c r="M139" s="528"/>
      <c r="N139" s="528"/>
      <c r="O139" s="528"/>
      <c r="P139" s="528"/>
      <c r="Q139" s="528"/>
      <c r="R139" s="528"/>
      <c r="S139" s="528"/>
      <c r="T139" s="528"/>
      <c r="U139" s="528"/>
      <c r="V139" s="528"/>
      <c r="W139" s="528"/>
      <c r="X139" s="528"/>
      <c r="Y139" s="528"/>
      <c r="Z139" s="528"/>
      <c r="AA139" s="529"/>
      <c r="AB139" s="529"/>
      <c r="AC139" s="529"/>
      <c r="AD139" s="529"/>
      <c r="AE139" s="529"/>
      <c r="AF139" s="529"/>
      <c r="AG139" s="529"/>
      <c r="AH139" s="528"/>
      <c r="AI139" s="529"/>
      <c r="AJ139" s="529"/>
      <c r="AK139" s="529"/>
      <c r="AL139" s="529"/>
      <c r="AM139" s="529"/>
      <c r="AN139" s="529"/>
      <c r="AO139"/>
      <c r="AP139" s="529"/>
      <c r="AQ139" s="529"/>
      <c r="AR139" s="529"/>
      <c r="AS139" s="529"/>
      <c r="AT139" s="529"/>
      <c r="AU139" s="529"/>
      <c r="AV139" s="529"/>
      <c r="AW139" s="57"/>
    </row>
    <row r="140" spans="1:49" x14ac:dyDescent="0.25">
      <c r="A140" s="57"/>
      <c r="B140" s="527"/>
      <c r="C140" s="527"/>
      <c r="D140" s="527"/>
      <c r="E140" s="7"/>
      <c r="F140" s="7"/>
      <c r="G140" s="528"/>
      <c r="H140" s="528"/>
      <c r="I140" s="528"/>
      <c r="J140" s="528"/>
      <c r="K140" s="528"/>
      <c r="L140" s="528"/>
      <c r="M140" s="528"/>
      <c r="N140" s="528"/>
      <c r="O140" s="528"/>
      <c r="P140" s="528"/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9"/>
      <c r="AB140" s="529"/>
      <c r="AC140" s="529"/>
      <c r="AD140" s="529"/>
      <c r="AE140" s="529"/>
      <c r="AF140" s="529"/>
      <c r="AG140" s="529"/>
      <c r="AH140" s="528"/>
      <c r="AI140" s="529"/>
      <c r="AJ140" s="529"/>
      <c r="AK140" s="529"/>
      <c r="AL140" s="529"/>
      <c r="AM140" s="529"/>
      <c r="AN140" s="529"/>
      <c r="AO140"/>
      <c r="AP140" s="529"/>
      <c r="AQ140" s="529"/>
      <c r="AR140" s="529"/>
      <c r="AS140" s="529"/>
      <c r="AT140" s="529"/>
      <c r="AU140" s="529"/>
      <c r="AV140" s="529"/>
      <c r="AW140" s="57"/>
    </row>
    <row r="141" spans="1:49" x14ac:dyDescent="0.25">
      <c r="A141" s="57"/>
      <c r="B141" s="527"/>
      <c r="C141" s="527"/>
      <c r="D141" s="527"/>
      <c r="E141" s="7"/>
      <c r="F141" s="7"/>
      <c r="G141" s="528"/>
      <c r="H141" s="528"/>
      <c r="I141" s="528"/>
      <c r="J141" s="528"/>
      <c r="K141" s="528"/>
      <c r="L141" s="528"/>
      <c r="M141" s="528"/>
      <c r="N141" s="528"/>
      <c r="O141" s="528"/>
      <c r="P141" s="528"/>
      <c r="Q141" s="528"/>
      <c r="R141" s="528"/>
      <c r="S141" s="528"/>
      <c r="T141" s="528"/>
      <c r="U141" s="528"/>
      <c r="V141" s="528"/>
      <c r="W141" s="528"/>
      <c r="X141" s="528"/>
      <c r="Y141" s="528"/>
      <c r="Z141" s="528"/>
      <c r="AA141" s="529"/>
      <c r="AB141" s="529"/>
      <c r="AC141" s="529"/>
      <c r="AD141" s="529"/>
      <c r="AE141" s="529"/>
      <c r="AF141" s="529"/>
      <c r="AG141" s="529"/>
      <c r="AH141" s="529"/>
      <c r="AI141" s="529"/>
      <c r="AJ141" s="529"/>
      <c r="AK141" s="529"/>
      <c r="AL141" s="529"/>
      <c r="AM141" s="529"/>
      <c r="AN141" s="529"/>
      <c r="AO141"/>
      <c r="AP141" s="529"/>
      <c r="AQ141" s="529"/>
      <c r="AR141" s="529"/>
      <c r="AS141" s="529"/>
      <c r="AT141" s="529"/>
      <c r="AU141" s="529"/>
      <c r="AV141" s="529"/>
      <c r="AW141" s="57"/>
    </row>
    <row r="142" spans="1:49" x14ac:dyDescent="0.25">
      <c r="A142" s="57"/>
      <c r="B142" s="527"/>
      <c r="C142" s="527"/>
      <c r="D142" s="527"/>
      <c r="E142" s="7"/>
      <c r="F142" s="7"/>
      <c r="G142" s="528"/>
      <c r="H142" s="528"/>
      <c r="I142" s="528"/>
      <c r="J142" s="528"/>
      <c r="K142" s="528"/>
      <c r="L142" s="528"/>
      <c r="M142" s="528"/>
      <c r="N142" s="528"/>
      <c r="O142" s="528"/>
      <c r="P142" s="528"/>
      <c r="Q142" s="528"/>
      <c r="R142" s="528"/>
      <c r="S142" s="528"/>
      <c r="T142" s="528"/>
      <c r="U142" s="528"/>
      <c r="V142" s="528"/>
      <c r="W142" s="528"/>
      <c r="X142" s="528"/>
      <c r="Y142" s="528"/>
      <c r="Z142" s="528"/>
      <c r="AA142" s="529"/>
      <c r="AB142" s="529"/>
      <c r="AC142" s="529"/>
      <c r="AD142" s="529"/>
      <c r="AE142" s="529"/>
      <c r="AF142" s="529"/>
      <c r="AG142" s="529"/>
      <c r="AH142" s="529"/>
      <c r="AI142" s="529"/>
      <c r="AJ142" s="529"/>
      <c r="AK142" s="529"/>
      <c r="AL142" s="529"/>
      <c r="AM142" s="529"/>
      <c r="AN142" s="529"/>
      <c r="AO142"/>
      <c r="AP142" s="529"/>
      <c r="AQ142" s="529"/>
      <c r="AR142" s="529"/>
      <c r="AS142" s="529"/>
      <c r="AT142" s="529"/>
      <c r="AU142" s="529"/>
      <c r="AV142" s="529"/>
      <c r="AW142" s="57"/>
    </row>
    <row r="143" spans="1:49" x14ac:dyDescent="0.25">
      <c r="A143" s="57"/>
      <c r="B143" s="527"/>
      <c r="C143" s="527"/>
      <c r="D143" s="527"/>
      <c r="E143" s="7"/>
      <c r="F143" s="7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528"/>
      <c r="R143" s="528"/>
      <c r="S143" s="528"/>
      <c r="T143" s="528"/>
      <c r="U143" s="528"/>
      <c r="V143" s="528"/>
      <c r="W143" s="528"/>
      <c r="X143" s="528"/>
      <c r="Y143" s="528"/>
      <c r="Z143" s="528"/>
      <c r="AA143" s="529"/>
      <c r="AB143" s="529"/>
      <c r="AC143" s="529"/>
      <c r="AD143" s="529"/>
      <c r="AE143" s="529"/>
      <c r="AF143" s="529"/>
      <c r="AG143" s="529"/>
      <c r="AH143" s="529"/>
      <c r="AI143" s="529"/>
      <c r="AJ143" s="529"/>
      <c r="AK143" s="529"/>
      <c r="AL143" s="529"/>
      <c r="AM143" s="529"/>
      <c r="AN143" s="529"/>
      <c r="AO143"/>
      <c r="AP143" s="529"/>
      <c r="AQ143" s="529"/>
      <c r="AR143" s="529"/>
      <c r="AS143" s="529"/>
      <c r="AT143" s="529"/>
      <c r="AU143" s="529"/>
      <c r="AV143" s="529"/>
      <c r="AW143" s="57"/>
    </row>
    <row r="144" spans="1:49" x14ac:dyDescent="0.25">
      <c r="A144" s="57"/>
      <c r="B144" s="527"/>
      <c r="C144" s="527"/>
      <c r="D144" s="527"/>
      <c r="E144" s="7"/>
      <c r="F144" s="7"/>
      <c r="G144" s="528"/>
      <c r="H144" s="528"/>
      <c r="I144" s="528"/>
      <c r="J144" s="528"/>
      <c r="K144" s="528"/>
      <c r="L144" s="528"/>
      <c r="M144" s="528"/>
      <c r="N144" s="528"/>
      <c r="O144" s="528"/>
      <c r="P144" s="528"/>
      <c r="Q144" s="528"/>
      <c r="R144" s="528"/>
      <c r="S144" s="528"/>
      <c r="T144" s="528"/>
      <c r="U144" s="528"/>
      <c r="V144" s="528"/>
      <c r="W144" s="528"/>
      <c r="X144" s="528"/>
      <c r="Y144" s="528"/>
      <c r="Z144" s="528"/>
      <c r="AA144" s="529"/>
      <c r="AB144" s="529"/>
      <c r="AC144" s="529"/>
      <c r="AD144" s="529"/>
      <c r="AE144" s="529"/>
      <c r="AF144" s="529"/>
      <c r="AG144" s="529"/>
      <c r="AH144" s="529"/>
      <c r="AI144" s="529"/>
      <c r="AJ144" s="529"/>
      <c r="AK144" s="529"/>
      <c r="AL144" s="529"/>
      <c r="AM144" s="529"/>
      <c r="AN144" s="529"/>
      <c r="AO144"/>
      <c r="AP144" s="529"/>
      <c r="AQ144" s="529"/>
      <c r="AR144" s="529"/>
      <c r="AS144" s="529"/>
      <c r="AT144" s="529"/>
      <c r="AU144" s="529"/>
      <c r="AV144" s="529"/>
      <c r="AW144" s="57"/>
    </row>
    <row r="145" spans="1:49" x14ac:dyDescent="0.25">
      <c r="A145" s="57"/>
      <c r="B145" s="527"/>
      <c r="C145" s="527"/>
      <c r="D145" s="527"/>
      <c r="E145" s="7"/>
      <c r="F145" s="7"/>
      <c r="G145" s="528"/>
      <c r="H145" s="528"/>
      <c r="I145" s="528"/>
      <c r="J145" s="528"/>
      <c r="K145" s="528"/>
      <c r="L145" s="528"/>
      <c r="M145" s="528"/>
      <c r="N145" s="528"/>
      <c r="O145" s="528"/>
      <c r="P145" s="528"/>
      <c r="Q145" s="528"/>
      <c r="R145" s="528"/>
      <c r="S145" s="528"/>
      <c r="T145" s="528"/>
      <c r="U145" s="528"/>
      <c r="V145" s="528"/>
      <c r="W145" s="528"/>
      <c r="X145" s="528"/>
      <c r="Y145" s="528"/>
      <c r="Z145" s="528"/>
      <c r="AA145" s="529"/>
      <c r="AB145" s="529"/>
      <c r="AC145" s="529"/>
      <c r="AD145" s="529"/>
      <c r="AE145" s="529"/>
      <c r="AF145" s="529"/>
      <c r="AG145" s="529"/>
      <c r="AH145" s="529"/>
      <c r="AI145" s="529"/>
      <c r="AJ145" s="529"/>
      <c r="AK145" s="529"/>
      <c r="AL145" s="529"/>
      <c r="AM145" s="529"/>
      <c r="AN145" s="529"/>
      <c r="AO145"/>
      <c r="AP145" s="529"/>
      <c r="AQ145" s="529"/>
      <c r="AR145" s="529"/>
      <c r="AS145" s="529"/>
      <c r="AT145" s="529"/>
      <c r="AU145" s="529"/>
      <c r="AV145" s="529"/>
      <c r="AW145" s="57"/>
    </row>
    <row r="146" spans="1:49" x14ac:dyDescent="0.25">
      <c r="A146" s="57"/>
      <c r="B146" s="527"/>
      <c r="C146" s="527"/>
      <c r="D146" s="527"/>
      <c r="E146" s="7"/>
      <c r="F146" s="7"/>
      <c r="G146" s="528"/>
      <c r="H146" s="528"/>
      <c r="I146" s="528"/>
      <c r="J146" s="528"/>
      <c r="K146" s="528"/>
      <c r="L146" s="528"/>
      <c r="M146" s="528"/>
      <c r="N146" s="528"/>
      <c r="O146" s="528"/>
      <c r="P146" s="528"/>
      <c r="Q146" s="528"/>
      <c r="R146" s="528"/>
      <c r="S146" s="528"/>
      <c r="T146" s="528"/>
      <c r="U146" s="528"/>
      <c r="V146" s="528"/>
      <c r="W146" s="528"/>
      <c r="X146" s="528"/>
      <c r="Y146" s="528"/>
      <c r="Z146" s="528"/>
      <c r="AA146" s="529"/>
      <c r="AB146" s="529"/>
      <c r="AC146" s="529"/>
      <c r="AD146" s="529"/>
      <c r="AE146" s="529"/>
      <c r="AF146" s="529"/>
      <c r="AG146" s="529"/>
      <c r="AH146" s="529"/>
      <c r="AI146" s="529"/>
      <c r="AJ146" s="529"/>
      <c r="AK146" s="529"/>
      <c r="AL146" s="529"/>
      <c r="AM146" s="529"/>
      <c r="AN146" s="529"/>
      <c r="AO146"/>
      <c r="AP146" s="529"/>
      <c r="AQ146" s="529"/>
      <c r="AR146" s="529"/>
      <c r="AS146" s="529"/>
      <c r="AT146" s="529"/>
      <c r="AU146" s="529"/>
      <c r="AV146" s="529"/>
      <c r="AW146" s="57"/>
    </row>
    <row r="147" spans="1:49" x14ac:dyDescent="0.25">
      <c r="A147" s="57"/>
      <c r="B147" s="527"/>
      <c r="C147" s="527"/>
      <c r="D147" s="527"/>
      <c r="E147" s="7"/>
      <c r="F147" s="7"/>
      <c r="G147" s="528"/>
      <c r="H147" s="528"/>
      <c r="I147" s="528"/>
      <c r="J147" s="528"/>
      <c r="K147" s="528"/>
      <c r="L147" s="528"/>
      <c r="M147" s="528"/>
      <c r="N147" s="528"/>
      <c r="O147" s="528"/>
      <c r="P147" s="528"/>
      <c r="Q147" s="528"/>
      <c r="R147" s="528"/>
      <c r="S147" s="528"/>
      <c r="T147" s="528"/>
      <c r="U147" s="528"/>
      <c r="V147" s="528"/>
      <c r="W147" s="528"/>
      <c r="X147" s="528"/>
      <c r="Y147" s="528"/>
      <c r="Z147" s="528"/>
      <c r="AA147" s="529"/>
      <c r="AB147" s="529"/>
      <c r="AC147" s="529"/>
      <c r="AD147" s="529"/>
      <c r="AE147" s="529"/>
      <c r="AF147" s="529"/>
      <c r="AG147" s="529"/>
      <c r="AH147" s="529"/>
      <c r="AI147" s="529"/>
      <c r="AJ147" s="529"/>
      <c r="AK147" s="529"/>
      <c r="AL147" s="529"/>
      <c r="AM147" s="529"/>
      <c r="AN147" s="529"/>
      <c r="AO147"/>
      <c r="AP147" s="529"/>
      <c r="AQ147" s="529"/>
      <c r="AR147" s="529"/>
      <c r="AS147" s="529"/>
      <c r="AT147" s="529"/>
      <c r="AU147" s="529"/>
      <c r="AV147" s="529"/>
      <c r="AW147" s="57"/>
    </row>
    <row r="148" spans="1:49" x14ac:dyDescent="0.25">
      <c r="A148" s="57"/>
      <c r="B148" s="527"/>
      <c r="C148" s="527"/>
      <c r="D148" s="527"/>
      <c r="E148" s="7"/>
      <c r="F148" s="7"/>
      <c r="G148" s="528"/>
      <c r="H148" s="528"/>
      <c r="I148" s="528"/>
      <c r="J148" s="528"/>
      <c r="K148" s="528"/>
      <c r="L148" s="528"/>
      <c r="M148" s="528"/>
      <c r="N148" s="528"/>
      <c r="O148" s="528"/>
      <c r="P148" s="528"/>
      <c r="Q148" s="528"/>
      <c r="R148" s="528"/>
      <c r="S148" s="528"/>
      <c r="T148" s="528"/>
      <c r="U148" s="528"/>
      <c r="V148" s="528"/>
      <c r="W148" s="528"/>
      <c r="X148" s="528"/>
      <c r="Y148" s="528"/>
      <c r="Z148" s="528"/>
      <c r="AA148" s="529"/>
      <c r="AB148" s="529"/>
      <c r="AC148" s="529"/>
      <c r="AD148" s="529"/>
      <c r="AE148" s="529"/>
      <c r="AF148" s="529"/>
      <c r="AG148" s="529"/>
      <c r="AH148" s="529"/>
      <c r="AI148" s="529"/>
      <c r="AJ148" s="529"/>
      <c r="AK148" s="529"/>
      <c r="AL148" s="529"/>
      <c r="AM148" s="529"/>
      <c r="AN148" s="529"/>
      <c r="AO148"/>
      <c r="AP148" s="529"/>
      <c r="AQ148" s="529"/>
      <c r="AR148" s="529"/>
      <c r="AS148" s="529"/>
      <c r="AT148" s="529"/>
      <c r="AU148" s="529"/>
      <c r="AV148" s="529"/>
      <c r="AW148" s="57"/>
    </row>
    <row r="149" spans="1:49" x14ac:dyDescent="0.25">
      <c r="A149" s="57"/>
      <c r="B149" s="527"/>
      <c r="C149" s="527"/>
      <c r="D149" s="527"/>
      <c r="E149" s="7"/>
      <c r="F149" s="7"/>
      <c r="G149" s="528"/>
      <c r="H149" s="528"/>
      <c r="I149" s="528"/>
      <c r="J149" s="528"/>
      <c r="K149" s="528"/>
      <c r="L149" s="528"/>
      <c r="M149" s="528"/>
      <c r="N149" s="528"/>
      <c r="O149" s="528"/>
      <c r="P149" s="528"/>
      <c r="Q149" s="528"/>
      <c r="R149" s="528"/>
      <c r="S149" s="528"/>
      <c r="T149" s="528"/>
      <c r="U149" s="528"/>
      <c r="V149" s="528"/>
      <c r="W149" s="528"/>
      <c r="X149" s="528"/>
      <c r="Y149" s="528"/>
      <c r="Z149" s="528"/>
      <c r="AA149" s="529"/>
      <c r="AB149" s="529"/>
      <c r="AC149" s="529"/>
      <c r="AD149" s="529"/>
      <c r="AE149" s="529"/>
      <c r="AF149" s="529"/>
      <c r="AG149" s="529"/>
      <c r="AH149" s="529"/>
      <c r="AI149" s="529"/>
      <c r="AJ149" s="529"/>
      <c r="AK149" s="529"/>
      <c r="AL149" s="529"/>
      <c r="AM149" s="529"/>
      <c r="AN149" s="529"/>
      <c r="AO149"/>
      <c r="AP149" s="529"/>
      <c r="AQ149" s="529"/>
      <c r="AR149" s="529"/>
      <c r="AS149" s="529"/>
      <c r="AT149" s="529"/>
      <c r="AU149" s="529"/>
      <c r="AV149" s="529"/>
      <c r="AW149" s="57"/>
    </row>
    <row r="150" spans="1:49" x14ac:dyDescent="0.25">
      <c r="A150" s="57"/>
      <c r="B150" s="527"/>
      <c r="C150" s="527"/>
      <c r="D150" s="527"/>
      <c r="E150" s="7"/>
      <c r="F150" s="7"/>
      <c r="G150" s="528"/>
      <c r="H150" s="528"/>
      <c r="I150" s="528"/>
      <c r="J150" s="528"/>
      <c r="K150" s="528"/>
      <c r="L150" s="528"/>
      <c r="M150" s="528"/>
      <c r="N150" s="528"/>
      <c r="O150" s="528"/>
      <c r="P150" s="528"/>
      <c r="Q150" s="528"/>
      <c r="R150" s="528"/>
      <c r="S150" s="528"/>
      <c r="T150" s="528"/>
      <c r="U150" s="528"/>
      <c r="V150" s="528"/>
      <c r="W150" s="528"/>
      <c r="X150" s="528"/>
      <c r="Y150" s="528"/>
      <c r="Z150" s="528"/>
      <c r="AA150" s="529"/>
      <c r="AB150" s="529"/>
      <c r="AC150" s="529"/>
      <c r="AD150" s="529"/>
      <c r="AE150" s="529"/>
      <c r="AF150" s="529"/>
      <c r="AG150" s="529"/>
      <c r="AH150" s="529"/>
      <c r="AI150" s="529"/>
      <c r="AJ150" s="529"/>
      <c r="AK150" s="529"/>
      <c r="AL150" s="529"/>
      <c r="AM150" s="529"/>
      <c r="AN150" s="529"/>
      <c r="AO150"/>
      <c r="AP150" s="529"/>
      <c r="AQ150" s="529"/>
      <c r="AR150" s="529"/>
      <c r="AS150" s="529"/>
      <c r="AT150" s="529"/>
      <c r="AU150" s="529"/>
      <c r="AV150" s="529"/>
      <c r="AW150" s="57"/>
    </row>
    <row r="151" spans="1:49" x14ac:dyDescent="0.25">
      <c r="A151" s="57"/>
      <c r="B151" s="527"/>
      <c r="C151" s="527"/>
      <c r="D151" s="527"/>
      <c r="E151" s="7"/>
      <c r="F151" s="7"/>
      <c r="G151" s="528"/>
      <c r="H151" s="528"/>
      <c r="I151" s="528"/>
      <c r="J151" s="528"/>
      <c r="K151" s="528"/>
      <c r="L151" s="528"/>
      <c r="M151" s="528"/>
      <c r="N151" s="528"/>
      <c r="O151" s="528"/>
      <c r="P151" s="528"/>
      <c r="Q151" s="528"/>
      <c r="R151" s="528"/>
      <c r="S151" s="528"/>
      <c r="T151" s="528"/>
      <c r="U151" s="528"/>
      <c r="V151" s="528"/>
      <c r="W151" s="528"/>
      <c r="X151" s="528"/>
      <c r="Y151" s="528"/>
      <c r="Z151" s="528"/>
      <c r="AA151" s="529"/>
      <c r="AB151" s="529"/>
      <c r="AC151" s="529"/>
      <c r="AD151" s="529"/>
      <c r="AE151" s="529"/>
      <c r="AF151" s="529"/>
      <c r="AG151" s="529"/>
      <c r="AH151" s="529"/>
      <c r="AI151" s="529"/>
      <c r="AJ151" s="529"/>
      <c r="AK151" s="529"/>
      <c r="AL151" s="529"/>
      <c r="AM151" s="529"/>
      <c r="AN151" s="529"/>
      <c r="AO151"/>
      <c r="AP151" s="529"/>
      <c r="AQ151" s="529"/>
      <c r="AR151" s="529"/>
      <c r="AS151" s="529"/>
      <c r="AT151" s="529"/>
      <c r="AU151" s="529"/>
      <c r="AV151" s="529"/>
      <c r="AW151" s="57"/>
    </row>
    <row r="152" spans="1:49" x14ac:dyDescent="0.25">
      <c r="A152" s="57"/>
      <c r="B152" s="527"/>
      <c r="C152" s="527"/>
      <c r="D152" s="527"/>
      <c r="E152" s="7"/>
      <c r="F152" s="7"/>
      <c r="G152" s="528"/>
      <c r="H152" s="528"/>
      <c r="I152" s="528"/>
      <c r="J152" s="528"/>
      <c r="K152" s="528"/>
      <c r="L152" s="528"/>
      <c r="M152" s="528"/>
      <c r="N152" s="528"/>
      <c r="O152" s="528"/>
      <c r="P152" s="528"/>
      <c r="Q152" s="528"/>
      <c r="R152" s="528"/>
      <c r="S152" s="528"/>
      <c r="T152" s="528"/>
      <c r="U152" s="528"/>
      <c r="V152" s="528"/>
      <c r="W152" s="528"/>
      <c r="X152" s="528"/>
      <c r="Y152" s="528"/>
      <c r="Z152" s="528"/>
      <c r="AA152" s="529"/>
      <c r="AB152" s="529"/>
      <c r="AC152" s="529"/>
      <c r="AD152" s="529"/>
      <c r="AE152" s="529"/>
      <c r="AF152" s="529"/>
      <c r="AG152" s="529"/>
      <c r="AH152" s="529"/>
      <c r="AI152" s="529"/>
      <c r="AJ152" s="529"/>
      <c r="AK152" s="529"/>
      <c r="AL152" s="529"/>
      <c r="AM152" s="529"/>
      <c r="AN152" s="529"/>
      <c r="AO152"/>
      <c r="AP152" s="529"/>
      <c r="AQ152" s="529"/>
      <c r="AR152" s="529"/>
      <c r="AS152" s="529"/>
      <c r="AT152" s="529"/>
      <c r="AU152" s="529"/>
      <c r="AV152" s="529"/>
      <c r="AW152" s="57"/>
    </row>
    <row r="153" spans="1:49" x14ac:dyDescent="0.25">
      <c r="A153" s="57"/>
      <c r="B153" s="527"/>
      <c r="C153" s="527"/>
      <c r="D153" s="527"/>
      <c r="E153" s="7"/>
      <c r="F153" s="7"/>
      <c r="G153" s="528"/>
      <c r="H153" s="528"/>
      <c r="I153" s="528"/>
      <c r="J153" s="528"/>
      <c r="K153" s="528"/>
      <c r="L153" s="528"/>
      <c r="M153" s="528"/>
      <c r="N153" s="528"/>
      <c r="O153" s="528"/>
      <c r="P153" s="528"/>
      <c r="Q153" s="528"/>
      <c r="R153" s="528"/>
      <c r="S153" s="528"/>
      <c r="T153" s="528"/>
      <c r="U153" s="528"/>
      <c r="V153" s="528"/>
      <c r="W153" s="528"/>
      <c r="X153" s="528"/>
      <c r="Y153" s="528"/>
      <c r="Z153" s="528"/>
      <c r="AA153" s="529"/>
      <c r="AB153" s="529"/>
      <c r="AC153" s="529"/>
      <c r="AD153" s="529"/>
      <c r="AE153" s="529"/>
      <c r="AF153" s="529"/>
      <c r="AG153" s="529"/>
      <c r="AH153" s="529"/>
      <c r="AI153" s="529"/>
      <c r="AJ153" s="529"/>
      <c r="AK153" s="529"/>
      <c r="AL153" s="529"/>
      <c r="AM153" s="529"/>
      <c r="AN153" s="529"/>
      <c r="AO153"/>
      <c r="AP153" s="529"/>
      <c r="AQ153" s="529"/>
      <c r="AR153" s="529"/>
      <c r="AS153" s="529"/>
      <c r="AT153" s="529"/>
      <c r="AU153" s="529"/>
      <c r="AV153" s="529"/>
      <c r="AW153" s="57"/>
    </row>
    <row r="154" spans="1:49" x14ac:dyDescent="0.25">
      <c r="A154" s="57"/>
      <c r="B154" s="527"/>
      <c r="C154" s="527"/>
      <c r="D154" s="527"/>
      <c r="E154" s="7"/>
      <c r="F154" s="7"/>
      <c r="G154" s="528"/>
      <c r="H154" s="528"/>
      <c r="I154" s="528"/>
      <c r="J154" s="528"/>
      <c r="K154" s="528"/>
      <c r="L154" s="528"/>
      <c r="M154" s="528"/>
      <c r="N154" s="528"/>
      <c r="O154" s="528"/>
      <c r="P154" s="528"/>
      <c r="Q154" s="528"/>
      <c r="R154" s="528"/>
      <c r="S154" s="528"/>
      <c r="T154" s="528"/>
      <c r="U154" s="528"/>
      <c r="V154" s="528"/>
      <c r="W154" s="528"/>
      <c r="X154" s="528"/>
      <c r="Y154" s="528"/>
      <c r="Z154" s="528"/>
      <c r="AA154" s="529"/>
      <c r="AB154" s="529"/>
      <c r="AC154" s="529"/>
      <c r="AD154" s="529"/>
      <c r="AE154" s="529"/>
      <c r="AF154" s="529"/>
      <c r="AG154" s="529"/>
      <c r="AH154" s="529"/>
      <c r="AI154" s="529"/>
      <c r="AJ154" s="529"/>
      <c r="AK154" s="529"/>
      <c r="AL154" s="529"/>
      <c r="AM154" s="529"/>
      <c r="AN154" s="529"/>
      <c r="AO154"/>
      <c r="AP154" s="529"/>
      <c r="AQ154" s="529"/>
      <c r="AR154" s="529"/>
      <c r="AS154" s="529"/>
      <c r="AT154" s="529"/>
      <c r="AU154" s="529"/>
      <c r="AV154" s="529"/>
      <c r="AW154" s="57"/>
    </row>
    <row r="155" spans="1:49" x14ac:dyDescent="0.25">
      <c r="A155" s="57"/>
      <c r="B155" s="527"/>
      <c r="C155" s="527"/>
      <c r="D155" s="527"/>
      <c r="E155" s="7"/>
      <c r="F155" s="7"/>
      <c r="G155" s="528"/>
      <c r="H155" s="528"/>
      <c r="I155" s="528"/>
      <c r="J155" s="528"/>
      <c r="K155" s="528"/>
      <c r="L155" s="528"/>
      <c r="M155" s="528"/>
      <c r="N155" s="528"/>
      <c r="O155" s="528"/>
      <c r="P155" s="528"/>
      <c r="Q155" s="528"/>
      <c r="R155" s="528"/>
      <c r="S155" s="528"/>
      <c r="T155" s="528"/>
      <c r="U155" s="528"/>
      <c r="V155" s="528"/>
      <c r="W155" s="528"/>
      <c r="X155" s="528"/>
      <c r="Y155" s="528"/>
      <c r="Z155" s="528"/>
      <c r="AA155" s="529"/>
      <c r="AB155" s="529"/>
      <c r="AC155" s="529"/>
      <c r="AD155" s="529"/>
      <c r="AE155" s="529"/>
      <c r="AF155" s="529"/>
      <c r="AG155" s="529"/>
      <c r="AH155" s="529"/>
      <c r="AI155" s="529"/>
      <c r="AJ155" s="529"/>
      <c r="AK155" s="529"/>
      <c r="AL155" s="529"/>
      <c r="AM155" s="529"/>
      <c r="AN155" s="529"/>
      <c r="AO155"/>
      <c r="AP155" s="529"/>
      <c r="AQ155" s="529"/>
      <c r="AR155" s="529"/>
      <c r="AS155" s="529"/>
      <c r="AT155" s="529"/>
      <c r="AU155" s="529"/>
      <c r="AV155" s="529"/>
      <c r="AW155" s="57"/>
    </row>
    <row r="156" spans="1:49" x14ac:dyDescent="0.25">
      <c r="A156" s="57"/>
      <c r="B156" s="527"/>
      <c r="C156" s="527"/>
      <c r="D156" s="527"/>
      <c r="E156" s="7"/>
      <c r="F156" s="7"/>
      <c r="G156" s="528"/>
      <c r="H156" s="528"/>
      <c r="I156" s="528"/>
      <c r="J156" s="528"/>
      <c r="K156" s="528"/>
      <c r="L156" s="528"/>
      <c r="M156" s="528"/>
      <c r="N156" s="528"/>
      <c r="O156" s="528"/>
      <c r="P156" s="528"/>
      <c r="Q156" s="528"/>
      <c r="R156" s="528"/>
      <c r="S156" s="528"/>
      <c r="T156" s="528"/>
      <c r="U156" s="528"/>
      <c r="V156" s="528"/>
      <c r="W156" s="528"/>
      <c r="X156" s="528"/>
      <c r="Y156" s="528"/>
      <c r="Z156" s="528"/>
      <c r="AA156" s="529"/>
      <c r="AB156" s="529"/>
      <c r="AC156" s="529"/>
      <c r="AD156" s="529"/>
      <c r="AE156" s="529"/>
      <c r="AF156" s="529"/>
      <c r="AG156" s="529"/>
      <c r="AH156" s="529"/>
      <c r="AI156" s="529"/>
      <c r="AJ156" s="529"/>
      <c r="AK156" s="529"/>
      <c r="AL156" s="529"/>
      <c r="AM156" s="529"/>
      <c r="AN156" s="529"/>
      <c r="AO156"/>
      <c r="AP156" s="529"/>
      <c r="AQ156" s="529"/>
      <c r="AR156" s="529"/>
      <c r="AS156" s="529"/>
      <c r="AT156" s="529"/>
      <c r="AU156" s="529"/>
      <c r="AV156" s="529"/>
      <c r="AW156" s="57"/>
    </row>
    <row r="157" spans="1:49" x14ac:dyDescent="0.25">
      <c r="A157" s="57"/>
      <c r="B157" s="527"/>
      <c r="C157" s="527"/>
      <c r="D157" s="527"/>
      <c r="E157" s="7"/>
      <c r="F157" s="7"/>
      <c r="G157" s="528"/>
      <c r="H157" s="528"/>
      <c r="I157" s="528"/>
      <c r="J157" s="528"/>
      <c r="K157" s="528"/>
      <c r="L157" s="528"/>
      <c r="M157" s="528"/>
      <c r="N157" s="528"/>
      <c r="O157" s="528"/>
      <c r="P157" s="528"/>
      <c r="Q157" s="528"/>
      <c r="R157" s="528"/>
      <c r="S157" s="528"/>
      <c r="T157" s="528"/>
      <c r="U157" s="528"/>
      <c r="V157" s="528"/>
      <c r="W157" s="528"/>
      <c r="X157" s="528"/>
      <c r="Y157" s="528"/>
      <c r="Z157" s="528"/>
      <c r="AA157" s="529"/>
      <c r="AB157" s="529"/>
      <c r="AC157" s="529"/>
      <c r="AD157" s="529"/>
      <c r="AE157" s="529"/>
      <c r="AF157" s="529"/>
      <c r="AG157" s="529"/>
      <c r="AH157" s="529"/>
      <c r="AI157" s="529"/>
      <c r="AJ157" s="529"/>
      <c r="AK157" s="529"/>
      <c r="AL157" s="529"/>
      <c r="AM157" s="529"/>
      <c r="AN157" s="529"/>
      <c r="AO157"/>
      <c r="AP157" s="529"/>
      <c r="AQ157" s="529"/>
      <c r="AR157" s="529"/>
      <c r="AS157" s="529"/>
      <c r="AT157" s="529"/>
      <c r="AU157" s="529"/>
      <c r="AV157" s="529"/>
      <c r="AW157" s="57"/>
    </row>
    <row r="158" spans="1:49" x14ac:dyDescent="0.25">
      <c r="A158" s="57"/>
      <c r="B158" s="527"/>
      <c r="C158" s="527"/>
      <c r="D158" s="527"/>
      <c r="E158" s="7"/>
      <c r="F158" s="7"/>
      <c r="G158" s="528"/>
      <c r="H158" s="528"/>
      <c r="I158" s="528"/>
      <c r="J158" s="528"/>
      <c r="K158" s="528"/>
      <c r="L158" s="528"/>
      <c r="M158" s="528"/>
      <c r="N158" s="528"/>
      <c r="O158" s="528"/>
      <c r="P158" s="528"/>
      <c r="Q158" s="528"/>
      <c r="R158" s="528"/>
      <c r="S158" s="528"/>
      <c r="T158" s="528"/>
      <c r="U158" s="528"/>
      <c r="V158" s="528"/>
      <c r="W158" s="528"/>
      <c r="X158" s="528"/>
      <c r="Y158" s="528"/>
      <c r="Z158" s="528"/>
      <c r="AA158" s="529"/>
      <c r="AB158" s="529"/>
      <c r="AC158" s="529"/>
      <c r="AD158" s="529"/>
      <c r="AE158" s="529"/>
      <c r="AF158" s="529"/>
      <c r="AG158" s="529"/>
      <c r="AH158" s="529"/>
      <c r="AI158" s="529"/>
      <c r="AJ158" s="529"/>
      <c r="AK158" s="529"/>
      <c r="AL158" s="529"/>
      <c r="AM158" s="529"/>
      <c r="AN158" s="529"/>
      <c r="AO158"/>
      <c r="AP158" s="529"/>
      <c r="AQ158" s="529"/>
      <c r="AR158" s="529"/>
      <c r="AS158" s="529"/>
      <c r="AT158" s="529"/>
      <c r="AU158" s="529"/>
      <c r="AV158" s="529"/>
      <c r="AW158" s="57"/>
    </row>
    <row r="159" spans="1:49" x14ac:dyDescent="0.25">
      <c r="A159" s="57"/>
      <c r="B159" s="527"/>
      <c r="C159" s="527"/>
      <c r="D159" s="527"/>
      <c r="E159" s="7"/>
      <c r="F159" s="7"/>
      <c r="G159" s="528"/>
      <c r="H159" s="528"/>
      <c r="I159" s="528"/>
      <c r="J159" s="528"/>
      <c r="K159" s="528"/>
      <c r="L159" s="528"/>
      <c r="M159" s="528"/>
      <c r="N159" s="528"/>
      <c r="O159" s="528"/>
      <c r="P159" s="528"/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9"/>
      <c r="AB159" s="529"/>
      <c r="AC159" s="529"/>
      <c r="AD159" s="529"/>
      <c r="AE159" s="529"/>
      <c r="AF159" s="529"/>
      <c r="AG159" s="529"/>
      <c r="AH159" s="529"/>
      <c r="AI159" s="529"/>
      <c r="AJ159" s="529"/>
      <c r="AK159" s="529"/>
      <c r="AL159" s="529"/>
      <c r="AM159" s="529"/>
      <c r="AN159" s="529"/>
      <c r="AO159"/>
      <c r="AP159" s="529"/>
      <c r="AQ159" s="529"/>
      <c r="AR159" s="529"/>
      <c r="AS159" s="529"/>
      <c r="AT159" s="529"/>
      <c r="AU159" s="529"/>
      <c r="AV159" s="529"/>
      <c r="AW159" s="57"/>
    </row>
    <row r="160" spans="1:49" x14ac:dyDescent="0.25">
      <c r="A160" s="57"/>
      <c r="B160" s="527"/>
      <c r="C160" s="527"/>
      <c r="D160" s="527"/>
      <c r="E160" s="7"/>
      <c r="F160" s="7"/>
      <c r="G160" s="528"/>
      <c r="H160" s="528"/>
      <c r="I160" s="528"/>
      <c r="J160" s="528"/>
      <c r="K160" s="528"/>
      <c r="L160" s="528"/>
      <c r="M160" s="528"/>
      <c r="N160" s="528"/>
      <c r="O160" s="528"/>
      <c r="P160" s="528"/>
      <c r="Q160" s="528"/>
      <c r="R160" s="528"/>
      <c r="S160" s="528"/>
      <c r="T160" s="528"/>
      <c r="U160" s="528"/>
      <c r="V160" s="528"/>
      <c r="W160" s="528"/>
      <c r="X160" s="528"/>
      <c r="Y160" s="528"/>
      <c r="Z160" s="528"/>
      <c r="AA160" s="529"/>
      <c r="AB160" s="529"/>
      <c r="AC160" s="529"/>
      <c r="AD160" s="529"/>
      <c r="AE160" s="529"/>
      <c r="AF160" s="529"/>
      <c r="AG160" s="529"/>
      <c r="AH160" s="529"/>
      <c r="AI160" s="529"/>
      <c r="AJ160" s="529"/>
      <c r="AK160" s="529"/>
      <c r="AL160" s="529"/>
      <c r="AM160" s="529"/>
      <c r="AN160" s="529"/>
      <c r="AO160"/>
      <c r="AP160" s="529"/>
      <c r="AQ160" s="529"/>
      <c r="AR160" s="529"/>
      <c r="AS160" s="529"/>
      <c r="AT160" s="529"/>
      <c r="AU160" s="529"/>
      <c r="AV160" s="529"/>
      <c r="AW160" s="57"/>
    </row>
    <row r="161" spans="1:49" x14ac:dyDescent="0.25">
      <c r="A161" s="57"/>
      <c r="B161" s="527"/>
      <c r="C161" s="527"/>
      <c r="D161" s="527"/>
      <c r="E161" s="7"/>
      <c r="F161" s="7"/>
      <c r="G161" s="528"/>
      <c r="H161" s="528"/>
      <c r="I161" s="528"/>
      <c r="J161" s="528"/>
      <c r="K161" s="528"/>
      <c r="L161" s="528"/>
      <c r="M161" s="528"/>
      <c r="N161" s="528"/>
      <c r="O161" s="528"/>
      <c r="P161" s="528"/>
      <c r="Q161" s="528"/>
      <c r="R161" s="528"/>
      <c r="S161" s="528"/>
      <c r="T161" s="528"/>
      <c r="U161" s="528"/>
      <c r="V161" s="528"/>
      <c r="W161" s="528"/>
      <c r="X161" s="528"/>
      <c r="Y161" s="528"/>
      <c r="Z161" s="528"/>
      <c r="AA161" s="529"/>
      <c r="AB161" s="529"/>
      <c r="AC161" s="529"/>
      <c r="AD161" s="529"/>
      <c r="AE161" s="529"/>
      <c r="AF161" s="529"/>
      <c r="AG161" s="529"/>
      <c r="AH161" s="529"/>
      <c r="AI161" s="529"/>
      <c r="AJ161" s="529"/>
      <c r="AK161" s="529"/>
      <c r="AL161" s="529"/>
      <c r="AM161" s="529"/>
      <c r="AN161" s="529"/>
      <c r="AO161"/>
      <c r="AP161" s="529"/>
      <c r="AQ161" s="529"/>
      <c r="AR161" s="529"/>
      <c r="AS161" s="529"/>
      <c r="AT161" s="529"/>
      <c r="AU161" s="529"/>
      <c r="AV161" s="529"/>
      <c r="AW161" s="57"/>
    </row>
    <row r="162" spans="1:49" x14ac:dyDescent="0.25">
      <c r="A162" s="57"/>
      <c r="B162" s="527"/>
      <c r="C162" s="527"/>
      <c r="D162" s="527"/>
      <c r="E162" s="7"/>
      <c r="F162" s="7"/>
      <c r="G162" s="528"/>
      <c r="H162" s="528"/>
      <c r="I162" s="528"/>
      <c r="J162" s="528"/>
      <c r="K162" s="528"/>
      <c r="L162" s="528"/>
      <c r="M162" s="528"/>
      <c r="N162" s="528"/>
      <c r="O162" s="528"/>
      <c r="P162" s="528"/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9"/>
      <c r="AB162" s="529"/>
      <c r="AC162" s="529"/>
      <c r="AD162" s="529"/>
      <c r="AE162" s="529"/>
      <c r="AF162" s="529"/>
      <c r="AG162" s="529"/>
      <c r="AH162" s="529"/>
      <c r="AI162" s="529"/>
      <c r="AJ162" s="529"/>
      <c r="AK162" s="529"/>
      <c r="AL162" s="529"/>
      <c r="AM162" s="529"/>
      <c r="AN162" s="529"/>
      <c r="AO162"/>
      <c r="AP162" s="529"/>
      <c r="AQ162" s="529"/>
      <c r="AR162" s="529"/>
      <c r="AS162" s="529"/>
      <c r="AT162" s="529"/>
      <c r="AU162" s="529"/>
      <c r="AV162" s="529"/>
      <c r="AW162" s="57"/>
    </row>
    <row r="163" spans="1:49" x14ac:dyDescent="0.25">
      <c r="A163" s="57"/>
      <c r="B163" s="527"/>
      <c r="C163" s="527"/>
      <c r="D163" s="527"/>
      <c r="E163" s="7"/>
      <c r="F163" s="7"/>
      <c r="G163" s="528"/>
      <c r="H163" s="528"/>
      <c r="I163" s="528"/>
      <c r="J163" s="528"/>
      <c r="K163" s="528"/>
      <c r="L163" s="528"/>
      <c r="M163" s="528"/>
      <c r="N163" s="528"/>
      <c r="O163" s="528"/>
      <c r="P163" s="528"/>
      <c r="Q163" s="528"/>
      <c r="R163" s="528"/>
      <c r="S163" s="528"/>
      <c r="T163" s="528"/>
      <c r="U163" s="528"/>
      <c r="V163" s="528"/>
      <c r="W163" s="528"/>
      <c r="X163" s="528"/>
      <c r="Y163" s="528"/>
      <c r="Z163" s="528"/>
      <c r="AA163" s="529"/>
      <c r="AB163" s="529"/>
      <c r="AC163" s="529"/>
      <c r="AD163" s="529"/>
      <c r="AE163" s="529"/>
      <c r="AF163" s="529"/>
      <c r="AG163" s="529"/>
      <c r="AH163" s="529"/>
      <c r="AI163" s="529"/>
      <c r="AJ163" s="529"/>
      <c r="AK163" s="529"/>
      <c r="AL163" s="529"/>
      <c r="AM163" s="529"/>
      <c r="AN163" s="529"/>
      <c r="AO163"/>
      <c r="AP163" s="529"/>
      <c r="AQ163" s="529"/>
      <c r="AR163" s="529"/>
      <c r="AS163" s="529"/>
      <c r="AT163" s="529"/>
      <c r="AU163" s="529"/>
      <c r="AV163" s="529"/>
      <c r="AW163" s="57"/>
    </row>
    <row r="164" spans="1:49" x14ac:dyDescent="0.25">
      <c r="A164" s="57"/>
      <c r="B164" s="527"/>
      <c r="C164" s="527"/>
      <c r="D164" s="527"/>
      <c r="E164" s="7"/>
      <c r="F164" s="7"/>
      <c r="G164" s="528"/>
      <c r="H164" s="528"/>
      <c r="I164" s="528"/>
      <c r="J164" s="528"/>
      <c r="K164" s="528"/>
      <c r="L164" s="528"/>
      <c r="M164" s="528"/>
      <c r="N164" s="528"/>
      <c r="O164" s="528"/>
      <c r="P164" s="528"/>
      <c r="Q164" s="528"/>
      <c r="R164" s="528"/>
      <c r="S164" s="528"/>
      <c r="T164" s="528"/>
      <c r="U164" s="528"/>
      <c r="V164" s="528"/>
      <c r="W164" s="528"/>
      <c r="X164" s="528"/>
      <c r="Y164" s="528"/>
      <c r="Z164" s="528"/>
      <c r="AA164" s="529"/>
      <c r="AB164" s="529"/>
      <c r="AC164" s="529"/>
      <c r="AD164" s="529"/>
      <c r="AE164" s="529"/>
      <c r="AF164" s="529"/>
      <c r="AG164" s="529"/>
      <c r="AH164" s="529"/>
      <c r="AI164" s="529"/>
      <c r="AJ164" s="529"/>
      <c r="AK164" s="529"/>
      <c r="AL164" s="529"/>
      <c r="AM164" s="529"/>
      <c r="AN164" s="529"/>
      <c r="AO164"/>
      <c r="AP164" s="529"/>
      <c r="AQ164" s="529"/>
      <c r="AR164" s="529"/>
      <c r="AS164" s="529"/>
      <c r="AT164" s="529"/>
      <c r="AU164" s="529"/>
      <c r="AV164" s="529"/>
      <c r="AW164" s="57"/>
    </row>
    <row r="165" spans="1:49" x14ac:dyDescent="0.25">
      <c r="A165" s="57"/>
      <c r="B165" s="527"/>
      <c r="C165" s="527"/>
      <c r="D165" s="527"/>
      <c r="E165" s="7"/>
      <c r="F165" s="7"/>
      <c r="G165" s="528"/>
      <c r="H165" s="528"/>
      <c r="I165" s="528"/>
      <c r="J165" s="528"/>
      <c r="K165" s="528"/>
      <c r="L165" s="528"/>
      <c r="M165" s="528"/>
      <c r="N165" s="528"/>
      <c r="O165" s="528"/>
      <c r="P165" s="528"/>
      <c r="Q165" s="528"/>
      <c r="R165" s="528"/>
      <c r="S165" s="528"/>
      <c r="T165" s="528"/>
      <c r="U165" s="528"/>
      <c r="V165" s="528"/>
      <c r="W165" s="528"/>
      <c r="X165" s="528"/>
      <c r="Y165" s="528"/>
      <c r="Z165" s="528"/>
      <c r="AA165" s="529"/>
      <c r="AB165" s="529"/>
      <c r="AC165" s="529"/>
      <c r="AD165" s="529"/>
      <c r="AE165" s="529"/>
      <c r="AF165" s="529"/>
      <c r="AG165" s="529"/>
      <c r="AH165" s="529"/>
      <c r="AI165" s="529"/>
      <c r="AJ165" s="529"/>
      <c r="AK165" s="529"/>
      <c r="AL165" s="529"/>
      <c r="AM165" s="529"/>
      <c r="AN165" s="529"/>
      <c r="AO165"/>
      <c r="AP165" s="529"/>
      <c r="AQ165" s="529"/>
      <c r="AR165" s="529"/>
      <c r="AS165" s="529"/>
      <c r="AT165" s="529"/>
      <c r="AU165" s="529"/>
      <c r="AV165" s="529"/>
      <c r="AW165" s="57"/>
    </row>
    <row r="166" spans="1:49" x14ac:dyDescent="0.25">
      <c r="A166" s="57"/>
      <c r="B166" s="527"/>
      <c r="C166" s="527"/>
      <c r="D166" s="527"/>
      <c r="E166" s="7"/>
      <c r="F166" s="7"/>
      <c r="G166" s="528"/>
      <c r="H166" s="528"/>
      <c r="I166" s="528"/>
      <c r="J166" s="528"/>
      <c r="K166" s="528"/>
      <c r="L166" s="528"/>
      <c r="M166" s="528"/>
      <c r="N166" s="528"/>
      <c r="O166" s="528"/>
      <c r="P166" s="528"/>
      <c r="Q166" s="528"/>
      <c r="R166" s="528"/>
      <c r="S166" s="528"/>
      <c r="T166" s="528"/>
      <c r="U166" s="528"/>
      <c r="V166" s="528"/>
      <c r="W166" s="528"/>
      <c r="X166" s="528"/>
      <c r="Y166" s="528"/>
      <c r="Z166" s="528"/>
      <c r="AA166" s="529"/>
      <c r="AB166" s="529"/>
      <c r="AC166" s="529"/>
      <c r="AD166" s="529"/>
      <c r="AE166" s="529"/>
      <c r="AF166" s="529"/>
      <c r="AG166" s="529"/>
      <c r="AH166" s="529"/>
      <c r="AI166" s="529"/>
      <c r="AJ166" s="529"/>
      <c r="AK166" s="529"/>
      <c r="AL166" s="529"/>
      <c r="AM166" s="529"/>
      <c r="AN166" s="529"/>
      <c r="AO166"/>
      <c r="AP166" s="529"/>
      <c r="AQ166" s="529"/>
      <c r="AR166" s="529"/>
      <c r="AS166" s="529"/>
      <c r="AT166" s="529"/>
      <c r="AU166" s="529"/>
      <c r="AV166" s="529"/>
      <c r="AW166" s="57"/>
    </row>
    <row r="167" spans="1:49" x14ac:dyDescent="0.25">
      <c r="A167" s="57"/>
      <c r="B167" s="527"/>
      <c r="C167" s="527"/>
      <c r="D167" s="527"/>
      <c r="E167" s="7"/>
      <c r="F167" s="7"/>
      <c r="G167" s="528"/>
      <c r="H167" s="528"/>
      <c r="I167" s="528"/>
      <c r="J167" s="528"/>
      <c r="K167" s="528"/>
      <c r="L167" s="528"/>
      <c r="M167" s="528"/>
      <c r="N167" s="528"/>
      <c r="O167" s="528"/>
      <c r="P167" s="528"/>
      <c r="Q167" s="528"/>
      <c r="R167" s="528"/>
      <c r="S167" s="528"/>
      <c r="T167" s="528"/>
      <c r="U167" s="528"/>
      <c r="V167" s="528"/>
      <c r="W167" s="528"/>
      <c r="X167" s="528"/>
      <c r="Y167" s="528"/>
      <c r="Z167" s="528"/>
      <c r="AA167" s="529"/>
      <c r="AB167" s="529"/>
      <c r="AC167" s="529"/>
      <c r="AD167" s="529"/>
      <c r="AE167" s="529"/>
      <c r="AF167" s="529"/>
      <c r="AG167" s="529"/>
      <c r="AH167" s="529"/>
      <c r="AI167" s="529"/>
      <c r="AJ167" s="529"/>
      <c r="AK167" s="529"/>
      <c r="AL167" s="529"/>
      <c r="AM167" s="529"/>
      <c r="AN167" s="529"/>
      <c r="AO167"/>
      <c r="AP167" s="529"/>
      <c r="AQ167" s="529"/>
      <c r="AR167" s="529"/>
      <c r="AS167" s="529"/>
      <c r="AT167" s="529"/>
      <c r="AU167" s="529"/>
      <c r="AV167" s="529"/>
      <c r="AW167" s="57"/>
    </row>
    <row r="168" spans="1:49" x14ac:dyDescent="0.25">
      <c r="A168" s="57"/>
      <c r="B168" s="527"/>
      <c r="C168" s="527"/>
      <c r="D168" s="527"/>
      <c r="E168" s="7"/>
      <c r="F168" s="7"/>
      <c r="G168" s="528"/>
      <c r="H168" s="528"/>
      <c r="I168" s="528"/>
      <c r="J168" s="528"/>
      <c r="K168" s="528"/>
      <c r="L168" s="528"/>
      <c r="M168" s="528"/>
      <c r="N168" s="528"/>
      <c r="O168" s="528"/>
      <c r="P168" s="528"/>
      <c r="Q168" s="528"/>
      <c r="R168" s="528"/>
      <c r="S168" s="528"/>
      <c r="T168" s="528"/>
      <c r="U168" s="528"/>
      <c r="V168" s="528"/>
      <c r="W168" s="528"/>
      <c r="X168" s="528"/>
      <c r="Y168" s="528"/>
      <c r="Z168" s="528"/>
      <c r="AA168" s="529"/>
      <c r="AB168" s="529"/>
      <c r="AC168" s="529"/>
      <c r="AD168" s="529"/>
      <c r="AE168" s="529"/>
      <c r="AF168" s="529"/>
      <c r="AG168" s="529"/>
      <c r="AH168" s="528"/>
      <c r="AI168" s="529"/>
      <c r="AJ168" s="529"/>
      <c r="AK168" s="529"/>
      <c r="AL168" s="529"/>
      <c r="AM168" s="529"/>
      <c r="AN168" s="529"/>
      <c r="AO168"/>
      <c r="AP168" s="529"/>
      <c r="AQ168" s="529"/>
      <c r="AR168" s="529"/>
      <c r="AS168" s="529"/>
      <c r="AT168" s="529"/>
      <c r="AU168" s="529"/>
      <c r="AV168" s="529"/>
      <c r="AW168" s="57"/>
    </row>
    <row r="169" spans="1:49" x14ac:dyDescent="0.25">
      <c r="A169" s="57"/>
      <c r="B169" s="527"/>
      <c r="C169" s="527"/>
      <c r="D169" s="527"/>
      <c r="E169" s="7"/>
      <c r="F169" s="7"/>
      <c r="G169" s="528"/>
      <c r="H169" s="528"/>
      <c r="I169" s="528"/>
      <c r="J169" s="528"/>
      <c r="K169" s="528"/>
      <c r="L169" s="528"/>
      <c r="M169" s="528"/>
      <c r="N169" s="528"/>
      <c r="O169" s="528"/>
      <c r="P169" s="528"/>
      <c r="Q169" s="528"/>
      <c r="R169" s="528"/>
      <c r="S169" s="528"/>
      <c r="T169" s="528"/>
      <c r="U169" s="528"/>
      <c r="V169" s="528"/>
      <c r="W169" s="528"/>
      <c r="X169" s="528"/>
      <c r="Y169" s="528"/>
      <c r="Z169" s="528"/>
      <c r="AA169" s="529"/>
      <c r="AB169" s="529"/>
      <c r="AC169" s="529"/>
      <c r="AD169" s="529"/>
      <c r="AE169" s="529"/>
      <c r="AF169" s="529"/>
      <c r="AG169" s="529"/>
      <c r="AH169" s="528"/>
      <c r="AI169" s="529"/>
      <c r="AJ169" s="529"/>
      <c r="AK169" s="529"/>
      <c r="AL169" s="529"/>
      <c r="AM169" s="529"/>
      <c r="AN169" s="529"/>
      <c r="AO169"/>
      <c r="AP169" s="529"/>
      <c r="AQ169" s="529"/>
      <c r="AR169" s="529"/>
      <c r="AS169" s="529"/>
      <c r="AT169" s="529"/>
      <c r="AU169" s="529"/>
      <c r="AV169" s="529"/>
      <c r="AW169" s="57"/>
    </row>
    <row r="170" spans="1:49" x14ac:dyDescent="0.25">
      <c r="A170" s="57"/>
      <c r="B170" s="527"/>
      <c r="C170" s="527"/>
      <c r="D170" s="527"/>
      <c r="E170" s="7"/>
      <c r="F170" s="7"/>
      <c r="G170" s="528"/>
      <c r="H170" s="528"/>
      <c r="I170" s="528"/>
      <c r="J170" s="528"/>
      <c r="K170" s="528"/>
      <c r="L170" s="528"/>
      <c r="M170" s="528"/>
      <c r="N170" s="528"/>
      <c r="O170" s="528"/>
      <c r="P170" s="528"/>
      <c r="Q170" s="528"/>
      <c r="R170" s="528"/>
      <c r="S170" s="528"/>
      <c r="T170" s="528"/>
      <c r="U170" s="528"/>
      <c r="V170" s="528"/>
      <c r="W170" s="528"/>
      <c r="X170" s="528"/>
      <c r="Y170" s="528"/>
      <c r="Z170" s="528"/>
      <c r="AA170" s="529"/>
      <c r="AB170" s="529"/>
      <c r="AC170" s="529"/>
      <c r="AD170" s="529"/>
      <c r="AE170" s="529"/>
      <c r="AF170" s="529"/>
      <c r="AG170" s="529"/>
      <c r="AH170" s="529"/>
      <c r="AI170" s="529"/>
      <c r="AJ170" s="529"/>
      <c r="AK170" s="529"/>
      <c r="AL170" s="529"/>
      <c r="AM170" s="529"/>
      <c r="AN170" s="529"/>
      <c r="AO170"/>
      <c r="AP170" s="529"/>
      <c r="AQ170" s="529"/>
      <c r="AR170" s="529"/>
      <c r="AS170" s="529"/>
      <c r="AT170" s="529"/>
      <c r="AU170" s="529"/>
      <c r="AV170" s="529"/>
      <c r="AW170" s="57"/>
    </row>
    <row r="171" spans="1:49" x14ac:dyDescent="0.25">
      <c r="A171" s="57"/>
      <c r="B171" s="527"/>
      <c r="C171" s="527"/>
      <c r="D171" s="527"/>
      <c r="E171" s="7"/>
      <c r="F171" s="7"/>
      <c r="G171" s="528"/>
      <c r="H171" s="528"/>
      <c r="I171" s="528"/>
      <c r="J171" s="528"/>
      <c r="K171" s="528"/>
      <c r="L171" s="528"/>
      <c r="M171" s="528"/>
      <c r="N171" s="528"/>
      <c r="O171" s="528"/>
      <c r="P171" s="528"/>
      <c r="Q171" s="528"/>
      <c r="R171" s="528"/>
      <c r="S171" s="528"/>
      <c r="T171" s="528"/>
      <c r="U171" s="528"/>
      <c r="V171" s="528"/>
      <c r="W171" s="528"/>
      <c r="X171" s="528"/>
      <c r="Y171" s="528"/>
      <c r="Z171" s="528"/>
      <c r="AA171" s="529"/>
      <c r="AB171" s="529"/>
      <c r="AC171" s="529"/>
      <c r="AD171" s="529"/>
      <c r="AE171" s="529"/>
      <c r="AF171" s="529"/>
      <c r="AG171" s="529"/>
      <c r="AH171" s="529"/>
      <c r="AI171" s="529"/>
      <c r="AJ171" s="529"/>
      <c r="AK171" s="529"/>
      <c r="AL171" s="529"/>
      <c r="AM171" s="529"/>
      <c r="AN171" s="529"/>
      <c r="AO171"/>
      <c r="AP171" s="529"/>
      <c r="AQ171" s="529"/>
      <c r="AR171" s="529"/>
      <c r="AS171" s="529"/>
      <c r="AT171" s="529"/>
      <c r="AU171" s="529"/>
      <c r="AV171" s="529"/>
      <c r="AW171" s="57"/>
    </row>
    <row r="172" spans="1:49" x14ac:dyDescent="0.25">
      <c r="A172" s="57"/>
      <c r="B172" s="527"/>
      <c r="C172" s="527"/>
      <c r="D172" s="527"/>
      <c r="E172" s="7"/>
      <c r="F172" s="7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9"/>
      <c r="AB172" s="529"/>
      <c r="AC172" s="529"/>
      <c r="AD172" s="529"/>
      <c r="AE172" s="529"/>
      <c r="AF172" s="529"/>
      <c r="AG172" s="529"/>
      <c r="AH172" s="529"/>
      <c r="AI172" s="529"/>
      <c r="AJ172" s="529"/>
      <c r="AK172" s="529"/>
      <c r="AL172" s="529"/>
      <c r="AM172" s="529"/>
      <c r="AN172" s="529"/>
      <c r="AO172"/>
      <c r="AP172" s="529"/>
      <c r="AQ172" s="529"/>
      <c r="AR172" s="529"/>
      <c r="AS172" s="529"/>
      <c r="AT172" s="529"/>
      <c r="AU172" s="529"/>
      <c r="AV172" s="529"/>
      <c r="AW172" s="57"/>
    </row>
    <row r="173" spans="1:49" x14ac:dyDescent="0.25">
      <c r="A173" s="57"/>
      <c r="B173" s="527"/>
      <c r="C173" s="527"/>
      <c r="D173" s="527"/>
      <c r="E173" s="7"/>
      <c r="F173" s="7"/>
      <c r="G173" s="528"/>
      <c r="H173" s="528"/>
      <c r="I173" s="528"/>
      <c r="J173" s="528"/>
      <c r="K173" s="528"/>
      <c r="L173" s="528"/>
      <c r="M173" s="528"/>
      <c r="N173" s="528"/>
      <c r="O173" s="528"/>
      <c r="P173" s="528"/>
      <c r="Q173" s="528"/>
      <c r="R173" s="528"/>
      <c r="S173" s="528"/>
      <c r="T173" s="528"/>
      <c r="U173" s="528"/>
      <c r="V173" s="528"/>
      <c r="W173" s="528"/>
      <c r="X173" s="528"/>
      <c r="Y173" s="528"/>
      <c r="Z173" s="528"/>
      <c r="AA173" s="529"/>
      <c r="AB173" s="529"/>
      <c r="AC173" s="529"/>
      <c r="AD173" s="529"/>
      <c r="AE173" s="529"/>
      <c r="AF173" s="529"/>
      <c r="AG173" s="529"/>
      <c r="AH173" s="529"/>
      <c r="AI173" s="529"/>
      <c r="AJ173" s="529"/>
      <c r="AK173" s="529"/>
      <c r="AL173" s="529"/>
      <c r="AM173" s="529"/>
      <c r="AN173" s="529"/>
      <c r="AO173"/>
      <c r="AP173" s="529"/>
      <c r="AQ173" s="529"/>
      <c r="AR173" s="529"/>
      <c r="AS173" s="529"/>
      <c r="AT173" s="529"/>
      <c r="AU173" s="529"/>
      <c r="AV173" s="529"/>
      <c r="AW173" s="57"/>
    </row>
    <row r="174" spans="1:49" x14ac:dyDescent="0.25">
      <c r="A174" s="57"/>
      <c r="B174" s="527"/>
      <c r="C174" s="527"/>
      <c r="D174" s="527"/>
      <c r="E174" s="7"/>
      <c r="F174" s="7"/>
      <c r="G174" s="528"/>
      <c r="H174" s="528"/>
      <c r="I174" s="528"/>
      <c r="J174" s="528"/>
      <c r="K174" s="528"/>
      <c r="L174" s="528"/>
      <c r="M174" s="528"/>
      <c r="N174" s="528"/>
      <c r="O174" s="528"/>
      <c r="P174" s="528"/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9"/>
      <c r="AB174" s="529"/>
      <c r="AC174" s="529"/>
      <c r="AD174" s="529"/>
      <c r="AE174" s="529"/>
      <c r="AF174" s="529"/>
      <c r="AG174" s="529"/>
      <c r="AH174" s="529"/>
      <c r="AI174" s="529"/>
      <c r="AJ174" s="529"/>
      <c r="AK174" s="529"/>
      <c r="AL174" s="529"/>
      <c r="AM174" s="529"/>
      <c r="AN174" s="529"/>
      <c r="AO174"/>
      <c r="AP174" s="529"/>
      <c r="AQ174" s="529"/>
      <c r="AR174" s="529"/>
      <c r="AS174" s="529"/>
      <c r="AT174" s="529"/>
      <c r="AU174" s="529"/>
      <c r="AV174" s="529"/>
      <c r="AW174" s="57"/>
    </row>
    <row r="175" spans="1:49" x14ac:dyDescent="0.25">
      <c r="A175" s="57"/>
      <c r="B175" s="527"/>
      <c r="C175" s="527"/>
      <c r="D175" s="527"/>
      <c r="E175" s="7"/>
      <c r="F175" s="7"/>
      <c r="G175" s="528"/>
      <c r="H175" s="528"/>
      <c r="I175" s="528"/>
      <c r="J175" s="528"/>
      <c r="K175" s="528"/>
      <c r="L175" s="528"/>
      <c r="M175" s="528"/>
      <c r="N175" s="528"/>
      <c r="O175" s="528"/>
      <c r="P175" s="528"/>
      <c r="Q175" s="528"/>
      <c r="R175" s="528"/>
      <c r="S175" s="528"/>
      <c r="T175" s="528"/>
      <c r="U175" s="528"/>
      <c r="V175" s="528"/>
      <c r="W175" s="528"/>
      <c r="X175" s="528"/>
      <c r="Y175" s="528"/>
      <c r="Z175" s="528"/>
      <c r="AA175" s="529"/>
      <c r="AB175" s="529"/>
      <c r="AC175" s="529"/>
      <c r="AD175" s="529"/>
      <c r="AE175" s="529"/>
      <c r="AF175" s="529"/>
      <c r="AG175" s="529"/>
      <c r="AH175" s="529"/>
      <c r="AI175" s="529"/>
      <c r="AJ175" s="529"/>
      <c r="AK175" s="529"/>
      <c r="AL175" s="529"/>
      <c r="AM175" s="529"/>
      <c r="AN175" s="529"/>
      <c r="AO175"/>
      <c r="AP175" s="529"/>
      <c r="AQ175" s="529"/>
      <c r="AR175" s="529"/>
      <c r="AS175" s="529"/>
      <c r="AT175" s="529"/>
      <c r="AU175" s="529"/>
      <c r="AV175" s="529"/>
      <c r="AW175" s="57"/>
    </row>
    <row r="176" spans="1:49" x14ac:dyDescent="0.25">
      <c r="A176" s="57"/>
      <c r="B176" s="527"/>
      <c r="C176" s="527"/>
      <c r="D176" s="527"/>
      <c r="E176" s="7"/>
      <c r="F176" s="7"/>
      <c r="G176" s="528"/>
      <c r="H176" s="528"/>
      <c r="I176" s="528"/>
      <c r="J176" s="528"/>
      <c r="K176" s="528"/>
      <c r="L176" s="528"/>
      <c r="M176" s="528"/>
      <c r="N176" s="528"/>
      <c r="O176" s="528"/>
      <c r="P176" s="528"/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9"/>
      <c r="AB176" s="529"/>
      <c r="AC176" s="529"/>
      <c r="AD176" s="529"/>
      <c r="AE176" s="529"/>
      <c r="AF176" s="529"/>
      <c r="AG176" s="529"/>
      <c r="AH176" s="529"/>
      <c r="AI176" s="529"/>
      <c r="AJ176" s="529"/>
      <c r="AK176" s="529"/>
      <c r="AL176" s="529"/>
      <c r="AM176" s="529"/>
      <c r="AN176" s="529"/>
      <c r="AO176"/>
      <c r="AP176" s="529"/>
      <c r="AQ176" s="529"/>
      <c r="AR176" s="529"/>
      <c r="AS176" s="529"/>
      <c r="AT176" s="529"/>
      <c r="AU176" s="529"/>
      <c r="AV176" s="529"/>
      <c r="AW176" s="57"/>
    </row>
    <row r="177" spans="1:49" x14ac:dyDescent="0.25">
      <c r="A177" s="57"/>
      <c r="B177" s="527"/>
      <c r="C177" s="527"/>
      <c r="D177" s="527"/>
      <c r="E177" s="7"/>
      <c r="F177" s="7"/>
      <c r="G177" s="528"/>
      <c r="H177" s="528"/>
      <c r="I177" s="528"/>
      <c r="J177" s="528"/>
      <c r="K177" s="528"/>
      <c r="L177" s="528"/>
      <c r="M177" s="528"/>
      <c r="N177" s="528"/>
      <c r="O177" s="528"/>
      <c r="P177" s="528"/>
      <c r="Q177" s="528"/>
      <c r="R177" s="528"/>
      <c r="S177" s="528"/>
      <c r="T177" s="528"/>
      <c r="U177" s="528"/>
      <c r="V177" s="528"/>
      <c r="W177" s="528"/>
      <c r="X177" s="528"/>
      <c r="Y177" s="528"/>
      <c r="Z177" s="528"/>
      <c r="AA177" s="529"/>
      <c r="AB177" s="529"/>
      <c r="AC177" s="529"/>
      <c r="AD177" s="529"/>
      <c r="AE177" s="529"/>
      <c r="AF177" s="529"/>
      <c r="AG177" s="529"/>
      <c r="AH177" s="529"/>
      <c r="AI177" s="529"/>
      <c r="AJ177" s="529"/>
      <c r="AK177" s="529"/>
      <c r="AL177" s="529"/>
      <c r="AM177" s="529"/>
      <c r="AN177" s="529"/>
      <c r="AO177"/>
      <c r="AP177" s="529"/>
      <c r="AQ177" s="529"/>
      <c r="AR177" s="529"/>
      <c r="AS177" s="529"/>
      <c r="AT177" s="529"/>
      <c r="AU177" s="529"/>
      <c r="AV177" s="529"/>
      <c r="AW177" s="57"/>
    </row>
    <row r="178" spans="1:49" x14ac:dyDescent="0.25">
      <c r="A178" s="57"/>
      <c r="B178" s="527"/>
      <c r="C178" s="527"/>
      <c r="D178" s="527"/>
      <c r="E178" s="7"/>
      <c r="F178" s="7"/>
      <c r="G178" s="528"/>
      <c r="H178" s="528"/>
      <c r="I178" s="528"/>
      <c r="J178" s="528"/>
      <c r="K178" s="528"/>
      <c r="L178" s="528"/>
      <c r="M178" s="528"/>
      <c r="N178" s="528"/>
      <c r="O178" s="528"/>
      <c r="P178" s="528"/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9"/>
      <c r="AB178" s="529"/>
      <c r="AC178" s="529"/>
      <c r="AD178" s="529"/>
      <c r="AE178" s="529"/>
      <c r="AF178" s="529"/>
      <c r="AG178" s="529"/>
      <c r="AH178" s="529"/>
      <c r="AI178" s="529"/>
      <c r="AJ178" s="529"/>
      <c r="AK178" s="529"/>
      <c r="AL178" s="529"/>
      <c r="AM178" s="529"/>
      <c r="AN178" s="529"/>
      <c r="AO178"/>
      <c r="AP178" s="529"/>
      <c r="AQ178" s="529"/>
      <c r="AR178" s="529"/>
      <c r="AS178" s="529"/>
      <c r="AT178" s="529"/>
      <c r="AU178" s="529"/>
      <c r="AV178" s="529"/>
      <c r="AW178" s="57"/>
    </row>
    <row r="179" spans="1:49" x14ac:dyDescent="0.25">
      <c r="A179" s="57"/>
      <c r="B179" s="527"/>
      <c r="C179" s="527"/>
      <c r="D179" s="527"/>
      <c r="E179" s="7"/>
      <c r="F179" s="7"/>
      <c r="G179" s="528"/>
      <c r="H179" s="528"/>
      <c r="I179" s="528"/>
      <c r="J179" s="528"/>
      <c r="K179" s="528"/>
      <c r="L179" s="528"/>
      <c r="M179" s="528"/>
      <c r="N179" s="528"/>
      <c r="O179" s="528"/>
      <c r="P179" s="528"/>
      <c r="Q179" s="528"/>
      <c r="R179" s="528"/>
      <c r="S179" s="528"/>
      <c r="T179" s="528"/>
      <c r="U179" s="528"/>
      <c r="V179" s="528"/>
      <c r="W179" s="528"/>
      <c r="X179" s="528"/>
      <c r="Y179" s="528"/>
      <c r="Z179" s="528"/>
      <c r="AA179" s="529"/>
      <c r="AB179" s="529"/>
      <c r="AC179" s="529"/>
      <c r="AD179" s="529"/>
      <c r="AE179" s="529"/>
      <c r="AF179" s="529"/>
      <c r="AG179" s="529"/>
      <c r="AH179" s="529"/>
      <c r="AI179" s="529"/>
      <c r="AJ179" s="529"/>
      <c r="AK179" s="529"/>
      <c r="AL179" s="529"/>
      <c r="AM179" s="529"/>
      <c r="AN179" s="529"/>
      <c r="AO179"/>
      <c r="AP179" s="529"/>
      <c r="AQ179" s="529"/>
      <c r="AR179" s="529"/>
      <c r="AS179" s="529"/>
      <c r="AT179" s="529"/>
      <c r="AU179" s="529"/>
      <c r="AV179" s="529"/>
      <c r="AW179" s="57"/>
    </row>
    <row r="180" spans="1:49" x14ac:dyDescent="0.25">
      <c r="A180" s="57"/>
      <c r="B180" s="527"/>
      <c r="C180" s="527"/>
      <c r="D180" s="527"/>
      <c r="E180" s="7"/>
      <c r="F180" s="7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9"/>
      <c r="AB180" s="529"/>
      <c r="AC180" s="529"/>
      <c r="AD180" s="529"/>
      <c r="AE180" s="529"/>
      <c r="AF180" s="529"/>
      <c r="AG180" s="529"/>
      <c r="AH180" s="529"/>
      <c r="AI180" s="529"/>
      <c r="AJ180" s="529"/>
      <c r="AK180" s="529"/>
      <c r="AL180" s="529"/>
      <c r="AM180" s="529"/>
      <c r="AN180" s="529"/>
      <c r="AO180"/>
      <c r="AP180" s="529"/>
      <c r="AQ180" s="529"/>
      <c r="AR180" s="529"/>
      <c r="AS180" s="529"/>
      <c r="AT180" s="529"/>
      <c r="AU180" s="529"/>
      <c r="AV180" s="529"/>
      <c r="AW180" s="57"/>
    </row>
    <row r="181" spans="1:49" x14ac:dyDescent="0.25">
      <c r="A181" s="57"/>
      <c r="B181" s="527"/>
      <c r="C181" s="527"/>
      <c r="D181" s="527"/>
      <c r="E181" s="7"/>
      <c r="F181" s="7"/>
      <c r="G181" s="528"/>
      <c r="H181" s="528"/>
      <c r="I181" s="528"/>
      <c r="J181" s="528"/>
      <c r="K181" s="528"/>
      <c r="L181" s="528"/>
      <c r="M181" s="528"/>
      <c r="N181" s="528"/>
      <c r="O181" s="528"/>
      <c r="P181" s="528"/>
      <c r="Q181" s="528"/>
      <c r="R181" s="528"/>
      <c r="S181" s="528"/>
      <c r="T181" s="528"/>
      <c r="U181" s="528"/>
      <c r="V181" s="528"/>
      <c r="W181" s="528"/>
      <c r="X181" s="528"/>
      <c r="Y181" s="528"/>
      <c r="Z181" s="528"/>
      <c r="AA181" s="529"/>
      <c r="AB181" s="529"/>
      <c r="AC181" s="529"/>
      <c r="AD181" s="529"/>
      <c r="AE181" s="529"/>
      <c r="AF181" s="529"/>
      <c r="AG181" s="529"/>
      <c r="AH181" s="529"/>
      <c r="AI181" s="529"/>
      <c r="AJ181" s="529"/>
      <c r="AK181" s="529"/>
      <c r="AL181" s="529"/>
      <c r="AM181" s="529"/>
      <c r="AN181" s="529"/>
      <c r="AO181"/>
      <c r="AP181" s="529"/>
      <c r="AQ181" s="529"/>
      <c r="AR181" s="529"/>
      <c r="AS181" s="529"/>
      <c r="AT181" s="529"/>
      <c r="AU181" s="529"/>
      <c r="AV181" s="529"/>
      <c r="AW181" s="57"/>
    </row>
    <row r="182" spans="1:49" x14ac:dyDescent="0.25">
      <c r="A182" s="57"/>
      <c r="B182" s="527"/>
      <c r="C182" s="527"/>
      <c r="D182" s="527"/>
      <c r="E182" s="7"/>
      <c r="F182" s="7"/>
      <c r="G182" s="528"/>
      <c r="H182" s="528"/>
      <c r="I182" s="528"/>
      <c r="J182" s="528"/>
      <c r="K182" s="528"/>
      <c r="L182" s="528"/>
      <c r="M182" s="528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9"/>
      <c r="AB182" s="529"/>
      <c r="AC182" s="529"/>
      <c r="AD182" s="529"/>
      <c r="AE182" s="529"/>
      <c r="AF182" s="529"/>
      <c r="AG182" s="529"/>
      <c r="AH182" s="529"/>
      <c r="AI182" s="529"/>
      <c r="AJ182" s="529"/>
      <c r="AK182" s="529"/>
      <c r="AL182" s="529"/>
      <c r="AM182" s="529"/>
      <c r="AN182" s="529"/>
      <c r="AO182"/>
      <c r="AP182" s="529"/>
      <c r="AQ182" s="529"/>
      <c r="AR182" s="529"/>
      <c r="AS182" s="529"/>
      <c r="AT182" s="529"/>
      <c r="AU182" s="529"/>
      <c r="AV182" s="529"/>
      <c r="AW182" s="57"/>
    </row>
    <row r="183" spans="1:49" x14ac:dyDescent="0.25">
      <c r="A183" s="57"/>
      <c r="B183" s="527"/>
      <c r="C183" s="527"/>
      <c r="D183" s="527"/>
      <c r="E183" s="7"/>
      <c r="F183" s="7"/>
      <c r="G183" s="528"/>
      <c r="H183" s="528"/>
      <c r="I183" s="528"/>
      <c r="J183" s="528"/>
      <c r="K183" s="528"/>
      <c r="L183" s="528"/>
      <c r="M183" s="528"/>
      <c r="N183" s="528"/>
      <c r="O183" s="528"/>
      <c r="P183" s="528"/>
      <c r="Q183" s="528"/>
      <c r="R183" s="528"/>
      <c r="S183" s="528"/>
      <c r="T183" s="528"/>
      <c r="U183" s="528"/>
      <c r="V183" s="528"/>
      <c r="W183" s="528"/>
      <c r="X183" s="528"/>
      <c r="Y183" s="528"/>
      <c r="Z183" s="528"/>
      <c r="AA183" s="529"/>
      <c r="AB183" s="529"/>
      <c r="AC183" s="529"/>
      <c r="AD183" s="529"/>
      <c r="AE183" s="529"/>
      <c r="AF183" s="529"/>
      <c r="AG183" s="529"/>
      <c r="AH183" s="529"/>
      <c r="AI183" s="529"/>
      <c r="AJ183" s="529"/>
      <c r="AK183" s="529"/>
      <c r="AL183" s="529"/>
      <c r="AM183" s="529"/>
      <c r="AN183" s="529"/>
      <c r="AO183"/>
      <c r="AP183" s="529"/>
      <c r="AQ183" s="529"/>
      <c r="AR183" s="529"/>
      <c r="AS183" s="529"/>
      <c r="AT183" s="529"/>
      <c r="AU183" s="529"/>
      <c r="AV183" s="529"/>
      <c r="AW183" s="57"/>
    </row>
    <row r="184" spans="1:49" x14ac:dyDescent="0.25">
      <c r="A184" s="57"/>
      <c r="B184" s="527"/>
      <c r="C184" s="527"/>
      <c r="D184" s="527"/>
      <c r="E184" s="7"/>
      <c r="F184" s="7"/>
      <c r="G184" s="528"/>
      <c r="H184" s="528"/>
      <c r="I184" s="528"/>
      <c r="J184" s="528"/>
      <c r="K184" s="528"/>
      <c r="L184" s="528"/>
      <c r="M184" s="528"/>
      <c r="N184" s="528"/>
      <c r="O184" s="528"/>
      <c r="P184" s="528"/>
      <c r="Q184" s="528"/>
      <c r="R184" s="528"/>
      <c r="S184" s="528"/>
      <c r="T184" s="528"/>
      <c r="U184" s="528"/>
      <c r="V184" s="528"/>
      <c r="W184" s="528"/>
      <c r="X184" s="528"/>
      <c r="Y184" s="528"/>
      <c r="Z184" s="528"/>
      <c r="AA184" s="529"/>
      <c r="AB184" s="529"/>
      <c r="AC184" s="529"/>
      <c r="AD184" s="529"/>
      <c r="AE184" s="529"/>
      <c r="AF184" s="529"/>
      <c r="AG184" s="529"/>
      <c r="AH184" s="529"/>
      <c r="AI184" s="529"/>
      <c r="AJ184" s="529"/>
      <c r="AK184" s="529"/>
      <c r="AL184" s="529"/>
      <c r="AM184" s="529"/>
      <c r="AN184" s="529"/>
      <c r="AO184"/>
      <c r="AP184" s="529"/>
      <c r="AQ184" s="529"/>
      <c r="AR184" s="529"/>
      <c r="AS184" s="529"/>
      <c r="AT184" s="529"/>
      <c r="AU184" s="529"/>
      <c r="AV184" s="529"/>
      <c r="AW184" s="57"/>
    </row>
    <row r="185" spans="1:49" x14ac:dyDescent="0.25">
      <c r="A185" s="57"/>
      <c r="B185" s="527"/>
      <c r="C185" s="527"/>
      <c r="D185" s="527"/>
      <c r="E185" s="7"/>
      <c r="F185" s="7"/>
      <c r="G185" s="528"/>
      <c r="H185" s="528"/>
      <c r="I185" s="528"/>
      <c r="J185" s="528"/>
      <c r="K185" s="528"/>
      <c r="L185" s="528"/>
      <c r="M185" s="528"/>
      <c r="N185" s="528"/>
      <c r="O185" s="528"/>
      <c r="P185" s="528"/>
      <c r="Q185" s="528"/>
      <c r="R185" s="528"/>
      <c r="S185" s="528"/>
      <c r="T185" s="528"/>
      <c r="U185" s="528"/>
      <c r="V185" s="528"/>
      <c r="W185" s="528"/>
      <c r="X185" s="528"/>
      <c r="Y185" s="528"/>
      <c r="Z185" s="528"/>
      <c r="AA185" s="529"/>
      <c r="AB185" s="529"/>
      <c r="AC185" s="529"/>
      <c r="AD185" s="529"/>
      <c r="AE185" s="529"/>
      <c r="AF185" s="529"/>
      <c r="AG185" s="529"/>
      <c r="AH185" s="529"/>
      <c r="AI185" s="529"/>
      <c r="AJ185" s="529"/>
      <c r="AK185" s="529"/>
      <c r="AL185" s="529"/>
      <c r="AM185" s="529"/>
      <c r="AN185" s="529"/>
      <c r="AO185"/>
      <c r="AP185" s="529"/>
      <c r="AQ185" s="529"/>
      <c r="AR185" s="529"/>
      <c r="AS185" s="529"/>
      <c r="AT185" s="529"/>
      <c r="AU185" s="529"/>
      <c r="AV185" s="529"/>
      <c r="AW185" s="57"/>
    </row>
    <row r="186" spans="1:49" x14ac:dyDescent="0.25">
      <c r="A186" s="57"/>
      <c r="B186" s="527"/>
      <c r="C186" s="527"/>
      <c r="D186" s="527"/>
      <c r="E186" s="7"/>
      <c r="F186" s="7"/>
      <c r="G186" s="528"/>
      <c r="H186" s="528"/>
      <c r="I186" s="528"/>
      <c r="J186" s="528"/>
      <c r="K186" s="528"/>
      <c r="L186" s="528"/>
      <c r="M186" s="528"/>
      <c r="N186" s="528"/>
      <c r="O186" s="528"/>
      <c r="P186" s="528"/>
      <c r="Q186" s="528"/>
      <c r="R186" s="528"/>
      <c r="S186" s="528"/>
      <c r="T186" s="528"/>
      <c r="U186" s="528"/>
      <c r="V186" s="528"/>
      <c r="W186" s="528"/>
      <c r="X186" s="528"/>
      <c r="Y186" s="528"/>
      <c r="Z186" s="528"/>
      <c r="AA186" s="529"/>
      <c r="AB186" s="529"/>
      <c r="AC186" s="529"/>
      <c r="AD186" s="529"/>
      <c r="AE186" s="529"/>
      <c r="AF186" s="529"/>
      <c r="AG186" s="529"/>
      <c r="AH186" s="529"/>
      <c r="AI186" s="529"/>
      <c r="AJ186" s="529"/>
      <c r="AK186" s="529"/>
      <c r="AL186" s="529"/>
      <c r="AM186" s="529"/>
      <c r="AN186" s="529"/>
      <c r="AO186"/>
      <c r="AP186" s="529"/>
      <c r="AQ186" s="529"/>
      <c r="AR186" s="529"/>
      <c r="AS186" s="529"/>
      <c r="AT186" s="529"/>
      <c r="AU186" s="529"/>
      <c r="AV186" s="529"/>
      <c r="AW186" s="57"/>
    </row>
    <row r="187" spans="1:49" x14ac:dyDescent="0.25">
      <c r="A187" s="57"/>
      <c r="B187" s="527"/>
      <c r="C187" s="527"/>
      <c r="D187" s="527"/>
      <c r="E187" s="7"/>
      <c r="F187" s="7"/>
      <c r="G187" s="528"/>
      <c r="H187" s="528"/>
      <c r="I187" s="528"/>
      <c r="J187" s="528"/>
      <c r="K187" s="528"/>
      <c r="L187" s="528"/>
      <c r="M187" s="528"/>
      <c r="N187" s="528"/>
      <c r="O187" s="528"/>
      <c r="P187" s="528"/>
      <c r="Q187" s="528"/>
      <c r="R187" s="528"/>
      <c r="S187" s="528"/>
      <c r="T187" s="528"/>
      <c r="U187" s="528"/>
      <c r="V187" s="528"/>
      <c r="W187" s="528"/>
      <c r="X187" s="528"/>
      <c r="Y187" s="528"/>
      <c r="Z187" s="528"/>
      <c r="AA187" s="529"/>
      <c r="AB187" s="529"/>
      <c r="AC187" s="529"/>
      <c r="AD187" s="529"/>
      <c r="AE187" s="529"/>
      <c r="AF187" s="529"/>
      <c r="AG187" s="529"/>
      <c r="AH187" s="529"/>
      <c r="AI187" s="529"/>
      <c r="AJ187" s="529"/>
      <c r="AK187" s="529"/>
      <c r="AL187" s="529"/>
      <c r="AM187" s="529"/>
      <c r="AN187" s="529"/>
      <c r="AO187"/>
      <c r="AP187" s="529"/>
      <c r="AQ187" s="529"/>
      <c r="AR187" s="529"/>
      <c r="AS187" s="529"/>
      <c r="AT187" s="529"/>
      <c r="AU187" s="529"/>
      <c r="AV187" s="529"/>
      <c r="AW187" s="57"/>
    </row>
    <row r="188" spans="1:49" x14ac:dyDescent="0.25">
      <c r="A188" s="57"/>
      <c r="B188" s="527"/>
      <c r="C188" s="527"/>
      <c r="D188" s="527"/>
      <c r="E188" s="7"/>
      <c r="F188" s="7"/>
      <c r="G188" s="528"/>
      <c r="H188" s="528"/>
      <c r="I188" s="528"/>
      <c r="J188" s="528"/>
      <c r="K188" s="528"/>
      <c r="L188" s="528"/>
      <c r="M188" s="528"/>
      <c r="N188" s="528"/>
      <c r="O188" s="528"/>
      <c r="P188" s="528"/>
      <c r="Q188" s="528"/>
      <c r="R188" s="528"/>
      <c r="S188" s="528"/>
      <c r="T188" s="528"/>
      <c r="U188" s="528"/>
      <c r="V188" s="528"/>
      <c r="W188" s="528"/>
      <c r="X188" s="528"/>
      <c r="Y188" s="528"/>
      <c r="Z188" s="528"/>
      <c r="AA188" s="529"/>
      <c r="AB188" s="529"/>
      <c r="AC188" s="529"/>
      <c r="AD188" s="529"/>
      <c r="AE188" s="529"/>
      <c r="AF188" s="529"/>
      <c r="AG188" s="529"/>
      <c r="AH188" s="529"/>
      <c r="AI188" s="529"/>
      <c r="AJ188" s="529"/>
      <c r="AK188" s="529"/>
      <c r="AL188" s="529"/>
      <c r="AM188" s="529"/>
      <c r="AN188" s="529"/>
      <c r="AO188"/>
      <c r="AP188" s="529"/>
      <c r="AQ188" s="529"/>
      <c r="AR188" s="529"/>
      <c r="AS188" s="529"/>
      <c r="AT188" s="529"/>
      <c r="AU188" s="529"/>
      <c r="AV188" s="529"/>
      <c r="AW188" s="57"/>
    </row>
    <row r="189" spans="1:49" x14ac:dyDescent="0.25">
      <c r="A189" s="57"/>
      <c r="B189" s="527"/>
      <c r="C189" s="527"/>
      <c r="D189" s="527"/>
      <c r="E189" s="7"/>
      <c r="F189" s="7"/>
      <c r="G189" s="528"/>
      <c r="H189" s="528"/>
      <c r="I189" s="528"/>
      <c r="J189" s="528"/>
      <c r="K189" s="528"/>
      <c r="L189" s="528"/>
      <c r="M189" s="528"/>
      <c r="N189" s="528"/>
      <c r="O189" s="528"/>
      <c r="P189" s="528"/>
      <c r="Q189" s="528"/>
      <c r="R189" s="528"/>
      <c r="S189" s="528"/>
      <c r="T189" s="528"/>
      <c r="U189" s="528"/>
      <c r="V189" s="528"/>
      <c r="W189" s="528"/>
      <c r="X189" s="528"/>
      <c r="Y189" s="528"/>
      <c r="Z189" s="528"/>
      <c r="AA189" s="529"/>
      <c r="AB189" s="529"/>
      <c r="AC189" s="529"/>
      <c r="AD189" s="529"/>
      <c r="AE189" s="529"/>
      <c r="AF189" s="529"/>
      <c r="AG189" s="529"/>
      <c r="AH189" s="529"/>
      <c r="AI189" s="529"/>
      <c r="AJ189" s="529"/>
      <c r="AK189" s="529"/>
      <c r="AL189" s="529"/>
      <c r="AM189" s="529"/>
      <c r="AN189" s="529"/>
      <c r="AO189"/>
      <c r="AP189" s="529"/>
      <c r="AQ189" s="529"/>
      <c r="AR189" s="529"/>
      <c r="AS189" s="529"/>
      <c r="AT189" s="529"/>
      <c r="AU189" s="529"/>
      <c r="AV189" s="529"/>
      <c r="AW189" s="57"/>
    </row>
    <row r="190" spans="1:49" x14ac:dyDescent="0.25">
      <c r="A190" s="57"/>
      <c r="B190" s="527"/>
      <c r="C190" s="527"/>
      <c r="D190" s="527"/>
      <c r="E190" s="7"/>
      <c r="F190" s="7"/>
      <c r="G190" s="528"/>
      <c r="H190" s="528"/>
      <c r="I190" s="528"/>
      <c r="J190" s="528"/>
      <c r="K190" s="528"/>
      <c r="L190" s="528"/>
      <c r="M190" s="528"/>
      <c r="N190" s="528"/>
      <c r="O190" s="528"/>
      <c r="P190" s="528"/>
      <c r="Q190" s="528"/>
      <c r="R190" s="528"/>
      <c r="S190" s="528"/>
      <c r="T190" s="528"/>
      <c r="U190" s="528"/>
      <c r="V190" s="528"/>
      <c r="W190" s="528"/>
      <c r="X190" s="528"/>
      <c r="Y190" s="528"/>
      <c r="Z190" s="528"/>
      <c r="AA190" s="529"/>
      <c r="AB190" s="529"/>
      <c r="AC190" s="529"/>
      <c r="AD190" s="529"/>
      <c r="AE190" s="529"/>
      <c r="AF190" s="529"/>
      <c r="AG190" s="529"/>
      <c r="AH190" s="529"/>
      <c r="AI190" s="529"/>
      <c r="AJ190" s="529"/>
      <c r="AK190" s="529"/>
      <c r="AL190" s="529"/>
      <c r="AM190" s="529"/>
      <c r="AN190" s="529"/>
      <c r="AO190"/>
      <c r="AP190" s="529"/>
      <c r="AQ190" s="529"/>
      <c r="AR190" s="529"/>
      <c r="AS190" s="529"/>
      <c r="AT190" s="529"/>
      <c r="AU190" s="529"/>
      <c r="AV190" s="529"/>
      <c r="AW190" s="57"/>
    </row>
    <row r="191" spans="1:49" x14ac:dyDescent="0.25">
      <c r="A191" s="57"/>
      <c r="B191" s="527"/>
      <c r="C191" s="527"/>
      <c r="D191" s="527"/>
      <c r="E191" s="7"/>
      <c r="F191" s="7"/>
      <c r="G191" s="528"/>
      <c r="H191" s="528"/>
      <c r="I191" s="528"/>
      <c r="J191" s="528"/>
      <c r="K191" s="528"/>
      <c r="L191" s="528"/>
      <c r="M191" s="528"/>
      <c r="N191" s="528"/>
      <c r="O191" s="528"/>
      <c r="P191" s="528"/>
      <c r="Q191" s="528"/>
      <c r="R191" s="528"/>
      <c r="S191" s="528"/>
      <c r="T191" s="528"/>
      <c r="U191" s="528"/>
      <c r="V191" s="528"/>
      <c r="W191" s="528"/>
      <c r="X191" s="528"/>
      <c r="Y191" s="528"/>
      <c r="Z191" s="528"/>
      <c r="AA191" s="529"/>
      <c r="AB191" s="529"/>
      <c r="AC191" s="529"/>
      <c r="AD191" s="529"/>
      <c r="AE191" s="529"/>
      <c r="AF191" s="529"/>
      <c r="AG191" s="529"/>
      <c r="AH191" s="529"/>
      <c r="AI191" s="529"/>
      <c r="AJ191" s="529"/>
      <c r="AK191" s="529"/>
      <c r="AL191" s="529"/>
      <c r="AM191" s="529"/>
      <c r="AN191" s="529"/>
      <c r="AO191"/>
      <c r="AP191" s="529"/>
      <c r="AQ191" s="529"/>
      <c r="AR191" s="529"/>
      <c r="AS191" s="529"/>
      <c r="AT191" s="529"/>
      <c r="AU191" s="529"/>
      <c r="AV191" s="529"/>
      <c r="AW191" s="57"/>
    </row>
    <row r="192" spans="1:49" x14ac:dyDescent="0.25">
      <c r="A192" s="57"/>
      <c r="B192" s="527"/>
      <c r="C192" s="527"/>
      <c r="D192" s="527"/>
      <c r="E192" s="7"/>
      <c r="F192" s="7"/>
      <c r="G192" s="528"/>
      <c r="H192" s="528"/>
      <c r="I192" s="528"/>
      <c r="J192" s="528"/>
      <c r="K192" s="528"/>
      <c r="L192" s="528"/>
      <c r="M192" s="528"/>
      <c r="N192" s="528"/>
      <c r="O192" s="528"/>
      <c r="P192" s="528"/>
      <c r="Q192" s="528"/>
      <c r="R192" s="528"/>
      <c r="S192" s="528"/>
      <c r="T192" s="528"/>
      <c r="U192" s="528"/>
      <c r="V192" s="528"/>
      <c r="W192" s="528"/>
      <c r="X192" s="528"/>
      <c r="Y192" s="528"/>
      <c r="Z192" s="528"/>
      <c r="AA192" s="529"/>
      <c r="AB192" s="529"/>
      <c r="AC192" s="529"/>
      <c r="AD192" s="529"/>
      <c r="AE192" s="529"/>
      <c r="AF192" s="529"/>
      <c r="AG192" s="529"/>
      <c r="AH192" s="529"/>
      <c r="AI192" s="529"/>
      <c r="AJ192" s="529"/>
      <c r="AK192" s="529"/>
      <c r="AL192" s="529"/>
      <c r="AM192" s="529"/>
      <c r="AN192" s="529"/>
      <c r="AO192"/>
      <c r="AP192" s="529"/>
      <c r="AQ192" s="529"/>
      <c r="AR192" s="529"/>
      <c r="AS192" s="529"/>
      <c r="AT192" s="529"/>
      <c r="AU192" s="529"/>
      <c r="AV192" s="529"/>
      <c r="AW192" s="57"/>
    </row>
    <row r="193" spans="1:49" x14ac:dyDescent="0.25">
      <c r="A193" s="57"/>
      <c r="B193" s="527"/>
      <c r="C193" s="527"/>
      <c r="D193" s="527"/>
      <c r="E193" s="7"/>
      <c r="F193" s="7"/>
      <c r="G193" s="528"/>
      <c r="H193" s="528"/>
      <c r="I193" s="528"/>
      <c r="J193" s="528"/>
      <c r="K193" s="528"/>
      <c r="L193" s="528"/>
      <c r="M193" s="528"/>
      <c r="N193" s="528"/>
      <c r="O193" s="528"/>
      <c r="P193" s="528"/>
      <c r="Q193" s="528"/>
      <c r="R193" s="528"/>
      <c r="S193" s="528"/>
      <c r="T193" s="528"/>
      <c r="U193" s="528"/>
      <c r="V193" s="528"/>
      <c r="W193" s="528"/>
      <c r="X193" s="528"/>
      <c r="Y193" s="528"/>
      <c r="Z193" s="528"/>
      <c r="AA193" s="529"/>
      <c r="AB193" s="529"/>
      <c r="AC193" s="529"/>
      <c r="AD193" s="529"/>
      <c r="AE193" s="529"/>
      <c r="AF193" s="529"/>
      <c r="AG193" s="529"/>
      <c r="AH193" s="529"/>
      <c r="AI193" s="529"/>
      <c r="AJ193" s="529"/>
      <c r="AK193" s="529"/>
      <c r="AL193" s="529"/>
      <c r="AM193" s="529"/>
      <c r="AN193" s="529"/>
      <c r="AO193"/>
      <c r="AP193" s="529"/>
      <c r="AQ193" s="529"/>
      <c r="AR193" s="529"/>
      <c r="AS193" s="529"/>
      <c r="AT193" s="529"/>
      <c r="AU193" s="529"/>
      <c r="AV193" s="529"/>
      <c r="AW193" s="57"/>
    </row>
    <row r="194" spans="1:49" x14ac:dyDescent="0.25">
      <c r="A194" s="57"/>
      <c r="B194" s="527"/>
      <c r="C194" s="527"/>
      <c r="D194" s="527"/>
      <c r="E194" s="7"/>
      <c r="F194" s="7"/>
      <c r="G194" s="528"/>
      <c r="H194" s="528"/>
      <c r="I194" s="528"/>
      <c r="J194" s="528"/>
      <c r="K194" s="528"/>
      <c r="L194" s="528"/>
      <c r="M194" s="528"/>
      <c r="N194" s="528"/>
      <c r="O194" s="528"/>
      <c r="P194" s="528"/>
      <c r="Q194" s="528"/>
      <c r="R194" s="528"/>
      <c r="S194" s="528"/>
      <c r="T194" s="528"/>
      <c r="U194" s="528"/>
      <c r="V194" s="528"/>
      <c r="W194" s="528"/>
      <c r="X194" s="528"/>
      <c r="Y194" s="528"/>
      <c r="Z194" s="528"/>
      <c r="AA194" s="529"/>
      <c r="AB194" s="529"/>
      <c r="AC194" s="529"/>
      <c r="AD194" s="529"/>
      <c r="AE194" s="529"/>
      <c r="AF194" s="529"/>
      <c r="AG194" s="529"/>
      <c r="AH194" s="529"/>
      <c r="AI194" s="529"/>
      <c r="AJ194" s="529"/>
      <c r="AK194" s="529"/>
      <c r="AL194" s="529"/>
      <c r="AM194" s="529"/>
      <c r="AN194" s="529"/>
      <c r="AO194"/>
      <c r="AP194" s="529"/>
      <c r="AQ194" s="529"/>
      <c r="AR194" s="529"/>
      <c r="AS194" s="529"/>
      <c r="AT194" s="529"/>
      <c r="AU194" s="529"/>
      <c r="AV194" s="529"/>
      <c r="AW194" s="57"/>
    </row>
    <row r="195" spans="1:49" x14ac:dyDescent="0.25">
      <c r="A195" s="57"/>
      <c r="B195" s="527"/>
      <c r="C195" s="527"/>
      <c r="D195" s="527"/>
      <c r="E195" s="7"/>
      <c r="F195" s="7"/>
      <c r="G195" s="528"/>
      <c r="H195" s="528"/>
      <c r="I195" s="528"/>
      <c r="J195" s="528"/>
      <c r="K195" s="528"/>
      <c r="L195" s="528"/>
      <c r="M195" s="528"/>
      <c r="N195" s="528"/>
      <c r="O195" s="528"/>
      <c r="P195" s="528"/>
      <c r="Q195" s="528"/>
      <c r="R195" s="528"/>
      <c r="S195" s="528"/>
      <c r="T195" s="528"/>
      <c r="U195" s="528"/>
      <c r="V195" s="528"/>
      <c r="W195" s="528"/>
      <c r="X195" s="528"/>
      <c r="Y195" s="528"/>
      <c r="Z195" s="528"/>
      <c r="AA195" s="529"/>
      <c r="AB195" s="529"/>
      <c r="AC195" s="529"/>
      <c r="AD195" s="529"/>
      <c r="AE195" s="529"/>
      <c r="AF195" s="529"/>
      <c r="AG195" s="529"/>
      <c r="AH195" s="529"/>
      <c r="AI195" s="529"/>
      <c r="AJ195" s="529"/>
      <c r="AK195" s="529"/>
      <c r="AL195" s="529"/>
      <c r="AM195" s="529"/>
      <c r="AN195" s="529"/>
      <c r="AO195"/>
      <c r="AP195" s="529"/>
      <c r="AQ195" s="529"/>
      <c r="AR195" s="529"/>
      <c r="AS195" s="529"/>
      <c r="AT195" s="529"/>
      <c r="AU195" s="529"/>
      <c r="AV195" s="529"/>
      <c r="AW195" s="57"/>
    </row>
    <row r="196" spans="1:49" x14ac:dyDescent="0.25">
      <c r="A196" s="57"/>
      <c r="B196" s="527"/>
      <c r="C196" s="527"/>
      <c r="D196" s="527"/>
      <c r="E196" s="7"/>
      <c r="F196" s="7"/>
      <c r="G196" s="528"/>
      <c r="H196" s="528"/>
      <c r="I196" s="528"/>
      <c r="J196" s="528"/>
      <c r="K196" s="528"/>
      <c r="L196" s="528"/>
      <c r="M196" s="528"/>
      <c r="N196" s="528"/>
      <c r="O196" s="528"/>
      <c r="P196" s="528"/>
      <c r="Q196" s="528"/>
      <c r="R196" s="528"/>
      <c r="S196" s="528"/>
      <c r="T196" s="528"/>
      <c r="U196" s="528"/>
      <c r="V196" s="528"/>
      <c r="W196" s="528"/>
      <c r="X196" s="528"/>
      <c r="Y196" s="528"/>
      <c r="Z196" s="528"/>
      <c r="AA196" s="529"/>
      <c r="AB196" s="529"/>
      <c r="AC196" s="529"/>
      <c r="AD196" s="529"/>
      <c r="AE196" s="529"/>
      <c r="AF196" s="529"/>
      <c r="AG196" s="529"/>
      <c r="AH196" s="529"/>
      <c r="AI196" s="529"/>
      <c r="AJ196" s="529"/>
      <c r="AK196" s="529"/>
      <c r="AL196" s="529"/>
      <c r="AM196" s="529"/>
      <c r="AN196" s="529"/>
      <c r="AO196"/>
      <c r="AP196" s="529"/>
      <c r="AQ196" s="529"/>
      <c r="AR196" s="529"/>
      <c r="AS196" s="529"/>
      <c r="AT196" s="529"/>
      <c r="AU196" s="529"/>
      <c r="AV196" s="529"/>
      <c r="AW196" s="57"/>
    </row>
    <row r="197" spans="1:49" x14ac:dyDescent="0.25">
      <c r="A197" s="57"/>
      <c r="B197" s="527"/>
      <c r="C197" s="527"/>
      <c r="D197" s="527"/>
      <c r="E197" s="7"/>
      <c r="F197" s="7"/>
      <c r="G197" s="528"/>
      <c r="H197" s="528"/>
      <c r="I197" s="528"/>
      <c r="J197" s="528"/>
      <c r="K197" s="528"/>
      <c r="L197" s="528"/>
      <c r="M197" s="528"/>
      <c r="N197" s="528"/>
      <c r="O197" s="528"/>
      <c r="P197" s="528"/>
      <c r="Q197" s="528"/>
      <c r="R197" s="528"/>
      <c r="S197" s="528"/>
      <c r="T197" s="528"/>
      <c r="U197" s="528"/>
      <c r="V197" s="528"/>
      <c r="W197" s="528"/>
      <c r="X197" s="528"/>
      <c r="Y197" s="528"/>
      <c r="Z197" s="528"/>
      <c r="AA197" s="529"/>
      <c r="AB197" s="529"/>
      <c r="AC197" s="529"/>
      <c r="AD197" s="529"/>
      <c r="AE197" s="529"/>
      <c r="AF197" s="529"/>
      <c r="AG197" s="529"/>
      <c r="AH197" s="528"/>
      <c r="AI197" s="529"/>
      <c r="AJ197" s="529"/>
      <c r="AK197" s="529"/>
      <c r="AL197" s="529"/>
      <c r="AM197" s="529"/>
      <c r="AN197" s="529"/>
      <c r="AO197"/>
      <c r="AP197" s="529"/>
      <c r="AQ197" s="529"/>
      <c r="AR197" s="529"/>
      <c r="AS197" s="529"/>
      <c r="AT197" s="529"/>
      <c r="AU197" s="529"/>
      <c r="AV197" s="529"/>
      <c r="AW197" s="57"/>
    </row>
    <row r="198" spans="1:49" x14ac:dyDescent="0.25">
      <c r="A198" s="57"/>
      <c r="B198" s="527"/>
      <c r="C198" s="527"/>
      <c r="D198" s="527"/>
      <c r="E198" s="7"/>
      <c r="F198" s="7"/>
      <c r="G198" s="528"/>
      <c r="H198" s="528"/>
      <c r="I198" s="528"/>
      <c r="J198" s="528"/>
      <c r="K198" s="528"/>
      <c r="L198" s="528"/>
      <c r="M198" s="528"/>
      <c r="N198" s="528"/>
      <c r="O198" s="528"/>
      <c r="P198" s="528"/>
      <c r="Q198" s="528"/>
      <c r="R198" s="528"/>
      <c r="S198" s="528"/>
      <c r="T198" s="528"/>
      <c r="U198" s="528"/>
      <c r="V198" s="528"/>
      <c r="W198" s="528"/>
      <c r="X198" s="528"/>
      <c r="Y198" s="528"/>
      <c r="Z198" s="528"/>
      <c r="AA198" s="529"/>
      <c r="AB198" s="529"/>
      <c r="AC198" s="529"/>
      <c r="AD198" s="529"/>
      <c r="AE198" s="529"/>
      <c r="AF198" s="529"/>
      <c r="AG198" s="529"/>
      <c r="AH198" s="528"/>
      <c r="AI198" s="529"/>
      <c r="AJ198" s="529"/>
      <c r="AK198" s="529"/>
      <c r="AL198" s="529"/>
      <c r="AM198" s="529"/>
      <c r="AN198" s="529"/>
      <c r="AO198"/>
      <c r="AP198" s="529"/>
      <c r="AQ198" s="529"/>
      <c r="AR198" s="529"/>
      <c r="AS198" s="529"/>
      <c r="AT198" s="529"/>
      <c r="AU198" s="529"/>
      <c r="AV198" s="529"/>
      <c r="AW198" s="57"/>
    </row>
    <row r="199" spans="1:49" x14ac:dyDescent="0.25">
      <c r="A199" s="57"/>
      <c r="B199" s="527"/>
      <c r="C199" s="527"/>
      <c r="D199" s="527"/>
      <c r="E199" s="7"/>
      <c r="F199" s="7"/>
      <c r="G199" s="528"/>
      <c r="H199" s="528"/>
      <c r="I199" s="528"/>
      <c r="J199" s="528"/>
      <c r="K199" s="528"/>
      <c r="L199" s="528"/>
      <c r="M199" s="528"/>
      <c r="N199" s="528"/>
      <c r="O199" s="528"/>
      <c r="P199" s="528"/>
      <c r="Q199" s="528"/>
      <c r="R199" s="528"/>
      <c r="S199" s="528"/>
      <c r="T199" s="528"/>
      <c r="U199" s="528"/>
      <c r="V199" s="528"/>
      <c r="W199" s="528"/>
      <c r="X199" s="528"/>
      <c r="Y199" s="528"/>
      <c r="Z199" s="528"/>
      <c r="AA199" s="529"/>
      <c r="AB199" s="529"/>
      <c r="AC199" s="529"/>
      <c r="AD199" s="529"/>
      <c r="AE199" s="529"/>
      <c r="AF199" s="529"/>
      <c r="AG199" s="529"/>
      <c r="AH199" s="529"/>
      <c r="AI199" s="529"/>
      <c r="AJ199" s="529"/>
      <c r="AK199" s="529"/>
      <c r="AL199" s="529"/>
      <c r="AM199" s="529"/>
      <c r="AN199" s="529"/>
      <c r="AO199"/>
      <c r="AP199" s="529"/>
      <c r="AQ199" s="529"/>
      <c r="AR199" s="529"/>
      <c r="AS199" s="529"/>
      <c r="AT199" s="529"/>
      <c r="AU199" s="529"/>
      <c r="AV199" s="529"/>
      <c r="AW199" s="57"/>
    </row>
    <row r="200" spans="1:49" x14ac:dyDescent="0.25">
      <c r="A200" s="57"/>
      <c r="B200" s="527"/>
      <c r="C200" s="527"/>
      <c r="D200" s="527"/>
      <c r="E200" s="7"/>
      <c r="F200" s="7"/>
      <c r="G200" s="528"/>
      <c r="H200" s="528"/>
      <c r="I200" s="528"/>
      <c r="J200" s="528"/>
      <c r="K200" s="528"/>
      <c r="L200" s="528"/>
      <c r="M200" s="528"/>
      <c r="N200" s="528"/>
      <c r="O200" s="528"/>
      <c r="P200" s="528"/>
      <c r="Q200" s="528"/>
      <c r="R200" s="528"/>
      <c r="S200" s="528"/>
      <c r="T200" s="528"/>
      <c r="U200" s="528"/>
      <c r="V200" s="528"/>
      <c r="W200" s="528"/>
      <c r="X200" s="528"/>
      <c r="Y200" s="528"/>
      <c r="Z200" s="528"/>
      <c r="AA200" s="529"/>
      <c r="AB200" s="529"/>
      <c r="AC200" s="529"/>
      <c r="AD200" s="529"/>
      <c r="AE200" s="529"/>
      <c r="AF200" s="529"/>
      <c r="AG200" s="529"/>
      <c r="AH200" s="529"/>
      <c r="AI200" s="529"/>
      <c r="AJ200" s="529"/>
      <c r="AK200" s="529"/>
      <c r="AL200" s="529"/>
      <c r="AM200" s="529"/>
      <c r="AN200" s="529"/>
      <c r="AO200"/>
      <c r="AP200" s="529"/>
      <c r="AQ200" s="529"/>
      <c r="AR200" s="529"/>
      <c r="AS200" s="529"/>
      <c r="AT200" s="529"/>
      <c r="AU200" s="529"/>
      <c r="AV200" s="529"/>
      <c r="AW200" s="57"/>
    </row>
    <row r="201" spans="1:49" x14ac:dyDescent="0.25">
      <c r="A201" s="57"/>
      <c r="B201" s="527"/>
      <c r="C201" s="527"/>
      <c r="D201" s="527"/>
      <c r="E201" s="7"/>
      <c r="F201" s="7"/>
      <c r="G201" s="528"/>
      <c r="H201" s="528"/>
      <c r="I201" s="528"/>
      <c r="J201" s="528"/>
      <c r="K201" s="528"/>
      <c r="L201" s="528"/>
      <c r="M201" s="528"/>
      <c r="N201" s="528"/>
      <c r="O201" s="528"/>
      <c r="P201" s="528"/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9"/>
      <c r="AB201" s="529"/>
      <c r="AC201" s="529"/>
      <c r="AD201" s="529"/>
      <c r="AE201" s="529"/>
      <c r="AF201" s="529"/>
      <c r="AG201" s="529"/>
      <c r="AH201" s="529"/>
      <c r="AI201" s="529"/>
      <c r="AJ201" s="529"/>
      <c r="AK201" s="529"/>
      <c r="AL201" s="529"/>
      <c r="AM201" s="529"/>
      <c r="AN201" s="529"/>
      <c r="AO201"/>
      <c r="AP201" s="529"/>
      <c r="AQ201" s="529"/>
      <c r="AR201" s="529"/>
      <c r="AS201" s="529"/>
      <c r="AT201" s="529"/>
      <c r="AU201" s="529"/>
      <c r="AV201" s="529"/>
      <c r="AW201" s="57"/>
    </row>
    <row r="202" spans="1:49" x14ac:dyDescent="0.25">
      <c r="A202" s="57"/>
      <c r="B202" s="527"/>
      <c r="C202" s="527"/>
      <c r="D202" s="527"/>
      <c r="E202" s="7"/>
      <c r="F202" s="7"/>
      <c r="G202" s="528"/>
      <c r="H202" s="528"/>
      <c r="I202" s="528"/>
      <c r="J202" s="528"/>
      <c r="K202" s="528"/>
      <c r="L202" s="528"/>
      <c r="M202" s="528"/>
      <c r="N202" s="528"/>
      <c r="O202" s="528"/>
      <c r="P202" s="528"/>
      <c r="Q202" s="528"/>
      <c r="R202" s="528"/>
      <c r="S202" s="528"/>
      <c r="T202" s="528"/>
      <c r="U202" s="528"/>
      <c r="V202" s="528"/>
      <c r="W202" s="528"/>
      <c r="X202" s="528"/>
      <c r="Y202" s="528"/>
      <c r="Z202" s="528"/>
      <c r="AA202" s="529"/>
      <c r="AB202" s="529"/>
      <c r="AC202" s="529"/>
      <c r="AD202" s="529"/>
      <c r="AE202" s="529"/>
      <c r="AF202" s="529"/>
      <c r="AG202" s="529"/>
      <c r="AH202" s="529"/>
      <c r="AI202" s="529"/>
      <c r="AJ202" s="529"/>
      <c r="AK202" s="529"/>
      <c r="AL202" s="529"/>
      <c r="AM202" s="529"/>
      <c r="AN202" s="529"/>
      <c r="AO202"/>
      <c r="AP202" s="529"/>
      <c r="AQ202" s="529"/>
      <c r="AR202" s="529"/>
      <c r="AS202" s="529"/>
      <c r="AT202" s="529"/>
      <c r="AU202" s="529"/>
      <c r="AV202" s="529"/>
      <c r="AW202" s="57"/>
    </row>
    <row r="203" spans="1:49" x14ac:dyDescent="0.25">
      <c r="A203" s="57"/>
      <c r="B203" s="527"/>
      <c r="C203" s="527"/>
      <c r="D203" s="527"/>
      <c r="E203" s="7"/>
      <c r="F203" s="7"/>
      <c r="G203" s="528"/>
      <c r="H203" s="528"/>
      <c r="I203" s="528"/>
      <c r="J203" s="528"/>
      <c r="K203" s="528"/>
      <c r="L203" s="528"/>
      <c r="M203" s="528"/>
      <c r="N203" s="528"/>
      <c r="O203" s="528"/>
      <c r="P203" s="528"/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9"/>
      <c r="AB203" s="529"/>
      <c r="AC203" s="529"/>
      <c r="AD203" s="529"/>
      <c r="AE203" s="529"/>
      <c r="AF203" s="529"/>
      <c r="AG203" s="529"/>
      <c r="AH203" s="529"/>
      <c r="AI203" s="529"/>
      <c r="AJ203" s="529"/>
      <c r="AK203" s="529"/>
      <c r="AL203" s="529"/>
      <c r="AM203" s="529"/>
      <c r="AN203" s="529"/>
      <c r="AO203"/>
      <c r="AP203" s="529"/>
      <c r="AQ203" s="529"/>
      <c r="AR203" s="529"/>
      <c r="AS203" s="529"/>
      <c r="AT203" s="529"/>
      <c r="AU203" s="529"/>
      <c r="AV203" s="529"/>
      <c r="AW203" s="57"/>
    </row>
    <row r="204" spans="1:49" x14ac:dyDescent="0.25">
      <c r="A204" s="57"/>
      <c r="B204" s="527"/>
      <c r="C204" s="527"/>
      <c r="D204" s="527"/>
      <c r="E204" s="7"/>
      <c r="F204" s="7"/>
      <c r="G204" s="528"/>
      <c r="H204" s="528"/>
      <c r="I204" s="528"/>
      <c r="J204" s="528"/>
      <c r="K204" s="528"/>
      <c r="L204" s="528"/>
      <c r="M204" s="528"/>
      <c r="N204" s="528"/>
      <c r="O204" s="528"/>
      <c r="P204" s="528"/>
      <c r="Q204" s="528"/>
      <c r="R204" s="528"/>
      <c r="S204" s="528"/>
      <c r="T204" s="528"/>
      <c r="U204" s="528"/>
      <c r="V204" s="528"/>
      <c r="W204" s="528"/>
      <c r="X204" s="528"/>
      <c r="Y204" s="528"/>
      <c r="Z204" s="528"/>
      <c r="AA204" s="529"/>
      <c r="AB204" s="529"/>
      <c r="AC204" s="529"/>
      <c r="AD204" s="529"/>
      <c r="AE204" s="529"/>
      <c r="AF204" s="529"/>
      <c r="AG204" s="529"/>
      <c r="AH204" s="529"/>
      <c r="AI204" s="529"/>
      <c r="AJ204" s="529"/>
      <c r="AK204" s="529"/>
      <c r="AL204" s="529"/>
      <c r="AM204" s="529"/>
      <c r="AN204" s="529"/>
      <c r="AO204"/>
      <c r="AP204" s="529"/>
      <c r="AQ204" s="529"/>
      <c r="AR204" s="529"/>
      <c r="AS204" s="529"/>
      <c r="AT204" s="529"/>
      <c r="AU204" s="529"/>
      <c r="AV204" s="529"/>
      <c r="AW204" s="57"/>
    </row>
    <row r="205" spans="1:49" x14ac:dyDescent="0.25">
      <c r="A205" s="57"/>
      <c r="B205" s="527"/>
      <c r="C205" s="527"/>
      <c r="D205" s="527"/>
      <c r="E205" s="7"/>
      <c r="F205" s="7"/>
      <c r="G205" s="528"/>
      <c r="H205" s="528"/>
      <c r="I205" s="528"/>
      <c r="J205" s="528"/>
      <c r="K205" s="528"/>
      <c r="L205" s="528"/>
      <c r="M205" s="528"/>
      <c r="N205" s="528"/>
      <c r="O205" s="528"/>
      <c r="P205" s="528"/>
      <c r="Q205" s="528"/>
      <c r="R205" s="528"/>
      <c r="S205" s="528"/>
      <c r="T205" s="528"/>
      <c r="U205" s="528"/>
      <c r="V205" s="528"/>
      <c r="W205" s="528"/>
      <c r="X205" s="528"/>
      <c r="Y205" s="528"/>
      <c r="Z205" s="528"/>
      <c r="AA205" s="529"/>
      <c r="AB205" s="529"/>
      <c r="AC205" s="529"/>
      <c r="AD205" s="529"/>
      <c r="AE205" s="529"/>
      <c r="AF205" s="529"/>
      <c r="AG205" s="529"/>
      <c r="AH205" s="529"/>
      <c r="AI205" s="529"/>
      <c r="AJ205" s="529"/>
      <c r="AK205" s="529"/>
      <c r="AL205" s="529"/>
      <c r="AM205" s="529"/>
      <c r="AN205" s="529"/>
      <c r="AO205"/>
      <c r="AP205" s="529"/>
      <c r="AQ205" s="529"/>
      <c r="AR205" s="529"/>
      <c r="AS205" s="529"/>
      <c r="AT205" s="529"/>
      <c r="AU205" s="529"/>
      <c r="AV205" s="529"/>
      <c r="AW205" s="57"/>
    </row>
    <row r="206" spans="1:49" x14ac:dyDescent="0.25">
      <c r="A206" s="57"/>
      <c r="B206" s="527"/>
      <c r="C206" s="527"/>
      <c r="D206" s="527"/>
      <c r="E206" s="7"/>
      <c r="F206" s="7"/>
      <c r="G206" s="528"/>
      <c r="H206" s="528"/>
      <c r="I206" s="528"/>
      <c r="J206" s="528"/>
      <c r="K206" s="528"/>
      <c r="L206" s="528"/>
      <c r="M206" s="528"/>
      <c r="N206" s="528"/>
      <c r="O206" s="528"/>
      <c r="P206" s="528"/>
      <c r="Q206" s="528"/>
      <c r="R206" s="528"/>
      <c r="S206" s="528"/>
      <c r="T206" s="528"/>
      <c r="U206" s="528"/>
      <c r="V206" s="528"/>
      <c r="W206" s="528"/>
      <c r="X206" s="528"/>
      <c r="Y206" s="528"/>
      <c r="Z206" s="528"/>
      <c r="AA206" s="529"/>
      <c r="AB206" s="529"/>
      <c r="AC206" s="529"/>
      <c r="AD206" s="529"/>
      <c r="AE206" s="529"/>
      <c r="AF206" s="529"/>
      <c r="AG206" s="529"/>
      <c r="AH206" s="529"/>
      <c r="AI206" s="529"/>
      <c r="AJ206" s="529"/>
      <c r="AK206" s="529"/>
      <c r="AL206" s="529"/>
      <c r="AM206" s="529"/>
      <c r="AN206" s="529"/>
      <c r="AO206"/>
      <c r="AP206" s="529"/>
      <c r="AQ206" s="529"/>
      <c r="AR206" s="529"/>
      <c r="AS206" s="529"/>
      <c r="AT206" s="529"/>
      <c r="AU206" s="529"/>
      <c r="AV206" s="529"/>
      <c r="AW206" s="57"/>
    </row>
    <row r="207" spans="1:49" x14ac:dyDescent="0.25">
      <c r="A207" s="57"/>
      <c r="B207" s="527"/>
      <c r="C207" s="527"/>
      <c r="D207" s="527"/>
      <c r="E207" s="7"/>
      <c r="F207" s="7"/>
      <c r="G207" s="528"/>
      <c r="H207" s="528"/>
      <c r="I207" s="528"/>
      <c r="J207" s="528"/>
      <c r="K207" s="528"/>
      <c r="L207" s="528"/>
      <c r="M207" s="528"/>
      <c r="N207" s="528"/>
      <c r="O207" s="528"/>
      <c r="P207" s="528"/>
      <c r="Q207" s="528"/>
      <c r="R207" s="528"/>
      <c r="S207" s="528"/>
      <c r="T207" s="528"/>
      <c r="U207" s="528"/>
      <c r="V207" s="528"/>
      <c r="W207" s="528"/>
      <c r="X207" s="528"/>
      <c r="Y207" s="528"/>
      <c r="Z207" s="528"/>
      <c r="AA207" s="529"/>
      <c r="AB207" s="529"/>
      <c r="AC207" s="529"/>
      <c r="AD207" s="529"/>
      <c r="AE207" s="529"/>
      <c r="AF207" s="529"/>
      <c r="AG207" s="529"/>
      <c r="AH207" s="529"/>
      <c r="AI207" s="529"/>
      <c r="AJ207" s="529"/>
      <c r="AK207" s="529"/>
      <c r="AL207" s="529"/>
      <c r="AM207" s="529"/>
      <c r="AN207" s="529"/>
      <c r="AO207"/>
      <c r="AP207" s="529"/>
      <c r="AQ207" s="529"/>
      <c r="AR207" s="529"/>
      <c r="AS207" s="529"/>
      <c r="AT207" s="529"/>
      <c r="AU207" s="529"/>
      <c r="AV207" s="529"/>
      <c r="AW207" s="57"/>
    </row>
    <row r="208" spans="1:49" x14ac:dyDescent="0.25">
      <c r="A208" s="57"/>
      <c r="B208" s="527"/>
      <c r="C208" s="527"/>
      <c r="D208" s="527"/>
      <c r="E208" s="7"/>
      <c r="F208" s="7"/>
      <c r="G208" s="528"/>
      <c r="H208" s="528"/>
      <c r="I208" s="528"/>
      <c r="J208" s="528"/>
      <c r="K208" s="528"/>
      <c r="L208" s="528"/>
      <c r="M208" s="528"/>
      <c r="N208" s="528"/>
      <c r="O208" s="528"/>
      <c r="P208" s="528"/>
      <c r="Q208" s="528"/>
      <c r="R208" s="528"/>
      <c r="S208" s="528"/>
      <c r="T208" s="528"/>
      <c r="U208" s="528"/>
      <c r="V208" s="528"/>
      <c r="W208" s="528"/>
      <c r="X208" s="528"/>
      <c r="Y208" s="528"/>
      <c r="Z208" s="528"/>
      <c r="AA208" s="529"/>
      <c r="AB208" s="529"/>
      <c r="AC208" s="529"/>
      <c r="AD208" s="529"/>
      <c r="AE208" s="529"/>
      <c r="AF208" s="529"/>
      <c r="AG208" s="529"/>
      <c r="AH208" s="529"/>
      <c r="AI208" s="529"/>
      <c r="AJ208" s="529"/>
      <c r="AK208" s="529"/>
      <c r="AL208" s="529"/>
      <c r="AM208" s="529"/>
      <c r="AN208" s="529"/>
      <c r="AO208"/>
      <c r="AP208" s="529"/>
      <c r="AQ208" s="529"/>
      <c r="AR208" s="529"/>
      <c r="AS208" s="529"/>
      <c r="AT208" s="529"/>
      <c r="AU208" s="529"/>
      <c r="AV208" s="529"/>
      <c r="AW208" s="57"/>
    </row>
    <row r="209" spans="1:49" x14ac:dyDescent="0.25">
      <c r="A209" s="57"/>
      <c r="B209" s="527"/>
      <c r="C209" s="527"/>
      <c r="D209" s="527"/>
      <c r="E209" s="7"/>
      <c r="F209" s="7"/>
      <c r="G209" s="528"/>
      <c r="H209" s="528"/>
      <c r="I209" s="528"/>
      <c r="J209" s="528"/>
      <c r="K209" s="528"/>
      <c r="L209" s="528"/>
      <c r="M209" s="528"/>
      <c r="N209" s="528"/>
      <c r="O209" s="528"/>
      <c r="P209" s="528"/>
      <c r="Q209" s="528"/>
      <c r="R209" s="528"/>
      <c r="S209" s="528"/>
      <c r="T209" s="528"/>
      <c r="U209" s="528"/>
      <c r="V209" s="528"/>
      <c r="W209" s="528"/>
      <c r="X209" s="528"/>
      <c r="Y209" s="528"/>
      <c r="Z209" s="528"/>
      <c r="AA209" s="529"/>
      <c r="AB209" s="529"/>
      <c r="AC209" s="529"/>
      <c r="AD209" s="529"/>
      <c r="AE209" s="529"/>
      <c r="AF209" s="529"/>
      <c r="AG209" s="529"/>
      <c r="AH209" s="529"/>
      <c r="AI209" s="529"/>
      <c r="AJ209" s="529"/>
      <c r="AK209" s="529"/>
      <c r="AL209" s="529"/>
      <c r="AM209" s="529"/>
      <c r="AN209" s="529"/>
      <c r="AO209"/>
      <c r="AP209" s="529"/>
      <c r="AQ209" s="529"/>
      <c r="AR209" s="529"/>
      <c r="AS209" s="529"/>
      <c r="AT209" s="529"/>
      <c r="AU209" s="529"/>
      <c r="AV209" s="529"/>
      <c r="AW209" s="57"/>
    </row>
    <row r="210" spans="1:49" x14ac:dyDescent="0.25">
      <c r="A210" s="57"/>
      <c r="B210" s="527"/>
      <c r="C210" s="527"/>
      <c r="D210" s="527"/>
      <c r="E210" s="7"/>
      <c r="F210" s="7"/>
      <c r="G210" s="528"/>
      <c r="H210" s="528"/>
      <c r="I210" s="528"/>
      <c r="J210" s="528"/>
      <c r="K210" s="528"/>
      <c r="L210" s="528"/>
      <c r="M210" s="528"/>
      <c r="N210" s="528"/>
      <c r="O210" s="528"/>
      <c r="P210" s="528"/>
      <c r="Q210" s="528"/>
      <c r="R210" s="528"/>
      <c r="S210" s="528"/>
      <c r="T210" s="528"/>
      <c r="U210" s="528"/>
      <c r="V210" s="528"/>
      <c r="W210" s="528"/>
      <c r="X210" s="528"/>
      <c r="Y210" s="528"/>
      <c r="Z210" s="528"/>
      <c r="AA210" s="529"/>
      <c r="AB210" s="529"/>
      <c r="AC210" s="529"/>
      <c r="AD210" s="529"/>
      <c r="AE210" s="529"/>
      <c r="AF210" s="529"/>
      <c r="AG210" s="529"/>
      <c r="AH210" s="529"/>
      <c r="AI210" s="529"/>
      <c r="AJ210" s="529"/>
      <c r="AK210" s="529"/>
      <c r="AL210" s="529"/>
      <c r="AM210" s="529"/>
      <c r="AN210" s="529"/>
      <c r="AO210"/>
      <c r="AP210" s="529"/>
      <c r="AQ210" s="529"/>
      <c r="AR210" s="529"/>
      <c r="AS210" s="529"/>
      <c r="AT210" s="529"/>
      <c r="AU210" s="529"/>
      <c r="AV210" s="529"/>
      <c r="AW210" s="57"/>
    </row>
    <row r="211" spans="1:49" x14ac:dyDescent="0.25">
      <c r="A211" s="57"/>
      <c r="B211" s="527"/>
      <c r="C211" s="527"/>
      <c r="D211" s="527"/>
      <c r="E211" s="7"/>
      <c r="F211" s="7"/>
      <c r="G211" s="528"/>
      <c r="H211" s="528"/>
      <c r="I211" s="528"/>
      <c r="J211" s="528"/>
      <c r="K211" s="528"/>
      <c r="L211" s="528"/>
      <c r="M211" s="528"/>
      <c r="N211" s="528"/>
      <c r="O211" s="528"/>
      <c r="P211" s="528"/>
      <c r="Q211" s="528"/>
      <c r="R211" s="528"/>
      <c r="S211" s="528"/>
      <c r="T211" s="528"/>
      <c r="U211" s="528"/>
      <c r="V211" s="528"/>
      <c r="W211" s="528"/>
      <c r="X211" s="528"/>
      <c r="Y211" s="528"/>
      <c r="Z211" s="528"/>
      <c r="AA211" s="529"/>
      <c r="AB211" s="529"/>
      <c r="AC211" s="529"/>
      <c r="AD211" s="529"/>
      <c r="AE211" s="529"/>
      <c r="AF211" s="529"/>
      <c r="AG211" s="529"/>
      <c r="AH211" s="529"/>
      <c r="AI211" s="529"/>
      <c r="AJ211" s="529"/>
      <c r="AK211" s="529"/>
      <c r="AL211" s="529"/>
      <c r="AM211" s="529"/>
      <c r="AN211" s="529"/>
      <c r="AO211"/>
      <c r="AP211" s="529"/>
      <c r="AQ211" s="529"/>
      <c r="AR211" s="529"/>
      <c r="AS211" s="529"/>
      <c r="AT211" s="529"/>
      <c r="AU211" s="529"/>
      <c r="AV211" s="529"/>
      <c r="AW211" s="57"/>
    </row>
    <row r="212" spans="1:49" x14ac:dyDescent="0.25">
      <c r="A212" s="57"/>
      <c r="B212" s="527"/>
      <c r="C212" s="527"/>
      <c r="D212" s="527"/>
      <c r="E212" s="7"/>
      <c r="F212" s="7"/>
      <c r="G212" s="528"/>
      <c r="H212" s="528"/>
      <c r="I212" s="528"/>
      <c r="J212" s="528"/>
      <c r="K212" s="528"/>
      <c r="L212" s="528"/>
      <c r="M212" s="528"/>
      <c r="N212" s="528"/>
      <c r="O212" s="528"/>
      <c r="P212" s="528"/>
      <c r="Q212" s="528"/>
      <c r="R212" s="528"/>
      <c r="S212" s="528"/>
      <c r="T212" s="528"/>
      <c r="U212" s="528"/>
      <c r="V212" s="528"/>
      <c r="W212" s="528"/>
      <c r="X212" s="528"/>
      <c r="Y212" s="528"/>
      <c r="Z212" s="528"/>
      <c r="AA212" s="529"/>
      <c r="AB212" s="529"/>
      <c r="AC212" s="529"/>
      <c r="AD212" s="529"/>
      <c r="AE212" s="529"/>
      <c r="AF212" s="529"/>
      <c r="AG212" s="529"/>
      <c r="AH212" s="529"/>
      <c r="AI212" s="529"/>
      <c r="AJ212" s="529"/>
      <c r="AK212" s="529"/>
      <c r="AL212" s="529"/>
      <c r="AM212" s="529"/>
      <c r="AN212" s="529"/>
      <c r="AO212"/>
      <c r="AP212" s="529"/>
      <c r="AQ212" s="529"/>
      <c r="AR212" s="529"/>
      <c r="AS212" s="529"/>
      <c r="AT212" s="529"/>
      <c r="AU212" s="529"/>
      <c r="AV212" s="529"/>
      <c r="AW212" s="57"/>
    </row>
    <row r="213" spans="1:49" x14ac:dyDescent="0.25">
      <c r="A213" s="57"/>
      <c r="B213" s="527"/>
      <c r="C213" s="527"/>
      <c r="D213" s="527"/>
      <c r="E213" s="7"/>
      <c r="F213" s="7"/>
      <c r="G213" s="528"/>
      <c r="H213" s="528"/>
      <c r="I213" s="528"/>
      <c r="J213" s="528"/>
      <c r="K213" s="528"/>
      <c r="L213" s="528"/>
      <c r="M213" s="528"/>
      <c r="N213" s="528"/>
      <c r="O213" s="528"/>
      <c r="P213" s="528"/>
      <c r="Q213" s="528"/>
      <c r="R213" s="528"/>
      <c r="S213" s="528"/>
      <c r="T213" s="528"/>
      <c r="U213" s="528"/>
      <c r="V213" s="528"/>
      <c r="W213" s="528"/>
      <c r="X213" s="528"/>
      <c r="Y213" s="528"/>
      <c r="Z213" s="528"/>
      <c r="AA213" s="529"/>
      <c r="AB213" s="529"/>
      <c r="AC213" s="529"/>
      <c r="AD213" s="529"/>
      <c r="AE213" s="529"/>
      <c r="AF213" s="529"/>
      <c r="AG213" s="529"/>
      <c r="AH213" s="529"/>
      <c r="AI213" s="529"/>
      <c r="AJ213" s="529"/>
      <c r="AK213" s="529"/>
      <c r="AL213" s="529"/>
      <c r="AM213" s="529"/>
      <c r="AN213" s="529"/>
      <c r="AO213"/>
      <c r="AP213" s="529"/>
      <c r="AQ213" s="529"/>
      <c r="AR213" s="529"/>
      <c r="AS213" s="529"/>
      <c r="AT213" s="529"/>
      <c r="AU213" s="529"/>
      <c r="AV213" s="529"/>
      <c r="AW213" s="57"/>
    </row>
    <row r="214" spans="1:49" x14ac:dyDescent="0.25">
      <c r="A214" s="57"/>
      <c r="B214" s="527"/>
      <c r="C214" s="527"/>
      <c r="D214" s="527"/>
      <c r="E214" s="7"/>
      <c r="F214" s="7"/>
      <c r="G214" s="528"/>
      <c r="H214" s="528"/>
      <c r="I214" s="528"/>
      <c r="J214" s="528"/>
      <c r="K214" s="528"/>
      <c r="L214" s="528"/>
      <c r="M214" s="528"/>
      <c r="N214" s="528"/>
      <c r="O214" s="528"/>
      <c r="P214" s="528"/>
      <c r="Q214" s="528"/>
      <c r="R214" s="528"/>
      <c r="S214" s="528"/>
      <c r="T214" s="528"/>
      <c r="U214" s="528"/>
      <c r="V214" s="528"/>
      <c r="W214" s="528"/>
      <c r="X214" s="528"/>
      <c r="Y214" s="528"/>
      <c r="Z214" s="528"/>
      <c r="AA214" s="529"/>
      <c r="AB214" s="529"/>
      <c r="AC214" s="529"/>
      <c r="AD214" s="529"/>
      <c r="AE214" s="529"/>
      <c r="AF214" s="529"/>
      <c r="AG214" s="529"/>
      <c r="AH214" s="529"/>
      <c r="AI214" s="529"/>
      <c r="AJ214" s="529"/>
      <c r="AK214" s="529"/>
      <c r="AL214" s="529"/>
      <c r="AM214" s="529"/>
      <c r="AN214" s="529"/>
      <c r="AO214"/>
      <c r="AP214" s="529"/>
      <c r="AQ214" s="529"/>
      <c r="AR214" s="529"/>
      <c r="AS214" s="529"/>
      <c r="AT214" s="529"/>
      <c r="AU214" s="529"/>
      <c r="AV214" s="529"/>
      <c r="AW214" s="57"/>
    </row>
    <row r="215" spans="1:49" x14ac:dyDescent="0.25">
      <c r="A215" s="57"/>
      <c r="B215" s="527"/>
      <c r="C215" s="527"/>
      <c r="D215" s="527"/>
      <c r="E215" s="7"/>
      <c r="F215" s="7"/>
      <c r="G215" s="528"/>
      <c r="H215" s="528"/>
      <c r="I215" s="528"/>
      <c r="J215" s="528"/>
      <c r="K215" s="528"/>
      <c r="L215" s="528"/>
      <c r="M215" s="528"/>
      <c r="N215" s="528"/>
      <c r="O215" s="528"/>
      <c r="P215" s="528"/>
      <c r="Q215" s="528"/>
      <c r="R215" s="528"/>
      <c r="S215" s="528"/>
      <c r="T215" s="528"/>
      <c r="U215" s="528"/>
      <c r="V215" s="528"/>
      <c r="W215" s="528"/>
      <c r="X215" s="528"/>
      <c r="Y215" s="528"/>
      <c r="Z215" s="528"/>
      <c r="AA215" s="529"/>
      <c r="AB215" s="529"/>
      <c r="AC215" s="529"/>
      <c r="AD215" s="529"/>
      <c r="AE215" s="529"/>
      <c r="AF215" s="529"/>
      <c r="AG215" s="529"/>
      <c r="AH215" s="529"/>
      <c r="AI215" s="529"/>
      <c r="AJ215" s="529"/>
      <c r="AK215" s="529"/>
      <c r="AL215" s="529"/>
      <c r="AM215" s="529"/>
      <c r="AN215" s="529"/>
      <c r="AO215"/>
      <c r="AP215" s="529"/>
      <c r="AQ215" s="529"/>
      <c r="AR215" s="529"/>
      <c r="AS215" s="529"/>
      <c r="AT215" s="529"/>
      <c r="AU215" s="529"/>
      <c r="AV215" s="529"/>
      <c r="AW215" s="57"/>
    </row>
    <row r="216" spans="1:49" x14ac:dyDescent="0.25">
      <c r="A216" s="57"/>
      <c r="B216" s="527"/>
      <c r="C216" s="527"/>
      <c r="D216" s="527"/>
      <c r="E216" s="7"/>
      <c r="F216" s="7"/>
      <c r="G216" s="528"/>
      <c r="H216" s="528"/>
      <c r="I216" s="528"/>
      <c r="J216" s="528"/>
      <c r="K216" s="528"/>
      <c r="L216" s="528"/>
      <c r="M216" s="528"/>
      <c r="N216" s="528"/>
      <c r="O216" s="528"/>
      <c r="P216" s="528"/>
      <c r="Q216" s="528"/>
      <c r="R216" s="528"/>
      <c r="S216" s="528"/>
      <c r="T216" s="528"/>
      <c r="U216" s="528"/>
      <c r="V216" s="528"/>
      <c r="W216" s="528"/>
      <c r="X216" s="528"/>
      <c r="Y216" s="528"/>
      <c r="Z216" s="528"/>
      <c r="AA216" s="529"/>
      <c r="AB216" s="529"/>
      <c r="AC216" s="529"/>
      <c r="AD216" s="529"/>
      <c r="AE216" s="529"/>
      <c r="AF216" s="529"/>
      <c r="AG216" s="529"/>
      <c r="AH216" s="529"/>
      <c r="AI216" s="529"/>
      <c r="AJ216" s="529"/>
      <c r="AK216" s="529"/>
      <c r="AL216" s="529"/>
      <c r="AM216" s="529"/>
      <c r="AN216" s="529"/>
      <c r="AO216"/>
      <c r="AP216" s="529"/>
      <c r="AQ216" s="529"/>
      <c r="AR216" s="529"/>
      <c r="AS216" s="529"/>
      <c r="AT216" s="529"/>
      <c r="AU216" s="529"/>
      <c r="AV216" s="529"/>
      <c r="AW216" s="57"/>
    </row>
    <row r="217" spans="1:49" x14ac:dyDescent="0.25">
      <c r="A217" s="57"/>
      <c r="B217" s="527"/>
      <c r="C217" s="527"/>
      <c r="D217" s="527"/>
      <c r="E217" s="7"/>
      <c r="F217" s="7"/>
      <c r="G217" s="528"/>
      <c r="H217" s="528"/>
      <c r="I217" s="528"/>
      <c r="J217" s="528"/>
      <c r="K217" s="528"/>
      <c r="L217" s="528"/>
      <c r="M217" s="528"/>
      <c r="N217" s="528"/>
      <c r="O217" s="528"/>
      <c r="P217" s="528"/>
      <c r="Q217" s="528"/>
      <c r="R217" s="528"/>
      <c r="S217" s="528"/>
      <c r="T217" s="528"/>
      <c r="U217" s="528"/>
      <c r="V217" s="528"/>
      <c r="W217" s="528"/>
      <c r="X217" s="528"/>
      <c r="Y217" s="528"/>
      <c r="Z217" s="528"/>
      <c r="AA217" s="529"/>
      <c r="AB217" s="529"/>
      <c r="AC217" s="529"/>
      <c r="AD217" s="529"/>
      <c r="AE217" s="529"/>
      <c r="AF217" s="529"/>
      <c r="AG217" s="529"/>
      <c r="AH217" s="529"/>
      <c r="AI217" s="529"/>
      <c r="AJ217" s="529"/>
      <c r="AK217" s="529"/>
      <c r="AL217" s="529"/>
      <c r="AM217" s="529"/>
      <c r="AN217" s="529"/>
      <c r="AO217"/>
      <c r="AP217" s="529"/>
      <c r="AQ217" s="529"/>
      <c r="AR217" s="529"/>
      <c r="AS217" s="529"/>
      <c r="AT217" s="529"/>
      <c r="AU217" s="529"/>
      <c r="AV217" s="529"/>
      <c r="AW217" s="57"/>
    </row>
    <row r="218" spans="1:49" x14ac:dyDescent="0.25">
      <c r="A218" s="57"/>
      <c r="B218" s="527"/>
      <c r="C218" s="527"/>
      <c r="D218" s="527"/>
      <c r="E218" s="7"/>
      <c r="F218" s="7"/>
      <c r="G218" s="528"/>
      <c r="H218" s="528"/>
      <c r="I218" s="528"/>
      <c r="J218" s="528"/>
      <c r="K218" s="528"/>
      <c r="L218" s="528"/>
      <c r="M218" s="528"/>
      <c r="N218" s="528"/>
      <c r="O218" s="528"/>
      <c r="P218" s="528"/>
      <c r="Q218" s="528"/>
      <c r="R218" s="528"/>
      <c r="S218" s="528"/>
      <c r="T218" s="528"/>
      <c r="U218" s="528"/>
      <c r="V218" s="528"/>
      <c r="W218" s="528"/>
      <c r="X218" s="528"/>
      <c r="Y218" s="528"/>
      <c r="Z218" s="528"/>
      <c r="AA218" s="529"/>
      <c r="AB218" s="529"/>
      <c r="AC218" s="529"/>
      <c r="AD218" s="529"/>
      <c r="AE218" s="529"/>
      <c r="AF218" s="529"/>
      <c r="AG218" s="529"/>
      <c r="AH218" s="529"/>
      <c r="AI218" s="529"/>
      <c r="AJ218" s="529"/>
      <c r="AK218" s="529"/>
      <c r="AL218" s="529"/>
      <c r="AM218" s="529"/>
      <c r="AN218" s="529"/>
      <c r="AO218"/>
      <c r="AP218" s="529"/>
      <c r="AQ218" s="529"/>
      <c r="AR218" s="529"/>
      <c r="AS218" s="529"/>
      <c r="AT218" s="529"/>
      <c r="AU218" s="529"/>
      <c r="AV218" s="529"/>
      <c r="AW218" s="57"/>
    </row>
    <row r="219" spans="1:49" x14ac:dyDescent="0.25">
      <c r="A219" s="57"/>
      <c r="B219" s="527"/>
      <c r="C219" s="527"/>
      <c r="D219" s="527"/>
      <c r="E219" s="7"/>
      <c r="F219" s="7"/>
      <c r="G219" s="528"/>
      <c r="H219" s="528"/>
      <c r="I219" s="528"/>
      <c r="J219" s="528"/>
      <c r="K219" s="528"/>
      <c r="L219" s="528"/>
      <c r="M219" s="528"/>
      <c r="N219" s="528"/>
      <c r="O219" s="528"/>
      <c r="P219" s="528"/>
      <c r="Q219" s="528"/>
      <c r="R219" s="528"/>
      <c r="S219" s="528"/>
      <c r="T219" s="528"/>
      <c r="U219" s="528"/>
      <c r="V219" s="528"/>
      <c r="W219" s="528"/>
      <c r="X219" s="528"/>
      <c r="Y219" s="528"/>
      <c r="Z219" s="528"/>
      <c r="AA219" s="529"/>
      <c r="AB219" s="529"/>
      <c r="AC219" s="529"/>
      <c r="AD219" s="529"/>
      <c r="AE219" s="529"/>
      <c r="AF219" s="529"/>
      <c r="AG219" s="529"/>
      <c r="AH219" s="529"/>
      <c r="AI219" s="529"/>
      <c r="AJ219" s="529"/>
      <c r="AK219" s="529"/>
      <c r="AL219" s="529"/>
      <c r="AM219" s="529"/>
      <c r="AN219" s="529"/>
      <c r="AO219"/>
      <c r="AP219" s="529"/>
      <c r="AQ219" s="529"/>
      <c r="AR219" s="529"/>
      <c r="AS219" s="529"/>
      <c r="AT219" s="529"/>
      <c r="AU219" s="529"/>
      <c r="AV219" s="529"/>
      <c r="AW219" s="57"/>
    </row>
    <row r="220" spans="1:49" x14ac:dyDescent="0.25">
      <c r="A220" s="57"/>
      <c r="B220" s="527"/>
      <c r="C220" s="527"/>
      <c r="D220" s="527"/>
      <c r="E220" s="7"/>
      <c r="F220" s="7"/>
      <c r="G220" s="528"/>
      <c r="H220" s="528"/>
      <c r="I220" s="528"/>
      <c r="J220" s="528"/>
      <c r="K220" s="528"/>
      <c r="L220" s="528"/>
      <c r="M220" s="528"/>
      <c r="N220" s="528"/>
      <c r="O220" s="528"/>
      <c r="P220" s="528"/>
      <c r="Q220" s="528"/>
      <c r="R220" s="528"/>
      <c r="S220" s="528"/>
      <c r="T220" s="528"/>
      <c r="U220" s="528"/>
      <c r="V220" s="528"/>
      <c r="W220" s="528"/>
      <c r="X220" s="528"/>
      <c r="Y220" s="528"/>
      <c r="Z220" s="528"/>
      <c r="AA220" s="529"/>
      <c r="AB220" s="529"/>
      <c r="AC220" s="529"/>
      <c r="AD220" s="529"/>
      <c r="AE220" s="529"/>
      <c r="AF220" s="529"/>
      <c r="AG220" s="529"/>
      <c r="AH220" s="529"/>
      <c r="AI220" s="529"/>
      <c r="AJ220" s="529"/>
      <c r="AK220" s="529"/>
      <c r="AL220" s="529"/>
      <c r="AM220" s="529"/>
      <c r="AN220" s="529"/>
      <c r="AO220"/>
      <c r="AP220" s="529"/>
      <c r="AQ220" s="529"/>
      <c r="AR220" s="529"/>
      <c r="AS220" s="529"/>
      <c r="AT220" s="529"/>
      <c r="AU220" s="529"/>
      <c r="AV220" s="529"/>
      <c r="AW220" s="57"/>
    </row>
    <row r="221" spans="1:49" x14ac:dyDescent="0.25">
      <c r="A221" s="57"/>
      <c r="B221" s="527"/>
      <c r="C221" s="527"/>
      <c r="D221" s="527"/>
      <c r="E221" s="7"/>
      <c r="F221" s="7"/>
      <c r="G221" s="528"/>
      <c r="H221" s="528"/>
      <c r="I221" s="528"/>
      <c r="J221" s="528"/>
      <c r="K221" s="528"/>
      <c r="L221" s="528"/>
      <c r="M221" s="528"/>
      <c r="N221" s="528"/>
      <c r="O221" s="528"/>
      <c r="P221" s="528"/>
      <c r="Q221" s="528"/>
      <c r="R221" s="528"/>
      <c r="S221" s="528"/>
      <c r="T221" s="528"/>
      <c r="U221" s="528"/>
      <c r="V221" s="528"/>
      <c r="W221" s="528"/>
      <c r="X221" s="528"/>
      <c r="Y221" s="528"/>
      <c r="Z221" s="528"/>
      <c r="AA221" s="529"/>
      <c r="AB221" s="529"/>
      <c r="AC221" s="529"/>
      <c r="AD221" s="529"/>
      <c r="AE221" s="529"/>
      <c r="AF221" s="529"/>
      <c r="AG221" s="529"/>
      <c r="AH221" s="529"/>
      <c r="AI221" s="529"/>
      <c r="AJ221" s="529"/>
      <c r="AK221" s="529"/>
      <c r="AL221" s="529"/>
      <c r="AM221" s="529"/>
      <c r="AN221" s="529"/>
      <c r="AO221"/>
      <c r="AP221" s="529"/>
      <c r="AQ221" s="529"/>
      <c r="AR221" s="529"/>
      <c r="AS221" s="529"/>
      <c r="AT221" s="529"/>
      <c r="AU221" s="529"/>
      <c r="AV221" s="529"/>
      <c r="AW221" s="57"/>
    </row>
    <row r="222" spans="1:49" x14ac:dyDescent="0.25">
      <c r="A222" s="57"/>
      <c r="B222" s="527"/>
      <c r="C222" s="527"/>
      <c r="D222" s="527"/>
      <c r="E222" s="7"/>
      <c r="F222" s="7"/>
      <c r="G222" s="528"/>
      <c r="H222" s="528"/>
      <c r="I222" s="528"/>
      <c r="J222" s="528"/>
      <c r="K222" s="528"/>
      <c r="L222" s="528"/>
      <c r="M222" s="528"/>
      <c r="N222" s="528"/>
      <c r="O222" s="528"/>
      <c r="P222" s="528"/>
      <c r="Q222" s="528"/>
      <c r="R222" s="528"/>
      <c r="S222" s="528"/>
      <c r="T222" s="528"/>
      <c r="U222" s="528"/>
      <c r="V222" s="528"/>
      <c r="W222" s="528"/>
      <c r="X222" s="528"/>
      <c r="Y222" s="528"/>
      <c r="Z222" s="528"/>
      <c r="AA222" s="529"/>
      <c r="AB222" s="529"/>
      <c r="AC222" s="529"/>
      <c r="AD222" s="529"/>
      <c r="AE222" s="529"/>
      <c r="AF222" s="529"/>
      <c r="AG222" s="529"/>
      <c r="AH222" s="529"/>
      <c r="AI222" s="529"/>
      <c r="AJ222" s="529"/>
      <c r="AK222" s="529"/>
      <c r="AL222" s="529"/>
      <c r="AM222" s="529"/>
      <c r="AN222" s="529"/>
      <c r="AO222"/>
      <c r="AP222" s="529"/>
      <c r="AQ222" s="529"/>
      <c r="AR222" s="529"/>
      <c r="AS222" s="529"/>
      <c r="AT222" s="529"/>
      <c r="AU222" s="529"/>
      <c r="AV222" s="529"/>
      <c r="AW222" s="57"/>
    </row>
    <row r="223" spans="1:49" x14ac:dyDescent="0.25">
      <c r="A223" s="57"/>
      <c r="B223" s="527"/>
      <c r="C223" s="527"/>
      <c r="D223" s="527"/>
      <c r="E223" s="7"/>
      <c r="F223" s="7"/>
      <c r="G223" s="528"/>
      <c r="H223" s="528"/>
      <c r="I223" s="528"/>
      <c r="J223" s="528"/>
      <c r="K223" s="528"/>
      <c r="L223" s="528"/>
      <c r="M223" s="528"/>
      <c r="N223" s="528"/>
      <c r="O223" s="528"/>
      <c r="P223" s="528"/>
      <c r="Q223" s="528"/>
      <c r="R223" s="528"/>
      <c r="S223" s="528"/>
      <c r="T223" s="528"/>
      <c r="U223" s="528"/>
      <c r="V223" s="528"/>
      <c r="W223" s="528"/>
      <c r="X223" s="528"/>
      <c r="Y223" s="528"/>
      <c r="Z223" s="528"/>
      <c r="AA223" s="529"/>
      <c r="AB223" s="529"/>
      <c r="AC223" s="529"/>
      <c r="AD223" s="529"/>
      <c r="AE223" s="529"/>
      <c r="AF223" s="529"/>
      <c r="AG223" s="529"/>
      <c r="AH223" s="529"/>
      <c r="AI223" s="529"/>
      <c r="AJ223" s="529"/>
      <c r="AK223" s="529"/>
      <c r="AL223" s="529"/>
      <c r="AM223" s="529"/>
      <c r="AN223" s="529"/>
      <c r="AO223"/>
      <c r="AP223" s="529"/>
      <c r="AQ223" s="529"/>
      <c r="AR223" s="529"/>
      <c r="AS223" s="529"/>
      <c r="AT223" s="529"/>
      <c r="AU223" s="529"/>
      <c r="AV223" s="529"/>
      <c r="AW223" s="57"/>
    </row>
    <row r="224" spans="1:49" x14ac:dyDescent="0.25">
      <c r="A224" s="57"/>
      <c r="B224" s="527"/>
      <c r="C224" s="527"/>
      <c r="D224" s="527"/>
      <c r="E224" s="7"/>
      <c r="F224" s="7"/>
      <c r="G224" s="528"/>
      <c r="H224" s="528"/>
      <c r="I224" s="528"/>
      <c r="J224" s="528"/>
      <c r="K224" s="528"/>
      <c r="L224" s="528"/>
      <c r="M224" s="528"/>
      <c r="N224" s="528"/>
      <c r="O224" s="528"/>
      <c r="P224" s="528"/>
      <c r="Q224" s="528"/>
      <c r="R224" s="528"/>
      <c r="S224" s="528"/>
      <c r="T224" s="528"/>
      <c r="U224" s="528"/>
      <c r="V224" s="528"/>
      <c r="W224" s="528"/>
      <c r="X224" s="528"/>
      <c r="Y224" s="528"/>
      <c r="Z224" s="528"/>
      <c r="AA224" s="529"/>
      <c r="AB224" s="529"/>
      <c r="AC224" s="529"/>
      <c r="AD224" s="529"/>
      <c r="AE224" s="529"/>
      <c r="AF224" s="529"/>
      <c r="AG224" s="529"/>
      <c r="AH224" s="529"/>
      <c r="AI224" s="529"/>
      <c r="AJ224" s="529"/>
      <c r="AK224" s="529"/>
      <c r="AL224" s="529"/>
      <c r="AM224" s="529"/>
      <c r="AN224" s="529"/>
      <c r="AO224"/>
      <c r="AP224" s="529"/>
      <c r="AQ224" s="529"/>
      <c r="AR224" s="529"/>
      <c r="AS224" s="529"/>
      <c r="AT224" s="529"/>
      <c r="AU224" s="529"/>
      <c r="AV224" s="529"/>
      <c r="AW224" s="57"/>
    </row>
    <row r="225" spans="1:49" x14ac:dyDescent="0.25">
      <c r="A225" s="57"/>
      <c r="B225" s="527"/>
      <c r="C225" s="527"/>
      <c r="D225" s="527"/>
      <c r="E225" s="7"/>
      <c r="F225" s="7"/>
      <c r="G225" s="528"/>
      <c r="H225" s="528"/>
      <c r="I225" s="528"/>
      <c r="J225" s="528"/>
      <c r="K225" s="528"/>
      <c r="L225" s="528"/>
      <c r="M225" s="528"/>
      <c r="N225" s="528"/>
      <c r="O225" s="528"/>
      <c r="P225" s="528"/>
      <c r="Q225" s="528"/>
      <c r="R225" s="528"/>
      <c r="S225" s="528"/>
      <c r="T225" s="528"/>
      <c r="U225" s="528"/>
      <c r="V225" s="528"/>
      <c r="W225" s="528"/>
      <c r="X225" s="528"/>
      <c r="Y225" s="528"/>
      <c r="Z225" s="528"/>
      <c r="AA225" s="529"/>
      <c r="AB225" s="529"/>
      <c r="AC225" s="529"/>
      <c r="AD225" s="529"/>
      <c r="AE225" s="529"/>
      <c r="AF225" s="529"/>
      <c r="AG225" s="529"/>
      <c r="AH225" s="529"/>
      <c r="AI225" s="529"/>
      <c r="AJ225" s="529"/>
      <c r="AK225" s="529"/>
      <c r="AL225" s="529"/>
      <c r="AM225" s="529"/>
      <c r="AN225" s="529"/>
      <c r="AO225"/>
      <c r="AP225" s="529"/>
      <c r="AQ225" s="529"/>
      <c r="AR225" s="529"/>
      <c r="AS225" s="529"/>
      <c r="AT225" s="529"/>
      <c r="AU225" s="529"/>
      <c r="AV225" s="529"/>
      <c r="AW225" s="57"/>
    </row>
    <row r="226" spans="1:49" x14ac:dyDescent="0.25">
      <c r="A226" s="57"/>
      <c r="B226" s="527"/>
      <c r="C226" s="527"/>
      <c r="D226" s="527"/>
      <c r="E226" s="7"/>
      <c r="F226" s="7"/>
      <c r="G226" s="528"/>
      <c r="H226" s="528"/>
      <c r="I226" s="528"/>
      <c r="J226" s="528"/>
      <c r="K226" s="528"/>
      <c r="L226" s="528"/>
      <c r="M226" s="528"/>
      <c r="N226" s="528"/>
      <c r="O226" s="528"/>
      <c r="P226" s="528"/>
      <c r="Q226" s="528"/>
      <c r="R226" s="528"/>
      <c r="S226" s="528"/>
      <c r="T226" s="528"/>
      <c r="U226" s="528"/>
      <c r="V226" s="528"/>
      <c r="W226" s="528"/>
      <c r="X226" s="528"/>
      <c r="Y226" s="528"/>
      <c r="Z226" s="528"/>
      <c r="AA226" s="529"/>
      <c r="AB226" s="529"/>
      <c r="AC226" s="529"/>
      <c r="AD226" s="529"/>
      <c r="AE226" s="529"/>
      <c r="AF226" s="529"/>
      <c r="AG226" s="529"/>
      <c r="AH226" s="528"/>
      <c r="AI226" s="529"/>
      <c r="AJ226" s="529"/>
      <c r="AK226" s="529"/>
      <c r="AL226" s="529"/>
      <c r="AM226" s="529"/>
      <c r="AN226" s="529"/>
      <c r="AO226"/>
      <c r="AP226" s="529"/>
      <c r="AQ226" s="529"/>
      <c r="AR226" s="529"/>
      <c r="AS226" s="529"/>
      <c r="AT226" s="529"/>
      <c r="AU226" s="529"/>
      <c r="AV226" s="529"/>
      <c r="AW226" s="57"/>
    </row>
    <row r="227" spans="1:49" x14ac:dyDescent="0.25">
      <c r="A227" s="57"/>
      <c r="B227" s="527"/>
      <c r="C227" s="527"/>
      <c r="D227" s="527"/>
      <c r="E227" s="7"/>
      <c r="F227" s="7"/>
      <c r="G227" s="528"/>
      <c r="H227" s="528"/>
      <c r="I227" s="528"/>
      <c r="J227" s="528"/>
      <c r="K227" s="528"/>
      <c r="L227" s="528"/>
      <c r="M227" s="528"/>
      <c r="N227" s="528"/>
      <c r="O227" s="528"/>
      <c r="P227" s="528"/>
      <c r="Q227" s="528"/>
      <c r="R227" s="528"/>
      <c r="S227" s="528"/>
      <c r="T227" s="528"/>
      <c r="U227" s="528"/>
      <c r="V227" s="528"/>
      <c r="W227" s="528"/>
      <c r="X227" s="528"/>
      <c r="Y227" s="528"/>
      <c r="Z227" s="528"/>
      <c r="AA227" s="529"/>
      <c r="AB227" s="529"/>
      <c r="AC227" s="529"/>
      <c r="AD227" s="529"/>
      <c r="AE227" s="529"/>
      <c r="AF227" s="529"/>
      <c r="AG227" s="529"/>
      <c r="AH227" s="528"/>
      <c r="AI227" s="529"/>
      <c r="AJ227" s="529"/>
      <c r="AK227" s="529"/>
      <c r="AL227" s="529"/>
      <c r="AM227" s="529"/>
      <c r="AN227" s="529"/>
      <c r="AO227"/>
      <c r="AP227" s="529"/>
      <c r="AQ227" s="529"/>
      <c r="AR227" s="529"/>
      <c r="AS227" s="529"/>
      <c r="AT227" s="529"/>
      <c r="AU227" s="529"/>
      <c r="AV227" s="529"/>
      <c r="AW227" s="57"/>
    </row>
    <row r="228" spans="1:49" x14ac:dyDescent="0.25">
      <c r="A228" s="57"/>
      <c r="B228" s="527"/>
      <c r="C228" s="527"/>
      <c r="D228" s="527"/>
      <c r="E228" s="7"/>
      <c r="F228" s="7"/>
      <c r="G228" s="528"/>
      <c r="H228" s="528"/>
      <c r="I228" s="528"/>
      <c r="J228" s="528"/>
      <c r="K228" s="528"/>
      <c r="L228" s="528"/>
      <c r="M228" s="528"/>
      <c r="N228" s="528"/>
      <c r="O228" s="528"/>
      <c r="P228" s="528"/>
      <c r="Q228" s="528"/>
      <c r="R228" s="528"/>
      <c r="S228" s="528"/>
      <c r="T228" s="528"/>
      <c r="U228" s="528"/>
      <c r="V228" s="528"/>
      <c r="W228" s="528"/>
      <c r="X228" s="528"/>
      <c r="Y228" s="528"/>
      <c r="Z228" s="528"/>
      <c r="AA228" s="529"/>
      <c r="AB228" s="529"/>
      <c r="AC228" s="529"/>
      <c r="AD228" s="529"/>
      <c r="AE228" s="529"/>
      <c r="AF228" s="529"/>
      <c r="AG228" s="529"/>
      <c r="AH228" s="529"/>
      <c r="AI228" s="529"/>
      <c r="AJ228" s="529"/>
      <c r="AK228" s="529"/>
      <c r="AL228" s="529"/>
      <c r="AM228" s="529"/>
      <c r="AN228" s="529"/>
      <c r="AO228"/>
      <c r="AP228" s="57"/>
      <c r="AQ228" s="57"/>
      <c r="AR228" s="57"/>
      <c r="AS228" s="57"/>
      <c r="AT228" s="57"/>
      <c r="AU228" s="57"/>
      <c r="AV228" s="57"/>
      <c r="AW228" s="57"/>
    </row>
    <row r="229" spans="1:49" x14ac:dyDescent="0.25">
      <c r="A229" s="57"/>
      <c r="B229" s="527"/>
      <c r="C229" s="527"/>
      <c r="D229" s="527"/>
      <c r="E229" s="7"/>
      <c r="F229" s="7"/>
      <c r="G229" s="528"/>
      <c r="H229" s="528"/>
      <c r="I229" s="528"/>
      <c r="J229" s="528"/>
      <c r="K229" s="528"/>
      <c r="L229" s="528"/>
      <c r="M229" s="528"/>
      <c r="N229" s="528"/>
      <c r="O229" s="528"/>
      <c r="P229" s="528"/>
      <c r="Q229" s="528"/>
      <c r="R229" s="528"/>
      <c r="S229" s="528"/>
      <c r="T229" s="528"/>
      <c r="U229" s="528"/>
      <c r="V229" s="528"/>
      <c r="W229" s="528"/>
      <c r="X229" s="528"/>
      <c r="Y229" s="528"/>
      <c r="Z229" s="528"/>
      <c r="AA229" s="529"/>
      <c r="AB229" s="529"/>
      <c r="AC229" s="529"/>
      <c r="AD229" s="529"/>
      <c r="AE229" s="529"/>
      <c r="AF229" s="529"/>
      <c r="AG229" s="529"/>
      <c r="AH229" s="529"/>
      <c r="AI229" s="529"/>
      <c r="AJ229" s="529"/>
      <c r="AK229" s="529"/>
      <c r="AL229" s="529"/>
      <c r="AM229" s="529"/>
      <c r="AN229" s="529"/>
      <c r="AO229"/>
      <c r="AP229" s="57"/>
      <c r="AQ229" s="57"/>
      <c r="AR229" s="57"/>
      <c r="AS229" s="57"/>
      <c r="AT229" s="57"/>
      <c r="AU229" s="57"/>
      <c r="AV229" s="57"/>
      <c r="AW229" s="57"/>
    </row>
    <row r="230" spans="1:49" x14ac:dyDescent="0.25">
      <c r="A230" s="57"/>
      <c r="B230" s="527"/>
      <c r="C230" s="527"/>
      <c r="D230" s="527"/>
      <c r="E230" s="7"/>
      <c r="F230" s="7"/>
      <c r="G230" s="528"/>
      <c r="H230" s="528"/>
      <c r="I230" s="528"/>
      <c r="J230" s="528"/>
      <c r="K230" s="528"/>
      <c r="L230" s="528"/>
      <c r="M230" s="528"/>
      <c r="N230" s="528"/>
      <c r="O230" s="528"/>
      <c r="P230" s="528"/>
      <c r="Q230" s="528"/>
      <c r="R230" s="528"/>
      <c r="S230" s="528"/>
      <c r="T230" s="528"/>
      <c r="U230" s="528"/>
      <c r="V230" s="528"/>
      <c r="W230" s="528"/>
      <c r="X230" s="528"/>
      <c r="Y230" s="528"/>
      <c r="Z230" s="528"/>
      <c r="AA230" s="529"/>
      <c r="AB230" s="529"/>
      <c r="AC230" s="529"/>
      <c r="AD230" s="529"/>
      <c r="AE230" s="529"/>
      <c r="AF230" s="529"/>
      <c r="AG230" s="529"/>
      <c r="AH230" s="529"/>
      <c r="AI230" s="529"/>
      <c r="AJ230" s="529"/>
      <c r="AK230" s="529"/>
      <c r="AL230" s="529"/>
      <c r="AM230" s="529"/>
      <c r="AN230" s="529"/>
      <c r="AO230"/>
      <c r="AP230" s="57"/>
      <c r="AQ230" s="57"/>
      <c r="AR230" s="57"/>
      <c r="AS230" s="57"/>
      <c r="AT230" s="57"/>
      <c r="AU230" s="57"/>
      <c r="AV230" s="57"/>
      <c r="AW230" s="57"/>
    </row>
    <row r="231" spans="1:49" x14ac:dyDescent="0.25">
      <c r="A231" s="57"/>
      <c r="B231" s="527"/>
      <c r="C231" s="527"/>
      <c r="D231" s="527"/>
      <c r="E231" s="7"/>
      <c r="F231" s="7"/>
      <c r="G231" s="528"/>
      <c r="H231" s="528"/>
      <c r="I231" s="528"/>
      <c r="J231" s="528"/>
      <c r="K231" s="528"/>
      <c r="L231" s="528"/>
      <c r="M231" s="528"/>
      <c r="N231" s="528"/>
      <c r="O231" s="528"/>
      <c r="P231" s="528"/>
      <c r="Q231" s="528"/>
      <c r="R231" s="528"/>
      <c r="S231" s="528"/>
      <c r="T231" s="528"/>
      <c r="U231" s="528"/>
      <c r="V231" s="528"/>
      <c r="W231" s="528"/>
      <c r="X231" s="528"/>
      <c r="Y231" s="528"/>
      <c r="Z231" s="528"/>
      <c r="AA231" s="529"/>
      <c r="AB231" s="529"/>
      <c r="AC231" s="529"/>
      <c r="AD231" s="529"/>
      <c r="AE231" s="529"/>
      <c r="AF231" s="529"/>
      <c r="AG231" s="529"/>
      <c r="AH231" s="529"/>
      <c r="AI231" s="529"/>
      <c r="AJ231" s="529"/>
      <c r="AK231" s="529"/>
      <c r="AL231" s="529"/>
      <c r="AM231" s="529"/>
      <c r="AN231" s="529"/>
      <c r="AO231"/>
      <c r="AP231" s="57"/>
      <c r="AQ231" s="57"/>
      <c r="AR231" s="57"/>
      <c r="AS231" s="57"/>
      <c r="AT231" s="57"/>
      <c r="AU231" s="57"/>
      <c r="AV231" s="57"/>
      <c r="AW231" s="57"/>
    </row>
    <row r="232" spans="1:49" x14ac:dyDescent="0.25">
      <c r="A232" s="57"/>
      <c r="B232" s="527"/>
      <c r="C232" s="527"/>
      <c r="D232" s="527"/>
      <c r="E232" s="7"/>
      <c r="F232" s="7"/>
      <c r="G232" s="528"/>
      <c r="H232" s="528"/>
      <c r="I232" s="528"/>
      <c r="J232" s="528"/>
      <c r="K232" s="528"/>
      <c r="L232" s="528"/>
      <c r="M232" s="528"/>
      <c r="N232" s="528"/>
      <c r="O232" s="528"/>
      <c r="P232" s="528"/>
      <c r="Q232" s="528"/>
      <c r="R232" s="528"/>
      <c r="S232" s="528"/>
      <c r="T232" s="528"/>
      <c r="U232" s="528"/>
      <c r="V232" s="528"/>
      <c r="W232" s="528"/>
      <c r="X232" s="528"/>
      <c r="Y232" s="528"/>
      <c r="Z232" s="528"/>
      <c r="AA232" s="529"/>
      <c r="AB232" s="529"/>
      <c r="AC232" s="529"/>
      <c r="AD232" s="529"/>
      <c r="AE232" s="529"/>
      <c r="AF232" s="529"/>
      <c r="AG232" s="529"/>
      <c r="AH232" s="529"/>
      <c r="AI232" s="529"/>
      <c r="AJ232" s="529"/>
      <c r="AK232" s="529"/>
      <c r="AL232" s="529"/>
      <c r="AM232" s="529"/>
      <c r="AN232" s="529"/>
      <c r="AO232"/>
      <c r="AP232" s="57"/>
      <c r="AQ232" s="57"/>
      <c r="AR232" s="57"/>
      <c r="AS232" s="57"/>
      <c r="AT232" s="57"/>
      <c r="AU232" s="57"/>
      <c r="AV232" s="57"/>
      <c r="AW232" s="57"/>
    </row>
    <row r="233" spans="1:49" x14ac:dyDescent="0.25">
      <c r="A233" s="57"/>
      <c r="B233" s="527"/>
      <c r="C233" s="527"/>
      <c r="D233" s="527"/>
      <c r="E233" s="7"/>
      <c r="F233" s="7"/>
      <c r="G233" s="528"/>
      <c r="H233" s="528"/>
      <c r="I233" s="528"/>
      <c r="J233" s="528"/>
      <c r="K233" s="528"/>
      <c r="L233" s="528"/>
      <c r="M233" s="528"/>
      <c r="N233" s="528"/>
      <c r="O233" s="528"/>
      <c r="P233" s="528"/>
      <c r="Q233" s="528"/>
      <c r="R233" s="528"/>
      <c r="S233" s="528"/>
      <c r="T233" s="528"/>
      <c r="U233" s="528"/>
      <c r="V233" s="528"/>
      <c r="W233" s="528"/>
      <c r="X233" s="528"/>
      <c r="Y233" s="528"/>
      <c r="Z233" s="528"/>
      <c r="AA233" s="529"/>
      <c r="AB233" s="529"/>
      <c r="AC233" s="529"/>
      <c r="AD233" s="529"/>
      <c r="AE233" s="529"/>
      <c r="AF233" s="529"/>
      <c r="AG233" s="529"/>
      <c r="AH233" s="529"/>
      <c r="AI233" s="529"/>
      <c r="AJ233" s="529"/>
      <c r="AK233" s="529"/>
      <c r="AL233" s="529"/>
      <c r="AM233" s="529"/>
      <c r="AN233" s="529"/>
      <c r="AO233"/>
      <c r="AP233" s="57"/>
      <c r="AQ233" s="57"/>
      <c r="AR233" s="57"/>
      <c r="AS233" s="57"/>
      <c r="AT233" s="57"/>
      <c r="AU233" s="57"/>
      <c r="AV233" s="57"/>
      <c r="AW233" s="57"/>
    </row>
    <row r="234" spans="1:49" x14ac:dyDescent="0.25">
      <c r="A234" s="57"/>
      <c r="B234" s="527"/>
      <c r="C234" s="527"/>
      <c r="D234" s="527"/>
      <c r="E234" s="7"/>
      <c r="F234" s="7"/>
      <c r="G234" s="528"/>
      <c r="H234" s="528"/>
      <c r="I234" s="528"/>
      <c r="J234" s="528"/>
      <c r="K234" s="528"/>
      <c r="L234" s="528"/>
      <c r="M234" s="528"/>
      <c r="N234" s="528"/>
      <c r="O234" s="528"/>
      <c r="P234" s="528"/>
      <c r="Q234" s="528"/>
      <c r="R234" s="528"/>
      <c r="S234" s="528"/>
      <c r="T234" s="528"/>
      <c r="U234" s="528"/>
      <c r="V234" s="528"/>
      <c r="W234" s="528"/>
      <c r="X234" s="528"/>
      <c r="Y234" s="528"/>
      <c r="Z234" s="528"/>
      <c r="AA234" s="529"/>
      <c r="AB234" s="529"/>
      <c r="AC234" s="529"/>
      <c r="AD234" s="529"/>
      <c r="AE234" s="529"/>
      <c r="AF234" s="529"/>
      <c r="AG234" s="529"/>
      <c r="AH234" s="529"/>
      <c r="AI234" s="529"/>
      <c r="AJ234" s="529"/>
      <c r="AK234" s="529"/>
      <c r="AL234" s="529"/>
      <c r="AM234" s="529"/>
      <c r="AN234" s="57"/>
      <c r="AO234"/>
      <c r="AP234" s="57"/>
      <c r="AQ234" s="57"/>
      <c r="AR234" s="57"/>
      <c r="AS234" s="57"/>
      <c r="AT234" s="57"/>
      <c r="AU234" s="57"/>
      <c r="AV234" s="57"/>
      <c r="AW234" s="57"/>
    </row>
    <row r="235" spans="1:49" x14ac:dyDescent="0.25">
      <c r="A235" s="57"/>
      <c r="B235" s="527"/>
      <c r="C235" s="527"/>
      <c r="D235" s="527"/>
      <c r="E235" s="7"/>
      <c r="F235" s="7"/>
      <c r="G235" s="528"/>
      <c r="H235" s="528"/>
      <c r="I235" s="528"/>
      <c r="J235" s="528"/>
      <c r="K235" s="528"/>
      <c r="L235" s="528"/>
      <c r="M235" s="528"/>
      <c r="N235" s="528"/>
      <c r="O235" s="528"/>
      <c r="P235" s="528"/>
      <c r="Q235" s="528"/>
      <c r="R235" s="528"/>
      <c r="S235" s="528"/>
      <c r="T235" s="528"/>
      <c r="U235" s="528"/>
      <c r="V235" s="528"/>
      <c r="W235" s="528"/>
      <c r="X235" s="528"/>
      <c r="Y235" s="528"/>
      <c r="Z235" s="528"/>
      <c r="AA235" s="529"/>
      <c r="AB235" s="529"/>
      <c r="AC235" s="529"/>
      <c r="AD235" s="529"/>
      <c r="AE235" s="529"/>
      <c r="AF235" s="529"/>
      <c r="AG235" s="529"/>
      <c r="AH235" s="529"/>
      <c r="AI235" s="529"/>
      <c r="AJ235" s="529"/>
      <c r="AK235" s="529"/>
      <c r="AL235" s="529"/>
      <c r="AM235" s="529"/>
      <c r="AN235" s="57"/>
      <c r="AO235"/>
      <c r="AP235" s="57"/>
      <c r="AQ235" s="57"/>
      <c r="AR235" s="57"/>
      <c r="AS235" s="57"/>
      <c r="AT235" s="57"/>
      <c r="AU235" s="57"/>
      <c r="AV235" s="57"/>
      <c r="AW235" s="57"/>
    </row>
    <row r="236" spans="1:49" x14ac:dyDescent="0.25">
      <c r="A236" s="57"/>
      <c r="B236" s="527"/>
      <c r="C236" s="527"/>
      <c r="D236" s="527"/>
      <c r="E236" s="7"/>
      <c r="F236" s="7"/>
      <c r="G236" s="528"/>
      <c r="H236" s="528"/>
      <c r="I236" s="528"/>
      <c r="J236" s="528"/>
      <c r="K236" s="528"/>
      <c r="L236" s="528"/>
      <c r="M236" s="528"/>
      <c r="N236" s="528"/>
      <c r="O236" s="528"/>
      <c r="P236" s="528"/>
      <c r="Q236" s="528"/>
      <c r="R236" s="528"/>
      <c r="S236" s="528"/>
      <c r="T236" s="528"/>
      <c r="U236" s="528"/>
      <c r="V236" s="528"/>
      <c r="W236" s="528"/>
      <c r="X236" s="528"/>
      <c r="Y236" s="528"/>
      <c r="Z236" s="528"/>
      <c r="AA236" s="529"/>
      <c r="AB236" s="529"/>
      <c r="AC236" s="529"/>
      <c r="AD236" s="529"/>
      <c r="AE236" s="529"/>
      <c r="AF236" s="529"/>
      <c r="AG236" s="529"/>
      <c r="AH236" s="529"/>
      <c r="AI236" s="529"/>
      <c r="AJ236" s="529"/>
      <c r="AK236" s="529"/>
      <c r="AL236" s="529"/>
      <c r="AM236" s="529"/>
      <c r="AN236" s="57"/>
      <c r="AO236"/>
      <c r="AP236" s="57"/>
      <c r="AQ236" s="57"/>
      <c r="AR236" s="57"/>
      <c r="AS236" s="57"/>
      <c r="AT236" s="57"/>
      <c r="AU236" s="57"/>
      <c r="AV236" s="57"/>
      <c r="AW236" s="57"/>
    </row>
    <row r="237" spans="1:49" x14ac:dyDescent="0.25">
      <c r="A237" s="57"/>
      <c r="B237" s="527"/>
      <c r="C237" s="527"/>
      <c r="D237" s="527"/>
      <c r="E237" s="7"/>
      <c r="F237" s="7"/>
      <c r="G237" s="528"/>
      <c r="H237" s="528"/>
      <c r="I237" s="528"/>
      <c r="J237" s="528"/>
      <c r="K237" s="528"/>
      <c r="L237" s="528"/>
      <c r="M237" s="528"/>
      <c r="N237" s="528"/>
      <c r="O237" s="528"/>
      <c r="P237" s="528"/>
      <c r="Q237" s="528"/>
      <c r="R237" s="528"/>
      <c r="S237" s="528"/>
      <c r="T237" s="528"/>
      <c r="U237" s="528"/>
      <c r="V237" s="528"/>
      <c r="W237" s="528"/>
      <c r="X237" s="528"/>
      <c r="Y237" s="528"/>
      <c r="Z237" s="528"/>
      <c r="AA237" s="529"/>
      <c r="AB237" s="529"/>
      <c r="AC237" s="529"/>
      <c r="AD237" s="529"/>
      <c r="AE237" s="529"/>
      <c r="AF237" s="529"/>
      <c r="AG237" s="529"/>
      <c r="AH237" s="529"/>
      <c r="AI237" s="529"/>
      <c r="AJ237" s="529"/>
      <c r="AK237" s="529"/>
      <c r="AL237" s="529"/>
      <c r="AM237" s="529"/>
      <c r="AN237" s="57"/>
      <c r="AO237"/>
      <c r="AP237" s="57"/>
      <c r="AQ237" s="57"/>
      <c r="AR237" s="57"/>
      <c r="AS237" s="57"/>
      <c r="AT237" s="57"/>
      <c r="AU237" s="57"/>
      <c r="AV237" s="57"/>
      <c r="AW237" s="57"/>
    </row>
    <row r="238" spans="1:49" x14ac:dyDescent="0.25">
      <c r="A238" s="57"/>
      <c r="B238" s="527"/>
      <c r="C238" s="527"/>
      <c r="D238" s="527"/>
      <c r="E238" s="7"/>
      <c r="F238" s="7"/>
      <c r="G238" s="528"/>
      <c r="H238" s="528"/>
      <c r="I238" s="528"/>
      <c r="J238" s="528"/>
      <c r="K238" s="528"/>
      <c r="L238" s="528"/>
      <c r="M238" s="528"/>
      <c r="N238" s="528"/>
      <c r="O238" s="528"/>
      <c r="P238" s="528"/>
      <c r="Q238" s="528"/>
      <c r="R238" s="528"/>
      <c r="S238" s="528"/>
      <c r="T238" s="528"/>
      <c r="U238" s="528"/>
      <c r="V238" s="528"/>
      <c r="W238" s="528"/>
      <c r="X238" s="528"/>
      <c r="Y238" s="528"/>
      <c r="Z238" s="528"/>
      <c r="AA238" s="529"/>
      <c r="AB238" s="529"/>
      <c r="AC238" s="529"/>
      <c r="AD238" s="529"/>
      <c r="AE238" s="529"/>
      <c r="AF238" s="529"/>
      <c r="AG238" s="529"/>
      <c r="AH238" s="529"/>
      <c r="AI238" s="529"/>
      <c r="AJ238" s="529"/>
      <c r="AK238" s="529"/>
      <c r="AL238" s="529"/>
      <c r="AM238" s="529"/>
      <c r="AN238" s="57"/>
      <c r="AO238"/>
      <c r="AP238" s="57"/>
      <c r="AQ238" s="57"/>
      <c r="AR238" s="57"/>
      <c r="AS238" s="57"/>
      <c r="AT238" s="57"/>
      <c r="AU238" s="57"/>
      <c r="AV238" s="57"/>
      <c r="AW238" s="57"/>
    </row>
    <row r="239" spans="1:49" x14ac:dyDescent="0.25">
      <c r="A239" s="57"/>
      <c r="B239" s="527"/>
      <c r="C239" s="527"/>
      <c r="D239" s="527"/>
      <c r="E239" s="7"/>
      <c r="F239" s="7"/>
      <c r="G239" s="528"/>
      <c r="H239" s="528"/>
      <c r="I239" s="528"/>
      <c r="J239" s="528"/>
      <c r="K239" s="528"/>
      <c r="L239" s="528"/>
      <c r="M239" s="528"/>
      <c r="N239" s="528"/>
      <c r="O239" s="528"/>
      <c r="P239" s="528"/>
      <c r="Q239" s="528"/>
      <c r="R239" s="528"/>
      <c r="S239" s="528"/>
      <c r="T239" s="528"/>
      <c r="U239" s="528"/>
      <c r="V239" s="528"/>
      <c r="W239" s="528"/>
      <c r="X239" s="528"/>
      <c r="Y239" s="528"/>
      <c r="Z239" s="528"/>
      <c r="AA239" s="529"/>
      <c r="AB239" s="529"/>
      <c r="AC239" s="529"/>
      <c r="AD239" s="529"/>
      <c r="AE239" s="529"/>
      <c r="AF239" s="529"/>
      <c r="AG239" s="529"/>
      <c r="AH239" s="529"/>
      <c r="AI239" s="529"/>
      <c r="AJ239" s="529"/>
      <c r="AK239" s="529"/>
      <c r="AL239" s="529"/>
      <c r="AM239" s="529"/>
      <c r="AN239" s="57"/>
      <c r="AO239"/>
      <c r="AP239" s="57"/>
      <c r="AQ239" s="57"/>
      <c r="AR239" s="57"/>
      <c r="AS239" s="57"/>
      <c r="AT239" s="57"/>
      <c r="AU239" s="57"/>
      <c r="AV239" s="57"/>
      <c r="AW239" s="57"/>
    </row>
    <row r="240" spans="1:49" x14ac:dyDescent="0.25">
      <c r="A240" s="57"/>
      <c r="B240" s="527"/>
      <c r="C240" s="527"/>
      <c r="D240" s="527"/>
      <c r="E240" s="7"/>
      <c r="F240" s="7"/>
      <c r="G240" s="528"/>
      <c r="H240" s="528"/>
      <c r="I240" s="528"/>
      <c r="J240" s="528"/>
      <c r="K240" s="528"/>
      <c r="L240" s="528"/>
      <c r="M240" s="528"/>
      <c r="N240" s="528"/>
      <c r="O240" s="528"/>
      <c r="P240" s="528"/>
      <c r="Q240" s="528"/>
      <c r="R240" s="528"/>
      <c r="S240" s="528"/>
      <c r="T240" s="528"/>
      <c r="U240" s="528"/>
      <c r="V240" s="528"/>
      <c r="W240" s="528"/>
      <c r="X240" s="528"/>
      <c r="Y240" s="528"/>
      <c r="Z240" s="528"/>
      <c r="AA240" s="529"/>
      <c r="AB240" s="529"/>
      <c r="AC240" s="529"/>
      <c r="AD240" s="529"/>
      <c r="AE240" s="529"/>
      <c r="AF240" s="529"/>
      <c r="AG240" s="529"/>
      <c r="AH240" s="529"/>
      <c r="AI240" s="529"/>
      <c r="AJ240" s="529"/>
      <c r="AK240" s="529"/>
      <c r="AL240" s="529"/>
      <c r="AM240" s="529"/>
      <c r="AN240" s="57"/>
      <c r="AO240"/>
      <c r="AP240" s="57"/>
      <c r="AQ240" s="57"/>
      <c r="AR240" s="57"/>
      <c r="AS240" s="57"/>
      <c r="AT240" s="57"/>
      <c r="AU240" s="57"/>
      <c r="AV240" s="57"/>
      <c r="AW240" s="57"/>
    </row>
    <row r="241" spans="1:49" x14ac:dyDescent="0.25">
      <c r="A241" s="57"/>
      <c r="B241" s="527"/>
      <c r="C241" s="527"/>
      <c r="D241" s="527"/>
      <c r="E241" s="7"/>
      <c r="F241" s="7"/>
      <c r="G241" s="528"/>
      <c r="H241" s="528"/>
      <c r="I241" s="528"/>
      <c r="J241" s="528"/>
      <c r="K241" s="528"/>
      <c r="L241" s="528"/>
      <c r="M241" s="528"/>
      <c r="N241" s="528"/>
      <c r="O241" s="528"/>
      <c r="P241" s="528"/>
      <c r="Q241" s="528"/>
      <c r="R241" s="528"/>
      <c r="S241" s="528"/>
      <c r="T241" s="528"/>
      <c r="U241" s="528"/>
      <c r="V241" s="528"/>
      <c r="W241" s="528"/>
      <c r="X241" s="528"/>
      <c r="Y241" s="528"/>
      <c r="Z241" s="528"/>
      <c r="AA241" s="529"/>
      <c r="AB241" s="529"/>
      <c r="AC241" s="529"/>
      <c r="AD241" s="529"/>
      <c r="AE241" s="529"/>
      <c r="AF241" s="529"/>
      <c r="AG241" s="529"/>
      <c r="AH241" s="529"/>
      <c r="AI241" s="529"/>
      <c r="AJ241" s="529"/>
      <c r="AK241" s="529"/>
      <c r="AL241" s="529"/>
      <c r="AM241" s="529"/>
      <c r="AN241" s="57"/>
      <c r="AO241"/>
      <c r="AP241" s="57"/>
      <c r="AQ241" s="57"/>
      <c r="AR241" s="57"/>
      <c r="AS241" s="57"/>
      <c r="AT241" s="57"/>
      <c r="AU241" s="57"/>
      <c r="AV241" s="57"/>
      <c r="AW241" s="57"/>
    </row>
    <row r="242" spans="1:49" x14ac:dyDescent="0.25">
      <c r="A242" s="57"/>
      <c r="B242" s="527"/>
      <c r="C242" s="527"/>
      <c r="D242" s="527"/>
      <c r="E242" s="7"/>
      <c r="F242" s="7"/>
      <c r="G242" s="528"/>
      <c r="H242" s="528"/>
      <c r="I242" s="528"/>
      <c r="J242" s="528"/>
      <c r="K242" s="528"/>
      <c r="L242" s="528"/>
      <c r="M242" s="528"/>
      <c r="N242" s="528"/>
      <c r="O242" s="528"/>
      <c r="P242" s="528"/>
      <c r="Q242" s="528"/>
      <c r="R242" s="528"/>
      <c r="S242" s="528"/>
      <c r="T242" s="528"/>
      <c r="U242" s="528"/>
      <c r="V242" s="528"/>
      <c r="W242" s="528"/>
      <c r="X242" s="528"/>
      <c r="Y242" s="528"/>
      <c r="Z242" s="528"/>
      <c r="AA242" s="529"/>
      <c r="AB242" s="529"/>
      <c r="AC242" s="529"/>
      <c r="AD242" s="529"/>
      <c r="AE242" s="529"/>
      <c r="AF242" s="529"/>
      <c r="AG242" s="529"/>
      <c r="AH242" s="529"/>
      <c r="AI242" s="529"/>
      <c r="AJ242" s="529"/>
      <c r="AK242" s="529"/>
      <c r="AL242" s="529"/>
      <c r="AM242" s="529"/>
      <c r="AN242" s="57"/>
      <c r="AO242"/>
      <c r="AP242" s="57"/>
      <c r="AQ242" s="57"/>
      <c r="AR242" s="57"/>
      <c r="AS242" s="57"/>
      <c r="AT242" s="57"/>
      <c r="AU242" s="57"/>
      <c r="AV242" s="57"/>
      <c r="AW242" s="57"/>
    </row>
    <row r="243" spans="1:49" x14ac:dyDescent="0.25">
      <c r="A243" s="57"/>
      <c r="B243" s="527"/>
      <c r="C243" s="527"/>
      <c r="D243" s="527"/>
      <c r="E243" s="7"/>
      <c r="F243" s="7"/>
      <c r="G243" s="528"/>
      <c r="H243" s="528"/>
      <c r="I243" s="528"/>
      <c r="J243" s="528"/>
      <c r="K243" s="528"/>
      <c r="L243" s="528"/>
      <c r="M243" s="528"/>
      <c r="N243" s="528"/>
      <c r="O243" s="528"/>
      <c r="P243" s="528"/>
      <c r="Q243" s="528"/>
      <c r="R243" s="528"/>
      <c r="S243" s="528"/>
      <c r="T243" s="528"/>
      <c r="U243" s="528"/>
      <c r="V243" s="528"/>
      <c r="W243" s="528"/>
      <c r="X243" s="528"/>
      <c r="Y243" s="528"/>
      <c r="Z243" s="528"/>
      <c r="AA243" s="529"/>
      <c r="AB243" s="529"/>
      <c r="AC243" s="529"/>
      <c r="AD243" s="529"/>
      <c r="AE243" s="529"/>
      <c r="AF243" s="529"/>
      <c r="AG243" s="529"/>
      <c r="AH243" s="529"/>
      <c r="AI243" s="529"/>
      <c r="AJ243" s="529"/>
      <c r="AK243" s="529"/>
      <c r="AL243" s="529"/>
      <c r="AM243" s="529"/>
      <c r="AN243" s="57"/>
      <c r="AO243"/>
      <c r="AP243" s="57"/>
      <c r="AQ243" s="57"/>
      <c r="AR243" s="57"/>
      <c r="AS243" s="57"/>
      <c r="AT243" s="57"/>
      <c r="AU243" s="57"/>
      <c r="AV243" s="57"/>
      <c r="AW243" s="57"/>
    </row>
    <row r="244" spans="1:49" x14ac:dyDescent="0.25">
      <c r="A244" s="57"/>
      <c r="B244" s="527"/>
      <c r="C244" s="527"/>
      <c r="D244" s="527"/>
      <c r="E244" s="7"/>
      <c r="F244" s="7"/>
      <c r="G244" s="528"/>
      <c r="H244" s="528"/>
      <c r="I244" s="528"/>
      <c r="J244" s="528"/>
      <c r="K244" s="528"/>
      <c r="L244" s="528"/>
      <c r="M244" s="528"/>
      <c r="N244" s="528"/>
      <c r="O244" s="528"/>
      <c r="P244" s="528"/>
      <c r="Q244" s="528"/>
      <c r="R244" s="528"/>
      <c r="S244" s="528"/>
      <c r="T244" s="528"/>
      <c r="U244" s="528"/>
      <c r="V244" s="528"/>
      <c r="W244" s="528"/>
      <c r="X244" s="528"/>
      <c r="Y244" s="528"/>
      <c r="Z244" s="528"/>
      <c r="AA244" s="529"/>
      <c r="AB244" s="529"/>
      <c r="AC244" s="529"/>
      <c r="AD244" s="529"/>
      <c r="AE244" s="529"/>
      <c r="AF244" s="529"/>
      <c r="AG244" s="529"/>
      <c r="AH244" s="529"/>
      <c r="AI244" s="529"/>
      <c r="AJ244" s="529"/>
      <c r="AK244" s="529"/>
      <c r="AL244" s="529"/>
      <c r="AM244" s="529"/>
      <c r="AN244" s="57"/>
      <c r="AO244"/>
      <c r="AP244" s="57"/>
      <c r="AQ244" s="57"/>
      <c r="AR244" s="57"/>
      <c r="AS244" s="57"/>
      <c r="AT244" s="57"/>
      <c r="AU244" s="57"/>
      <c r="AV244" s="57"/>
      <c r="AW244" s="57"/>
    </row>
    <row r="245" spans="1:49" x14ac:dyDescent="0.25">
      <c r="A245" s="57"/>
      <c r="B245" s="527"/>
      <c r="C245" s="527"/>
      <c r="D245" s="527"/>
      <c r="E245" s="7"/>
      <c r="F245" s="7"/>
      <c r="G245" s="528"/>
      <c r="H245" s="528"/>
      <c r="I245" s="528"/>
      <c r="J245" s="528"/>
      <c r="K245" s="528"/>
      <c r="L245" s="528"/>
      <c r="M245" s="528"/>
      <c r="N245" s="528"/>
      <c r="O245" s="528"/>
      <c r="P245" s="528"/>
      <c r="Q245" s="528"/>
      <c r="R245" s="528"/>
      <c r="S245" s="528"/>
      <c r="T245" s="528"/>
      <c r="U245" s="528"/>
      <c r="V245" s="528"/>
      <c r="W245" s="528"/>
      <c r="X245" s="528"/>
      <c r="Y245" s="528"/>
      <c r="Z245" s="528"/>
      <c r="AA245" s="529"/>
      <c r="AB245" s="529"/>
      <c r="AC245" s="529"/>
      <c r="AD245" s="529"/>
      <c r="AE245" s="529"/>
      <c r="AF245" s="529"/>
      <c r="AG245" s="529"/>
      <c r="AH245" s="529"/>
      <c r="AI245" s="529"/>
      <c r="AJ245" s="529"/>
      <c r="AK245" s="529"/>
      <c r="AL245" s="529"/>
      <c r="AM245" s="529"/>
      <c r="AN245" s="57"/>
      <c r="AO245"/>
      <c r="AP245" s="57"/>
      <c r="AQ245" s="57"/>
      <c r="AR245" s="57"/>
      <c r="AS245" s="57"/>
      <c r="AT245" s="57"/>
      <c r="AU245" s="57"/>
      <c r="AV245" s="57"/>
      <c r="AW245" s="57"/>
    </row>
    <row r="246" spans="1:49" x14ac:dyDescent="0.25">
      <c r="A246" s="57"/>
      <c r="B246" s="527"/>
      <c r="C246" s="527"/>
      <c r="D246" s="527"/>
      <c r="E246" s="7"/>
      <c r="F246" s="7"/>
      <c r="G246" s="528"/>
      <c r="H246" s="528"/>
      <c r="I246" s="528"/>
      <c r="J246" s="528"/>
      <c r="K246" s="528"/>
      <c r="L246" s="528"/>
      <c r="M246" s="528"/>
      <c r="N246" s="528"/>
      <c r="O246" s="528"/>
      <c r="P246" s="528"/>
      <c r="Q246" s="528"/>
      <c r="R246" s="528"/>
      <c r="S246" s="528"/>
      <c r="T246" s="528"/>
      <c r="U246" s="528"/>
      <c r="V246" s="528"/>
      <c r="W246" s="528"/>
      <c r="X246" s="528"/>
      <c r="Y246" s="528"/>
      <c r="Z246" s="528"/>
      <c r="AA246" s="529"/>
      <c r="AB246" s="529"/>
      <c r="AC246" s="529"/>
      <c r="AD246" s="529"/>
      <c r="AE246" s="529"/>
      <c r="AF246" s="529"/>
      <c r="AG246" s="529"/>
      <c r="AH246" s="529"/>
      <c r="AI246" s="529"/>
      <c r="AJ246" s="529"/>
      <c r="AK246" s="529"/>
      <c r="AL246" s="529"/>
      <c r="AM246" s="529"/>
      <c r="AN246" s="57"/>
      <c r="AO246"/>
      <c r="AP246" s="57"/>
      <c r="AQ246" s="57"/>
      <c r="AR246" s="57"/>
      <c r="AS246" s="57"/>
      <c r="AT246" s="57"/>
      <c r="AU246" s="57"/>
      <c r="AV246" s="57"/>
      <c r="AW246" s="57"/>
    </row>
    <row r="247" spans="1:49" x14ac:dyDescent="0.25">
      <c r="A247" s="57"/>
      <c r="B247" s="527"/>
      <c r="C247" s="527"/>
      <c r="D247" s="527"/>
      <c r="E247" s="7"/>
      <c r="F247" s="7"/>
      <c r="G247" s="528"/>
      <c r="H247" s="528"/>
      <c r="I247" s="528"/>
      <c r="J247" s="528"/>
      <c r="K247" s="528"/>
      <c r="L247" s="528"/>
      <c r="M247" s="528"/>
      <c r="N247" s="528"/>
      <c r="O247" s="528"/>
      <c r="P247" s="528"/>
      <c r="Q247" s="528"/>
      <c r="R247" s="528"/>
      <c r="S247" s="528"/>
      <c r="T247" s="528"/>
      <c r="U247" s="528"/>
      <c r="V247" s="528"/>
      <c r="W247" s="528"/>
      <c r="X247" s="528"/>
      <c r="Y247" s="528"/>
      <c r="Z247" s="528"/>
      <c r="AA247" s="529"/>
      <c r="AB247" s="529"/>
      <c r="AC247" s="529"/>
      <c r="AD247" s="529"/>
      <c r="AE247" s="529"/>
      <c r="AF247" s="529"/>
      <c r="AG247" s="529"/>
      <c r="AH247" s="529"/>
      <c r="AI247" s="529"/>
      <c r="AJ247" s="529"/>
      <c r="AK247" s="529"/>
      <c r="AL247" s="529"/>
      <c r="AM247" s="529"/>
      <c r="AN247" s="57"/>
      <c r="AO247"/>
      <c r="AP247" s="57"/>
      <c r="AQ247" s="57"/>
      <c r="AR247" s="57"/>
      <c r="AS247" s="57"/>
      <c r="AT247" s="57"/>
      <c r="AU247" s="57"/>
      <c r="AV247" s="57"/>
      <c r="AW247" s="57"/>
    </row>
    <row r="248" spans="1:49" x14ac:dyDescent="0.25">
      <c r="A248" s="57"/>
      <c r="B248" s="527"/>
      <c r="C248" s="527"/>
      <c r="D248" s="527"/>
      <c r="E248" s="7"/>
      <c r="F248" s="7"/>
      <c r="G248" s="528"/>
      <c r="H248" s="528"/>
      <c r="I248" s="528"/>
      <c r="J248" s="528"/>
      <c r="K248" s="528"/>
      <c r="L248" s="528"/>
      <c r="M248" s="528"/>
      <c r="N248" s="528"/>
      <c r="O248" s="528"/>
      <c r="P248" s="528"/>
      <c r="Q248" s="528"/>
      <c r="R248" s="528"/>
      <c r="S248" s="528"/>
      <c r="T248" s="528"/>
      <c r="U248" s="528"/>
      <c r="V248" s="528"/>
      <c r="W248" s="528"/>
      <c r="X248" s="528"/>
      <c r="Y248" s="528"/>
      <c r="Z248" s="528"/>
      <c r="AA248" s="529"/>
      <c r="AB248" s="529"/>
      <c r="AC248" s="529"/>
      <c r="AD248" s="529"/>
      <c r="AE248" s="529"/>
      <c r="AF248" s="529"/>
      <c r="AG248" s="529"/>
      <c r="AH248" s="529"/>
      <c r="AI248" s="529"/>
      <c r="AJ248" s="529"/>
      <c r="AK248" s="529"/>
      <c r="AL248" s="529"/>
      <c r="AM248" s="529"/>
      <c r="AN248" s="57"/>
      <c r="AO248"/>
      <c r="AP248" s="57"/>
      <c r="AQ248" s="57"/>
      <c r="AR248" s="57"/>
      <c r="AS248" s="57"/>
      <c r="AT248" s="57"/>
      <c r="AU248" s="57"/>
      <c r="AV248" s="57"/>
      <c r="AW248" s="57"/>
    </row>
    <row r="249" spans="1:49" x14ac:dyDescent="0.25">
      <c r="A249" s="57"/>
      <c r="B249" s="527"/>
      <c r="C249" s="527"/>
      <c r="D249" s="527"/>
      <c r="E249" s="7"/>
      <c r="F249" s="7"/>
      <c r="G249" s="528"/>
      <c r="H249" s="528"/>
      <c r="I249" s="528"/>
      <c r="J249" s="528"/>
      <c r="K249" s="528"/>
      <c r="L249" s="528"/>
      <c r="M249" s="528"/>
      <c r="N249" s="528"/>
      <c r="O249" s="528"/>
      <c r="P249" s="528"/>
      <c r="Q249" s="528"/>
      <c r="R249" s="528"/>
      <c r="S249" s="528"/>
      <c r="T249" s="528"/>
      <c r="U249" s="528"/>
      <c r="V249" s="528"/>
      <c r="W249" s="528"/>
      <c r="X249" s="528"/>
      <c r="Y249" s="528"/>
      <c r="Z249" s="528"/>
      <c r="AA249" s="529"/>
      <c r="AB249" s="529"/>
      <c r="AC249" s="529"/>
      <c r="AD249" s="529"/>
      <c r="AE249" s="529"/>
      <c r="AF249" s="529"/>
      <c r="AG249" s="529"/>
      <c r="AH249" s="529"/>
      <c r="AI249" s="529"/>
      <c r="AJ249" s="529"/>
      <c r="AK249" s="529"/>
      <c r="AL249" s="529"/>
      <c r="AM249" s="529"/>
      <c r="AN249" s="57"/>
      <c r="AO249"/>
      <c r="AP249" s="57"/>
      <c r="AQ249" s="57"/>
      <c r="AR249" s="57"/>
      <c r="AS249" s="57"/>
      <c r="AT249" s="57"/>
      <c r="AU249" s="57"/>
      <c r="AV249" s="57"/>
      <c r="AW249" s="57"/>
    </row>
    <row r="250" spans="1:49" x14ac:dyDescent="0.25">
      <c r="A250" s="57"/>
      <c r="B250" s="527"/>
      <c r="C250" s="527"/>
      <c r="D250" s="527"/>
      <c r="E250" s="7"/>
      <c r="F250" s="7"/>
      <c r="G250" s="528"/>
      <c r="H250" s="528"/>
      <c r="I250" s="528"/>
      <c r="J250" s="528"/>
      <c r="K250" s="528"/>
      <c r="L250" s="528"/>
      <c r="M250" s="528"/>
      <c r="N250" s="528"/>
      <c r="O250" s="528"/>
      <c r="P250" s="528"/>
      <c r="Q250" s="528"/>
      <c r="R250" s="528"/>
      <c r="S250" s="528"/>
      <c r="T250" s="528"/>
      <c r="U250" s="528"/>
      <c r="V250" s="528"/>
      <c r="W250" s="528"/>
      <c r="X250" s="528"/>
      <c r="Y250" s="528"/>
      <c r="Z250" s="528"/>
      <c r="AA250" s="529"/>
      <c r="AB250" s="529"/>
      <c r="AC250" s="529"/>
      <c r="AD250" s="529"/>
      <c r="AE250" s="529"/>
      <c r="AF250" s="529"/>
      <c r="AG250" s="529"/>
      <c r="AH250" s="529"/>
      <c r="AI250" s="529"/>
      <c r="AJ250" s="529"/>
      <c r="AK250" s="529"/>
      <c r="AL250" s="529"/>
      <c r="AM250" s="529"/>
      <c r="AN250" s="57"/>
      <c r="AO250"/>
      <c r="AP250" s="57"/>
      <c r="AQ250" s="57"/>
      <c r="AR250" s="57"/>
      <c r="AS250" s="57"/>
      <c r="AT250" s="57"/>
      <c r="AU250" s="57"/>
      <c r="AV250" s="57"/>
      <c r="AW250" s="57"/>
    </row>
    <row r="251" spans="1:49" x14ac:dyDescent="0.25">
      <c r="A251" s="57"/>
      <c r="B251" s="527"/>
      <c r="C251" s="527"/>
      <c r="D251" s="527"/>
      <c r="E251" s="7"/>
      <c r="F251" s="7"/>
      <c r="G251" s="528"/>
      <c r="H251" s="528"/>
      <c r="I251" s="528"/>
      <c r="J251" s="528"/>
      <c r="K251" s="528"/>
      <c r="L251" s="528"/>
      <c r="M251" s="528"/>
      <c r="N251" s="528"/>
      <c r="O251" s="528"/>
      <c r="P251" s="528"/>
      <c r="Q251" s="528"/>
      <c r="R251" s="528"/>
      <c r="S251" s="528"/>
      <c r="T251" s="528"/>
      <c r="U251" s="528"/>
      <c r="V251" s="528"/>
      <c r="W251" s="528"/>
      <c r="X251" s="528"/>
      <c r="Y251" s="528"/>
      <c r="Z251" s="528"/>
      <c r="AA251" s="529"/>
      <c r="AB251" s="529"/>
      <c r="AC251" s="529"/>
      <c r="AD251" s="529"/>
      <c r="AE251" s="529"/>
      <c r="AF251" s="529"/>
      <c r="AG251" s="529"/>
      <c r="AH251" s="529"/>
      <c r="AI251" s="529"/>
      <c r="AJ251" s="529"/>
      <c r="AK251" s="529"/>
      <c r="AL251" s="529"/>
      <c r="AM251" s="529"/>
      <c r="AN251" s="57"/>
      <c r="AO251"/>
      <c r="AP251" s="57"/>
      <c r="AQ251" s="57"/>
      <c r="AR251" s="57"/>
      <c r="AS251" s="57"/>
      <c r="AT251" s="57"/>
      <c r="AU251" s="57"/>
      <c r="AV251" s="57"/>
      <c r="AW251" s="57"/>
    </row>
    <row r="252" spans="1:49" x14ac:dyDescent="0.25">
      <c r="A252" s="57"/>
      <c r="B252" s="527"/>
      <c r="C252" s="527"/>
      <c r="D252" s="527"/>
      <c r="E252" s="7"/>
      <c r="F252" s="7"/>
      <c r="G252" s="528"/>
      <c r="H252" s="528"/>
      <c r="I252" s="528"/>
      <c r="J252" s="528"/>
      <c r="K252" s="528"/>
      <c r="L252" s="528"/>
      <c r="M252" s="528"/>
      <c r="N252" s="528"/>
      <c r="O252" s="528"/>
      <c r="P252" s="528"/>
      <c r="Q252" s="528"/>
      <c r="R252" s="528"/>
      <c r="S252" s="528"/>
      <c r="T252" s="528"/>
      <c r="U252" s="528"/>
      <c r="V252" s="528"/>
      <c r="W252" s="528"/>
      <c r="X252" s="528"/>
      <c r="Y252" s="528"/>
      <c r="Z252" s="528"/>
      <c r="AA252" s="529"/>
      <c r="AB252" s="529"/>
      <c r="AC252" s="529"/>
      <c r="AD252" s="529"/>
      <c r="AE252" s="529"/>
      <c r="AF252" s="529"/>
      <c r="AG252" s="529"/>
      <c r="AH252" s="529"/>
      <c r="AI252" s="529"/>
      <c r="AJ252" s="529"/>
      <c r="AK252" s="529"/>
      <c r="AL252" s="529"/>
      <c r="AM252" s="529"/>
      <c r="AN252" s="57"/>
      <c r="AO252"/>
      <c r="AP252" s="57"/>
      <c r="AQ252" s="57"/>
      <c r="AR252" s="57"/>
      <c r="AS252" s="57"/>
      <c r="AT252" s="57"/>
      <c r="AU252" s="57"/>
      <c r="AV252" s="57"/>
      <c r="AW252" s="57"/>
    </row>
    <row r="253" spans="1:49" x14ac:dyDescent="0.25">
      <c r="A253" s="57"/>
      <c r="B253" s="527"/>
      <c r="C253" s="527"/>
      <c r="D253" s="527"/>
      <c r="E253" s="7"/>
      <c r="F253" s="7"/>
      <c r="G253" s="528"/>
      <c r="H253" s="528"/>
      <c r="I253" s="528"/>
      <c r="J253" s="528"/>
      <c r="K253" s="528"/>
      <c r="L253" s="528"/>
      <c r="M253" s="528"/>
      <c r="N253" s="528"/>
      <c r="O253" s="528"/>
      <c r="P253" s="528"/>
      <c r="Q253" s="528"/>
      <c r="R253" s="528"/>
      <c r="S253" s="528"/>
      <c r="T253" s="528"/>
      <c r="U253" s="528"/>
      <c r="V253" s="528"/>
      <c r="W253" s="528"/>
      <c r="X253" s="528"/>
      <c r="Y253" s="528"/>
      <c r="Z253" s="528"/>
      <c r="AA253" s="529"/>
      <c r="AB253" s="529"/>
      <c r="AC253" s="529"/>
      <c r="AD253" s="529"/>
      <c r="AE253" s="529"/>
      <c r="AF253" s="529"/>
      <c r="AG253" s="529"/>
      <c r="AH253" s="529"/>
      <c r="AI253" s="529"/>
      <c r="AJ253" s="529"/>
      <c r="AK253" s="529"/>
      <c r="AL253" s="529"/>
      <c r="AM253" s="529"/>
      <c r="AN253" s="57"/>
      <c r="AO253"/>
      <c r="AP253" s="57"/>
      <c r="AQ253" s="57"/>
      <c r="AR253" s="57"/>
      <c r="AS253" s="57"/>
      <c r="AT253" s="57"/>
      <c r="AU253" s="57"/>
      <c r="AV253" s="57"/>
      <c r="AW253" s="57"/>
    </row>
    <row r="254" spans="1:49" x14ac:dyDescent="0.25">
      <c r="A254" s="57"/>
      <c r="B254" s="527"/>
      <c r="C254" s="527"/>
      <c r="D254" s="527"/>
      <c r="E254" s="7"/>
      <c r="F254" s="7"/>
      <c r="G254" s="528"/>
      <c r="H254" s="528"/>
      <c r="I254" s="528"/>
      <c r="J254" s="528"/>
      <c r="K254" s="528"/>
      <c r="L254" s="528"/>
      <c r="M254" s="528"/>
      <c r="N254" s="528"/>
      <c r="O254" s="528"/>
      <c r="P254" s="528"/>
      <c r="Q254" s="528"/>
      <c r="R254" s="528"/>
      <c r="S254" s="528"/>
      <c r="T254" s="528"/>
      <c r="U254" s="528"/>
      <c r="V254" s="528"/>
      <c r="W254" s="528"/>
      <c r="X254" s="528"/>
      <c r="Y254" s="528"/>
      <c r="Z254" s="528"/>
      <c r="AA254" s="529"/>
      <c r="AB254" s="529"/>
      <c r="AC254" s="529"/>
      <c r="AD254" s="529"/>
      <c r="AE254" s="529"/>
      <c r="AF254" s="529"/>
      <c r="AG254" s="529"/>
      <c r="AH254" s="529"/>
      <c r="AI254" s="529"/>
      <c r="AJ254" s="529"/>
      <c r="AK254" s="529"/>
      <c r="AL254" s="529"/>
      <c r="AM254" s="529"/>
      <c r="AN254" s="57"/>
      <c r="AO254"/>
      <c r="AP254" s="57"/>
      <c r="AQ254" s="57"/>
      <c r="AR254" s="57"/>
      <c r="AS254" s="57"/>
      <c r="AT254" s="57"/>
      <c r="AU254" s="57"/>
      <c r="AV254" s="57"/>
      <c r="AW254" s="57"/>
    </row>
    <row r="255" spans="1:49" x14ac:dyDescent="0.25">
      <c r="A255" s="57"/>
      <c r="B255" s="527"/>
      <c r="C255" s="527"/>
      <c r="D255" s="527"/>
      <c r="E255" s="7"/>
      <c r="F255" s="7"/>
      <c r="G255" s="528"/>
      <c r="H255" s="528"/>
      <c r="I255" s="528"/>
      <c r="J255" s="528"/>
      <c r="K255" s="528"/>
      <c r="L255" s="528"/>
      <c r="M255" s="528"/>
      <c r="N255" s="528"/>
      <c r="O255" s="528"/>
      <c r="P255" s="528"/>
      <c r="Q255" s="528"/>
      <c r="R255" s="528"/>
      <c r="S255" s="528"/>
      <c r="T255" s="528"/>
      <c r="U255" s="528"/>
      <c r="V255" s="528"/>
      <c r="W255" s="528"/>
      <c r="X255" s="528"/>
      <c r="Y255" s="528"/>
      <c r="Z255" s="528"/>
      <c r="AA255" s="529"/>
      <c r="AB255" s="529"/>
      <c r="AC255" s="529"/>
      <c r="AD255" s="529"/>
      <c r="AE255" s="529"/>
      <c r="AF255" s="529"/>
      <c r="AG255" s="529"/>
      <c r="AH255" s="528"/>
      <c r="AI255" s="529"/>
      <c r="AJ255" s="529"/>
      <c r="AK255" s="529"/>
      <c r="AL255" s="529"/>
      <c r="AM255" s="529"/>
      <c r="AN255" s="529"/>
      <c r="AO255"/>
      <c r="AP255" s="57"/>
      <c r="AQ255" s="57"/>
      <c r="AR255" s="57"/>
      <c r="AS255" s="57"/>
      <c r="AT255" s="57"/>
      <c r="AU255" s="57"/>
      <c r="AV255" s="57"/>
      <c r="AW255" s="57"/>
    </row>
    <row r="256" spans="1:49" x14ac:dyDescent="0.25">
      <c r="A256" s="57"/>
      <c r="B256" s="527"/>
      <c r="C256" s="527"/>
      <c r="D256" s="527"/>
      <c r="E256" s="7"/>
      <c r="F256" s="7"/>
      <c r="G256" s="528"/>
      <c r="H256" s="528"/>
      <c r="I256" s="528"/>
      <c r="J256" s="528"/>
      <c r="K256" s="528"/>
      <c r="L256" s="528"/>
      <c r="M256" s="528"/>
      <c r="N256" s="528"/>
      <c r="O256" s="528"/>
      <c r="P256" s="528"/>
      <c r="Q256" s="528"/>
      <c r="R256" s="528"/>
      <c r="S256" s="528"/>
      <c r="T256" s="528"/>
      <c r="U256" s="528"/>
      <c r="V256" s="528"/>
      <c r="W256" s="528"/>
      <c r="X256" s="528"/>
      <c r="Y256" s="528"/>
      <c r="Z256" s="528"/>
      <c r="AA256" s="529"/>
      <c r="AB256" s="529"/>
      <c r="AC256" s="529"/>
      <c r="AD256" s="529"/>
      <c r="AE256" s="529"/>
      <c r="AF256" s="529"/>
      <c r="AG256" s="529"/>
      <c r="AH256" s="528"/>
      <c r="AI256" s="529"/>
      <c r="AJ256" s="529"/>
      <c r="AK256" s="529"/>
      <c r="AL256" s="529"/>
      <c r="AM256" s="529"/>
      <c r="AN256" s="57"/>
      <c r="AO256"/>
      <c r="AP256" s="57"/>
      <c r="AQ256" s="57"/>
      <c r="AR256" s="57"/>
      <c r="AS256" s="57"/>
      <c r="AT256" s="57"/>
      <c r="AU256" s="57"/>
      <c r="AV256" s="57"/>
      <c r="AW256" s="57"/>
    </row>
    <row r="257" spans="1:49" x14ac:dyDescent="0.25">
      <c r="A257" s="57"/>
      <c r="B257" s="527"/>
      <c r="C257" s="527"/>
      <c r="D257" s="527"/>
      <c r="E257" s="7"/>
      <c r="F257" s="7"/>
      <c r="G257" s="528"/>
      <c r="H257" s="528"/>
      <c r="I257" s="528"/>
      <c r="J257" s="528"/>
      <c r="K257" s="528"/>
      <c r="L257" s="528"/>
      <c r="M257" s="528"/>
      <c r="N257" s="528"/>
      <c r="O257" s="528"/>
      <c r="P257" s="528"/>
      <c r="Q257" s="528"/>
      <c r="R257" s="528"/>
      <c r="S257" s="528"/>
      <c r="T257" s="528"/>
      <c r="U257" s="528"/>
      <c r="V257" s="528"/>
      <c r="W257" s="528"/>
      <c r="X257" s="528"/>
      <c r="Y257" s="528"/>
      <c r="Z257" s="528"/>
      <c r="AA257" s="529"/>
      <c r="AB257" s="529"/>
      <c r="AC257" s="529"/>
      <c r="AD257" s="529"/>
      <c r="AE257" s="529"/>
      <c r="AF257" s="529"/>
      <c r="AG257" s="529"/>
      <c r="AH257" s="529"/>
      <c r="AI257" s="529"/>
      <c r="AJ257" s="529"/>
      <c r="AK257" s="529"/>
      <c r="AL257" s="529"/>
      <c r="AM257" s="529"/>
      <c r="AN257" s="529"/>
      <c r="AO257"/>
      <c r="AP257" s="529"/>
      <c r="AQ257" s="529"/>
      <c r="AR257" s="529"/>
      <c r="AS257" s="529"/>
      <c r="AT257" s="529"/>
      <c r="AU257" s="529"/>
      <c r="AV257" s="529"/>
      <c r="AW257" s="57"/>
    </row>
    <row r="258" spans="1:49" x14ac:dyDescent="0.25">
      <c r="A258" s="57"/>
      <c r="B258" s="527"/>
      <c r="C258" s="527"/>
      <c r="D258" s="527"/>
      <c r="E258" s="7"/>
      <c r="F258" s="7"/>
      <c r="G258" s="528"/>
      <c r="H258" s="528"/>
      <c r="I258" s="528"/>
      <c r="J258" s="528"/>
      <c r="K258" s="528"/>
      <c r="L258" s="528"/>
      <c r="M258" s="528"/>
      <c r="N258" s="528"/>
      <c r="O258" s="528"/>
      <c r="P258" s="528"/>
      <c r="Q258" s="528"/>
      <c r="R258" s="528"/>
      <c r="S258" s="528"/>
      <c r="T258" s="528"/>
      <c r="U258" s="528"/>
      <c r="V258" s="528"/>
      <c r="W258" s="528"/>
      <c r="X258" s="528"/>
      <c r="Y258" s="528"/>
      <c r="Z258" s="528"/>
      <c r="AA258" s="529"/>
      <c r="AB258" s="529"/>
      <c r="AC258" s="529"/>
      <c r="AD258" s="529"/>
      <c r="AE258" s="529"/>
      <c r="AF258" s="529"/>
      <c r="AG258" s="529"/>
      <c r="AH258" s="529"/>
      <c r="AI258" s="529"/>
      <c r="AJ258" s="529"/>
      <c r="AK258" s="529"/>
      <c r="AL258" s="529"/>
      <c r="AM258" s="529"/>
      <c r="AN258" s="529"/>
      <c r="AO258"/>
      <c r="AP258" s="529"/>
      <c r="AQ258" s="529"/>
      <c r="AR258" s="529"/>
      <c r="AS258" s="529"/>
      <c r="AT258" s="529"/>
      <c r="AU258" s="529"/>
      <c r="AV258" s="57"/>
      <c r="AW258" s="57"/>
    </row>
    <row r="259" spans="1:49" x14ac:dyDescent="0.25">
      <c r="A259" s="57"/>
      <c r="B259" s="527"/>
      <c r="C259" s="527"/>
      <c r="D259" s="527"/>
      <c r="E259" s="7"/>
      <c r="F259" s="7"/>
      <c r="G259" s="528"/>
      <c r="H259" s="528"/>
      <c r="I259" s="528"/>
      <c r="J259" s="528"/>
      <c r="K259" s="528"/>
      <c r="L259" s="528"/>
      <c r="M259" s="528"/>
      <c r="N259" s="528"/>
      <c r="O259" s="528"/>
      <c r="P259" s="528"/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9"/>
      <c r="AB259" s="529"/>
      <c r="AC259" s="529"/>
      <c r="AD259" s="529"/>
      <c r="AE259" s="529"/>
      <c r="AF259" s="529"/>
      <c r="AG259" s="529"/>
      <c r="AH259" s="529"/>
      <c r="AI259" s="529"/>
      <c r="AJ259" s="529"/>
      <c r="AK259" s="529"/>
      <c r="AL259" s="529"/>
      <c r="AM259" s="529"/>
      <c r="AN259" s="529"/>
      <c r="AO259"/>
      <c r="AP259" s="529"/>
      <c r="AQ259" s="529"/>
      <c r="AR259" s="529"/>
      <c r="AS259" s="529"/>
      <c r="AT259" s="529"/>
      <c r="AU259" s="529"/>
      <c r="AV259" s="57"/>
      <c r="AW259" s="57"/>
    </row>
    <row r="260" spans="1:49" x14ac:dyDescent="0.25">
      <c r="A260" s="57"/>
      <c r="B260" s="527"/>
      <c r="C260" s="527"/>
      <c r="D260" s="527"/>
      <c r="E260" s="7"/>
      <c r="F260" s="7"/>
      <c r="G260" s="528"/>
      <c r="H260" s="528"/>
      <c r="I260" s="528"/>
      <c r="J260" s="528"/>
      <c r="K260" s="528"/>
      <c r="L260" s="528"/>
      <c r="M260" s="528"/>
      <c r="N260" s="528"/>
      <c r="O260" s="528"/>
      <c r="P260" s="528"/>
      <c r="Q260" s="528"/>
      <c r="R260" s="528"/>
      <c r="S260" s="528"/>
      <c r="T260" s="528"/>
      <c r="U260" s="528"/>
      <c r="V260" s="528"/>
      <c r="W260" s="528"/>
      <c r="X260" s="528"/>
      <c r="Y260" s="528"/>
      <c r="Z260" s="528"/>
      <c r="AA260" s="529"/>
      <c r="AB260" s="529"/>
      <c r="AC260" s="529"/>
      <c r="AD260" s="529"/>
      <c r="AE260" s="529"/>
      <c r="AF260" s="529"/>
      <c r="AG260" s="529"/>
      <c r="AH260" s="529"/>
      <c r="AI260" s="529"/>
      <c r="AJ260" s="529"/>
      <c r="AK260" s="529"/>
      <c r="AL260" s="529"/>
      <c r="AM260" s="529"/>
      <c r="AN260" s="529"/>
      <c r="AO260"/>
      <c r="AP260" s="529"/>
      <c r="AQ260" s="529"/>
      <c r="AR260" s="529"/>
      <c r="AS260" s="529"/>
      <c r="AT260" s="529"/>
      <c r="AU260" s="529"/>
      <c r="AV260" s="57"/>
      <c r="AW260" s="57"/>
    </row>
    <row r="261" spans="1:49" x14ac:dyDescent="0.25">
      <c r="A261" s="57"/>
      <c r="B261" s="527"/>
      <c r="C261" s="527"/>
      <c r="D261" s="527"/>
      <c r="E261" s="7"/>
      <c r="F261" s="7"/>
      <c r="G261" s="528"/>
      <c r="H261" s="528"/>
      <c r="I261" s="528"/>
      <c r="J261" s="528"/>
      <c r="K261" s="528"/>
      <c r="L261" s="528"/>
      <c r="M261" s="528"/>
      <c r="N261" s="528"/>
      <c r="O261" s="528"/>
      <c r="P261" s="528"/>
      <c r="Q261" s="528"/>
      <c r="R261" s="528"/>
      <c r="S261" s="528"/>
      <c r="T261" s="528"/>
      <c r="U261" s="528"/>
      <c r="V261" s="528"/>
      <c r="W261" s="528"/>
      <c r="X261" s="528"/>
      <c r="Y261" s="528"/>
      <c r="Z261" s="528"/>
      <c r="AA261" s="529"/>
      <c r="AB261" s="529"/>
      <c r="AC261" s="529"/>
      <c r="AD261" s="529"/>
      <c r="AE261" s="529"/>
      <c r="AF261" s="529"/>
      <c r="AG261" s="529"/>
      <c r="AH261" s="529"/>
      <c r="AI261" s="529"/>
      <c r="AJ261" s="529"/>
      <c r="AK261" s="529"/>
      <c r="AL261" s="529"/>
      <c r="AM261" s="529"/>
      <c r="AN261" s="529"/>
      <c r="AO261"/>
      <c r="AP261" s="529"/>
      <c r="AQ261" s="529"/>
      <c r="AR261" s="529"/>
      <c r="AS261" s="529"/>
      <c r="AT261" s="529"/>
      <c r="AU261" s="529"/>
      <c r="AV261" s="57"/>
      <c r="AW261" s="57"/>
    </row>
    <row r="262" spans="1:49" x14ac:dyDescent="0.25">
      <c r="A262" s="57"/>
      <c r="B262" s="527"/>
      <c r="C262" s="527"/>
      <c r="D262" s="527"/>
      <c r="E262" s="7"/>
      <c r="F262" s="7"/>
      <c r="G262" s="528"/>
      <c r="H262" s="528"/>
      <c r="I262" s="528"/>
      <c r="J262" s="528"/>
      <c r="K262" s="528"/>
      <c r="L262" s="528"/>
      <c r="M262" s="528"/>
      <c r="N262" s="528"/>
      <c r="O262" s="528"/>
      <c r="P262" s="528"/>
      <c r="Q262" s="528"/>
      <c r="R262" s="528"/>
      <c r="S262" s="528"/>
      <c r="T262" s="528"/>
      <c r="U262" s="528"/>
      <c r="V262" s="528"/>
      <c r="W262" s="528"/>
      <c r="X262" s="528"/>
      <c r="Y262" s="528"/>
      <c r="Z262" s="528"/>
      <c r="AA262" s="529"/>
      <c r="AB262" s="529"/>
      <c r="AC262" s="529"/>
      <c r="AD262" s="529"/>
      <c r="AE262" s="529"/>
      <c r="AF262" s="529"/>
      <c r="AG262" s="529"/>
      <c r="AH262" s="529"/>
      <c r="AI262" s="529"/>
      <c r="AJ262" s="529"/>
      <c r="AK262" s="529"/>
      <c r="AL262" s="529"/>
      <c r="AM262" s="529"/>
      <c r="AN262" s="529"/>
      <c r="AO262"/>
      <c r="AP262" s="529"/>
      <c r="AQ262" s="529"/>
      <c r="AR262" s="529"/>
      <c r="AS262" s="529"/>
      <c r="AT262" s="529"/>
      <c r="AU262" s="529"/>
      <c r="AV262" s="57"/>
      <c r="AW262" s="57"/>
    </row>
    <row r="263" spans="1:49" x14ac:dyDescent="0.25">
      <c r="A263" s="57"/>
      <c r="B263" s="527"/>
      <c r="C263" s="527"/>
      <c r="D263" s="527"/>
      <c r="E263" s="7"/>
      <c r="F263" s="7"/>
      <c r="G263" s="528"/>
      <c r="H263" s="528"/>
      <c r="I263" s="528"/>
      <c r="J263" s="528"/>
      <c r="K263" s="528"/>
      <c r="L263" s="528"/>
      <c r="M263" s="528"/>
      <c r="N263" s="528"/>
      <c r="O263" s="528"/>
      <c r="P263" s="528"/>
      <c r="Q263" s="528"/>
      <c r="R263" s="528"/>
      <c r="S263" s="528"/>
      <c r="T263" s="528"/>
      <c r="U263" s="528"/>
      <c r="V263" s="528"/>
      <c r="W263" s="528"/>
      <c r="X263" s="528"/>
      <c r="Y263" s="528"/>
      <c r="Z263" s="528"/>
      <c r="AA263" s="529"/>
      <c r="AB263" s="529"/>
      <c r="AC263" s="529"/>
      <c r="AD263" s="529"/>
      <c r="AE263" s="529"/>
      <c r="AF263" s="529"/>
      <c r="AG263" s="529"/>
      <c r="AH263" s="529"/>
      <c r="AI263" s="529"/>
      <c r="AJ263" s="529"/>
      <c r="AK263" s="529"/>
      <c r="AL263" s="529"/>
      <c r="AM263" s="529"/>
      <c r="AN263" s="529"/>
      <c r="AO263"/>
      <c r="AP263" s="529"/>
      <c r="AQ263" s="529"/>
      <c r="AR263" s="529"/>
      <c r="AS263" s="529"/>
      <c r="AT263" s="529"/>
      <c r="AU263" s="529"/>
      <c r="AV263" s="57"/>
      <c r="AW263" s="57"/>
    </row>
    <row r="264" spans="1:49" x14ac:dyDescent="0.25">
      <c r="A264" s="57"/>
      <c r="B264" s="527"/>
      <c r="C264" s="527"/>
      <c r="D264" s="527"/>
      <c r="E264" s="7"/>
      <c r="F264" s="7"/>
      <c r="G264" s="528"/>
      <c r="H264" s="528"/>
      <c r="I264" s="528"/>
      <c r="J264" s="528"/>
      <c r="K264" s="528"/>
      <c r="L264" s="528"/>
      <c r="M264" s="528"/>
      <c r="N264" s="528"/>
      <c r="O264" s="528"/>
      <c r="P264" s="528"/>
      <c r="Q264" s="528"/>
      <c r="R264" s="528"/>
      <c r="S264" s="528"/>
      <c r="T264" s="528"/>
      <c r="U264" s="528"/>
      <c r="V264" s="528"/>
      <c r="W264" s="528"/>
      <c r="X264" s="528"/>
      <c r="Y264" s="528"/>
      <c r="Z264" s="528"/>
      <c r="AA264" s="529"/>
      <c r="AB264" s="529"/>
      <c r="AC264" s="529"/>
      <c r="AD264" s="529"/>
      <c r="AE264" s="529"/>
      <c r="AF264" s="529"/>
      <c r="AG264" s="529"/>
      <c r="AH264" s="529"/>
      <c r="AI264" s="529"/>
      <c r="AJ264" s="529"/>
      <c r="AK264" s="529"/>
      <c r="AL264" s="529"/>
      <c r="AM264" s="529"/>
      <c r="AN264" s="529"/>
      <c r="AO264"/>
      <c r="AP264" s="529"/>
      <c r="AQ264" s="529"/>
      <c r="AR264" s="529"/>
      <c r="AS264" s="529"/>
      <c r="AT264" s="529"/>
      <c r="AU264" s="529"/>
      <c r="AV264" s="57"/>
      <c r="AW264" s="57"/>
    </row>
    <row r="265" spans="1:49" x14ac:dyDescent="0.25">
      <c r="A265" s="57"/>
      <c r="B265" s="527"/>
      <c r="C265" s="527"/>
      <c r="D265" s="527"/>
      <c r="E265" s="7"/>
      <c r="F265" s="7"/>
      <c r="G265" s="528"/>
      <c r="H265" s="528"/>
      <c r="I265" s="528"/>
      <c r="J265" s="528"/>
      <c r="K265" s="528"/>
      <c r="L265" s="528"/>
      <c r="M265" s="528"/>
      <c r="N265" s="528"/>
      <c r="O265" s="528"/>
      <c r="P265" s="528"/>
      <c r="Q265" s="528"/>
      <c r="R265" s="528"/>
      <c r="S265" s="528"/>
      <c r="T265" s="528"/>
      <c r="U265" s="528"/>
      <c r="V265" s="528"/>
      <c r="W265" s="528"/>
      <c r="X265" s="528"/>
      <c r="Y265" s="528"/>
      <c r="Z265" s="528"/>
      <c r="AA265" s="529"/>
      <c r="AB265" s="529"/>
      <c r="AC265" s="529"/>
      <c r="AD265" s="529"/>
      <c r="AE265" s="529"/>
      <c r="AF265" s="529"/>
      <c r="AG265" s="529"/>
      <c r="AH265" s="529"/>
      <c r="AI265" s="529"/>
      <c r="AJ265" s="529"/>
      <c r="AK265" s="529"/>
      <c r="AL265" s="529"/>
      <c r="AM265" s="529"/>
      <c r="AN265" s="529"/>
      <c r="AO265"/>
      <c r="AP265" s="529"/>
      <c r="AQ265" s="529"/>
      <c r="AR265" s="529"/>
      <c r="AS265" s="529"/>
      <c r="AT265" s="529"/>
      <c r="AU265" s="529"/>
      <c r="AV265" s="57"/>
      <c r="AW265" s="57"/>
    </row>
    <row r="266" spans="1:49" x14ac:dyDescent="0.25">
      <c r="A266" s="57"/>
      <c r="B266" s="527"/>
      <c r="C266" s="527"/>
      <c r="D266" s="527"/>
      <c r="E266" s="7"/>
      <c r="F266" s="7"/>
      <c r="G266" s="528"/>
      <c r="H266" s="528"/>
      <c r="I266" s="528"/>
      <c r="J266" s="528"/>
      <c r="K266" s="528"/>
      <c r="L266" s="528"/>
      <c r="M266" s="528"/>
      <c r="N266" s="528"/>
      <c r="O266" s="528"/>
      <c r="P266" s="528"/>
      <c r="Q266" s="528"/>
      <c r="R266" s="528"/>
      <c r="S266" s="528"/>
      <c r="T266" s="528"/>
      <c r="U266" s="528"/>
      <c r="V266" s="528"/>
      <c r="W266" s="528"/>
      <c r="X266" s="528"/>
      <c r="Y266" s="528"/>
      <c r="Z266" s="528"/>
      <c r="AA266" s="529"/>
      <c r="AB266" s="529"/>
      <c r="AC266" s="529"/>
      <c r="AD266" s="529"/>
      <c r="AE266" s="529"/>
      <c r="AF266" s="529"/>
      <c r="AG266" s="529"/>
      <c r="AH266" s="529"/>
      <c r="AI266" s="529"/>
      <c r="AJ266" s="529"/>
      <c r="AK266" s="529"/>
      <c r="AL266" s="529"/>
      <c r="AM266" s="529"/>
      <c r="AN266" s="529"/>
      <c r="AO266"/>
      <c r="AP266" s="529"/>
      <c r="AQ266" s="529"/>
      <c r="AR266" s="529"/>
      <c r="AS266" s="529"/>
      <c r="AT266" s="529"/>
      <c r="AU266" s="529"/>
      <c r="AV266" s="57"/>
      <c r="AW266" s="57"/>
    </row>
    <row r="267" spans="1:49" x14ac:dyDescent="0.25">
      <c r="A267" s="57"/>
      <c r="B267" s="527"/>
      <c r="C267" s="527"/>
      <c r="D267" s="527"/>
      <c r="E267" s="7"/>
      <c r="F267" s="7"/>
      <c r="G267" s="528"/>
      <c r="H267" s="528"/>
      <c r="I267" s="528"/>
      <c r="J267" s="528"/>
      <c r="K267" s="528"/>
      <c r="L267" s="528"/>
      <c r="M267" s="528"/>
      <c r="N267" s="528"/>
      <c r="O267" s="528"/>
      <c r="P267" s="528"/>
      <c r="Q267" s="528"/>
      <c r="R267" s="528"/>
      <c r="S267" s="528"/>
      <c r="T267" s="528"/>
      <c r="U267" s="528"/>
      <c r="V267" s="528"/>
      <c r="W267" s="528"/>
      <c r="X267" s="528"/>
      <c r="Y267" s="528"/>
      <c r="Z267" s="528"/>
      <c r="AA267" s="529"/>
      <c r="AB267" s="529"/>
      <c r="AC267" s="529"/>
      <c r="AD267" s="529"/>
      <c r="AE267" s="529"/>
      <c r="AF267" s="529"/>
      <c r="AG267" s="529"/>
      <c r="AH267" s="529"/>
      <c r="AI267" s="529"/>
      <c r="AJ267" s="529"/>
      <c r="AK267" s="529"/>
      <c r="AL267" s="529"/>
      <c r="AM267" s="529"/>
      <c r="AN267" s="529"/>
      <c r="AO267"/>
      <c r="AP267" s="529"/>
      <c r="AQ267" s="529"/>
      <c r="AR267" s="529"/>
      <c r="AS267" s="529"/>
      <c r="AT267" s="529"/>
      <c r="AU267" s="529"/>
      <c r="AV267" s="57"/>
      <c r="AW267" s="57"/>
    </row>
    <row r="268" spans="1:49" x14ac:dyDescent="0.25">
      <c r="A268" s="57"/>
      <c r="B268" s="527"/>
      <c r="C268" s="527"/>
      <c r="D268" s="527"/>
      <c r="E268" s="7"/>
      <c r="F268" s="7"/>
      <c r="G268" s="528"/>
      <c r="H268" s="528"/>
      <c r="I268" s="528"/>
      <c r="J268" s="528"/>
      <c r="K268" s="528"/>
      <c r="L268" s="528"/>
      <c r="M268" s="528"/>
      <c r="N268" s="528"/>
      <c r="O268" s="528"/>
      <c r="P268" s="528"/>
      <c r="Q268" s="528"/>
      <c r="R268" s="528"/>
      <c r="S268" s="528"/>
      <c r="T268" s="528"/>
      <c r="U268" s="528"/>
      <c r="V268" s="528"/>
      <c r="W268" s="528"/>
      <c r="X268" s="528"/>
      <c r="Y268" s="528"/>
      <c r="Z268" s="528"/>
      <c r="AA268" s="529"/>
      <c r="AB268" s="529"/>
      <c r="AC268" s="529"/>
      <c r="AD268" s="529"/>
      <c r="AE268" s="529"/>
      <c r="AF268" s="529"/>
      <c r="AG268" s="529"/>
      <c r="AH268" s="529"/>
      <c r="AI268" s="529"/>
      <c r="AJ268" s="529"/>
      <c r="AK268" s="529"/>
      <c r="AL268" s="529"/>
      <c r="AM268" s="529"/>
      <c r="AN268" s="529"/>
      <c r="AO268"/>
      <c r="AP268" s="529"/>
      <c r="AQ268" s="529"/>
      <c r="AR268" s="529"/>
      <c r="AS268" s="529"/>
      <c r="AT268" s="529"/>
      <c r="AU268" s="529"/>
      <c r="AV268" s="57"/>
      <c r="AW268" s="57"/>
    </row>
    <row r="269" spans="1:49" x14ac:dyDescent="0.25">
      <c r="A269" s="57"/>
      <c r="B269" s="527"/>
      <c r="C269" s="527"/>
      <c r="D269" s="527"/>
      <c r="E269" s="7"/>
      <c r="F269" s="7"/>
      <c r="G269" s="528"/>
      <c r="H269" s="528"/>
      <c r="I269" s="528"/>
      <c r="J269" s="528"/>
      <c r="K269" s="528"/>
      <c r="L269" s="528"/>
      <c r="M269" s="528"/>
      <c r="N269" s="528"/>
      <c r="O269" s="528"/>
      <c r="P269" s="528"/>
      <c r="Q269" s="528"/>
      <c r="R269" s="528"/>
      <c r="S269" s="528"/>
      <c r="T269" s="528"/>
      <c r="U269" s="528"/>
      <c r="V269" s="528"/>
      <c r="W269" s="528"/>
      <c r="X269" s="528"/>
      <c r="Y269" s="528"/>
      <c r="Z269" s="528"/>
      <c r="AA269" s="529"/>
      <c r="AB269" s="529"/>
      <c r="AC269" s="529"/>
      <c r="AD269" s="529"/>
      <c r="AE269" s="529"/>
      <c r="AF269" s="529"/>
      <c r="AG269" s="529"/>
      <c r="AH269" s="529"/>
      <c r="AI269" s="529"/>
      <c r="AJ269" s="529"/>
      <c r="AK269" s="529"/>
      <c r="AL269" s="529"/>
      <c r="AM269" s="529"/>
      <c r="AN269" s="529"/>
      <c r="AO269"/>
      <c r="AP269" s="529"/>
      <c r="AQ269" s="529"/>
      <c r="AR269" s="529"/>
      <c r="AS269" s="529"/>
      <c r="AT269" s="529"/>
      <c r="AU269" s="529"/>
      <c r="AV269" s="57"/>
      <c r="AW269" s="57"/>
    </row>
    <row r="270" spans="1:49" x14ac:dyDescent="0.25">
      <c r="A270" s="57"/>
      <c r="B270" s="527"/>
      <c r="C270" s="527"/>
      <c r="D270" s="527"/>
      <c r="E270" s="7"/>
      <c r="F270" s="7"/>
      <c r="G270" s="528"/>
      <c r="H270" s="528"/>
      <c r="I270" s="528"/>
      <c r="J270" s="528"/>
      <c r="K270" s="528"/>
      <c r="L270" s="528"/>
      <c r="M270" s="528"/>
      <c r="N270" s="528"/>
      <c r="O270" s="528"/>
      <c r="P270" s="528"/>
      <c r="Q270" s="528"/>
      <c r="R270" s="528"/>
      <c r="S270" s="528"/>
      <c r="T270" s="528"/>
      <c r="U270" s="528"/>
      <c r="V270" s="528"/>
      <c r="W270" s="528"/>
      <c r="X270" s="528"/>
      <c r="Y270" s="528"/>
      <c r="Z270" s="528"/>
      <c r="AA270" s="529"/>
      <c r="AB270" s="529"/>
      <c r="AC270" s="529"/>
      <c r="AD270" s="529"/>
      <c r="AE270" s="529"/>
      <c r="AF270" s="529"/>
      <c r="AG270" s="529"/>
      <c r="AH270" s="529"/>
      <c r="AI270" s="529"/>
      <c r="AJ270" s="529"/>
      <c r="AK270" s="529"/>
      <c r="AL270" s="529"/>
      <c r="AM270" s="529"/>
      <c r="AN270" s="529"/>
      <c r="AO270"/>
      <c r="AP270" s="529"/>
      <c r="AQ270" s="529"/>
      <c r="AR270" s="529"/>
      <c r="AS270" s="529"/>
      <c r="AT270" s="529"/>
      <c r="AU270" s="529"/>
      <c r="AV270" s="57"/>
      <c r="AW270" s="57"/>
    </row>
    <row r="271" spans="1:49" x14ac:dyDescent="0.25">
      <c r="A271" s="57"/>
      <c r="B271" s="527"/>
      <c r="C271" s="527"/>
      <c r="D271" s="527"/>
      <c r="E271" s="7"/>
      <c r="F271" s="7"/>
      <c r="G271" s="528"/>
      <c r="H271" s="528"/>
      <c r="I271" s="528"/>
      <c r="J271" s="528"/>
      <c r="K271" s="528"/>
      <c r="L271" s="528"/>
      <c r="M271" s="528"/>
      <c r="N271" s="528"/>
      <c r="O271" s="528"/>
      <c r="P271" s="528"/>
      <c r="Q271" s="528"/>
      <c r="R271" s="528"/>
      <c r="S271" s="528"/>
      <c r="T271" s="528"/>
      <c r="U271" s="528"/>
      <c r="V271" s="528"/>
      <c r="W271" s="528"/>
      <c r="X271" s="528"/>
      <c r="Y271" s="528"/>
      <c r="Z271" s="528"/>
      <c r="AA271" s="529"/>
      <c r="AB271" s="529"/>
      <c r="AC271" s="529"/>
      <c r="AD271" s="529"/>
      <c r="AE271" s="529"/>
      <c r="AF271" s="529"/>
      <c r="AG271" s="529"/>
      <c r="AH271" s="529"/>
      <c r="AI271" s="529"/>
      <c r="AJ271" s="529"/>
      <c r="AK271" s="529"/>
      <c r="AL271" s="529"/>
      <c r="AM271" s="529"/>
      <c r="AN271" s="529"/>
      <c r="AO271"/>
      <c r="AP271" s="529"/>
      <c r="AQ271" s="529"/>
      <c r="AR271" s="529"/>
      <c r="AS271" s="529"/>
      <c r="AT271" s="529"/>
      <c r="AU271" s="529"/>
      <c r="AV271" s="57"/>
      <c r="AW271" s="57"/>
    </row>
    <row r="272" spans="1:49" x14ac:dyDescent="0.25">
      <c r="A272" s="57"/>
      <c r="B272" s="527"/>
      <c r="C272" s="527"/>
      <c r="D272" s="527"/>
      <c r="E272" s="7"/>
      <c r="F272" s="7"/>
      <c r="G272" s="528"/>
      <c r="H272" s="528"/>
      <c r="I272" s="528"/>
      <c r="J272" s="528"/>
      <c r="K272" s="528"/>
      <c r="L272" s="528"/>
      <c r="M272" s="528"/>
      <c r="N272" s="528"/>
      <c r="O272" s="528"/>
      <c r="P272" s="528"/>
      <c r="Q272" s="528"/>
      <c r="R272" s="528"/>
      <c r="S272" s="528"/>
      <c r="T272" s="528"/>
      <c r="U272" s="528"/>
      <c r="V272" s="528"/>
      <c r="W272" s="528"/>
      <c r="X272" s="528"/>
      <c r="Y272" s="528"/>
      <c r="Z272" s="528"/>
      <c r="AA272" s="529"/>
      <c r="AB272" s="529"/>
      <c r="AC272" s="529"/>
      <c r="AD272" s="529"/>
      <c r="AE272" s="529"/>
      <c r="AF272" s="529"/>
      <c r="AG272" s="529"/>
      <c r="AH272" s="529"/>
      <c r="AI272" s="529"/>
      <c r="AJ272" s="529"/>
      <c r="AK272" s="529"/>
      <c r="AL272" s="529"/>
      <c r="AM272" s="529"/>
      <c r="AN272" s="529"/>
      <c r="AO272"/>
      <c r="AP272" s="529"/>
      <c r="AQ272" s="529"/>
      <c r="AR272" s="529"/>
      <c r="AS272" s="529"/>
      <c r="AT272" s="529"/>
      <c r="AU272" s="529"/>
      <c r="AV272" s="57"/>
      <c r="AW272" s="57"/>
    </row>
    <row r="273" spans="1:49" x14ac:dyDescent="0.25">
      <c r="A273" s="57"/>
      <c r="B273" s="527"/>
      <c r="C273" s="527"/>
      <c r="D273" s="527"/>
      <c r="E273" s="7"/>
      <c r="F273" s="7"/>
      <c r="G273" s="528"/>
      <c r="H273" s="528"/>
      <c r="I273" s="528"/>
      <c r="J273" s="528"/>
      <c r="K273" s="528"/>
      <c r="L273" s="528"/>
      <c r="M273" s="528"/>
      <c r="N273" s="528"/>
      <c r="O273" s="528"/>
      <c r="P273" s="528"/>
      <c r="Q273" s="528"/>
      <c r="R273" s="528"/>
      <c r="S273" s="528"/>
      <c r="T273" s="528"/>
      <c r="U273" s="528"/>
      <c r="V273" s="528"/>
      <c r="W273" s="528"/>
      <c r="X273" s="528"/>
      <c r="Y273" s="528"/>
      <c r="Z273" s="528"/>
      <c r="AA273" s="529"/>
      <c r="AB273" s="529"/>
      <c r="AC273" s="529"/>
      <c r="AD273" s="529"/>
      <c r="AE273" s="529"/>
      <c r="AF273" s="529"/>
      <c r="AG273" s="529"/>
      <c r="AH273" s="529"/>
      <c r="AI273" s="529"/>
      <c r="AJ273" s="529"/>
      <c r="AK273" s="529"/>
      <c r="AL273" s="529"/>
      <c r="AM273" s="529"/>
      <c r="AN273" s="529"/>
      <c r="AO273"/>
      <c r="AP273" s="529"/>
      <c r="AQ273" s="529"/>
      <c r="AR273" s="529"/>
      <c r="AS273" s="529"/>
      <c r="AT273" s="529"/>
      <c r="AU273" s="529"/>
      <c r="AV273" s="57"/>
      <c r="AW273" s="57"/>
    </row>
    <row r="274" spans="1:49" x14ac:dyDescent="0.25">
      <c r="A274" s="57"/>
      <c r="B274" s="527"/>
      <c r="C274" s="527"/>
      <c r="D274" s="527"/>
      <c r="E274" s="7"/>
      <c r="F274" s="7"/>
      <c r="G274" s="528"/>
      <c r="H274" s="528"/>
      <c r="I274" s="528"/>
      <c r="J274" s="528"/>
      <c r="K274" s="528"/>
      <c r="L274" s="528"/>
      <c r="M274" s="528"/>
      <c r="N274" s="528"/>
      <c r="O274" s="528"/>
      <c r="P274" s="528"/>
      <c r="Q274" s="528"/>
      <c r="R274" s="528"/>
      <c r="S274" s="528"/>
      <c r="T274" s="528"/>
      <c r="U274" s="528"/>
      <c r="V274" s="528"/>
      <c r="W274" s="528"/>
      <c r="X274" s="528"/>
      <c r="Y274" s="528"/>
      <c r="Z274" s="528"/>
      <c r="AA274" s="529"/>
      <c r="AB274" s="529"/>
      <c r="AC274" s="529"/>
      <c r="AD274" s="529"/>
      <c r="AE274" s="529"/>
      <c r="AF274" s="529"/>
      <c r="AG274" s="529"/>
      <c r="AH274" s="529"/>
      <c r="AI274" s="529"/>
      <c r="AJ274" s="529"/>
      <c r="AK274" s="529"/>
      <c r="AL274" s="529"/>
      <c r="AM274" s="529"/>
      <c r="AN274" s="529"/>
      <c r="AO274"/>
      <c r="AP274" s="529"/>
      <c r="AQ274" s="529"/>
      <c r="AR274" s="529"/>
      <c r="AS274" s="529"/>
      <c r="AT274" s="529"/>
      <c r="AU274" s="529"/>
      <c r="AV274" s="57"/>
      <c r="AW274" s="57"/>
    </row>
    <row r="275" spans="1:49" x14ac:dyDescent="0.25">
      <c r="A275" s="57"/>
      <c r="B275" s="527"/>
      <c r="C275" s="527"/>
      <c r="D275" s="527"/>
      <c r="E275" s="7"/>
      <c r="F275" s="7"/>
      <c r="G275" s="528"/>
      <c r="H275" s="528"/>
      <c r="I275" s="528"/>
      <c r="J275" s="528"/>
      <c r="K275" s="528"/>
      <c r="L275" s="528"/>
      <c r="M275" s="528"/>
      <c r="N275" s="528"/>
      <c r="O275" s="528"/>
      <c r="P275" s="528"/>
      <c r="Q275" s="528"/>
      <c r="R275" s="528"/>
      <c r="S275" s="528"/>
      <c r="T275" s="528"/>
      <c r="U275" s="528"/>
      <c r="V275" s="528"/>
      <c r="W275" s="528"/>
      <c r="X275" s="528"/>
      <c r="Y275" s="528"/>
      <c r="Z275" s="528"/>
      <c r="AA275" s="529"/>
      <c r="AB275" s="529"/>
      <c r="AC275" s="529"/>
      <c r="AD275" s="529"/>
      <c r="AE275" s="529"/>
      <c r="AF275" s="529"/>
      <c r="AG275" s="529"/>
      <c r="AH275" s="529"/>
      <c r="AI275" s="529"/>
      <c r="AJ275" s="529"/>
      <c r="AK275" s="529"/>
      <c r="AL275" s="529"/>
      <c r="AM275" s="529"/>
      <c r="AN275" s="529"/>
      <c r="AO275"/>
      <c r="AP275" s="529"/>
      <c r="AQ275" s="529"/>
      <c r="AR275" s="529"/>
      <c r="AS275" s="529"/>
      <c r="AT275" s="529"/>
      <c r="AU275" s="529"/>
      <c r="AV275" s="57"/>
      <c r="AW275" s="57"/>
    </row>
    <row r="276" spans="1:49" x14ac:dyDescent="0.25">
      <c r="A276" s="57"/>
      <c r="B276" s="527"/>
      <c r="C276" s="527"/>
      <c r="D276" s="527"/>
      <c r="E276" s="7"/>
      <c r="F276" s="7"/>
      <c r="G276" s="528"/>
      <c r="H276" s="528"/>
      <c r="I276" s="528"/>
      <c r="J276" s="528"/>
      <c r="K276" s="528"/>
      <c r="L276" s="528"/>
      <c r="M276" s="528"/>
      <c r="N276" s="528"/>
      <c r="O276" s="528"/>
      <c r="P276" s="528"/>
      <c r="Q276" s="528"/>
      <c r="R276" s="528"/>
      <c r="S276" s="528"/>
      <c r="T276" s="528"/>
      <c r="U276" s="528"/>
      <c r="V276" s="528"/>
      <c r="W276" s="528"/>
      <c r="X276" s="528"/>
      <c r="Y276" s="528"/>
      <c r="Z276" s="528"/>
      <c r="AA276" s="529"/>
      <c r="AB276" s="529"/>
      <c r="AC276" s="529"/>
      <c r="AD276" s="529"/>
      <c r="AE276" s="529"/>
      <c r="AF276" s="529"/>
      <c r="AG276" s="529"/>
      <c r="AH276" s="529"/>
      <c r="AI276" s="529"/>
      <c r="AJ276" s="529"/>
      <c r="AK276" s="529"/>
      <c r="AL276" s="529"/>
      <c r="AM276" s="529"/>
      <c r="AN276" s="529"/>
      <c r="AO276"/>
      <c r="AP276" s="529"/>
      <c r="AQ276" s="529"/>
      <c r="AR276" s="529"/>
      <c r="AS276" s="529"/>
      <c r="AT276" s="529"/>
      <c r="AU276" s="529"/>
      <c r="AV276" s="57"/>
      <c r="AW276" s="57"/>
    </row>
    <row r="277" spans="1:49" x14ac:dyDescent="0.25">
      <c r="A277" s="57"/>
      <c r="B277" s="527"/>
      <c r="C277" s="527"/>
      <c r="D277" s="527"/>
      <c r="E277" s="7"/>
      <c r="F277" s="7"/>
      <c r="G277" s="528"/>
      <c r="H277" s="528"/>
      <c r="I277" s="528"/>
      <c r="J277" s="528"/>
      <c r="K277" s="528"/>
      <c r="L277" s="528"/>
      <c r="M277" s="528"/>
      <c r="N277" s="528"/>
      <c r="O277" s="528"/>
      <c r="P277" s="528"/>
      <c r="Q277" s="528"/>
      <c r="R277" s="528"/>
      <c r="S277" s="528"/>
      <c r="T277" s="528"/>
      <c r="U277" s="528"/>
      <c r="V277" s="528"/>
      <c r="W277" s="528"/>
      <c r="X277" s="528"/>
      <c r="Y277" s="528"/>
      <c r="Z277" s="528"/>
      <c r="AA277" s="529"/>
      <c r="AB277" s="529"/>
      <c r="AC277" s="529"/>
      <c r="AD277" s="529"/>
      <c r="AE277" s="529"/>
      <c r="AF277" s="529"/>
      <c r="AG277" s="529"/>
      <c r="AH277" s="529"/>
      <c r="AI277" s="529"/>
      <c r="AJ277" s="529"/>
      <c r="AK277" s="529"/>
      <c r="AL277" s="529"/>
      <c r="AM277" s="529"/>
      <c r="AN277" s="529"/>
      <c r="AO277"/>
      <c r="AP277" s="529"/>
      <c r="AQ277" s="529"/>
      <c r="AR277" s="529"/>
      <c r="AS277" s="529"/>
      <c r="AT277" s="529"/>
      <c r="AU277" s="529"/>
      <c r="AV277" s="57"/>
      <c r="AW277" s="57"/>
    </row>
    <row r="278" spans="1:49" x14ac:dyDescent="0.25">
      <c r="A278" s="57"/>
      <c r="B278" s="527"/>
      <c r="C278" s="527"/>
      <c r="D278" s="527"/>
      <c r="E278" s="7"/>
      <c r="F278" s="7"/>
      <c r="G278" s="528"/>
      <c r="H278" s="528"/>
      <c r="I278" s="528"/>
      <c r="J278" s="528"/>
      <c r="K278" s="528"/>
      <c r="L278" s="528"/>
      <c r="M278" s="528"/>
      <c r="N278" s="528"/>
      <c r="O278" s="528"/>
      <c r="P278" s="528"/>
      <c r="Q278" s="528"/>
      <c r="R278" s="528"/>
      <c r="S278" s="528"/>
      <c r="T278" s="528"/>
      <c r="U278" s="528"/>
      <c r="V278" s="528"/>
      <c r="W278" s="528"/>
      <c r="X278" s="528"/>
      <c r="Y278" s="528"/>
      <c r="Z278" s="528"/>
      <c r="AA278" s="529"/>
      <c r="AB278" s="529"/>
      <c r="AC278" s="529"/>
      <c r="AD278" s="529"/>
      <c r="AE278" s="529"/>
      <c r="AF278" s="529"/>
      <c r="AG278" s="529"/>
      <c r="AH278" s="529"/>
      <c r="AI278" s="529"/>
      <c r="AJ278" s="529"/>
      <c r="AK278" s="529"/>
      <c r="AL278" s="529"/>
      <c r="AM278" s="529"/>
      <c r="AN278" s="529"/>
      <c r="AO278"/>
      <c r="AP278" s="529"/>
      <c r="AQ278" s="529"/>
      <c r="AR278" s="529"/>
      <c r="AS278" s="529"/>
      <c r="AT278" s="529"/>
      <c r="AU278" s="529"/>
      <c r="AV278" s="57"/>
      <c r="AW278" s="57"/>
    </row>
    <row r="279" spans="1:49" x14ac:dyDescent="0.25">
      <c r="A279" s="57"/>
      <c r="B279" s="527"/>
      <c r="C279" s="527"/>
      <c r="D279" s="527"/>
      <c r="E279" s="7"/>
      <c r="F279" s="7"/>
      <c r="G279" s="528"/>
      <c r="H279" s="528"/>
      <c r="I279" s="528"/>
      <c r="J279" s="528"/>
      <c r="K279" s="528"/>
      <c r="L279" s="528"/>
      <c r="M279" s="528"/>
      <c r="N279" s="528"/>
      <c r="O279" s="528"/>
      <c r="P279" s="528"/>
      <c r="Q279" s="528"/>
      <c r="R279" s="528"/>
      <c r="S279" s="528"/>
      <c r="T279" s="528"/>
      <c r="U279" s="528"/>
      <c r="V279" s="528"/>
      <c r="W279" s="528"/>
      <c r="X279" s="528"/>
      <c r="Y279" s="528"/>
      <c r="Z279" s="528"/>
      <c r="AA279" s="529"/>
      <c r="AB279" s="529"/>
      <c r="AC279" s="529"/>
      <c r="AD279" s="529"/>
      <c r="AE279" s="529"/>
      <c r="AF279" s="529"/>
      <c r="AG279" s="529"/>
      <c r="AH279" s="529"/>
      <c r="AI279" s="529"/>
      <c r="AJ279" s="529"/>
      <c r="AK279" s="529"/>
      <c r="AL279" s="529"/>
      <c r="AM279" s="529"/>
      <c r="AN279" s="529"/>
      <c r="AO279"/>
      <c r="AP279" s="529"/>
      <c r="AQ279" s="529"/>
      <c r="AR279" s="529"/>
      <c r="AS279" s="529"/>
      <c r="AT279" s="529"/>
      <c r="AU279" s="529"/>
      <c r="AV279" s="57"/>
      <c r="AW279" s="57"/>
    </row>
    <row r="280" spans="1:49" x14ac:dyDescent="0.25">
      <c r="A280" s="57"/>
      <c r="B280" s="527"/>
      <c r="C280" s="527"/>
      <c r="D280" s="527"/>
      <c r="E280" s="7"/>
      <c r="F280" s="7"/>
      <c r="G280" s="528"/>
      <c r="H280" s="528"/>
      <c r="I280" s="528"/>
      <c r="J280" s="528"/>
      <c r="K280" s="528"/>
      <c r="L280" s="528"/>
      <c r="M280" s="528"/>
      <c r="N280" s="528"/>
      <c r="O280" s="528"/>
      <c r="P280" s="528"/>
      <c r="Q280" s="528"/>
      <c r="R280" s="528"/>
      <c r="S280" s="528"/>
      <c r="T280" s="528"/>
      <c r="U280" s="528"/>
      <c r="V280" s="528"/>
      <c r="W280" s="528"/>
      <c r="X280" s="528"/>
      <c r="Y280" s="528"/>
      <c r="Z280" s="528"/>
      <c r="AA280" s="529"/>
      <c r="AB280" s="529"/>
      <c r="AC280" s="529"/>
      <c r="AD280" s="529"/>
      <c r="AE280" s="529"/>
      <c r="AF280" s="529"/>
      <c r="AG280" s="529"/>
      <c r="AH280" s="529"/>
      <c r="AI280" s="529"/>
      <c r="AJ280" s="529"/>
      <c r="AK280" s="529"/>
      <c r="AL280" s="529"/>
      <c r="AM280" s="529"/>
      <c r="AN280" s="529"/>
      <c r="AO280"/>
      <c r="AP280" s="529"/>
      <c r="AQ280" s="529"/>
      <c r="AR280" s="529"/>
      <c r="AS280" s="529"/>
      <c r="AT280" s="529"/>
      <c r="AU280" s="529"/>
      <c r="AV280" s="57"/>
      <c r="AW280" s="57"/>
    </row>
    <row r="281" spans="1:49" x14ac:dyDescent="0.25">
      <c r="A281" s="57"/>
      <c r="B281" s="527"/>
      <c r="C281" s="527"/>
      <c r="D281" s="527"/>
      <c r="E281" s="7"/>
      <c r="F281" s="7"/>
      <c r="G281" s="528"/>
      <c r="H281" s="528"/>
      <c r="I281" s="528"/>
      <c r="J281" s="528"/>
      <c r="K281" s="528"/>
      <c r="L281" s="528"/>
      <c r="M281" s="528"/>
      <c r="N281" s="528"/>
      <c r="O281" s="528"/>
      <c r="P281" s="528"/>
      <c r="Q281" s="528"/>
      <c r="R281" s="528"/>
      <c r="S281" s="528"/>
      <c r="T281" s="528"/>
      <c r="U281" s="528"/>
      <c r="V281" s="528"/>
      <c r="W281" s="528"/>
      <c r="X281" s="528"/>
      <c r="Y281" s="528"/>
      <c r="Z281" s="528"/>
      <c r="AA281" s="529"/>
      <c r="AB281" s="529"/>
      <c r="AC281" s="529"/>
      <c r="AD281" s="529"/>
      <c r="AE281" s="529"/>
      <c r="AF281" s="529"/>
      <c r="AG281" s="529"/>
      <c r="AH281" s="529"/>
      <c r="AI281" s="529"/>
      <c r="AJ281" s="529"/>
      <c r="AK281" s="529"/>
      <c r="AL281" s="529"/>
      <c r="AM281" s="529"/>
      <c r="AN281" s="529"/>
      <c r="AO281"/>
      <c r="AP281" s="529"/>
      <c r="AQ281" s="529"/>
      <c r="AR281" s="529"/>
      <c r="AS281" s="529"/>
      <c r="AT281" s="529"/>
      <c r="AU281" s="529"/>
      <c r="AV281" s="57"/>
      <c r="AW281" s="57"/>
    </row>
    <row r="282" spans="1:49" x14ac:dyDescent="0.25">
      <c r="A282" s="57"/>
      <c r="B282" s="527"/>
      <c r="C282" s="527"/>
      <c r="D282" s="527"/>
      <c r="E282" s="7"/>
      <c r="F282" s="7"/>
      <c r="G282" s="528"/>
      <c r="H282" s="528"/>
      <c r="I282" s="528"/>
      <c r="J282" s="528"/>
      <c r="K282" s="528"/>
      <c r="L282" s="528"/>
      <c r="M282" s="528"/>
      <c r="N282" s="528"/>
      <c r="O282" s="528"/>
      <c r="P282" s="528"/>
      <c r="Q282" s="528"/>
      <c r="R282" s="528"/>
      <c r="S282" s="528"/>
      <c r="T282" s="528"/>
      <c r="U282" s="528"/>
      <c r="V282" s="528"/>
      <c r="W282" s="528"/>
      <c r="X282" s="528"/>
      <c r="Y282" s="528"/>
      <c r="Z282" s="528"/>
      <c r="AA282" s="529"/>
      <c r="AB282" s="529"/>
      <c r="AC282" s="529"/>
      <c r="AD282" s="529"/>
      <c r="AE282" s="529"/>
      <c r="AF282" s="529"/>
      <c r="AG282" s="529"/>
      <c r="AH282" s="529"/>
      <c r="AI282" s="529"/>
      <c r="AJ282" s="529"/>
      <c r="AK282" s="529"/>
      <c r="AL282" s="529"/>
      <c r="AM282" s="529"/>
      <c r="AN282" s="529"/>
      <c r="AO282"/>
      <c r="AP282" s="529"/>
      <c r="AQ282" s="529"/>
      <c r="AR282" s="529"/>
      <c r="AS282" s="529"/>
      <c r="AT282" s="529"/>
      <c r="AU282" s="529"/>
      <c r="AV282" s="57"/>
      <c r="AW282" s="57"/>
    </row>
    <row r="283" spans="1:49" x14ac:dyDescent="0.25">
      <c r="A283" s="57"/>
      <c r="B283" s="527"/>
      <c r="C283" s="527"/>
      <c r="D283" s="527"/>
      <c r="E283" s="7"/>
      <c r="F283" s="7"/>
      <c r="G283" s="528"/>
      <c r="H283" s="528"/>
      <c r="I283" s="528"/>
      <c r="J283" s="528"/>
      <c r="K283" s="528"/>
      <c r="L283" s="528"/>
      <c r="M283" s="528"/>
      <c r="N283" s="528"/>
      <c r="O283" s="528"/>
      <c r="P283" s="528"/>
      <c r="Q283" s="528"/>
      <c r="R283" s="528"/>
      <c r="S283" s="528"/>
      <c r="T283" s="528"/>
      <c r="U283" s="528"/>
      <c r="V283" s="528"/>
      <c r="W283" s="528"/>
      <c r="X283" s="528"/>
      <c r="Y283" s="528"/>
      <c r="Z283" s="528"/>
      <c r="AA283" s="529"/>
      <c r="AB283" s="529"/>
      <c r="AC283" s="529"/>
      <c r="AD283" s="529"/>
      <c r="AE283" s="529"/>
      <c r="AF283" s="529"/>
      <c r="AG283" s="529"/>
      <c r="AH283" s="529"/>
      <c r="AI283" s="529"/>
      <c r="AJ283" s="529"/>
      <c r="AK283" s="529"/>
      <c r="AL283" s="529"/>
      <c r="AM283" s="529"/>
      <c r="AN283" s="529"/>
      <c r="AO283"/>
      <c r="AP283" s="529"/>
      <c r="AQ283" s="529"/>
      <c r="AR283" s="529"/>
      <c r="AS283" s="529"/>
      <c r="AT283" s="529"/>
      <c r="AU283" s="529"/>
      <c r="AV283" s="57"/>
      <c r="AW283" s="57"/>
    </row>
    <row r="284" spans="1:49" x14ac:dyDescent="0.25">
      <c r="A284" s="57"/>
      <c r="B284" s="527"/>
      <c r="C284" s="527"/>
      <c r="D284" s="527"/>
      <c r="E284" s="7"/>
      <c r="F284" s="7"/>
      <c r="G284" s="528"/>
      <c r="H284" s="528"/>
      <c r="I284" s="528"/>
      <c r="J284" s="528"/>
      <c r="K284" s="528"/>
      <c r="L284" s="528"/>
      <c r="M284" s="528"/>
      <c r="N284" s="528"/>
      <c r="O284" s="528"/>
      <c r="P284" s="528"/>
      <c r="Q284" s="528"/>
      <c r="R284" s="528"/>
      <c r="S284" s="528"/>
      <c r="T284" s="528"/>
      <c r="U284" s="528"/>
      <c r="V284" s="528"/>
      <c r="W284" s="528"/>
      <c r="X284" s="528"/>
      <c r="Y284" s="528"/>
      <c r="Z284" s="528"/>
      <c r="AA284" s="529"/>
      <c r="AB284" s="529"/>
      <c r="AC284" s="529"/>
      <c r="AD284" s="529"/>
      <c r="AE284" s="529"/>
      <c r="AF284" s="529"/>
      <c r="AG284" s="529"/>
      <c r="AH284" s="528"/>
      <c r="AI284" s="529"/>
      <c r="AJ284" s="529"/>
      <c r="AK284" s="529"/>
      <c r="AL284" s="529"/>
      <c r="AM284" s="529"/>
      <c r="AN284" s="529"/>
      <c r="AO284"/>
      <c r="AP284" s="529"/>
      <c r="AQ284" s="529"/>
      <c r="AR284" s="529"/>
      <c r="AS284" s="529"/>
      <c r="AT284" s="529"/>
      <c r="AU284" s="529"/>
      <c r="AV284" s="529"/>
      <c r="AW284" s="57"/>
    </row>
    <row r="285" spans="1:49" x14ac:dyDescent="0.25">
      <c r="A285" s="57"/>
      <c r="B285" s="527"/>
      <c r="C285" s="527"/>
      <c r="D285" s="527"/>
      <c r="E285" s="7"/>
      <c r="F285" s="7"/>
      <c r="G285" s="528"/>
      <c r="H285" s="528"/>
      <c r="I285" s="528"/>
      <c r="J285" s="528"/>
      <c r="K285" s="528"/>
      <c r="L285" s="528"/>
      <c r="M285" s="528"/>
      <c r="N285" s="528"/>
      <c r="O285" s="528"/>
      <c r="P285" s="528"/>
      <c r="Q285" s="528"/>
      <c r="R285" s="528"/>
      <c r="S285" s="528"/>
      <c r="T285" s="528"/>
      <c r="U285" s="528"/>
      <c r="V285" s="528"/>
      <c r="W285" s="528"/>
      <c r="X285" s="528"/>
      <c r="Y285" s="528"/>
      <c r="Z285" s="528"/>
      <c r="AA285" s="529"/>
      <c r="AB285" s="529"/>
      <c r="AC285" s="529"/>
      <c r="AD285" s="529"/>
      <c r="AE285" s="529"/>
      <c r="AF285" s="529"/>
      <c r="AG285" s="529"/>
      <c r="AH285" s="528"/>
      <c r="AI285" s="529"/>
      <c r="AJ285" s="529"/>
      <c r="AK285" s="529"/>
      <c r="AL285" s="529"/>
      <c r="AM285" s="529"/>
      <c r="AN285" s="529"/>
      <c r="AO285"/>
      <c r="AP285" s="529"/>
      <c r="AQ285" s="529"/>
      <c r="AR285" s="529"/>
      <c r="AS285" s="529"/>
      <c r="AT285" s="529"/>
      <c r="AU285" s="529"/>
      <c r="AV285" s="57"/>
      <c r="AW285" s="57"/>
    </row>
    <row r="286" spans="1:49" x14ac:dyDescent="0.25">
      <c r="A286" s="57"/>
      <c r="B286" s="527"/>
      <c r="C286" s="527"/>
      <c r="D286" s="527"/>
      <c r="E286" s="7"/>
      <c r="F286" s="7"/>
      <c r="G286" s="528"/>
      <c r="H286" s="528"/>
      <c r="I286" s="528"/>
      <c r="J286" s="528"/>
      <c r="K286" s="528"/>
      <c r="L286" s="528"/>
      <c r="M286" s="528"/>
      <c r="N286" s="528"/>
      <c r="O286" s="528"/>
      <c r="P286" s="528"/>
      <c r="Q286" s="528"/>
      <c r="R286" s="528"/>
      <c r="S286" s="528"/>
      <c r="T286" s="528"/>
      <c r="U286" s="528"/>
      <c r="V286" s="528"/>
      <c r="W286" s="528"/>
      <c r="X286" s="528"/>
      <c r="Y286" s="528"/>
      <c r="Z286" s="528"/>
      <c r="AA286" s="529"/>
      <c r="AB286" s="529"/>
      <c r="AC286" s="529"/>
      <c r="AD286" s="529"/>
      <c r="AE286" s="529"/>
      <c r="AF286" s="529"/>
      <c r="AG286" s="529"/>
      <c r="AH286" s="529"/>
      <c r="AI286" s="529"/>
      <c r="AJ286" s="529"/>
      <c r="AK286" s="529"/>
      <c r="AL286" s="529"/>
      <c r="AM286" s="529"/>
      <c r="AN286" s="529"/>
      <c r="AO286"/>
      <c r="AP286" s="529"/>
      <c r="AQ286" s="529"/>
      <c r="AR286" s="529"/>
      <c r="AS286" s="529"/>
      <c r="AT286" s="529"/>
      <c r="AU286" s="529"/>
      <c r="AV286" s="57"/>
      <c r="AW286" s="57"/>
    </row>
    <row r="287" spans="1:49" x14ac:dyDescent="0.25">
      <c r="A287" s="57"/>
      <c r="B287" s="527"/>
      <c r="C287" s="527"/>
      <c r="D287" s="527"/>
      <c r="E287" s="7"/>
      <c r="F287" s="7"/>
      <c r="G287" s="528"/>
      <c r="H287" s="528"/>
      <c r="I287" s="528"/>
      <c r="J287" s="528"/>
      <c r="K287" s="528"/>
      <c r="L287" s="528"/>
      <c r="M287" s="528"/>
      <c r="N287" s="528"/>
      <c r="O287" s="528"/>
      <c r="P287" s="528"/>
      <c r="Q287" s="528"/>
      <c r="R287" s="528"/>
      <c r="S287" s="528"/>
      <c r="T287" s="528"/>
      <c r="U287" s="528"/>
      <c r="V287" s="528"/>
      <c r="W287" s="528"/>
      <c r="X287" s="528"/>
      <c r="Y287" s="528"/>
      <c r="Z287" s="528"/>
      <c r="AA287" s="529"/>
      <c r="AB287" s="529"/>
      <c r="AC287" s="529"/>
      <c r="AD287" s="529"/>
      <c r="AE287" s="529"/>
      <c r="AF287" s="529"/>
      <c r="AG287" s="529"/>
      <c r="AH287" s="529"/>
      <c r="AI287" s="529"/>
      <c r="AJ287" s="529"/>
      <c r="AK287" s="529"/>
      <c r="AL287" s="529"/>
      <c r="AM287" s="529"/>
      <c r="AN287" s="529"/>
      <c r="AO287"/>
      <c r="AP287" s="529"/>
      <c r="AQ287" s="529"/>
      <c r="AR287" s="529"/>
      <c r="AS287" s="529"/>
      <c r="AT287" s="529"/>
      <c r="AU287" s="529"/>
      <c r="AV287" s="57"/>
      <c r="AW287" s="57"/>
    </row>
    <row r="288" spans="1:49" x14ac:dyDescent="0.25">
      <c r="A288" s="57"/>
      <c r="B288" s="527"/>
      <c r="C288" s="527"/>
      <c r="D288" s="527"/>
      <c r="E288" s="7"/>
      <c r="F288" s="7"/>
      <c r="G288" s="528"/>
      <c r="H288" s="528"/>
      <c r="I288" s="528"/>
      <c r="J288" s="528"/>
      <c r="K288" s="528"/>
      <c r="L288" s="528"/>
      <c r="M288" s="528"/>
      <c r="N288" s="528"/>
      <c r="O288" s="528"/>
      <c r="P288" s="528"/>
      <c r="Q288" s="528"/>
      <c r="R288" s="528"/>
      <c r="S288" s="528"/>
      <c r="T288" s="528"/>
      <c r="U288" s="528"/>
      <c r="V288" s="528"/>
      <c r="W288" s="528"/>
      <c r="X288" s="528"/>
      <c r="Y288" s="528"/>
      <c r="Z288" s="528"/>
      <c r="AA288" s="529"/>
      <c r="AB288" s="529"/>
      <c r="AC288" s="529"/>
      <c r="AD288" s="529"/>
      <c r="AE288" s="529"/>
      <c r="AF288" s="529"/>
      <c r="AG288" s="529"/>
      <c r="AH288" s="529"/>
      <c r="AI288" s="529"/>
      <c r="AJ288" s="529"/>
      <c r="AK288" s="529"/>
      <c r="AL288" s="529"/>
      <c r="AM288" s="529"/>
      <c r="AN288" s="529"/>
      <c r="AO288"/>
      <c r="AP288" s="529"/>
      <c r="AQ288" s="529"/>
      <c r="AR288" s="529"/>
      <c r="AS288" s="529"/>
      <c r="AT288" s="529"/>
      <c r="AU288" s="529"/>
      <c r="AV288" s="57"/>
      <c r="AW288" s="57"/>
    </row>
    <row r="289" spans="1:49" x14ac:dyDescent="0.25">
      <c r="A289" s="57"/>
      <c r="B289" s="527"/>
      <c r="C289" s="527"/>
      <c r="D289" s="527"/>
      <c r="E289" s="7"/>
      <c r="F289" s="7"/>
      <c r="G289" s="528"/>
      <c r="H289" s="528"/>
      <c r="I289" s="528"/>
      <c r="J289" s="528"/>
      <c r="K289" s="528"/>
      <c r="L289" s="528"/>
      <c r="M289" s="528"/>
      <c r="N289" s="528"/>
      <c r="O289" s="528"/>
      <c r="P289" s="528"/>
      <c r="Q289" s="528"/>
      <c r="R289" s="528"/>
      <c r="S289" s="528"/>
      <c r="T289" s="528"/>
      <c r="U289" s="528"/>
      <c r="V289" s="528"/>
      <c r="W289" s="528"/>
      <c r="X289" s="528"/>
      <c r="Y289" s="528"/>
      <c r="Z289" s="528"/>
      <c r="AA289" s="529"/>
      <c r="AB289" s="529"/>
      <c r="AC289" s="529"/>
      <c r="AD289" s="529"/>
      <c r="AE289" s="529"/>
      <c r="AF289" s="529"/>
      <c r="AG289" s="529"/>
      <c r="AH289" s="529"/>
      <c r="AI289" s="529"/>
      <c r="AJ289" s="529"/>
      <c r="AK289" s="529"/>
      <c r="AL289" s="529"/>
      <c r="AM289" s="529"/>
      <c r="AN289" s="529"/>
      <c r="AO289"/>
      <c r="AP289" s="529"/>
      <c r="AQ289" s="529"/>
      <c r="AR289" s="529"/>
      <c r="AS289" s="529"/>
      <c r="AT289" s="529"/>
      <c r="AU289" s="529"/>
      <c r="AV289" s="57"/>
      <c r="AW289" s="57"/>
    </row>
    <row r="290" spans="1:49" x14ac:dyDescent="0.25">
      <c r="A290" s="57"/>
      <c r="B290" s="527"/>
      <c r="C290" s="527"/>
      <c r="D290" s="527"/>
      <c r="E290" s="7"/>
      <c r="F290" s="7"/>
      <c r="G290" s="528"/>
      <c r="H290" s="528"/>
      <c r="I290" s="528"/>
      <c r="J290" s="528"/>
      <c r="K290" s="528"/>
      <c r="L290" s="528"/>
      <c r="M290" s="528"/>
      <c r="N290" s="528"/>
      <c r="O290" s="528"/>
      <c r="P290" s="528"/>
      <c r="Q290" s="528"/>
      <c r="R290" s="528"/>
      <c r="S290" s="528"/>
      <c r="T290" s="528"/>
      <c r="U290" s="528"/>
      <c r="V290" s="528"/>
      <c r="W290" s="528"/>
      <c r="X290" s="528"/>
      <c r="Y290" s="528"/>
      <c r="Z290" s="528"/>
      <c r="AA290" s="529"/>
      <c r="AB290" s="529"/>
      <c r="AC290" s="529"/>
      <c r="AD290" s="529"/>
      <c r="AE290" s="529"/>
      <c r="AF290" s="529"/>
      <c r="AG290" s="529"/>
      <c r="AH290" s="529"/>
      <c r="AI290" s="529"/>
      <c r="AJ290" s="529"/>
      <c r="AK290" s="529"/>
      <c r="AL290" s="529"/>
      <c r="AM290" s="529"/>
      <c r="AN290" s="529"/>
      <c r="AO290"/>
      <c r="AP290" s="529"/>
      <c r="AQ290" s="529"/>
      <c r="AR290" s="529"/>
      <c r="AS290" s="529"/>
      <c r="AT290" s="529"/>
      <c r="AU290" s="529"/>
      <c r="AV290" s="57"/>
      <c r="AW290" s="57"/>
    </row>
    <row r="291" spans="1:49" x14ac:dyDescent="0.25">
      <c r="A291" s="57"/>
      <c r="B291" s="527"/>
      <c r="C291" s="527"/>
      <c r="D291" s="527"/>
      <c r="E291" s="7"/>
      <c r="F291" s="7"/>
      <c r="G291" s="528"/>
      <c r="H291" s="528"/>
      <c r="I291" s="528"/>
      <c r="J291" s="528"/>
      <c r="K291" s="528"/>
      <c r="L291" s="528"/>
      <c r="M291" s="528"/>
      <c r="N291" s="528"/>
      <c r="O291" s="528"/>
      <c r="P291" s="528"/>
      <c r="Q291" s="528"/>
      <c r="R291" s="528"/>
      <c r="S291" s="528"/>
      <c r="T291" s="528"/>
      <c r="U291" s="528"/>
      <c r="V291" s="528"/>
      <c r="W291" s="528"/>
      <c r="X291" s="528"/>
      <c r="Y291" s="528"/>
      <c r="Z291" s="528"/>
      <c r="AA291" s="529"/>
      <c r="AB291" s="529"/>
      <c r="AC291" s="529"/>
      <c r="AD291" s="529"/>
      <c r="AE291" s="529"/>
      <c r="AF291" s="529"/>
      <c r="AG291" s="529"/>
      <c r="AH291" s="529"/>
      <c r="AI291" s="529"/>
      <c r="AJ291" s="529"/>
      <c r="AK291" s="529"/>
      <c r="AL291" s="529"/>
      <c r="AM291" s="529"/>
      <c r="AN291" s="529"/>
      <c r="AO291"/>
      <c r="AP291" s="529"/>
      <c r="AQ291" s="529"/>
      <c r="AR291" s="529"/>
      <c r="AS291" s="529"/>
      <c r="AT291" s="529"/>
      <c r="AU291" s="529"/>
      <c r="AV291" s="57"/>
      <c r="AW291" s="57"/>
    </row>
    <row r="292" spans="1:49" x14ac:dyDescent="0.25">
      <c r="A292" s="57"/>
      <c r="B292" s="527"/>
      <c r="C292" s="527"/>
      <c r="D292" s="527"/>
      <c r="E292" s="7"/>
      <c r="F292" s="7"/>
      <c r="G292" s="528"/>
      <c r="H292" s="528"/>
      <c r="I292" s="528"/>
      <c r="J292" s="528"/>
      <c r="K292" s="528"/>
      <c r="L292" s="528"/>
      <c r="M292" s="528"/>
      <c r="N292" s="528"/>
      <c r="O292" s="528"/>
      <c r="P292" s="528"/>
      <c r="Q292" s="528"/>
      <c r="R292" s="528"/>
      <c r="S292" s="528"/>
      <c r="T292" s="528"/>
      <c r="U292" s="528"/>
      <c r="V292" s="528"/>
      <c r="W292" s="528"/>
      <c r="X292" s="528"/>
      <c r="Y292" s="528"/>
      <c r="Z292" s="528"/>
      <c r="AA292" s="529"/>
      <c r="AB292" s="529"/>
      <c r="AC292" s="529"/>
      <c r="AD292" s="529"/>
      <c r="AE292" s="529"/>
      <c r="AF292" s="529"/>
      <c r="AG292" s="529"/>
      <c r="AH292" s="529"/>
      <c r="AI292" s="529"/>
      <c r="AJ292" s="529"/>
      <c r="AK292" s="529"/>
      <c r="AL292" s="529"/>
      <c r="AM292" s="529"/>
      <c r="AN292" s="529"/>
      <c r="AO292"/>
      <c r="AP292" s="529"/>
      <c r="AQ292" s="529"/>
      <c r="AR292" s="529"/>
      <c r="AS292" s="529"/>
      <c r="AT292" s="529"/>
      <c r="AU292" s="529"/>
      <c r="AV292" s="57"/>
      <c r="AW292" s="57"/>
    </row>
    <row r="293" spans="1:49" x14ac:dyDescent="0.25">
      <c r="A293" s="57"/>
      <c r="B293" s="527"/>
      <c r="C293" s="527"/>
      <c r="D293" s="527"/>
      <c r="E293" s="7"/>
      <c r="F293" s="7"/>
      <c r="G293" s="528"/>
      <c r="H293" s="528"/>
      <c r="I293" s="528"/>
      <c r="J293" s="528"/>
      <c r="K293" s="528"/>
      <c r="L293" s="528"/>
      <c r="M293" s="528"/>
      <c r="N293" s="528"/>
      <c r="O293" s="528"/>
      <c r="P293" s="528"/>
      <c r="Q293" s="528"/>
      <c r="R293" s="528"/>
      <c r="S293" s="528"/>
      <c r="T293" s="528"/>
      <c r="U293" s="528"/>
      <c r="V293" s="528"/>
      <c r="W293" s="528"/>
      <c r="X293" s="528"/>
      <c r="Y293" s="528"/>
      <c r="Z293" s="528"/>
      <c r="AA293" s="529"/>
      <c r="AB293" s="529"/>
      <c r="AC293" s="529"/>
      <c r="AD293" s="529"/>
      <c r="AE293" s="529"/>
      <c r="AF293" s="529"/>
      <c r="AG293" s="529"/>
      <c r="AH293" s="529"/>
      <c r="AI293" s="529"/>
      <c r="AJ293" s="529"/>
      <c r="AK293" s="529"/>
      <c r="AL293" s="529"/>
      <c r="AM293" s="529"/>
      <c r="AN293" s="529"/>
      <c r="AO293"/>
      <c r="AP293" s="529"/>
      <c r="AQ293" s="529"/>
      <c r="AR293" s="529"/>
      <c r="AS293" s="529"/>
      <c r="AT293" s="529"/>
      <c r="AU293" s="529"/>
      <c r="AV293" s="57"/>
      <c r="AW293" s="57"/>
    </row>
    <row r="294" spans="1:49" x14ac:dyDescent="0.25">
      <c r="A294" s="57"/>
      <c r="B294" s="527"/>
      <c r="C294" s="527"/>
      <c r="D294" s="527"/>
      <c r="E294" s="7"/>
      <c r="F294" s="7"/>
      <c r="G294" s="528"/>
      <c r="H294" s="528"/>
      <c r="I294" s="528"/>
      <c r="J294" s="528"/>
      <c r="K294" s="528"/>
      <c r="L294" s="528"/>
      <c r="M294" s="528"/>
      <c r="N294" s="528"/>
      <c r="O294" s="528"/>
      <c r="P294" s="528"/>
      <c r="Q294" s="528"/>
      <c r="R294" s="528"/>
      <c r="S294" s="528"/>
      <c r="T294" s="528"/>
      <c r="U294" s="528"/>
      <c r="V294" s="528"/>
      <c r="W294" s="528"/>
      <c r="X294" s="528"/>
      <c r="Y294" s="528"/>
      <c r="Z294" s="528"/>
      <c r="AA294" s="529"/>
      <c r="AB294" s="529"/>
      <c r="AC294" s="529"/>
      <c r="AD294" s="529"/>
      <c r="AE294" s="529"/>
      <c r="AF294" s="529"/>
      <c r="AG294" s="529"/>
      <c r="AH294" s="529"/>
      <c r="AI294" s="529"/>
      <c r="AJ294" s="529"/>
      <c r="AK294" s="529"/>
      <c r="AL294" s="529"/>
      <c r="AM294" s="529"/>
      <c r="AN294" s="529"/>
      <c r="AO294"/>
      <c r="AP294" s="529"/>
      <c r="AQ294" s="529"/>
      <c r="AR294" s="529"/>
      <c r="AS294" s="529"/>
      <c r="AT294" s="529"/>
      <c r="AU294" s="529"/>
      <c r="AV294" s="57"/>
      <c r="AW294" s="57"/>
    </row>
    <row r="295" spans="1:49" x14ac:dyDescent="0.25">
      <c r="A295" s="57"/>
      <c r="B295" s="527"/>
      <c r="C295" s="527"/>
      <c r="D295" s="527"/>
      <c r="E295" s="7"/>
      <c r="F295" s="7"/>
      <c r="G295" s="528"/>
      <c r="H295" s="528"/>
      <c r="I295" s="528"/>
      <c r="J295" s="528"/>
      <c r="K295" s="528"/>
      <c r="L295" s="528"/>
      <c r="M295" s="528"/>
      <c r="N295" s="528"/>
      <c r="O295" s="528"/>
      <c r="P295" s="528"/>
      <c r="Q295" s="528"/>
      <c r="R295" s="528"/>
      <c r="S295" s="528"/>
      <c r="T295" s="528"/>
      <c r="U295" s="528"/>
      <c r="V295" s="528"/>
      <c r="W295" s="528"/>
      <c r="X295" s="528"/>
      <c r="Y295" s="528"/>
      <c r="Z295" s="528"/>
      <c r="AA295" s="529"/>
      <c r="AB295" s="529"/>
      <c r="AC295" s="529"/>
      <c r="AD295" s="529"/>
      <c r="AE295" s="529"/>
      <c r="AF295" s="529"/>
      <c r="AG295" s="529"/>
      <c r="AH295" s="529"/>
      <c r="AI295" s="529"/>
      <c r="AJ295" s="529"/>
      <c r="AK295" s="529"/>
      <c r="AL295" s="529"/>
      <c r="AM295" s="529"/>
      <c r="AN295" s="529"/>
      <c r="AO295"/>
      <c r="AP295" s="529"/>
      <c r="AQ295" s="529"/>
      <c r="AR295" s="529"/>
      <c r="AS295" s="529"/>
      <c r="AT295" s="529"/>
      <c r="AU295" s="529"/>
      <c r="AV295" s="57"/>
      <c r="AW295" s="57"/>
    </row>
    <row r="296" spans="1:49" x14ac:dyDescent="0.25">
      <c r="A296" s="57"/>
      <c r="B296" s="527"/>
      <c r="C296" s="527"/>
      <c r="D296" s="527"/>
      <c r="E296" s="7"/>
      <c r="F296" s="7"/>
      <c r="G296" s="528"/>
      <c r="H296" s="528"/>
      <c r="I296" s="528"/>
      <c r="J296" s="528"/>
      <c r="K296" s="528"/>
      <c r="L296" s="528"/>
      <c r="M296" s="528"/>
      <c r="N296" s="528"/>
      <c r="O296" s="528"/>
      <c r="P296" s="528"/>
      <c r="Q296" s="528"/>
      <c r="R296" s="528"/>
      <c r="S296" s="528"/>
      <c r="T296" s="528"/>
      <c r="U296" s="528"/>
      <c r="V296" s="528"/>
      <c r="W296" s="528"/>
      <c r="X296" s="528"/>
      <c r="Y296" s="528"/>
      <c r="Z296" s="528"/>
      <c r="AA296" s="529"/>
      <c r="AB296" s="529"/>
      <c r="AC296" s="529"/>
      <c r="AD296" s="529"/>
      <c r="AE296" s="529"/>
      <c r="AF296" s="529"/>
      <c r="AG296" s="529"/>
      <c r="AH296" s="529"/>
      <c r="AI296" s="529"/>
      <c r="AJ296" s="529"/>
      <c r="AK296" s="529"/>
      <c r="AL296" s="529"/>
      <c r="AM296" s="529"/>
      <c r="AN296" s="529"/>
      <c r="AO296"/>
      <c r="AP296" s="529"/>
      <c r="AQ296" s="529"/>
      <c r="AR296" s="529"/>
      <c r="AS296" s="529"/>
      <c r="AT296" s="529"/>
      <c r="AU296" s="529"/>
      <c r="AV296" s="57"/>
      <c r="AW296" s="57"/>
    </row>
    <row r="297" spans="1:49" x14ac:dyDescent="0.25">
      <c r="A297" s="57"/>
      <c r="B297" s="527"/>
      <c r="C297" s="527"/>
      <c r="D297" s="527"/>
      <c r="E297" s="7"/>
      <c r="F297" s="7"/>
      <c r="G297" s="528"/>
      <c r="H297" s="528"/>
      <c r="I297" s="528"/>
      <c r="J297" s="528"/>
      <c r="K297" s="528"/>
      <c r="L297" s="528"/>
      <c r="M297" s="528"/>
      <c r="N297" s="528"/>
      <c r="O297" s="528"/>
      <c r="P297" s="528"/>
      <c r="Q297" s="528"/>
      <c r="R297" s="528"/>
      <c r="S297" s="528"/>
      <c r="T297" s="528"/>
      <c r="U297" s="528"/>
      <c r="V297" s="528"/>
      <c r="W297" s="528"/>
      <c r="X297" s="528"/>
      <c r="Y297" s="528"/>
      <c r="Z297" s="528"/>
      <c r="AA297" s="529"/>
      <c r="AB297" s="529"/>
      <c r="AC297" s="529"/>
      <c r="AD297" s="529"/>
      <c r="AE297" s="529"/>
      <c r="AF297" s="529"/>
      <c r="AG297" s="529"/>
      <c r="AH297" s="529"/>
      <c r="AI297" s="529"/>
      <c r="AJ297" s="529"/>
      <c r="AK297" s="529"/>
      <c r="AL297" s="529"/>
      <c r="AM297" s="529"/>
      <c r="AN297" s="529"/>
      <c r="AO297"/>
      <c r="AP297" s="529"/>
      <c r="AQ297" s="529"/>
      <c r="AR297" s="529"/>
      <c r="AS297" s="529"/>
      <c r="AT297" s="529"/>
      <c r="AU297" s="529"/>
      <c r="AV297" s="57"/>
      <c r="AW297" s="57"/>
    </row>
    <row r="298" spans="1:49" x14ac:dyDescent="0.25">
      <c r="A298" s="57"/>
      <c r="B298" s="527"/>
      <c r="C298" s="527"/>
      <c r="D298" s="527"/>
      <c r="E298" s="7"/>
      <c r="F298" s="7"/>
      <c r="G298" s="528"/>
      <c r="H298" s="528"/>
      <c r="I298" s="528"/>
      <c r="J298" s="528"/>
      <c r="K298" s="528"/>
      <c r="L298" s="528"/>
      <c r="M298" s="528"/>
      <c r="N298" s="528"/>
      <c r="O298" s="528"/>
      <c r="P298" s="528"/>
      <c r="Q298" s="528"/>
      <c r="R298" s="528"/>
      <c r="S298" s="528"/>
      <c r="T298" s="528"/>
      <c r="U298" s="528"/>
      <c r="V298" s="528"/>
      <c r="W298" s="528"/>
      <c r="X298" s="528"/>
      <c r="Y298" s="528"/>
      <c r="Z298" s="528"/>
      <c r="AA298" s="529"/>
      <c r="AB298" s="529"/>
      <c r="AC298" s="529"/>
      <c r="AD298" s="529"/>
      <c r="AE298" s="529"/>
      <c r="AF298" s="529"/>
      <c r="AG298" s="529"/>
      <c r="AH298" s="529"/>
      <c r="AI298" s="529"/>
      <c r="AJ298" s="529"/>
      <c r="AK298" s="529"/>
      <c r="AL298" s="529"/>
      <c r="AM298" s="529"/>
      <c r="AN298" s="529"/>
      <c r="AO298"/>
      <c r="AP298" s="529"/>
      <c r="AQ298" s="529"/>
      <c r="AR298" s="529"/>
      <c r="AS298" s="529"/>
      <c r="AT298" s="529"/>
      <c r="AU298" s="529"/>
      <c r="AV298" s="57"/>
      <c r="AW298" s="57"/>
    </row>
    <row r="299" spans="1:49" x14ac:dyDescent="0.25">
      <c r="A299" s="57"/>
      <c r="B299" s="527"/>
      <c r="C299" s="527"/>
      <c r="D299" s="527"/>
      <c r="E299" s="7"/>
      <c r="F299" s="7"/>
      <c r="G299" s="528"/>
      <c r="H299" s="528"/>
      <c r="I299" s="528"/>
      <c r="J299" s="528"/>
      <c r="K299" s="528"/>
      <c r="L299" s="528"/>
      <c r="M299" s="528"/>
      <c r="N299" s="528"/>
      <c r="O299" s="528"/>
      <c r="P299" s="528"/>
      <c r="Q299" s="528"/>
      <c r="R299" s="528"/>
      <c r="S299" s="528"/>
      <c r="T299" s="528"/>
      <c r="U299" s="528"/>
      <c r="V299" s="528"/>
      <c r="W299" s="528"/>
      <c r="X299" s="528"/>
      <c r="Y299" s="528"/>
      <c r="Z299" s="528"/>
      <c r="AA299" s="529"/>
      <c r="AB299" s="529"/>
      <c r="AC299" s="529"/>
      <c r="AD299" s="529"/>
      <c r="AE299" s="529"/>
      <c r="AF299" s="529"/>
      <c r="AG299" s="529"/>
      <c r="AH299" s="529"/>
      <c r="AI299" s="529"/>
      <c r="AJ299" s="529"/>
      <c r="AK299" s="529"/>
      <c r="AL299" s="529"/>
      <c r="AM299" s="529"/>
      <c r="AN299" s="529"/>
      <c r="AO299"/>
      <c r="AP299" s="529"/>
      <c r="AQ299" s="529"/>
      <c r="AR299" s="529"/>
      <c r="AS299" s="529"/>
      <c r="AT299" s="529"/>
      <c r="AU299" s="529"/>
      <c r="AV299" s="57"/>
      <c r="AW299" s="57"/>
    </row>
    <row r="300" spans="1:49" x14ac:dyDescent="0.25">
      <c r="A300" s="57"/>
      <c r="B300" s="527"/>
      <c r="C300" s="527"/>
      <c r="D300" s="527"/>
      <c r="E300" s="7"/>
      <c r="F300" s="7"/>
      <c r="G300" s="528"/>
      <c r="H300" s="528"/>
      <c r="I300" s="528"/>
      <c r="J300" s="528"/>
      <c r="K300" s="528"/>
      <c r="L300" s="528"/>
      <c r="M300" s="528"/>
      <c r="N300" s="528"/>
      <c r="O300" s="528"/>
      <c r="P300" s="528"/>
      <c r="Q300" s="528"/>
      <c r="R300" s="528"/>
      <c r="S300" s="528"/>
      <c r="T300" s="528"/>
      <c r="U300" s="528"/>
      <c r="V300" s="528"/>
      <c r="W300" s="528"/>
      <c r="X300" s="528"/>
      <c r="Y300" s="528"/>
      <c r="Z300" s="528"/>
      <c r="AA300" s="529"/>
      <c r="AB300" s="529"/>
      <c r="AC300" s="529"/>
      <c r="AD300" s="529"/>
      <c r="AE300" s="529"/>
      <c r="AF300" s="529"/>
      <c r="AG300" s="529"/>
      <c r="AH300" s="529"/>
      <c r="AI300" s="529"/>
      <c r="AJ300" s="529"/>
      <c r="AK300" s="529"/>
      <c r="AL300" s="529"/>
      <c r="AM300" s="529"/>
      <c r="AN300" s="529"/>
      <c r="AO300"/>
      <c r="AP300" s="529"/>
      <c r="AQ300" s="529"/>
      <c r="AR300" s="529"/>
      <c r="AS300" s="529"/>
      <c r="AT300" s="529"/>
      <c r="AU300" s="529"/>
      <c r="AV300" s="57"/>
      <c r="AW300" s="57"/>
    </row>
    <row r="301" spans="1:49" x14ac:dyDescent="0.25">
      <c r="A301" s="57"/>
      <c r="B301" s="527"/>
      <c r="C301" s="527"/>
      <c r="D301" s="527"/>
      <c r="E301" s="7"/>
      <c r="F301" s="7"/>
      <c r="G301" s="528"/>
      <c r="H301" s="528"/>
      <c r="I301" s="528"/>
      <c r="J301" s="528"/>
      <c r="K301" s="528"/>
      <c r="L301" s="528"/>
      <c r="M301" s="528"/>
      <c r="N301" s="528"/>
      <c r="O301" s="528"/>
      <c r="P301" s="528"/>
      <c r="Q301" s="528"/>
      <c r="R301" s="528"/>
      <c r="S301" s="528"/>
      <c r="T301" s="528"/>
      <c r="U301" s="528"/>
      <c r="V301" s="528"/>
      <c r="W301" s="528"/>
      <c r="X301" s="528"/>
      <c r="Y301" s="528"/>
      <c r="Z301" s="528"/>
      <c r="AA301" s="529"/>
      <c r="AB301" s="529"/>
      <c r="AC301" s="529"/>
      <c r="AD301" s="529"/>
      <c r="AE301" s="529"/>
      <c r="AF301" s="529"/>
      <c r="AG301" s="529"/>
      <c r="AH301" s="529"/>
      <c r="AI301" s="529"/>
      <c r="AJ301" s="529"/>
      <c r="AK301" s="529"/>
      <c r="AL301" s="529"/>
      <c r="AM301" s="529"/>
      <c r="AN301" s="529"/>
      <c r="AO301"/>
      <c r="AP301" s="529"/>
      <c r="AQ301" s="529"/>
      <c r="AR301" s="529"/>
      <c r="AS301" s="529"/>
      <c r="AT301" s="529"/>
      <c r="AU301" s="529"/>
      <c r="AV301" s="57"/>
      <c r="AW301" s="57"/>
    </row>
    <row r="302" spans="1:49" x14ac:dyDescent="0.25">
      <c r="A302" s="57"/>
      <c r="B302" s="527"/>
      <c r="C302" s="527"/>
      <c r="D302" s="527"/>
      <c r="E302" s="7"/>
      <c r="F302" s="7"/>
      <c r="G302" s="528"/>
      <c r="H302" s="528"/>
      <c r="I302" s="528"/>
      <c r="J302" s="528"/>
      <c r="K302" s="528"/>
      <c r="L302" s="528"/>
      <c r="M302" s="528"/>
      <c r="N302" s="528"/>
      <c r="O302" s="528"/>
      <c r="P302" s="528"/>
      <c r="Q302" s="528"/>
      <c r="R302" s="528"/>
      <c r="S302" s="528"/>
      <c r="T302" s="528"/>
      <c r="U302" s="528"/>
      <c r="V302" s="528"/>
      <c r="W302" s="528"/>
      <c r="X302" s="528"/>
      <c r="Y302" s="528"/>
      <c r="Z302" s="528"/>
      <c r="AA302" s="529"/>
      <c r="AB302" s="529"/>
      <c r="AC302" s="529"/>
      <c r="AD302" s="529"/>
      <c r="AE302" s="529"/>
      <c r="AF302" s="529"/>
      <c r="AG302" s="529"/>
      <c r="AH302" s="529"/>
      <c r="AI302" s="529"/>
      <c r="AJ302" s="529"/>
      <c r="AK302" s="529"/>
      <c r="AL302" s="529"/>
      <c r="AM302" s="529"/>
      <c r="AN302" s="529"/>
      <c r="AO302"/>
      <c r="AP302" s="529"/>
      <c r="AQ302" s="529"/>
      <c r="AR302" s="529"/>
      <c r="AS302" s="529"/>
      <c r="AT302" s="529"/>
      <c r="AU302" s="529"/>
      <c r="AV302" s="57"/>
      <c r="AW302" s="57"/>
    </row>
    <row r="303" spans="1:49" x14ac:dyDescent="0.25">
      <c r="A303" s="57"/>
      <c r="B303" s="527"/>
      <c r="C303" s="527"/>
      <c r="D303" s="527"/>
      <c r="E303" s="7"/>
      <c r="F303" s="7"/>
      <c r="G303" s="528"/>
      <c r="H303" s="528"/>
      <c r="I303" s="528"/>
      <c r="J303" s="528"/>
      <c r="K303" s="528"/>
      <c r="L303" s="528"/>
      <c r="M303" s="528"/>
      <c r="N303" s="528"/>
      <c r="O303" s="528"/>
      <c r="P303" s="528"/>
      <c r="Q303" s="528"/>
      <c r="R303" s="528"/>
      <c r="S303" s="528"/>
      <c r="T303" s="528"/>
      <c r="U303" s="528"/>
      <c r="V303" s="528"/>
      <c r="W303" s="528"/>
      <c r="X303" s="528"/>
      <c r="Y303" s="528"/>
      <c r="Z303" s="528"/>
      <c r="AA303" s="529"/>
      <c r="AB303" s="529"/>
      <c r="AC303" s="529"/>
      <c r="AD303" s="529"/>
      <c r="AE303" s="529"/>
      <c r="AF303" s="529"/>
      <c r="AG303" s="529"/>
      <c r="AH303" s="529"/>
      <c r="AI303" s="529"/>
      <c r="AJ303" s="529"/>
      <c r="AK303" s="529"/>
      <c r="AL303" s="529"/>
      <c r="AM303" s="529"/>
      <c r="AN303" s="529"/>
      <c r="AO303"/>
      <c r="AP303" s="529"/>
      <c r="AQ303" s="529"/>
      <c r="AR303" s="529"/>
      <c r="AS303" s="529"/>
      <c r="AT303" s="529"/>
      <c r="AU303" s="529"/>
      <c r="AV303" s="57"/>
      <c r="AW303" s="57"/>
    </row>
    <row r="304" spans="1:49" x14ac:dyDescent="0.25">
      <c r="A304" s="57"/>
      <c r="B304" s="527"/>
      <c r="C304" s="527"/>
      <c r="D304" s="527"/>
      <c r="E304" s="7"/>
      <c r="F304" s="7"/>
      <c r="G304" s="528"/>
      <c r="H304" s="528"/>
      <c r="I304" s="528"/>
      <c r="J304" s="528"/>
      <c r="K304" s="528"/>
      <c r="L304" s="528"/>
      <c r="M304" s="528"/>
      <c r="N304" s="528"/>
      <c r="O304" s="528"/>
      <c r="P304" s="528"/>
      <c r="Q304" s="528"/>
      <c r="R304" s="528"/>
      <c r="S304" s="528"/>
      <c r="T304" s="528"/>
      <c r="U304" s="528"/>
      <c r="V304" s="528"/>
      <c r="W304" s="528"/>
      <c r="X304" s="528"/>
      <c r="Y304" s="528"/>
      <c r="Z304" s="528"/>
      <c r="AA304" s="529"/>
      <c r="AB304" s="529"/>
      <c r="AC304" s="529"/>
      <c r="AD304" s="529"/>
      <c r="AE304" s="529"/>
      <c r="AF304" s="529"/>
      <c r="AG304" s="529"/>
      <c r="AH304" s="529"/>
      <c r="AI304" s="529"/>
      <c r="AJ304" s="529"/>
      <c r="AK304" s="529"/>
      <c r="AL304" s="529"/>
      <c r="AM304" s="529"/>
      <c r="AN304" s="529"/>
      <c r="AO304"/>
      <c r="AP304" s="529"/>
      <c r="AQ304" s="529"/>
      <c r="AR304" s="529"/>
      <c r="AS304" s="529"/>
      <c r="AT304" s="529"/>
      <c r="AU304" s="529"/>
      <c r="AV304" s="57"/>
      <c r="AW304" s="57"/>
    </row>
    <row r="305" spans="1:49" x14ac:dyDescent="0.25">
      <c r="A305" s="57"/>
      <c r="B305" s="527"/>
      <c r="C305" s="527"/>
      <c r="D305" s="527"/>
      <c r="E305" s="7"/>
      <c r="F305" s="7"/>
      <c r="G305" s="528"/>
      <c r="H305" s="528"/>
      <c r="I305" s="528"/>
      <c r="J305" s="528"/>
      <c r="K305" s="528"/>
      <c r="L305" s="528"/>
      <c r="M305" s="528"/>
      <c r="N305" s="528"/>
      <c r="O305" s="528"/>
      <c r="P305" s="528"/>
      <c r="Q305" s="528"/>
      <c r="R305" s="528"/>
      <c r="S305" s="528"/>
      <c r="T305" s="528"/>
      <c r="U305" s="528"/>
      <c r="V305" s="528"/>
      <c r="W305" s="528"/>
      <c r="X305" s="528"/>
      <c r="Y305" s="528"/>
      <c r="Z305" s="528"/>
      <c r="AA305" s="529"/>
      <c r="AB305" s="529"/>
      <c r="AC305" s="529"/>
      <c r="AD305" s="529"/>
      <c r="AE305" s="529"/>
      <c r="AF305" s="529"/>
      <c r="AG305" s="529"/>
      <c r="AH305" s="529"/>
      <c r="AI305" s="529"/>
      <c r="AJ305" s="529"/>
      <c r="AK305" s="529"/>
      <c r="AL305" s="529"/>
      <c r="AM305" s="529"/>
      <c r="AN305" s="529"/>
      <c r="AO305"/>
      <c r="AP305" s="529"/>
      <c r="AQ305" s="529"/>
      <c r="AR305" s="529"/>
      <c r="AS305" s="529"/>
      <c r="AT305" s="529"/>
      <c r="AU305" s="529"/>
      <c r="AV305" s="57"/>
      <c r="AW305" s="57"/>
    </row>
    <row r="306" spans="1:49" x14ac:dyDescent="0.25">
      <c r="A306" s="57"/>
      <c r="B306" s="527"/>
      <c r="C306" s="527"/>
      <c r="D306" s="527"/>
      <c r="E306" s="7"/>
      <c r="F306" s="7"/>
      <c r="G306" s="528"/>
      <c r="H306" s="528"/>
      <c r="I306" s="528"/>
      <c r="J306" s="528"/>
      <c r="K306" s="528"/>
      <c r="L306" s="528"/>
      <c r="M306" s="528"/>
      <c r="N306" s="528"/>
      <c r="O306" s="528"/>
      <c r="P306" s="528"/>
      <c r="Q306" s="528"/>
      <c r="R306" s="528"/>
      <c r="S306" s="528"/>
      <c r="T306" s="528"/>
      <c r="U306" s="528"/>
      <c r="V306" s="528"/>
      <c r="W306" s="528"/>
      <c r="X306" s="528"/>
      <c r="Y306" s="528"/>
      <c r="Z306" s="528"/>
      <c r="AA306" s="529"/>
      <c r="AB306" s="529"/>
      <c r="AC306" s="529"/>
      <c r="AD306" s="529"/>
      <c r="AE306" s="529"/>
      <c r="AF306" s="529"/>
      <c r="AG306" s="529"/>
      <c r="AH306" s="529"/>
      <c r="AI306" s="529"/>
      <c r="AJ306" s="529"/>
      <c r="AK306" s="529"/>
      <c r="AL306" s="529"/>
      <c r="AM306" s="529"/>
      <c r="AN306" s="529"/>
      <c r="AO306"/>
      <c r="AP306" s="529"/>
      <c r="AQ306" s="529"/>
      <c r="AR306" s="529"/>
      <c r="AS306" s="529"/>
      <c r="AT306" s="529"/>
      <c r="AU306" s="529"/>
      <c r="AV306" s="57"/>
      <c r="AW306" s="57"/>
    </row>
    <row r="307" spans="1:49" x14ac:dyDescent="0.25">
      <c r="A307" s="57"/>
      <c r="B307" s="527"/>
      <c r="C307" s="527"/>
      <c r="D307" s="527"/>
      <c r="E307" s="7"/>
      <c r="F307" s="7"/>
      <c r="G307" s="528"/>
      <c r="H307" s="528"/>
      <c r="I307" s="528"/>
      <c r="J307" s="528"/>
      <c r="K307" s="528"/>
      <c r="L307" s="528"/>
      <c r="M307" s="528"/>
      <c r="N307" s="528"/>
      <c r="O307" s="528"/>
      <c r="P307" s="528"/>
      <c r="Q307" s="528"/>
      <c r="R307" s="528"/>
      <c r="S307" s="528"/>
      <c r="T307" s="528"/>
      <c r="U307" s="528"/>
      <c r="V307" s="528"/>
      <c r="W307" s="528"/>
      <c r="X307" s="528"/>
      <c r="Y307" s="528"/>
      <c r="Z307" s="528"/>
      <c r="AA307" s="529"/>
      <c r="AB307" s="529"/>
      <c r="AC307" s="529"/>
      <c r="AD307" s="529"/>
      <c r="AE307" s="529"/>
      <c r="AF307" s="529"/>
      <c r="AG307" s="529"/>
      <c r="AH307" s="529"/>
      <c r="AI307" s="529"/>
      <c r="AJ307" s="529"/>
      <c r="AK307" s="529"/>
      <c r="AL307" s="529"/>
      <c r="AM307" s="529"/>
      <c r="AN307" s="529"/>
      <c r="AO307"/>
      <c r="AP307" s="529"/>
      <c r="AQ307" s="529"/>
      <c r="AR307" s="529"/>
      <c r="AS307" s="529"/>
      <c r="AT307" s="529"/>
      <c r="AU307" s="529"/>
      <c r="AV307" s="57"/>
      <c r="AW307" s="57"/>
    </row>
    <row r="308" spans="1:49" x14ac:dyDescent="0.25">
      <c r="A308" s="57"/>
      <c r="B308" s="527"/>
      <c r="C308" s="527"/>
      <c r="D308" s="527"/>
      <c r="E308" s="7"/>
      <c r="F308" s="7"/>
      <c r="G308" s="528"/>
      <c r="H308" s="528"/>
      <c r="I308" s="528"/>
      <c r="J308" s="528"/>
      <c r="K308" s="528"/>
      <c r="L308" s="528"/>
      <c r="M308" s="528"/>
      <c r="N308" s="528"/>
      <c r="O308" s="528"/>
      <c r="P308" s="528"/>
      <c r="Q308" s="528"/>
      <c r="R308" s="528"/>
      <c r="S308" s="528"/>
      <c r="T308" s="528"/>
      <c r="U308" s="528"/>
      <c r="V308" s="528"/>
      <c r="W308" s="528"/>
      <c r="X308" s="528"/>
      <c r="Y308" s="528"/>
      <c r="Z308" s="528"/>
      <c r="AA308" s="529"/>
      <c r="AB308" s="529"/>
      <c r="AC308" s="529"/>
      <c r="AD308" s="529"/>
      <c r="AE308" s="529"/>
      <c r="AF308" s="529"/>
      <c r="AG308" s="529"/>
      <c r="AH308" s="529"/>
      <c r="AI308" s="529"/>
      <c r="AJ308" s="529"/>
      <c r="AK308" s="529"/>
      <c r="AL308" s="529"/>
      <c r="AM308" s="529"/>
      <c r="AN308" s="529"/>
      <c r="AO308"/>
      <c r="AP308" s="529"/>
      <c r="AQ308" s="529"/>
      <c r="AR308" s="529"/>
      <c r="AS308" s="529"/>
      <c r="AT308" s="529"/>
      <c r="AU308" s="529"/>
      <c r="AV308" s="57"/>
      <c r="AW308" s="57"/>
    </row>
    <row r="309" spans="1:49" x14ac:dyDescent="0.25">
      <c r="A309" s="57"/>
      <c r="B309" s="527"/>
      <c r="C309" s="527"/>
      <c r="D309" s="527"/>
      <c r="E309" s="7"/>
      <c r="F309" s="7"/>
      <c r="G309" s="528"/>
      <c r="H309" s="528"/>
      <c r="I309" s="528"/>
      <c r="J309" s="528"/>
      <c r="K309" s="528"/>
      <c r="L309" s="528"/>
      <c r="M309" s="528"/>
      <c r="N309" s="528"/>
      <c r="O309" s="528"/>
      <c r="P309" s="528"/>
      <c r="Q309" s="528"/>
      <c r="R309" s="528"/>
      <c r="S309" s="528"/>
      <c r="T309" s="528"/>
      <c r="U309" s="528"/>
      <c r="V309" s="528"/>
      <c r="W309" s="528"/>
      <c r="X309" s="528"/>
      <c r="Y309" s="528"/>
      <c r="Z309" s="528"/>
      <c r="AA309" s="529"/>
      <c r="AB309" s="529"/>
      <c r="AC309" s="529"/>
      <c r="AD309" s="529"/>
      <c r="AE309" s="529"/>
      <c r="AF309" s="529"/>
      <c r="AG309" s="529"/>
      <c r="AH309" s="529"/>
      <c r="AI309" s="529"/>
      <c r="AJ309" s="529"/>
      <c r="AK309" s="529"/>
      <c r="AL309" s="529"/>
      <c r="AM309" s="529"/>
      <c r="AN309" s="529"/>
      <c r="AO309"/>
      <c r="AP309" s="529"/>
      <c r="AQ309" s="529"/>
      <c r="AR309" s="529"/>
      <c r="AS309" s="529"/>
      <c r="AT309" s="529"/>
      <c r="AU309" s="529"/>
      <c r="AV309" s="57"/>
      <c r="AW309" s="57"/>
    </row>
    <row r="310" spans="1:49" x14ac:dyDescent="0.25">
      <c r="A310" s="57"/>
      <c r="B310" s="527"/>
      <c r="C310" s="527"/>
      <c r="D310" s="527"/>
      <c r="E310" s="7"/>
      <c r="F310" s="7"/>
      <c r="G310" s="528"/>
      <c r="H310" s="528"/>
      <c r="I310" s="528"/>
      <c r="J310" s="528"/>
      <c r="K310" s="528"/>
      <c r="L310" s="528"/>
      <c r="M310" s="528"/>
      <c r="N310" s="528"/>
      <c r="O310" s="528"/>
      <c r="P310" s="528"/>
      <c r="Q310" s="528"/>
      <c r="R310" s="528"/>
      <c r="S310" s="528"/>
      <c r="T310" s="528"/>
      <c r="U310" s="528"/>
      <c r="V310" s="528"/>
      <c r="W310" s="528"/>
      <c r="X310" s="528"/>
      <c r="Y310" s="528"/>
      <c r="Z310" s="528"/>
      <c r="AA310" s="529"/>
      <c r="AB310" s="529"/>
      <c r="AC310" s="529"/>
      <c r="AD310" s="529"/>
      <c r="AE310" s="529"/>
      <c r="AF310" s="529"/>
      <c r="AG310" s="529"/>
      <c r="AH310" s="529"/>
      <c r="AI310" s="529"/>
      <c r="AJ310" s="529"/>
      <c r="AK310" s="529"/>
      <c r="AL310" s="529"/>
      <c r="AM310" s="529"/>
      <c r="AN310" s="529"/>
      <c r="AO310"/>
      <c r="AP310" s="529"/>
      <c r="AQ310" s="529"/>
      <c r="AR310" s="529"/>
      <c r="AS310" s="529"/>
      <c r="AT310" s="529"/>
      <c r="AU310" s="529"/>
      <c r="AV310" s="57"/>
      <c r="AW310" s="57"/>
    </row>
    <row r="311" spans="1:49" x14ac:dyDescent="0.25">
      <c r="A311" s="57"/>
      <c r="B311" s="527"/>
      <c r="C311" s="527"/>
      <c r="D311" s="527"/>
      <c r="E311" s="7"/>
      <c r="F311" s="7"/>
      <c r="G311" s="528"/>
      <c r="H311" s="528"/>
      <c r="I311" s="528"/>
      <c r="J311" s="528"/>
      <c r="K311" s="528"/>
      <c r="L311" s="528"/>
      <c r="M311" s="528"/>
      <c r="N311" s="528"/>
      <c r="O311" s="528"/>
      <c r="P311" s="528"/>
      <c r="Q311" s="528"/>
      <c r="R311" s="528"/>
      <c r="S311" s="528"/>
      <c r="T311" s="528"/>
      <c r="U311" s="528"/>
      <c r="V311" s="528"/>
      <c r="W311" s="528"/>
      <c r="X311" s="528"/>
      <c r="Y311" s="528"/>
      <c r="Z311" s="528"/>
      <c r="AA311" s="529"/>
      <c r="AB311" s="529"/>
      <c r="AC311" s="529"/>
      <c r="AD311" s="529"/>
      <c r="AE311" s="529"/>
      <c r="AF311" s="529"/>
      <c r="AG311" s="529"/>
      <c r="AH311" s="529"/>
      <c r="AI311" s="529"/>
      <c r="AJ311" s="529"/>
      <c r="AK311" s="529"/>
      <c r="AL311" s="529"/>
      <c r="AM311" s="529"/>
      <c r="AN311" s="529"/>
      <c r="AO311"/>
      <c r="AP311" s="529"/>
      <c r="AQ311" s="529"/>
      <c r="AR311" s="529"/>
      <c r="AS311" s="529"/>
      <c r="AT311" s="529"/>
      <c r="AU311" s="529"/>
      <c r="AV311" s="57"/>
      <c r="AW311" s="57"/>
    </row>
    <row r="312" spans="1:49" x14ac:dyDescent="0.25">
      <c r="A312" s="57"/>
      <c r="B312" s="527"/>
      <c r="C312" s="527"/>
      <c r="D312" s="527"/>
      <c r="E312" s="7"/>
      <c r="F312" s="7"/>
      <c r="G312" s="528"/>
      <c r="H312" s="528"/>
      <c r="I312" s="528"/>
      <c r="J312" s="528"/>
      <c r="K312" s="528"/>
      <c r="L312" s="528"/>
      <c r="M312" s="528"/>
      <c r="N312" s="528"/>
      <c r="O312" s="528"/>
      <c r="P312" s="528"/>
      <c r="Q312" s="528"/>
      <c r="R312" s="528"/>
      <c r="S312" s="528"/>
      <c r="T312" s="528"/>
      <c r="U312" s="528"/>
      <c r="V312" s="528"/>
      <c r="W312" s="528"/>
      <c r="X312" s="528"/>
      <c r="Y312" s="528"/>
      <c r="Z312" s="528"/>
      <c r="AA312" s="529"/>
      <c r="AB312" s="529"/>
      <c r="AC312" s="529"/>
      <c r="AD312" s="529"/>
      <c r="AE312" s="529"/>
      <c r="AF312" s="529"/>
      <c r="AG312" s="529"/>
      <c r="AH312" s="529"/>
      <c r="AI312" s="529"/>
      <c r="AJ312" s="529"/>
      <c r="AK312" s="529"/>
      <c r="AL312" s="529"/>
      <c r="AM312" s="529"/>
      <c r="AN312" s="529"/>
      <c r="AO312"/>
      <c r="AP312" s="529"/>
      <c r="AQ312" s="529"/>
      <c r="AR312" s="529"/>
      <c r="AS312" s="529"/>
      <c r="AT312" s="529"/>
      <c r="AU312" s="529"/>
      <c r="AV312" s="57"/>
      <c r="AW312" s="57"/>
    </row>
    <row r="313" spans="1:49" x14ac:dyDescent="0.25">
      <c r="A313" s="57"/>
      <c r="B313" s="527"/>
      <c r="C313" s="527"/>
      <c r="D313" s="527"/>
      <c r="E313" s="7"/>
      <c r="F313" s="7"/>
      <c r="G313" s="528"/>
      <c r="H313" s="528"/>
      <c r="I313" s="528"/>
      <c r="J313" s="528"/>
      <c r="K313" s="528"/>
      <c r="L313" s="528"/>
      <c r="M313" s="528"/>
      <c r="N313" s="528"/>
      <c r="O313" s="528"/>
      <c r="P313" s="528"/>
      <c r="Q313" s="528"/>
      <c r="R313" s="528"/>
      <c r="S313" s="528"/>
      <c r="T313" s="528"/>
      <c r="U313" s="528"/>
      <c r="V313" s="528"/>
      <c r="W313" s="528"/>
      <c r="X313" s="528"/>
      <c r="Y313" s="528"/>
      <c r="Z313" s="528"/>
      <c r="AA313" s="529"/>
      <c r="AB313" s="529"/>
      <c r="AC313" s="529"/>
      <c r="AD313" s="529"/>
      <c r="AE313" s="529"/>
      <c r="AF313" s="529"/>
      <c r="AG313" s="529"/>
      <c r="AH313" s="528"/>
      <c r="AI313" s="529"/>
      <c r="AJ313" s="529"/>
      <c r="AK313" s="529"/>
      <c r="AL313" s="529"/>
      <c r="AM313" s="529"/>
      <c r="AN313" s="529"/>
      <c r="AO313"/>
      <c r="AP313" s="529"/>
      <c r="AQ313" s="529"/>
      <c r="AR313" s="529"/>
      <c r="AS313" s="529"/>
      <c r="AT313" s="529"/>
      <c r="AU313" s="529"/>
      <c r="AV313" s="529"/>
      <c r="AW313" s="57"/>
    </row>
    <row r="314" spans="1:49" x14ac:dyDescent="0.25">
      <c r="A314" s="57"/>
      <c r="B314" s="527"/>
      <c r="C314" s="527"/>
      <c r="D314" s="527"/>
      <c r="E314" s="7"/>
      <c r="F314" s="7"/>
      <c r="G314" s="528"/>
      <c r="H314" s="528"/>
      <c r="I314" s="528"/>
      <c r="J314" s="528"/>
      <c r="K314" s="528"/>
      <c r="L314" s="528"/>
      <c r="M314" s="528"/>
      <c r="N314" s="528"/>
      <c r="O314" s="528"/>
      <c r="P314" s="528"/>
      <c r="Q314" s="528"/>
      <c r="R314" s="528"/>
      <c r="S314" s="528"/>
      <c r="T314" s="528"/>
      <c r="U314" s="528"/>
      <c r="V314" s="528"/>
      <c r="W314" s="528"/>
      <c r="X314" s="528"/>
      <c r="Y314" s="528"/>
      <c r="Z314" s="528"/>
      <c r="AA314" s="529"/>
      <c r="AB314" s="529"/>
      <c r="AC314" s="529"/>
      <c r="AD314" s="529"/>
      <c r="AE314" s="529"/>
      <c r="AF314" s="529"/>
      <c r="AG314" s="529"/>
      <c r="AH314" s="528"/>
      <c r="AI314" s="529"/>
      <c r="AJ314" s="529"/>
      <c r="AK314" s="529"/>
      <c r="AL314" s="529"/>
      <c r="AM314" s="529"/>
      <c r="AN314" s="529"/>
      <c r="AO314"/>
      <c r="AP314" s="529"/>
      <c r="AQ314" s="529"/>
      <c r="AR314" s="529"/>
      <c r="AS314" s="529"/>
      <c r="AT314" s="529"/>
      <c r="AU314" s="529"/>
      <c r="AV314" s="57"/>
      <c r="AW314" s="57"/>
    </row>
    <row r="315" spans="1:49" x14ac:dyDescent="0.25">
      <c r="A315" s="57"/>
      <c r="B315" s="527"/>
      <c r="C315" s="527"/>
      <c r="D315" s="527"/>
      <c r="E315" s="7"/>
      <c r="F315" s="7"/>
      <c r="G315" s="528"/>
      <c r="H315" s="528"/>
      <c r="I315" s="528"/>
      <c r="J315" s="528"/>
      <c r="K315" s="528"/>
      <c r="L315" s="528"/>
      <c r="M315" s="528"/>
      <c r="N315" s="528"/>
      <c r="O315" s="528"/>
      <c r="P315" s="528"/>
      <c r="Q315" s="528"/>
      <c r="R315" s="528"/>
      <c r="S315" s="528"/>
      <c r="T315" s="528"/>
      <c r="U315" s="528"/>
      <c r="V315" s="528"/>
      <c r="W315" s="528"/>
      <c r="X315" s="528"/>
      <c r="Y315" s="528"/>
      <c r="Z315" s="528"/>
      <c r="AA315" s="529"/>
      <c r="AB315" s="529"/>
      <c r="AC315" s="529"/>
      <c r="AD315" s="529"/>
      <c r="AE315" s="529"/>
      <c r="AF315" s="529"/>
      <c r="AG315" s="529"/>
      <c r="AH315" s="529"/>
      <c r="AI315" s="529"/>
      <c r="AJ315" s="529"/>
      <c r="AK315" s="529"/>
      <c r="AL315" s="529"/>
      <c r="AM315" s="529"/>
      <c r="AN315" s="529"/>
      <c r="AO315"/>
      <c r="AP315" s="529"/>
      <c r="AQ315" s="529"/>
      <c r="AR315" s="529"/>
      <c r="AS315" s="529"/>
      <c r="AT315" s="529"/>
      <c r="AU315" s="529"/>
      <c r="AV315" s="57"/>
      <c r="AW315" s="57"/>
    </row>
    <row r="316" spans="1:49" x14ac:dyDescent="0.25">
      <c r="A316" s="57"/>
      <c r="B316" s="527"/>
      <c r="C316" s="527"/>
      <c r="D316" s="527"/>
      <c r="E316" s="7"/>
      <c r="F316" s="7"/>
      <c r="G316" s="528"/>
      <c r="H316" s="528"/>
      <c r="I316" s="528"/>
      <c r="J316" s="528"/>
      <c r="K316" s="528"/>
      <c r="L316" s="528"/>
      <c r="M316" s="528"/>
      <c r="N316" s="528"/>
      <c r="O316" s="528"/>
      <c r="P316" s="528"/>
      <c r="Q316" s="528"/>
      <c r="R316" s="528"/>
      <c r="S316" s="528"/>
      <c r="T316" s="528"/>
      <c r="U316" s="528"/>
      <c r="V316" s="528"/>
      <c r="W316" s="528"/>
      <c r="X316" s="528"/>
      <c r="Y316" s="528"/>
      <c r="Z316" s="528"/>
      <c r="AA316" s="529"/>
      <c r="AB316" s="529"/>
      <c r="AC316" s="529"/>
      <c r="AD316" s="529"/>
      <c r="AE316" s="529"/>
      <c r="AF316" s="529"/>
      <c r="AG316" s="529"/>
      <c r="AH316" s="529"/>
      <c r="AI316" s="529"/>
      <c r="AJ316" s="529"/>
      <c r="AK316" s="529"/>
      <c r="AL316" s="529"/>
      <c r="AM316" s="529"/>
      <c r="AN316" s="529"/>
      <c r="AO316"/>
      <c r="AP316" s="529"/>
      <c r="AQ316" s="529"/>
      <c r="AR316" s="529"/>
      <c r="AS316" s="529"/>
      <c r="AT316" s="529"/>
      <c r="AU316" s="529"/>
      <c r="AV316" s="57"/>
      <c r="AW316" s="57"/>
    </row>
    <row r="317" spans="1:49" x14ac:dyDescent="0.25">
      <c r="A317" s="57"/>
      <c r="B317" s="527"/>
      <c r="C317" s="527"/>
      <c r="D317" s="527"/>
      <c r="E317" s="7"/>
      <c r="F317" s="7"/>
      <c r="G317" s="528"/>
      <c r="H317" s="528"/>
      <c r="I317" s="528"/>
      <c r="J317" s="528"/>
      <c r="K317" s="528"/>
      <c r="L317" s="528"/>
      <c r="M317" s="528"/>
      <c r="N317" s="528"/>
      <c r="O317" s="528"/>
      <c r="P317" s="528"/>
      <c r="Q317" s="528"/>
      <c r="R317" s="528"/>
      <c r="S317" s="528"/>
      <c r="T317" s="528"/>
      <c r="U317" s="528"/>
      <c r="V317" s="528"/>
      <c r="W317" s="528"/>
      <c r="X317" s="528"/>
      <c r="Y317" s="528"/>
      <c r="Z317" s="528"/>
      <c r="AA317" s="529"/>
      <c r="AB317" s="529"/>
      <c r="AC317" s="529"/>
      <c r="AD317" s="529"/>
      <c r="AE317" s="529"/>
      <c r="AF317" s="529"/>
      <c r="AG317" s="529"/>
      <c r="AH317" s="529"/>
      <c r="AI317" s="529"/>
      <c r="AJ317" s="529"/>
      <c r="AK317" s="529"/>
      <c r="AL317" s="529"/>
      <c r="AM317" s="529"/>
      <c r="AN317" s="529"/>
      <c r="AO317"/>
      <c r="AP317" s="529"/>
      <c r="AQ317" s="529"/>
      <c r="AR317" s="529"/>
      <c r="AS317" s="529"/>
      <c r="AT317" s="529"/>
      <c r="AU317" s="529"/>
      <c r="AV317" s="57"/>
      <c r="AW317" s="57"/>
    </row>
    <row r="318" spans="1:49" x14ac:dyDescent="0.25">
      <c r="A318" s="57"/>
      <c r="B318" s="527"/>
      <c r="C318" s="527"/>
      <c r="D318" s="527"/>
      <c r="E318" s="7"/>
      <c r="F318" s="7"/>
      <c r="G318" s="528"/>
      <c r="H318" s="528"/>
      <c r="I318" s="528"/>
      <c r="J318" s="528"/>
      <c r="K318" s="528"/>
      <c r="L318" s="528"/>
      <c r="M318" s="528"/>
      <c r="N318" s="528"/>
      <c r="O318" s="528"/>
      <c r="P318" s="528"/>
      <c r="Q318" s="528"/>
      <c r="R318" s="528"/>
      <c r="S318" s="528"/>
      <c r="T318" s="528"/>
      <c r="U318" s="528"/>
      <c r="V318" s="528"/>
      <c r="W318" s="528"/>
      <c r="X318" s="528"/>
      <c r="Y318" s="528"/>
      <c r="Z318" s="528"/>
      <c r="AA318" s="529"/>
      <c r="AB318" s="529"/>
      <c r="AC318" s="529"/>
      <c r="AD318" s="529"/>
      <c r="AE318" s="529"/>
      <c r="AF318" s="529"/>
      <c r="AG318" s="529"/>
      <c r="AH318" s="529"/>
      <c r="AI318" s="529"/>
      <c r="AJ318" s="529"/>
      <c r="AK318" s="529"/>
      <c r="AL318" s="529"/>
      <c r="AM318" s="529"/>
      <c r="AN318" s="529"/>
      <c r="AO318"/>
      <c r="AP318" s="529"/>
      <c r="AQ318" s="529"/>
      <c r="AR318" s="529"/>
      <c r="AS318" s="529"/>
      <c r="AT318" s="529"/>
      <c r="AU318" s="529"/>
      <c r="AV318" s="57"/>
      <c r="AW318" s="57"/>
    </row>
    <row r="319" spans="1:49" x14ac:dyDescent="0.25">
      <c r="A319" s="57"/>
      <c r="B319" s="527"/>
      <c r="C319" s="527"/>
      <c r="D319" s="527"/>
      <c r="E319" s="7"/>
      <c r="F319" s="7"/>
      <c r="G319" s="528"/>
      <c r="H319" s="528"/>
      <c r="I319" s="528"/>
      <c r="J319" s="528"/>
      <c r="K319" s="528"/>
      <c r="L319" s="528"/>
      <c r="M319" s="528"/>
      <c r="N319" s="528"/>
      <c r="O319" s="528"/>
      <c r="P319" s="528"/>
      <c r="Q319" s="528"/>
      <c r="R319" s="528"/>
      <c r="S319" s="528"/>
      <c r="T319" s="528"/>
      <c r="U319" s="528"/>
      <c r="V319" s="528"/>
      <c r="W319" s="528"/>
      <c r="X319" s="528"/>
      <c r="Y319" s="528"/>
      <c r="Z319" s="528"/>
      <c r="AA319" s="529"/>
      <c r="AB319" s="529"/>
      <c r="AC319" s="529"/>
      <c r="AD319" s="529"/>
      <c r="AE319" s="529"/>
      <c r="AF319" s="529"/>
      <c r="AG319" s="529"/>
      <c r="AH319" s="529"/>
      <c r="AI319" s="529"/>
      <c r="AJ319" s="529"/>
      <c r="AK319" s="529"/>
      <c r="AL319" s="529"/>
      <c r="AM319" s="529"/>
      <c r="AN319" s="529"/>
      <c r="AO319"/>
      <c r="AP319" s="529"/>
      <c r="AQ319" s="529"/>
      <c r="AR319" s="529"/>
      <c r="AS319" s="529"/>
      <c r="AT319" s="529"/>
      <c r="AU319" s="529"/>
      <c r="AV319" s="57"/>
      <c r="AW319" s="57"/>
    </row>
    <row r="320" spans="1:49" x14ac:dyDescent="0.25">
      <c r="A320" s="57"/>
      <c r="B320" s="527"/>
      <c r="C320" s="527"/>
      <c r="D320" s="527"/>
      <c r="E320" s="7"/>
      <c r="F320" s="7"/>
      <c r="G320" s="528"/>
      <c r="H320" s="528"/>
      <c r="I320" s="528"/>
      <c r="J320" s="528"/>
      <c r="K320" s="528"/>
      <c r="L320" s="528"/>
      <c r="M320" s="528"/>
      <c r="N320" s="528"/>
      <c r="O320" s="528"/>
      <c r="P320" s="528"/>
      <c r="Q320" s="528"/>
      <c r="R320" s="528"/>
      <c r="S320" s="528"/>
      <c r="T320" s="528"/>
      <c r="U320" s="528"/>
      <c r="V320" s="528"/>
      <c r="W320" s="528"/>
      <c r="X320" s="528"/>
      <c r="Y320" s="528"/>
      <c r="Z320" s="528"/>
      <c r="AA320" s="529"/>
      <c r="AB320" s="529"/>
      <c r="AC320" s="529"/>
      <c r="AD320" s="529"/>
      <c r="AE320" s="529"/>
      <c r="AF320" s="529"/>
      <c r="AG320" s="529"/>
      <c r="AH320" s="529"/>
      <c r="AI320" s="529"/>
      <c r="AJ320" s="529"/>
      <c r="AK320" s="529"/>
      <c r="AL320" s="529"/>
      <c r="AM320" s="529"/>
      <c r="AN320" s="529"/>
      <c r="AO320"/>
      <c r="AP320" s="529"/>
      <c r="AQ320" s="529"/>
      <c r="AR320" s="529"/>
      <c r="AS320" s="529"/>
      <c r="AT320" s="529"/>
      <c r="AU320" s="529"/>
      <c r="AV320" s="57"/>
      <c r="AW320" s="57"/>
    </row>
    <row r="321" spans="1:49" x14ac:dyDescent="0.25">
      <c r="A321" s="57"/>
      <c r="B321" s="527"/>
      <c r="C321" s="527"/>
      <c r="D321" s="527"/>
      <c r="E321" s="7"/>
      <c r="F321" s="7"/>
      <c r="G321" s="528"/>
      <c r="H321" s="528"/>
      <c r="I321" s="528"/>
      <c r="J321" s="528"/>
      <c r="K321" s="528"/>
      <c r="L321" s="528"/>
      <c r="M321" s="528"/>
      <c r="N321" s="528"/>
      <c r="O321" s="528"/>
      <c r="P321" s="528"/>
      <c r="Q321" s="528"/>
      <c r="R321" s="528"/>
      <c r="S321" s="528"/>
      <c r="T321" s="528"/>
      <c r="U321" s="528"/>
      <c r="V321" s="528"/>
      <c r="W321" s="528"/>
      <c r="X321" s="528"/>
      <c r="Y321" s="528"/>
      <c r="Z321" s="528"/>
      <c r="AA321" s="529"/>
      <c r="AB321" s="529"/>
      <c r="AC321" s="529"/>
      <c r="AD321" s="529"/>
      <c r="AE321" s="529"/>
      <c r="AF321" s="529"/>
      <c r="AG321" s="529"/>
      <c r="AH321" s="529"/>
      <c r="AI321" s="529"/>
      <c r="AJ321" s="529"/>
      <c r="AK321" s="529"/>
      <c r="AL321" s="529"/>
      <c r="AM321" s="529"/>
      <c r="AN321" s="529"/>
      <c r="AO321"/>
      <c r="AP321" s="529"/>
      <c r="AQ321" s="529"/>
      <c r="AR321" s="529"/>
      <c r="AS321" s="529"/>
      <c r="AT321" s="529"/>
      <c r="AU321" s="529"/>
      <c r="AV321" s="57"/>
      <c r="AW321" s="57"/>
    </row>
    <row r="322" spans="1:49" x14ac:dyDescent="0.25">
      <c r="A322" s="57"/>
      <c r="B322" s="527"/>
      <c r="C322" s="527"/>
      <c r="D322" s="527"/>
      <c r="E322" s="7"/>
      <c r="F322" s="7"/>
      <c r="G322" s="528"/>
      <c r="H322" s="528"/>
      <c r="I322" s="528"/>
      <c r="J322" s="528"/>
      <c r="K322" s="528"/>
      <c r="L322" s="528"/>
      <c r="M322" s="528"/>
      <c r="N322" s="528"/>
      <c r="O322" s="528"/>
      <c r="P322" s="528"/>
      <c r="Q322" s="528"/>
      <c r="R322" s="528"/>
      <c r="S322" s="528"/>
      <c r="T322" s="528"/>
      <c r="U322" s="528"/>
      <c r="V322" s="528"/>
      <c r="W322" s="528"/>
      <c r="X322" s="528"/>
      <c r="Y322" s="528"/>
      <c r="Z322" s="528"/>
      <c r="AA322" s="529"/>
      <c r="AB322" s="529"/>
      <c r="AC322" s="529"/>
      <c r="AD322" s="529"/>
      <c r="AE322" s="529"/>
      <c r="AF322" s="529"/>
      <c r="AG322" s="529"/>
      <c r="AH322" s="529"/>
      <c r="AI322" s="529"/>
      <c r="AJ322" s="529"/>
      <c r="AK322" s="529"/>
      <c r="AL322" s="529"/>
      <c r="AM322" s="529"/>
      <c r="AN322" s="529"/>
      <c r="AO322"/>
      <c r="AP322" s="529"/>
      <c r="AQ322" s="529"/>
      <c r="AR322" s="529"/>
      <c r="AS322" s="529"/>
      <c r="AT322" s="529"/>
      <c r="AU322" s="529"/>
      <c r="AV322" s="57"/>
      <c r="AW322" s="57"/>
    </row>
    <row r="323" spans="1:49" x14ac:dyDescent="0.25">
      <c r="A323" s="57"/>
      <c r="B323" s="527"/>
      <c r="C323" s="527"/>
      <c r="D323" s="527"/>
      <c r="E323" s="7"/>
      <c r="F323" s="7"/>
      <c r="G323" s="528"/>
      <c r="H323" s="528"/>
      <c r="I323" s="528"/>
      <c r="J323" s="528"/>
      <c r="K323" s="528"/>
      <c r="L323" s="528"/>
      <c r="M323" s="528"/>
      <c r="N323" s="528"/>
      <c r="O323" s="528"/>
      <c r="P323" s="528"/>
      <c r="Q323" s="528"/>
      <c r="R323" s="528"/>
      <c r="S323" s="528"/>
      <c r="T323" s="528"/>
      <c r="U323" s="528"/>
      <c r="V323" s="528"/>
      <c r="W323" s="528"/>
      <c r="X323" s="528"/>
      <c r="Y323" s="528"/>
      <c r="Z323" s="528"/>
      <c r="AA323" s="529"/>
      <c r="AB323" s="529"/>
      <c r="AC323" s="529"/>
      <c r="AD323" s="529"/>
      <c r="AE323" s="529"/>
      <c r="AF323" s="529"/>
      <c r="AG323" s="529"/>
      <c r="AH323" s="529"/>
      <c r="AI323" s="529"/>
      <c r="AJ323" s="529"/>
      <c r="AK323" s="529"/>
      <c r="AL323" s="529"/>
      <c r="AM323" s="529"/>
      <c r="AN323" s="529"/>
      <c r="AO323"/>
      <c r="AP323" s="529"/>
      <c r="AQ323" s="529"/>
      <c r="AR323" s="529"/>
      <c r="AS323" s="529"/>
      <c r="AT323" s="529"/>
      <c r="AU323" s="529"/>
      <c r="AV323" s="57"/>
      <c r="AW323" s="57"/>
    </row>
    <row r="324" spans="1:49" x14ac:dyDescent="0.25">
      <c r="A324" s="57"/>
      <c r="B324" s="527"/>
      <c r="C324" s="527"/>
      <c r="D324" s="527"/>
      <c r="E324" s="7"/>
      <c r="F324" s="7"/>
      <c r="G324" s="528"/>
      <c r="H324" s="528"/>
      <c r="I324" s="528"/>
      <c r="J324" s="528"/>
      <c r="K324" s="528"/>
      <c r="L324" s="528"/>
      <c r="M324" s="528"/>
      <c r="N324" s="528"/>
      <c r="O324" s="528"/>
      <c r="P324" s="528"/>
      <c r="Q324" s="528"/>
      <c r="R324" s="528"/>
      <c r="S324" s="528"/>
      <c r="T324" s="528"/>
      <c r="U324" s="528"/>
      <c r="V324" s="528"/>
      <c r="W324" s="528"/>
      <c r="X324" s="528"/>
      <c r="Y324" s="528"/>
      <c r="Z324" s="528"/>
      <c r="AA324" s="529"/>
      <c r="AB324" s="529"/>
      <c r="AC324" s="529"/>
      <c r="AD324" s="529"/>
      <c r="AE324" s="529"/>
      <c r="AF324" s="529"/>
      <c r="AG324" s="529"/>
      <c r="AH324" s="529"/>
      <c r="AI324" s="529"/>
      <c r="AJ324" s="529"/>
      <c r="AK324" s="529"/>
      <c r="AL324" s="529"/>
      <c r="AM324" s="529"/>
      <c r="AN324" s="529"/>
      <c r="AO324"/>
      <c r="AP324" s="529"/>
      <c r="AQ324" s="529"/>
      <c r="AR324" s="529"/>
      <c r="AS324" s="529"/>
      <c r="AT324" s="529"/>
      <c r="AU324" s="529"/>
      <c r="AV324" s="57"/>
      <c r="AW324" s="57"/>
    </row>
    <row r="325" spans="1:49" x14ac:dyDescent="0.25">
      <c r="A325" s="57"/>
      <c r="B325" s="527"/>
      <c r="C325" s="527"/>
      <c r="D325" s="527"/>
      <c r="E325" s="7"/>
      <c r="F325" s="7"/>
      <c r="G325" s="528"/>
      <c r="H325" s="528"/>
      <c r="I325" s="528"/>
      <c r="J325" s="528"/>
      <c r="K325" s="528"/>
      <c r="L325" s="528"/>
      <c r="M325" s="528"/>
      <c r="N325" s="528"/>
      <c r="O325" s="528"/>
      <c r="P325" s="528"/>
      <c r="Q325" s="528"/>
      <c r="R325" s="528"/>
      <c r="S325" s="528"/>
      <c r="T325" s="528"/>
      <c r="U325" s="528"/>
      <c r="V325" s="528"/>
      <c r="W325" s="528"/>
      <c r="X325" s="528"/>
      <c r="Y325" s="528"/>
      <c r="Z325" s="528"/>
      <c r="AA325" s="529"/>
      <c r="AB325" s="529"/>
      <c r="AC325" s="529"/>
      <c r="AD325" s="529"/>
      <c r="AE325" s="529"/>
      <c r="AF325" s="529"/>
      <c r="AG325" s="529"/>
      <c r="AH325" s="529"/>
      <c r="AI325" s="529"/>
      <c r="AJ325" s="529"/>
      <c r="AK325" s="529"/>
      <c r="AL325" s="529"/>
      <c r="AM325" s="529"/>
      <c r="AN325" s="529"/>
      <c r="AO325"/>
      <c r="AP325" s="529"/>
      <c r="AQ325" s="529"/>
      <c r="AR325" s="529"/>
      <c r="AS325" s="529"/>
      <c r="AT325" s="529"/>
      <c r="AU325" s="529"/>
      <c r="AV325" s="57"/>
      <c r="AW325" s="57"/>
    </row>
    <row r="326" spans="1:49" x14ac:dyDescent="0.25">
      <c r="A326" s="57"/>
      <c r="B326" s="527"/>
      <c r="C326" s="527"/>
      <c r="D326" s="527"/>
      <c r="E326" s="7"/>
      <c r="F326" s="7"/>
      <c r="G326" s="528"/>
      <c r="H326" s="528"/>
      <c r="I326" s="528"/>
      <c r="J326" s="528"/>
      <c r="K326" s="528"/>
      <c r="L326" s="528"/>
      <c r="M326" s="528"/>
      <c r="N326" s="528"/>
      <c r="O326" s="528"/>
      <c r="P326" s="528"/>
      <c r="Q326" s="528"/>
      <c r="R326" s="528"/>
      <c r="S326" s="528"/>
      <c r="T326" s="528"/>
      <c r="U326" s="528"/>
      <c r="V326" s="528"/>
      <c r="W326" s="528"/>
      <c r="X326" s="528"/>
      <c r="Y326" s="528"/>
      <c r="Z326" s="528"/>
      <c r="AA326" s="529"/>
      <c r="AB326" s="529"/>
      <c r="AC326" s="529"/>
      <c r="AD326" s="529"/>
      <c r="AE326" s="529"/>
      <c r="AF326" s="529"/>
      <c r="AG326" s="529"/>
      <c r="AH326" s="529"/>
      <c r="AI326" s="529"/>
      <c r="AJ326" s="529"/>
      <c r="AK326" s="529"/>
      <c r="AL326" s="529"/>
      <c r="AM326" s="529"/>
      <c r="AN326" s="529"/>
      <c r="AO326"/>
      <c r="AP326" s="529"/>
      <c r="AQ326" s="529"/>
      <c r="AR326" s="529"/>
      <c r="AS326" s="529"/>
      <c r="AT326" s="529"/>
      <c r="AU326" s="529"/>
      <c r="AV326" s="57"/>
      <c r="AW326" s="57"/>
    </row>
    <row r="327" spans="1:49" x14ac:dyDescent="0.25">
      <c r="A327" s="57"/>
      <c r="B327" s="527"/>
      <c r="C327" s="527"/>
      <c r="D327" s="527"/>
      <c r="E327" s="7"/>
      <c r="F327" s="7"/>
      <c r="G327" s="528"/>
      <c r="H327" s="528"/>
      <c r="I327" s="528"/>
      <c r="J327" s="528"/>
      <c r="K327" s="528"/>
      <c r="L327" s="528"/>
      <c r="M327" s="528"/>
      <c r="N327" s="528"/>
      <c r="O327" s="528"/>
      <c r="P327" s="528"/>
      <c r="Q327" s="528"/>
      <c r="R327" s="528"/>
      <c r="S327" s="528"/>
      <c r="T327" s="528"/>
      <c r="U327" s="528"/>
      <c r="V327" s="528"/>
      <c r="W327" s="528"/>
      <c r="X327" s="528"/>
      <c r="Y327" s="528"/>
      <c r="Z327" s="528"/>
      <c r="AA327" s="529"/>
      <c r="AB327" s="529"/>
      <c r="AC327" s="529"/>
      <c r="AD327" s="529"/>
      <c r="AE327" s="529"/>
      <c r="AF327" s="529"/>
      <c r="AG327" s="529"/>
      <c r="AH327" s="529"/>
      <c r="AI327" s="529"/>
      <c r="AJ327" s="529"/>
      <c r="AK327" s="529"/>
      <c r="AL327" s="529"/>
      <c r="AM327" s="529"/>
      <c r="AN327" s="529"/>
      <c r="AO327"/>
      <c r="AP327" s="529"/>
      <c r="AQ327" s="529"/>
      <c r="AR327" s="529"/>
      <c r="AS327" s="529"/>
      <c r="AT327" s="529"/>
      <c r="AU327" s="529"/>
      <c r="AV327" s="57"/>
      <c r="AW327" s="57"/>
    </row>
    <row r="328" spans="1:49" x14ac:dyDescent="0.25">
      <c r="A328" s="57"/>
      <c r="B328" s="527"/>
      <c r="C328" s="527"/>
      <c r="D328" s="527"/>
      <c r="E328" s="7"/>
      <c r="F328" s="7"/>
      <c r="G328" s="528"/>
      <c r="H328" s="528"/>
      <c r="I328" s="528"/>
      <c r="J328" s="528"/>
      <c r="K328" s="528"/>
      <c r="L328" s="528"/>
      <c r="M328" s="528"/>
      <c r="N328" s="528"/>
      <c r="O328" s="528"/>
      <c r="P328" s="528"/>
      <c r="Q328" s="528"/>
      <c r="R328" s="528"/>
      <c r="S328" s="528"/>
      <c r="T328" s="528"/>
      <c r="U328" s="528"/>
      <c r="V328" s="528"/>
      <c r="W328" s="528"/>
      <c r="X328" s="528"/>
      <c r="Y328" s="528"/>
      <c r="Z328" s="528"/>
      <c r="AA328" s="529"/>
      <c r="AB328" s="529"/>
      <c r="AC328" s="529"/>
      <c r="AD328" s="529"/>
      <c r="AE328" s="529"/>
      <c r="AF328" s="529"/>
      <c r="AG328" s="529"/>
      <c r="AH328" s="529"/>
      <c r="AI328" s="529"/>
      <c r="AJ328" s="529"/>
      <c r="AK328" s="529"/>
      <c r="AL328" s="529"/>
      <c r="AM328" s="529"/>
      <c r="AN328" s="529"/>
      <c r="AO328"/>
      <c r="AP328" s="529"/>
      <c r="AQ328" s="529"/>
      <c r="AR328" s="529"/>
      <c r="AS328" s="529"/>
      <c r="AT328" s="529"/>
      <c r="AU328" s="529"/>
      <c r="AV328" s="57"/>
      <c r="AW328" s="57"/>
    </row>
    <row r="329" spans="1:49" x14ac:dyDescent="0.25">
      <c r="A329" s="57"/>
      <c r="B329" s="527"/>
      <c r="C329" s="527"/>
      <c r="D329" s="527"/>
      <c r="E329" s="7"/>
      <c r="F329" s="7"/>
      <c r="G329" s="528"/>
      <c r="H329" s="528"/>
      <c r="I329" s="528"/>
      <c r="J329" s="528"/>
      <c r="K329" s="528"/>
      <c r="L329" s="528"/>
      <c r="M329" s="528"/>
      <c r="N329" s="528"/>
      <c r="O329" s="528"/>
      <c r="P329" s="528"/>
      <c r="Q329" s="528"/>
      <c r="R329" s="528"/>
      <c r="S329" s="528"/>
      <c r="T329" s="528"/>
      <c r="U329" s="528"/>
      <c r="V329" s="528"/>
      <c r="W329" s="528"/>
      <c r="X329" s="528"/>
      <c r="Y329" s="528"/>
      <c r="Z329" s="528"/>
      <c r="AA329" s="529"/>
      <c r="AB329" s="529"/>
      <c r="AC329" s="529"/>
      <c r="AD329" s="529"/>
      <c r="AE329" s="529"/>
      <c r="AF329" s="529"/>
      <c r="AG329" s="529"/>
      <c r="AH329" s="529"/>
      <c r="AI329" s="529"/>
      <c r="AJ329" s="529"/>
      <c r="AK329" s="529"/>
      <c r="AL329" s="529"/>
      <c r="AM329" s="529"/>
      <c r="AN329" s="529"/>
      <c r="AO329"/>
      <c r="AP329" s="529"/>
      <c r="AQ329" s="529"/>
      <c r="AR329" s="529"/>
      <c r="AS329" s="529"/>
      <c r="AT329" s="529"/>
      <c r="AU329" s="529"/>
      <c r="AV329" s="57"/>
      <c r="AW329" s="57"/>
    </row>
    <row r="330" spans="1:49" x14ac:dyDescent="0.25">
      <c r="A330" s="57"/>
      <c r="B330" s="527"/>
      <c r="C330" s="527"/>
      <c r="D330" s="527"/>
      <c r="E330" s="7"/>
      <c r="F330" s="7"/>
      <c r="G330" s="528"/>
      <c r="H330" s="528"/>
      <c r="I330" s="528"/>
      <c r="J330" s="528"/>
      <c r="K330" s="528"/>
      <c r="L330" s="528"/>
      <c r="M330" s="528"/>
      <c r="N330" s="528"/>
      <c r="O330" s="528"/>
      <c r="P330" s="528"/>
      <c r="Q330" s="528"/>
      <c r="R330" s="528"/>
      <c r="S330" s="528"/>
      <c r="T330" s="528"/>
      <c r="U330" s="528"/>
      <c r="V330" s="528"/>
      <c r="W330" s="528"/>
      <c r="X330" s="528"/>
      <c r="Y330" s="528"/>
      <c r="Z330" s="528"/>
      <c r="AA330" s="529"/>
      <c r="AB330" s="529"/>
      <c r="AC330" s="529"/>
      <c r="AD330" s="529"/>
      <c r="AE330" s="529"/>
      <c r="AF330" s="529"/>
      <c r="AG330" s="529"/>
      <c r="AH330" s="529"/>
      <c r="AI330" s="529"/>
      <c r="AJ330" s="529"/>
      <c r="AK330" s="529"/>
      <c r="AL330" s="529"/>
      <c r="AM330" s="529"/>
      <c r="AN330" s="529"/>
      <c r="AO330"/>
      <c r="AP330" s="529"/>
      <c r="AQ330" s="529"/>
      <c r="AR330" s="529"/>
      <c r="AS330" s="529"/>
      <c r="AT330" s="529"/>
      <c r="AU330" s="529"/>
      <c r="AV330" s="57"/>
      <c r="AW330" s="57"/>
    </row>
    <row r="331" spans="1:49" x14ac:dyDescent="0.25">
      <c r="A331" s="57"/>
      <c r="B331" s="527"/>
      <c r="C331" s="527"/>
      <c r="D331" s="527"/>
      <c r="E331" s="7"/>
      <c r="F331" s="7"/>
      <c r="G331" s="528"/>
      <c r="H331" s="528"/>
      <c r="I331" s="528"/>
      <c r="J331" s="528"/>
      <c r="K331" s="528"/>
      <c r="L331" s="528"/>
      <c r="M331" s="528"/>
      <c r="N331" s="528"/>
      <c r="O331" s="528"/>
      <c r="P331" s="528"/>
      <c r="Q331" s="528"/>
      <c r="R331" s="528"/>
      <c r="S331" s="528"/>
      <c r="T331" s="528"/>
      <c r="U331" s="528"/>
      <c r="V331" s="528"/>
      <c r="W331" s="528"/>
      <c r="X331" s="528"/>
      <c r="Y331" s="528"/>
      <c r="Z331" s="528"/>
      <c r="AA331" s="529"/>
      <c r="AB331" s="529"/>
      <c r="AC331" s="529"/>
      <c r="AD331" s="529"/>
      <c r="AE331" s="529"/>
      <c r="AF331" s="529"/>
      <c r="AG331" s="529"/>
      <c r="AH331" s="529"/>
      <c r="AI331" s="529"/>
      <c r="AJ331" s="529"/>
      <c r="AK331" s="529"/>
      <c r="AL331" s="529"/>
      <c r="AM331" s="529"/>
      <c r="AN331" s="529"/>
      <c r="AO331"/>
      <c r="AP331" s="529"/>
      <c r="AQ331" s="529"/>
      <c r="AR331" s="529"/>
      <c r="AS331" s="529"/>
      <c r="AT331" s="529"/>
      <c r="AU331" s="529"/>
      <c r="AV331" s="57"/>
      <c r="AW331" s="57"/>
    </row>
    <row r="332" spans="1:49" x14ac:dyDescent="0.25">
      <c r="A332" s="57"/>
      <c r="B332" s="527"/>
      <c r="C332" s="527"/>
      <c r="D332" s="527"/>
      <c r="E332" s="7"/>
      <c r="F332" s="7"/>
      <c r="G332" s="528"/>
      <c r="H332" s="528"/>
      <c r="I332" s="528"/>
      <c r="J332" s="528"/>
      <c r="K332" s="528"/>
      <c r="L332" s="528"/>
      <c r="M332" s="528"/>
      <c r="N332" s="528"/>
      <c r="O332" s="528"/>
      <c r="P332" s="528"/>
      <c r="Q332" s="528"/>
      <c r="R332" s="528"/>
      <c r="S332" s="528"/>
      <c r="T332" s="528"/>
      <c r="U332" s="528"/>
      <c r="V332" s="528"/>
      <c r="W332" s="528"/>
      <c r="X332" s="528"/>
      <c r="Y332" s="528"/>
      <c r="Z332" s="528"/>
      <c r="AA332" s="529"/>
      <c r="AB332" s="529"/>
      <c r="AC332" s="529"/>
      <c r="AD332" s="529"/>
      <c r="AE332" s="529"/>
      <c r="AF332" s="529"/>
      <c r="AG332" s="529"/>
      <c r="AH332" s="529"/>
      <c r="AI332" s="529"/>
      <c r="AJ332" s="529"/>
      <c r="AK332" s="529"/>
      <c r="AL332" s="529"/>
      <c r="AM332" s="529"/>
      <c r="AN332" s="529"/>
      <c r="AO332"/>
      <c r="AP332" s="529"/>
      <c r="AQ332" s="529"/>
      <c r="AR332" s="529"/>
      <c r="AS332" s="529"/>
      <c r="AT332" s="529"/>
      <c r="AU332" s="529"/>
      <c r="AV332" s="57"/>
      <c r="AW332" s="57"/>
    </row>
    <row r="333" spans="1:49" x14ac:dyDescent="0.25">
      <c r="A333" s="57"/>
      <c r="B333" s="527"/>
      <c r="C333" s="527"/>
      <c r="D333" s="527"/>
      <c r="E333" s="7"/>
      <c r="F333" s="7"/>
      <c r="G333" s="528"/>
      <c r="H333" s="528"/>
      <c r="I333" s="528"/>
      <c r="J333" s="528"/>
      <c r="K333" s="528"/>
      <c r="L333" s="528"/>
      <c r="M333" s="528"/>
      <c r="N333" s="528"/>
      <c r="O333" s="528"/>
      <c r="P333" s="528"/>
      <c r="Q333" s="528"/>
      <c r="R333" s="528"/>
      <c r="S333" s="528"/>
      <c r="T333" s="528"/>
      <c r="U333" s="528"/>
      <c r="V333" s="528"/>
      <c r="W333" s="528"/>
      <c r="X333" s="528"/>
      <c r="Y333" s="528"/>
      <c r="Z333" s="528"/>
      <c r="AA333" s="529"/>
      <c r="AB333" s="529"/>
      <c r="AC333" s="529"/>
      <c r="AD333" s="529"/>
      <c r="AE333" s="529"/>
      <c r="AF333" s="529"/>
      <c r="AG333" s="529"/>
      <c r="AH333" s="529"/>
      <c r="AI333" s="529"/>
      <c r="AJ333" s="529"/>
      <c r="AK333" s="529"/>
      <c r="AL333" s="529"/>
      <c r="AM333" s="529"/>
      <c r="AN333" s="529"/>
      <c r="AO333"/>
      <c r="AP333" s="529"/>
      <c r="AQ333" s="529"/>
      <c r="AR333" s="529"/>
      <c r="AS333" s="529"/>
      <c r="AT333" s="529"/>
      <c r="AU333" s="529"/>
      <c r="AV333" s="57"/>
      <c r="AW333" s="57"/>
    </row>
    <row r="334" spans="1:49" x14ac:dyDescent="0.25">
      <c r="A334" s="57"/>
      <c r="B334" s="527"/>
      <c r="C334" s="527"/>
      <c r="D334" s="527"/>
      <c r="E334" s="7"/>
      <c r="F334" s="7"/>
      <c r="G334" s="528"/>
      <c r="H334" s="528"/>
      <c r="I334" s="528"/>
      <c r="J334" s="528"/>
      <c r="K334" s="528"/>
      <c r="L334" s="528"/>
      <c r="M334" s="528"/>
      <c r="N334" s="528"/>
      <c r="O334" s="528"/>
      <c r="P334" s="528"/>
      <c r="Q334" s="528"/>
      <c r="R334" s="528"/>
      <c r="S334" s="528"/>
      <c r="T334" s="528"/>
      <c r="U334" s="528"/>
      <c r="V334" s="528"/>
      <c r="W334" s="528"/>
      <c r="X334" s="528"/>
      <c r="Y334" s="528"/>
      <c r="Z334" s="528"/>
      <c r="AA334" s="529"/>
      <c r="AB334" s="529"/>
      <c r="AC334" s="529"/>
      <c r="AD334" s="529"/>
      <c r="AE334" s="529"/>
      <c r="AF334" s="529"/>
      <c r="AG334" s="529"/>
      <c r="AH334" s="529"/>
      <c r="AI334" s="529"/>
      <c r="AJ334" s="529"/>
      <c r="AK334" s="529"/>
      <c r="AL334" s="529"/>
      <c r="AM334" s="529"/>
      <c r="AN334" s="529"/>
      <c r="AO334"/>
      <c r="AP334" s="529"/>
      <c r="AQ334" s="529"/>
      <c r="AR334" s="529"/>
      <c r="AS334" s="529"/>
      <c r="AT334" s="529"/>
      <c r="AU334" s="529"/>
      <c r="AV334" s="57"/>
      <c r="AW334" s="57"/>
    </row>
    <row r="335" spans="1:49" x14ac:dyDescent="0.25">
      <c r="A335" s="57"/>
      <c r="B335" s="527"/>
      <c r="C335" s="527"/>
      <c r="D335" s="527"/>
      <c r="E335" s="7"/>
      <c r="F335" s="7"/>
      <c r="G335" s="528"/>
      <c r="H335" s="528"/>
      <c r="I335" s="528"/>
      <c r="J335" s="528"/>
      <c r="K335" s="528"/>
      <c r="L335" s="528"/>
      <c r="M335" s="528"/>
      <c r="N335" s="528"/>
      <c r="O335" s="528"/>
      <c r="P335" s="528"/>
      <c r="Q335" s="528"/>
      <c r="R335" s="528"/>
      <c r="S335" s="528"/>
      <c r="T335" s="528"/>
      <c r="U335" s="528"/>
      <c r="V335" s="528"/>
      <c r="W335" s="528"/>
      <c r="X335" s="528"/>
      <c r="Y335" s="528"/>
      <c r="Z335" s="528"/>
      <c r="AA335" s="529"/>
      <c r="AB335" s="529"/>
      <c r="AC335" s="529"/>
      <c r="AD335" s="529"/>
      <c r="AE335" s="529"/>
      <c r="AF335" s="529"/>
      <c r="AG335" s="529"/>
      <c r="AH335" s="529"/>
      <c r="AI335" s="529"/>
      <c r="AJ335" s="529"/>
      <c r="AK335" s="529"/>
      <c r="AL335" s="529"/>
      <c r="AM335" s="529"/>
      <c r="AN335" s="529"/>
      <c r="AO335"/>
      <c r="AP335" s="529"/>
      <c r="AQ335" s="529"/>
      <c r="AR335" s="529"/>
      <c r="AS335" s="529"/>
      <c r="AT335" s="529"/>
      <c r="AU335" s="529"/>
      <c r="AV335" s="57"/>
      <c r="AW335" s="57"/>
    </row>
    <row r="336" spans="1:49" x14ac:dyDescent="0.25">
      <c r="A336" s="57"/>
      <c r="B336" s="527"/>
      <c r="C336" s="527"/>
      <c r="D336" s="527"/>
      <c r="E336" s="7"/>
      <c r="F336" s="7"/>
      <c r="G336" s="528"/>
      <c r="H336" s="528"/>
      <c r="I336" s="528"/>
      <c r="J336" s="528"/>
      <c r="K336" s="528"/>
      <c r="L336" s="528"/>
      <c r="M336" s="528"/>
      <c r="N336" s="528"/>
      <c r="O336" s="528"/>
      <c r="P336" s="528"/>
      <c r="Q336" s="528"/>
      <c r="R336" s="528"/>
      <c r="S336" s="528"/>
      <c r="T336" s="528"/>
      <c r="U336" s="528"/>
      <c r="V336" s="528"/>
      <c r="W336" s="528"/>
      <c r="X336" s="528"/>
      <c r="Y336" s="528"/>
      <c r="Z336" s="528"/>
      <c r="AA336" s="529"/>
      <c r="AB336" s="529"/>
      <c r="AC336" s="529"/>
      <c r="AD336" s="529"/>
      <c r="AE336" s="529"/>
      <c r="AF336" s="529"/>
      <c r="AG336" s="529"/>
      <c r="AH336" s="529"/>
      <c r="AI336" s="529"/>
      <c r="AJ336" s="529"/>
      <c r="AK336" s="529"/>
      <c r="AL336" s="529"/>
      <c r="AM336" s="529"/>
      <c r="AN336" s="529"/>
      <c r="AO336"/>
      <c r="AP336" s="529"/>
      <c r="AQ336" s="529"/>
      <c r="AR336" s="529"/>
      <c r="AS336" s="529"/>
      <c r="AT336" s="529"/>
      <c r="AU336" s="529"/>
      <c r="AV336" s="57"/>
      <c r="AW336" s="57"/>
    </row>
    <row r="337" spans="1:49" x14ac:dyDescent="0.25">
      <c r="A337" s="57"/>
      <c r="B337" s="527"/>
      <c r="C337" s="527"/>
      <c r="D337" s="527"/>
      <c r="E337" s="7"/>
      <c r="F337" s="7"/>
      <c r="G337" s="528"/>
      <c r="H337" s="528"/>
      <c r="I337" s="528"/>
      <c r="J337" s="528"/>
      <c r="K337" s="528"/>
      <c r="L337" s="528"/>
      <c r="M337" s="528"/>
      <c r="N337" s="528"/>
      <c r="O337" s="528"/>
      <c r="P337" s="528"/>
      <c r="Q337" s="528"/>
      <c r="R337" s="528"/>
      <c r="S337" s="528"/>
      <c r="T337" s="528"/>
      <c r="U337" s="528"/>
      <c r="V337" s="528"/>
      <c r="W337" s="528"/>
      <c r="X337" s="528"/>
      <c r="Y337" s="528"/>
      <c r="Z337" s="528"/>
      <c r="AA337" s="529"/>
      <c r="AB337" s="529"/>
      <c r="AC337" s="529"/>
      <c r="AD337" s="529"/>
      <c r="AE337" s="529"/>
      <c r="AF337" s="529"/>
      <c r="AG337" s="529"/>
      <c r="AH337" s="529"/>
      <c r="AI337" s="529"/>
      <c r="AJ337" s="529"/>
      <c r="AK337" s="529"/>
      <c r="AL337" s="529"/>
      <c r="AM337" s="529"/>
      <c r="AN337" s="529"/>
      <c r="AO337"/>
      <c r="AP337" s="529"/>
      <c r="AQ337" s="529"/>
      <c r="AR337" s="529"/>
      <c r="AS337" s="529"/>
      <c r="AT337" s="529"/>
      <c r="AU337" s="529"/>
      <c r="AV337" s="57"/>
      <c r="AW337" s="57"/>
    </row>
    <row r="338" spans="1:49" x14ac:dyDescent="0.25">
      <c r="A338" s="57"/>
      <c r="B338" s="527"/>
      <c r="C338" s="527"/>
      <c r="D338" s="527"/>
      <c r="E338" s="7"/>
      <c r="F338" s="7"/>
      <c r="G338" s="528"/>
      <c r="H338" s="528"/>
      <c r="I338" s="528"/>
      <c r="J338" s="528"/>
      <c r="K338" s="528"/>
      <c r="L338" s="528"/>
      <c r="M338" s="528"/>
      <c r="N338" s="528"/>
      <c r="O338" s="528"/>
      <c r="P338" s="528"/>
      <c r="Q338" s="528"/>
      <c r="R338" s="528"/>
      <c r="S338" s="528"/>
      <c r="T338" s="528"/>
      <c r="U338" s="528"/>
      <c r="V338" s="528"/>
      <c r="W338" s="528"/>
      <c r="X338" s="528"/>
      <c r="Y338" s="528"/>
      <c r="Z338" s="528"/>
      <c r="AA338" s="529"/>
      <c r="AB338" s="529"/>
      <c r="AC338" s="529"/>
      <c r="AD338" s="529"/>
      <c r="AE338" s="529"/>
      <c r="AF338" s="529"/>
      <c r="AG338" s="529"/>
      <c r="AH338" s="529"/>
      <c r="AI338" s="529"/>
      <c r="AJ338" s="529"/>
      <c r="AK338" s="529"/>
      <c r="AL338" s="529"/>
      <c r="AM338" s="529"/>
      <c r="AN338" s="529"/>
      <c r="AO338"/>
      <c r="AP338" s="529"/>
      <c r="AQ338" s="529"/>
      <c r="AR338" s="529"/>
      <c r="AS338" s="529"/>
      <c r="AT338" s="529"/>
      <c r="AU338" s="529"/>
      <c r="AV338" s="57"/>
      <c r="AW338" s="57"/>
    </row>
    <row r="339" spans="1:49" x14ac:dyDescent="0.25">
      <c r="A339" s="57"/>
      <c r="B339" s="527"/>
      <c r="C339" s="527"/>
      <c r="D339" s="527"/>
      <c r="E339" s="7"/>
      <c r="F339" s="7"/>
      <c r="G339" s="528"/>
      <c r="H339" s="528"/>
      <c r="I339" s="528"/>
      <c r="J339" s="528"/>
      <c r="K339" s="528"/>
      <c r="L339" s="528"/>
      <c r="M339" s="528"/>
      <c r="N339" s="528"/>
      <c r="O339" s="528"/>
      <c r="P339" s="528"/>
      <c r="Q339" s="528"/>
      <c r="R339" s="528"/>
      <c r="S339" s="528"/>
      <c r="T339" s="528"/>
      <c r="U339" s="528"/>
      <c r="V339" s="528"/>
      <c r="W339" s="528"/>
      <c r="X339" s="528"/>
      <c r="Y339" s="528"/>
      <c r="Z339" s="528"/>
      <c r="AA339" s="529"/>
      <c r="AB339" s="529"/>
      <c r="AC339" s="529"/>
      <c r="AD339" s="529"/>
      <c r="AE339" s="529"/>
      <c r="AF339" s="529"/>
      <c r="AG339" s="529"/>
      <c r="AH339" s="529"/>
      <c r="AI339" s="529"/>
      <c r="AJ339" s="529"/>
      <c r="AK339" s="529"/>
      <c r="AL339" s="529"/>
      <c r="AM339" s="529"/>
      <c r="AN339" s="529"/>
      <c r="AO339"/>
      <c r="AP339" s="529"/>
      <c r="AQ339" s="529"/>
      <c r="AR339" s="529"/>
      <c r="AS339" s="529"/>
      <c r="AT339" s="529"/>
      <c r="AU339" s="529"/>
      <c r="AV339" s="57"/>
      <c r="AW339" s="57"/>
    </row>
    <row r="340" spans="1:49" x14ac:dyDescent="0.25">
      <c r="A340" s="57"/>
      <c r="B340" s="527"/>
      <c r="C340" s="527"/>
      <c r="D340" s="527"/>
      <c r="E340" s="7"/>
      <c r="F340" s="7"/>
      <c r="G340" s="528"/>
      <c r="H340" s="528"/>
      <c r="I340" s="528"/>
      <c r="J340" s="528"/>
      <c r="K340" s="528"/>
      <c r="L340" s="528"/>
      <c r="M340" s="528"/>
      <c r="N340" s="528"/>
      <c r="O340" s="528"/>
      <c r="P340" s="528"/>
      <c r="Q340" s="528"/>
      <c r="R340" s="528"/>
      <c r="S340" s="528"/>
      <c r="T340" s="528"/>
      <c r="U340" s="528"/>
      <c r="V340" s="528"/>
      <c r="W340" s="528"/>
      <c r="X340" s="528"/>
      <c r="Y340" s="528"/>
      <c r="Z340" s="528"/>
      <c r="AA340" s="529"/>
      <c r="AB340" s="529"/>
      <c r="AC340" s="529"/>
      <c r="AD340" s="529"/>
      <c r="AE340" s="529"/>
      <c r="AF340" s="529"/>
      <c r="AG340" s="529"/>
      <c r="AH340" s="529"/>
      <c r="AI340" s="529"/>
      <c r="AJ340" s="529"/>
      <c r="AK340" s="529"/>
      <c r="AL340" s="529"/>
      <c r="AM340" s="529"/>
      <c r="AN340" s="529"/>
      <c r="AO340"/>
      <c r="AP340" s="529"/>
      <c r="AQ340" s="529"/>
      <c r="AR340" s="529"/>
      <c r="AS340" s="529"/>
      <c r="AT340" s="529"/>
      <c r="AU340" s="529"/>
      <c r="AV340" s="57"/>
      <c r="AW340" s="57"/>
    </row>
    <row r="341" spans="1:49" x14ac:dyDescent="0.25">
      <c r="A341" s="57"/>
      <c r="B341" s="527"/>
      <c r="C341" s="527"/>
      <c r="D341" s="527"/>
      <c r="E341" s="7"/>
      <c r="F341" s="7"/>
      <c r="G341" s="528"/>
      <c r="H341" s="528"/>
      <c r="I341" s="528"/>
      <c r="J341" s="528"/>
      <c r="K341" s="528"/>
      <c r="L341" s="528"/>
      <c r="M341" s="528"/>
      <c r="N341" s="528"/>
      <c r="O341" s="528"/>
      <c r="P341" s="528"/>
      <c r="Q341" s="528"/>
      <c r="R341" s="528"/>
      <c r="S341" s="528"/>
      <c r="T341" s="528"/>
      <c r="U341" s="528"/>
      <c r="V341" s="528"/>
      <c r="W341" s="528"/>
      <c r="X341" s="528"/>
      <c r="Y341" s="528"/>
      <c r="Z341" s="528"/>
      <c r="AA341" s="529"/>
      <c r="AB341" s="529"/>
      <c r="AC341" s="529"/>
      <c r="AD341" s="529"/>
      <c r="AE341" s="529"/>
      <c r="AF341" s="529"/>
      <c r="AG341" s="529"/>
      <c r="AH341" s="529"/>
      <c r="AI341" s="529"/>
      <c r="AJ341" s="529"/>
      <c r="AK341" s="529"/>
      <c r="AL341" s="529"/>
      <c r="AM341" s="529"/>
      <c r="AN341" s="529"/>
      <c r="AO341"/>
      <c r="AP341" s="529"/>
      <c r="AQ341" s="529"/>
      <c r="AR341" s="529"/>
      <c r="AS341" s="529"/>
      <c r="AT341" s="529"/>
      <c r="AU341" s="529"/>
      <c r="AV341" s="57"/>
      <c r="AW341" s="57"/>
    </row>
    <row r="342" spans="1:49" x14ac:dyDescent="0.25">
      <c r="A342" s="57"/>
      <c r="B342" s="527"/>
      <c r="C342" s="527"/>
      <c r="D342" s="527"/>
      <c r="E342" s="7"/>
      <c r="F342" s="7"/>
      <c r="G342" s="528"/>
      <c r="H342" s="528"/>
      <c r="I342" s="528"/>
      <c r="J342" s="528"/>
      <c r="K342" s="528"/>
      <c r="L342" s="528"/>
      <c r="M342" s="528"/>
      <c r="N342" s="528"/>
      <c r="O342" s="528"/>
      <c r="P342" s="528"/>
      <c r="Q342" s="528"/>
      <c r="R342" s="528"/>
      <c r="S342" s="528"/>
      <c r="T342" s="528"/>
      <c r="U342" s="528"/>
      <c r="V342" s="528"/>
      <c r="W342" s="528"/>
      <c r="X342" s="528"/>
      <c r="Y342" s="528"/>
      <c r="Z342" s="528"/>
      <c r="AA342" s="529"/>
      <c r="AB342" s="529"/>
      <c r="AC342" s="529"/>
      <c r="AD342" s="529"/>
      <c r="AE342" s="529"/>
      <c r="AF342" s="529"/>
      <c r="AG342" s="529"/>
      <c r="AH342" s="528"/>
      <c r="AI342" s="529"/>
      <c r="AJ342" s="529"/>
      <c r="AK342" s="529"/>
      <c r="AL342" s="529"/>
      <c r="AM342" s="529"/>
      <c r="AN342" s="529"/>
      <c r="AO342"/>
      <c r="AP342" s="529"/>
      <c r="AQ342" s="529"/>
      <c r="AR342" s="529"/>
      <c r="AS342" s="529"/>
      <c r="AT342" s="529"/>
      <c r="AU342" s="529"/>
      <c r="AV342" s="529"/>
      <c r="AW342" s="57"/>
    </row>
    <row r="343" spans="1:49" x14ac:dyDescent="0.25">
      <c r="A343" s="57"/>
      <c r="B343" s="527"/>
      <c r="C343" s="527"/>
      <c r="D343" s="527"/>
      <c r="E343" s="7"/>
      <c r="F343" s="7"/>
      <c r="G343" s="528"/>
      <c r="H343" s="528"/>
      <c r="I343" s="528"/>
      <c r="J343" s="528"/>
      <c r="K343" s="528"/>
      <c r="L343" s="528"/>
      <c r="M343" s="528"/>
      <c r="N343" s="528"/>
      <c r="O343" s="528"/>
      <c r="P343" s="528"/>
      <c r="Q343" s="528"/>
      <c r="R343" s="528"/>
      <c r="S343" s="528"/>
      <c r="T343" s="528"/>
      <c r="U343" s="528"/>
      <c r="V343" s="528"/>
      <c r="W343" s="528"/>
      <c r="X343" s="528"/>
      <c r="Y343" s="528"/>
      <c r="Z343" s="528"/>
      <c r="AA343" s="529"/>
      <c r="AB343" s="529"/>
      <c r="AC343" s="529"/>
      <c r="AD343" s="529"/>
      <c r="AE343" s="529"/>
      <c r="AF343" s="529"/>
      <c r="AG343" s="529"/>
      <c r="AH343" s="528"/>
      <c r="AI343" s="529"/>
      <c r="AJ343" s="529"/>
      <c r="AK343" s="529"/>
      <c r="AL343" s="529"/>
      <c r="AM343" s="529"/>
      <c r="AN343" s="529"/>
      <c r="AO343"/>
      <c r="AP343" s="529"/>
      <c r="AQ343" s="529"/>
      <c r="AR343" s="529"/>
      <c r="AS343" s="529"/>
      <c r="AT343" s="529"/>
      <c r="AU343" s="529"/>
      <c r="AV343" s="57"/>
      <c r="AW343" s="57"/>
    </row>
    <row r="344" spans="1:49" x14ac:dyDescent="0.25">
      <c r="A344" s="57"/>
      <c r="B344" s="527"/>
      <c r="C344" s="527"/>
      <c r="D344" s="527"/>
      <c r="E344" s="7"/>
      <c r="F344" s="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/>
      <c r="AN344" s="57"/>
      <c r="AO344"/>
      <c r="AP344" s="57"/>
      <c r="AQ344" s="57"/>
      <c r="AR344" s="57"/>
      <c r="AS344" s="57"/>
      <c r="AT344" s="57"/>
      <c r="AU344" s="57"/>
      <c r="AV344" s="57"/>
      <c r="AW344" s="57"/>
    </row>
    <row r="345" spans="1:49" x14ac:dyDescent="0.25">
      <c r="A345" s="57"/>
      <c r="B345" s="527"/>
      <c r="C345" s="527"/>
      <c r="D345" s="527"/>
      <c r="E345" s="7"/>
      <c r="F345" s="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57"/>
      <c r="AO345"/>
      <c r="AP345" s="57"/>
      <c r="AQ345" s="57"/>
      <c r="AR345" s="57"/>
      <c r="AS345" s="57"/>
      <c r="AT345" s="57"/>
      <c r="AU345" s="57"/>
      <c r="AV345" s="57"/>
      <c r="AW345" s="57"/>
    </row>
    <row r="346" spans="1:49" x14ac:dyDescent="0.25">
      <c r="A346" s="57"/>
      <c r="B346" s="527"/>
      <c r="C346" s="527"/>
      <c r="D346" s="527"/>
      <c r="E346" s="7"/>
      <c r="F346" s="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/>
      <c r="AN346" s="57"/>
      <c r="AO346"/>
      <c r="AP346" s="57"/>
      <c r="AQ346" s="57"/>
      <c r="AR346" s="57"/>
      <c r="AS346" s="57"/>
      <c r="AT346" s="57"/>
      <c r="AU346" s="57"/>
      <c r="AV346" s="57"/>
      <c r="AW346" s="57"/>
    </row>
    <row r="347" spans="1:49" x14ac:dyDescent="0.25">
      <c r="A347" s="57"/>
      <c r="B347" s="527"/>
      <c r="C347" s="527"/>
      <c r="D347" s="527"/>
      <c r="E347" s="7"/>
      <c r="F347" s="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57"/>
      <c r="AO347"/>
      <c r="AP347" s="57"/>
      <c r="AQ347" s="57"/>
      <c r="AR347" s="57"/>
      <c r="AS347" s="57"/>
      <c r="AT347" s="57"/>
      <c r="AU347" s="57"/>
      <c r="AV347" s="57"/>
      <c r="AW347" s="57"/>
    </row>
    <row r="348" spans="1:49" x14ac:dyDescent="0.25">
      <c r="A348" s="57"/>
      <c r="B348" s="527"/>
      <c r="C348" s="527"/>
      <c r="D348" s="527"/>
      <c r="E348" s="7"/>
      <c r="F348" s="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/>
      <c r="AN348" s="57"/>
      <c r="AO348"/>
      <c r="AP348" s="57"/>
      <c r="AQ348" s="57"/>
      <c r="AR348" s="57"/>
      <c r="AS348" s="57"/>
      <c r="AT348" s="57"/>
      <c r="AU348" s="57"/>
      <c r="AV348" s="57"/>
      <c r="AW348" s="57"/>
    </row>
    <row r="349" spans="1:49" x14ac:dyDescent="0.25">
      <c r="A349" s="57"/>
      <c r="B349" s="527"/>
      <c r="C349" s="527"/>
      <c r="D349" s="527"/>
      <c r="E349" s="7"/>
      <c r="F349" s="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57"/>
      <c r="AO349"/>
      <c r="AP349" s="57"/>
      <c r="AQ349" s="57"/>
      <c r="AR349" s="57"/>
      <c r="AS349" s="57"/>
      <c r="AT349" s="57"/>
      <c r="AU349" s="57"/>
      <c r="AV349" s="57"/>
      <c r="AW349" s="57"/>
    </row>
    <row r="350" spans="1:49" x14ac:dyDescent="0.25">
      <c r="A350" s="57"/>
      <c r="B350" s="527"/>
      <c r="C350" s="527"/>
      <c r="D350" s="527"/>
      <c r="E350" s="7"/>
      <c r="F350" s="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  <c r="AH350" s="57"/>
      <c r="AI350" s="57"/>
      <c r="AJ350" s="57"/>
      <c r="AK350" s="57"/>
      <c r="AL350" s="57"/>
      <c r="AM350" s="57"/>
      <c r="AN350" s="57"/>
      <c r="AO350"/>
      <c r="AP350" s="57"/>
      <c r="AQ350" s="57"/>
      <c r="AR350" s="57"/>
      <c r="AS350" s="57"/>
      <c r="AT350" s="57"/>
      <c r="AU350" s="57"/>
      <c r="AV350" s="57"/>
      <c r="AW350" s="57"/>
    </row>
    <row r="351" spans="1:49" x14ac:dyDescent="0.25">
      <c r="A351" s="57"/>
      <c r="B351" s="527"/>
      <c r="C351" s="527"/>
      <c r="D351" s="527"/>
      <c r="E351" s="7"/>
      <c r="F351" s="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57"/>
      <c r="AO351"/>
      <c r="AP351" s="57"/>
      <c r="AQ351" s="57"/>
      <c r="AR351" s="57"/>
      <c r="AS351" s="57"/>
      <c r="AT351" s="57"/>
      <c r="AU351" s="57"/>
      <c r="AV351" s="57"/>
      <c r="AW351" s="57"/>
    </row>
    <row r="352" spans="1:49" x14ac:dyDescent="0.25">
      <c r="A352" s="57"/>
      <c r="B352" s="527"/>
      <c r="C352" s="527"/>
      <c r="D352" s="527"/>
      <c r="E352" s="7"/>
      <c r="F352" s="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57"/>
      <c r="AO352"/>
      <c r="AP352" s="57"/>
      <c r="AQ352" s="57"/>
      <c r="AR352" s="57"/>
      <c r="AS352" s="57"/>
      <c r="AT352" s="57"/>
      <c r="AU352" s="57"/>
      <c r="AV352" s="57"/>
      <c r="AW352" s="57"/>
    </row>
    <row r="353" spans="1:49" x14ac:dyDescent="0.25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  <c r="AH353" s="57"/>
      <c r="AI353" s="57"/>
      <c r="AJ353" s="57"/>
      <c r="AK353" s="57"/>
      <c r="AL353" s="57"/>
      <c r="AM353" s="57"/>
      <c r="AN353" s="57"/>
      <c r="AO353"/>
      <c r="AP353" s="57"/>
      <c r="AQ353" s="57"/>
      <c r="AR353" s="57"/>
      <c r="AS353" s="57"/>
      <c r="AT353" s="57"/>
      <c r="AU353" s="57"/>
      <c r="AV353" s="57"/>
      <c r="AW353" s="57"/>
    </row>
    <row r="354" spans="1:49" x14ac:dyDescent="0.25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57"/>
      <c r="AO354"/>
      <c r="AP354" s="57"/>
      <c r="AQ354" s="57"/>
      <c r="AR354" s="57"/>
      <c r="AS354" s="57"/>
      <c r="AT354" s="57"/>
      <c r="AU354" s="530"/>
      <c r="AV354" s="57"/>
      <c r="AW354" s="57"/>
    </row>
    <row r="355" spans="1:49" x14ac:dyDescent="0.2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  <c r="AH355" s="57"/>
      <c r="AI355" s="57"/>
      <c r="AJ355" s="57"/>
      <c r="AK355" s="57"/>
      <c r="AL355" s="57"/>
      <c r="AM355" s="57"/>
      <c r="AN355" s="57"/>
      <c r="AO355"/>
      <c r="AP355" s="57"/>
      <c r="AQ355" s="57"/>
      <c r="AR355" s="57"/>
      <c r="AS355" s="57"/>
      <c r="AT355" s="57"/>
      <c r="AU355" s="57"/>
      <c r="AV355" s="57"/>
      <c r="AW355" s="57"/>
    </row>
    <row r="356" spans="1:49" x14ac:dyDescent="0.25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31"/>
      <c r="L356" s="531"/>
      <c r="M356" s="531"/>
      <c r="N356" s="531"/>
      <c r="O356" s="531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  <c r="AH356" s="57"/>
      <c r="AI356" s="57"/>
      <c r="AJ356" s="57"/>
      <c r="AK356" s="57"/>
      <c r="AL356" s="57"/>
      <c r="AM356" s="57"/>
      <c r="AN356" s="57"/>
      <c r="AO356"/>
      <c r="AP356" s="57"/>
      <c r="AQ356" s="57"/>
      <c r="AR356" s="57"/>
      <c r="AS356" s="57"/>
      <c r="AT356" s="57"/>
      <c r="AU356" s="57"/>
      <c r="AV356" s="57"/>
      <c r="AW356" s="57"/>
    </row>
    <row r="357" spans="1:49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31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  <c r="AH357" s="57"/>
      <c r="AI357" s="57"/>
      <c r="AJ357" s="57"/>
      <c r="AK357" s="57"/>
      <c r="AL357" s="57"/>
      <c r="AM357" s="57"/>
      <c r="AN357" s="57"/>
      <c r="AO357"/>
      <c r="AP357" s="57"/>
      <c r="AQ357" s="57"/>
      <c r="AR357" s="57"/>
      <c r="AS357" s="57"/>
      <c r="AT357" s="57"/>
      <c r="AU357" s="57"/>
      <c r="AV357" s="57"/>
      <c r="AW357" s="57"/>
    </row>
    <row r="358" spans="1:49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31"/>
      <c r="L358" s="532"/>
      <c r="M358" s="532"/>
      <c r="N358" s="532"/>
      <c r="O358" s="532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  <c r="AH358" s="57"/>
      <c r="AI358" s="57"/>
      <c r="AJ358" s="57"/>
      <c r="AK358" s="57"/>
      <c r="AL358" s="57"/>
      <c r="AM358" s="57"/>
      <c r="AN358" s="57"/>
      <c r="AO358"/>
      <c r="AP358" s="57"/>
      <c r="AQ358" s="57"/>
      <c r="AR358" s="57"/>
      <c r="AS358" s="57"/>
      <c r="AT358" s="57"/>
      <c r="AU358" s="57"/>
      <c r="AV358" s="57"/>
      <c r="AW358" s="57"/>
    </row>
    <row r="359" spans="1:49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/>
      <c r="AM359" s="57"/>
      <c r="AN359" s="57"/>
      <c r="AO359"/>
      <c r="AP359" s="57"/>
      <c r="AQ359" s="57"/>
      <c r="AR359" s="57"/>
      <c r="AS359" s="57"/>
      <c r="AT359" s="57"/>
      <c r="AU359" s="57"/>
      <c r="AV359" s="57"/>
      <c r="AW359" s="57"/>
    </row>
    <row r="360" spans="1:49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57"/>
      <c r="AO360"/>
      <c r="AP360" s="57"/>
      <c r="AQ360" s="57"/>
      <c r="AR360" s="57"/>
      <c r="AS360" s="57"/>
      <c r="AT360" s="57"/>
      <c r="AU360" s="57"/>
      <c r="AV360" s="57"/>
      <c r="AW360" s="57"/>
    </row>
    <row r="361" spans="1:49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/>
      <c r="AM361" s="57"/>
      <c r="AN361" s="57"/>
      <c r="AO361"/>
      <c r="AP361" s="57"/>
      <c r="AQ361" s="57"/>
      <c r="AR361" s="57"/>
      <c r="AS361" s="57"/>
      <c r="AT361" s="57"/>
      <c r="AU361" s="57"/>
      <c r="AV361" s="57"/>
      <c r="AW361" s="57"/>
    </row>
    <row r="362" spans="1:49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/>
      <c r="AM362" s="57"/>
      <c r="AN362" s="57"/>
      <c r="AO362"/>
      <c r="AP362" s="57"/>
      <c r="AQ362" s="57"/>
      <c r="AR362" s="57"/>
      <c r="AS362" s="57"/>
      <c r="AT362" s="57"/>
      <c r="AU362" s="57"/>
      <c r="AV362" s="57"/>
      <c r="AW362" s="57"/>
    </row>
    <row r="363" spans="1:49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57"/>
      <c r="AO363"/>
      <c r="AP363" s="57"/>
      <c r="AQ363" s="57"/>
      <c r="AR363" s="57"/>
      <c r="AS363" s="57"/>
      <c r="AT363" s="57"/>
      <c r="AU363" s="57"/>
      <c r="AV363" s="57"/>
      <c r="AW363" s="57"/>
    </row>
    <row r="364" spans="1:49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/>
      <c r="AM364" s="57"/>
      <c r="AN364" s="57"/>
      <c r="AO364"/>
      <c r="AP364" s="57"/>
      <c r="AQ364" s="57"/>
      <c r="AR364" s="57"/>
      <c r="AS364" s="57"/>
      <c r="AT364" s="57"/>
      <c r="AU364" s="57"/>
      <c r="AV364" s="57"/>
      <c r="AW364" s="57"/>
    </row>
    <row r="365" spans="1:49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57"/>
      <c r="AO365"/>
      <c r="AP365" s="57"/>
      <c r="AQ365" s="57"/>
      <c r="AR365" s="57"/>
      <c r="AS365" s="57"/>
      <c r="AT365" s="57"/>
      <c r="AU365" s="57"/>
      <c r="AV365" s="57"/>
      <c r="AW365" s="57"/>
    </row>
    <row r="366" spans="1:49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57"/>
      <c r="AO366"/>
      <c r="AP366" s="57"/>
      <c r="AQ366" s="57"/>
      <c r="AR366" s="57"/>
      <c r="AS366" s="57"/>
      <c r="AT366" s="57"/>
      <c r="AU366" s="57"/>
      <c r="AV366" s="57"/>
      <c r="AW366" s="57"/>
    </row>
    <row r="367" spans="1:49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57"/>
      <c r="AO367"/>
      <c r="AP367" s="57"/>
      <c r="AQ367" s="57"/>
      <c r="AR367" s="57"/>
      <c r="AS367" s="57"/>
      <c r="AT367" s="57"/>
      <c r="AU367" s="57"/>
      <c r="AV367" s="57"/>
      <c r="AW367" s="57"/>
    </row>
    <row r="368" spans="1:49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57"/>
      <c r="AO368"/>
      <c r="AP368" s="57"/>
      <c r="AQ368" s="57"/>
      <c r="AR368" s="57"/>
      <c r="AS368" s="57"/>
      <c r="AT368" s="57"/>
      <c r="AU368" s="57"/>
      <c r="AV368" s="57"/>
      <c r="AW368" s="57"/>
    </row>
    <row r="369" spans="1:49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57"/>
      <c r="AO369"/>
      <c r="AP369" s="57"/>
      <c r="AQ369" s="57"/>
      <c r="AR369" s="57"/>
      <c r="AS369" s="57"/>
      <c r="AT369" s="57"/>
      <c r="AU369" s="57"/>
      <c r="AV369" s="57"/>
      <c r="AW369" s="57"/>
    </row>
    <row r="370" spans="1:49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57"/>
      <c r="AO370"/>
      <c r="AP370" s="57"/>
      <c r="AQ370" s="57"/>
      <c r="AR370" s="57"/>
      <c r="AS370" s="57"/>
      <c r="AT370" s="57"/>
      <c r="AU370" s="57"/>
      <c r="AV370" s="57"/>
      <c r="AW370" s="57"/>
    </row>
    <row r="371" spans="1:49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57"/>
      <c r="AO371"/>
      <c r="AP371" s="57"/>
      <c r="AQ371" s="57"/>
      <c r="AR371" s="57"/>
      <c r="AS371" s="57"/>
      <c r="AT371" s="57"/>
      <c r="AU371" s="57"/>
      <c r="AV371" s="57"/>
      <c r="AW371" s="57"/>
    </row>
    <row r="372" spans="1:49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/>
      <c r="AM372" s="57"/>
      <c r="AN372" s="57"/>
      <c r="AO372"/>
      <c r="AP372" s="57"/>
      <c r="AQ372" s="57"/>
      <c r="AR372" s="57"/>
      <c r="AS372" s="57"/>
      <c r="AT372" s="57"/>
      <c r="AU372" s="57"/>
      <c r="AV372" s="57"/>
      <c r="AW372" s="57"/>
    </row>
    <row r="373" spans="1:49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  <c r="AH373" s="57"/>
      <c r="AI373" s="57"/>
      <c r="AJ373" s="57"/>
      <c r="AK373" s="57"/>
      <c r="AL373" s="57"/>
      <c r="AM373" s="57"/>
      <c r="AN373" s="57"/>
      <c r="AO373"/>
      <c r="AP373" s="57"/>
      <c r="AQ373" s="57"/>
      <c r="AR373" s="57"/>
      <c r="AS373" s="57"/>
      <c r="AT373" s="57"/>
      <c r="AU373" s="57"/>
      <c r="AV373" s="57"/>
      <c r="AW373" s="57"/>
    </row>
    <row r="374" spans="1:49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57"/>
      <c r="AO374"/>
      <c r="AP374" s="57"/>
      <c r="AQ374" s="57"/>
      <c r="AR374" s="57"/>
      <c r="AS374" s="57"/>
      <c r="AT374" s="57"/>
      <c r="AU374" s="57"/>
      <c r="AV374" s="57"/>
      <c r="AW374" s="57"/>
    </row>
    <row r="375" spans="1:49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  <c r="AH375" s="57"/>
      <c r="AI375" s="57"/>
      <c r="AJ375" s="57"/>
      <c r="AK375" s="57"/>
      <c r="AL375" s="57"/>
      <c r="AM375" s="57"/>
      <c r="AN375" s="57"/>
      <c r="AO375"/>
      <c r="AP375" s="57"/>
      <c r="AQ375" s="57"/>
      <c r="AR375" s="57"/>
      <c r="AS375" s="57"/>
      <c r="AT375" s="57"/>
      <c r="AU375" s="57"/>
      <c r="AV375" s="57"/>
      <c r="AW375" s="57"/>
    </row>
    <row r="376" spans="1:49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  <c r="AH376" s="57"/>
      <c r="AI376" s="57"/>
      <c r="AJ376" s="57"/>
      <c r="AK376" s="57"/>
      <c r="AL376" s="57"/>
      <c r="AM376" s="57"/>
      <c r="AN376" s="57"/>
      <c r="AO376"/>
      <c r="AP376" s="57"/>
      <c r="AQ376" s="57"/>
      <c r="AR376" s="57"/>
      <c r="AS376" s="57"/>
      <c r="AT376" s="57"/>
      <c r="AU376" s="57"/>
      <c r="AV376" s="57"/>
      <c r="AW376" s="57"/>
    </row>
    <row r="377" spans="1:49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57"/>
      <c r="AM377" s="57"/>
      <c r="AN377" s="57"/>
      <c r="AO377"/>
      <c r="AP377" s="57"/>
      <c r="AQ377" s="57"/>
      <c r="AR377" s="57"/>
      <c r="AS377" s="57"/>
      <c r="AT377" s="57"/>
      <c r="AU377" s="57"/>
      <c r="AV377" s="57"/>
      <c r="AW377" s="57"/>
    </row>
    <row r="378" spans="1:49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  <c r="AH378" s="57"/>
      <c r="AI378" s="57"/>
      <c r="AJ378" s="57"/>
      <c r="AK378" s="57"/>
      <c r="AL378" s="57"/>
      <c r="AM378" s="57"/>
      <c r="AN378" s="57"/>
      <c r="AO378"/>
      <c r="AP378" s="57"/>
      <c r="AQ378" s="57"/>
      <c r="AR378" s="57"/>
      <c r="AS378" s="57"/>
      <c r="AT378" s="57"/>
      <c r="AU378" s="57"/>
      <c r="AV378" s="57"/>
      <c r="AW378" s="57"/>
    </row>
    <row r="379" spans="1:49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57"/>
      <c r="AM379" s="57"/>
      <c r="AN379" s="57"/>
      <c r="AO379"/>
      <c r="AP379" s="57"/>
      <c r="AQ379" s="57"/>
      <c r="AR379" s="57"/>
      <c r="AS379" s="57"/>
      <c r="AT379" s="57"/>
      <c r="AU379" s="57"/>
      <c r="AV379" s="57"/>
      <c r="AW379" s="57"/>
    </row>
    <row r="380" spans="1:49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57"/>
      <c r="AM380" s="57"/>
      <c r="AN380" s="57"/>
      <c r="AO380"/>
      <c r="AP380" s="57"/>
      <c r="AQ380" s="57"/>
      <c r="AR380" s="57"/>
      <c r="AS380" s="57"/>
      <c r="AT380" s="57"/>
      <c r="AU380" s="57"/>
      <c r="AV380" s="57"/>
      <c r="AW380" s="57"/>
    </row>
    <row r="381" spans="1:49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57"/>
      <c r="AM381" s="57"/>
      <c r="AN381" s="57"/>
      <c r="AO381"/>
      <c r="AP381" s="57"/>
      <c r="AQ381" s="57"/>
      <c r="AR381" s="57"/>
      <c r="AS381" s="57"/>
      <c r="AT381" s="57"/>
      <c r="AU381" s="57"/>
      <c r="AV381" s="57"/>
      <c r="AW381" s="57"/>
    </row>
    <row r="382" spans="1:49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57"/>
      <c r="AM382" s="57"/>
      <c r="AN382" s="57"/>
      <c r="AO382"/>
      <c r="AP382" s="57"/>
      <c r="AQ382" s="57"/>
      <c r="AR382" s="57"/>
      <c r="AS382" s="57"/>
      <c r="AT382" s="57"/>
      <c r="AU382" s="57"/>
      <c r="AV382" s="57"/>
      <c r="AW382" s="57"/>
    </row>
    <row r="383" spans="1:49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57"/>
      <c r="AM383" s="57"/>
      <c r="AN383" s="57"/>
      <c r="AO383"/>
      <c r="AP383" s="57"/>
      <c r="AQ383" s="57"/>
      <c r="AR383" s="57"/>
      <c r="AS383" s="57"/>
      <c r="AT383" s="57"/>
      <c r="AU383" s="57"/>
      <c r="AV383" s="57"/>
      <c r="AW383" s="57"/>
    </row>
    <row r="384" spans="1:49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57"/>
      <c r="AM384" s="57"/>
      <c r="AN384" s="57"/>
      <c r="AO384"/>
      <c r="AP384" s="57"/>
      <c r="AQ384" s="57"/>
      <c r="AR384" s="57"/>
      <c r="AS384" s="57"/>
      <c r="AT384" s="57"/>
      <c r="AU384" s="57"/>
      <c r="AV384" s="57"/>
      <c r="AW384" s="57"/>
    </row>
    <row r="385" spans="1:49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57"/>
      <c r="AM385" s="57"/>
      <c r="AN385" s="57"/>
      <c r="AO385"/>
      <c r="AP385" s="57"/>
      <c r="AQ385" s="57"/>
      <c r="AR385" s="57"/>
      <c r="AS385" s="57"/>
      <c r="AT385" s="57"/>
      <c r="AU385" s="57"/>
      <c r="AV385" s="57"/>
      <c r="AW385" s="57"/>
    </row>
    <row r="386" spans="1:49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57"/>
      <c r="AM386" s="57"/>
      <c r="AN386" s="57"/>
      <c r="AO386"/>
      <c r="AP386" s="57"/>
      <c r="AQ386" s="57"/>
      <c r="AR386" s="57"/>
      <c r="AS386" s="57"/>
      <c r="AT386" s="57"/>
      <c r="AU386" s="57"/>
      <c r="AV386" s="57"/>
      <c r="AW386" s="57"/>
    </row>
    <row r="387" spans="1:49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57"/>
      <c r="AM387" s="57"/>
      <c r="AN387" s="57"/>
      <c r="AO387"/>
      <c r="AP387" s="57"/>
      <c r="AQ387" s="57"/>
      <c r="AR387" s="57"/>
      <c r="AS387" s="57"/>
      <c r="AT387" s="57"/>
      <c r="AU387" s="57"/>
      <c r="AV387" s="57"/>
      <c r="AW387" s="57"/>
    </row>
    <row r="388" spans="1:49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57"/>
      <c r="AM388" s="57"/>
      <c r="AN388" s="57"/>
      <c r="AO388"/>
      <c r="AP388" s="57"/>
      <c r="AQ388" s="57"/>
      <c r="AR388" s="57"/>
      <c r="AS388" s="57"/>
      <c r="AT388" s="57"/>
      <c r="AU388" s="57"/>
      <c r="AV388" s="57"/>
      <c r="AW388" s="57"/>
    </row>
    <row r="389" spans="1:49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57"/>
      <c r="AM389" s="57"/>
      <c r="AN389" s="57"/>
      <c r="AO389"/>
      <c r="AP389" s="57"/>
      <c r="AQ389" s="57"/>
      <c r="AR389" s="57"/>
      <c r="AS389" s="57"/>
      <c r="AT389" s="57"/>
      <c r="AU389" s="57"/>
      <c r="AV389" s="57"/>
      <c r="AW389" s="57"/>
    </row>
    <row r="390" spans="1:49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57"/>
      <c r="AM390" s="57"/>
      <c r="AN390" s="57"/>
      <c r="AO390"/>
      <c r="AP390" s="57"/>
      <c r="AQ390" s="57"/>
      <c r="AR390" s="57"/>
      <c r="AS390" s="57"/>
      <c r="AT390" s="57"/>
      <c r="AU390" s="57"/>
      <c r="AV390" s="57"/>
      <c r="AW390" s="57"/>
    </row>
    <row r="391" spans="1:49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57"/>
      <c r="AM391" s="57"/>
      <c r="AN391" s="57"/>
      <c r="AO391"/>
      <c r="AP391" s="57"/>
      <c r="AQ391" s="57"/>
      <c r="AR391" s="57"/>
      <c r="AS391" s="57"/>
      <c r="AT391" s="57"/>
      <c r="AU391" s="57"/>
      <c r="AV391" s="57"/>
      <c r="AW391" s="57"/>
    </row>
    <row r="392" spans="1:49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57"/>
      <c r="AM392" s="57"/>
      <c r="AN392" s="57"/>
      <c r="AO392"/>
      <c r="AP392" s="57"/>
      <c r="AQ392" s="57"/>
      <c r="AR392" s="57"/>
      <c r="AS392" s="57"/>
      <c r="AT392" s="57"/>
      <c r="AU392" s="57"/>
      <c r="AV392" s="57"/>
      <c r="AW392" s="57"/>
    </row>
    <row r="393" spans="1:49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  <c r="AH393" s="57"/>
      <c r="AI393" s="57"/>
      <c r="AJ393" s="57"/>
      <c r="AK393" s="57"/>
      <c r="AL393" s="57"/>
      <c r="AM393" s="57"/>
      <c r="AN393" s="57"/>
      <c r="AO393"/>
      <c r="AP393" s="57"/>
      <c r="AQ393" s="57"/>
      <c r="AR393" s="57"/>
      <c r="AS393" s="57"/>
      <c r="AT393" s="57"/>
      <c r="AU393" s="57"/>
      <c r="AV393" s="57"/>
      <c r="AW393" s="57"/>
    </row>
    <row r="394" spans="1:49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  <c r="AH394" s="57"/>
      <c r="AI394" s="57"/>
      <c r="AJ394" s="57"/>
      <c r="AK394" s="57"/>
      <c r="AL394" s="57"/>
      <c r="AM394" s="57"/>
      <c r="AN394" s="57"/>
      <c r="AO394"/>
      <c r="AP394" s="57"/>
      <c r="AQ394" s="57"/>
      <c r="AR394" s="57"/>
      <c r="AS394" s="57"/>
      <c r="AT394" s="57"/>
      <c r="AU394" s="57"/>
      <c r="AV394" s="57"/>
      <c r="AW394" s="57"/>
    </row>
    <row r="395" spans="1:49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/>
      <c r="AP395" s="57"/>
      <c r="AQ395" s="57"/>
      <c r="AR395" s="57"/>
      <c r="AS395" s="57"/>
      <c r="AT395" s="57"/>
      <c r="AU395" s="57"/>
      <c r="AV395" s="57"/>
      <c r="AW395" s="57"/>
    </row>
    <row r="396" spans="1:49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  <c r="AH396" s="57"/>
      <c r="AI396" s="57"/>
      <c r="AJ396" s="57"/>
      <c r="AK396" s="57"/>
      <c r="AL396" s="57"/>
      <c r="AM396" s="57"/>
      <c r="AN396" s="57"/>
      <c r="AO396"/>
      <c r="AP396" s="57"/>
      <c r="AQ396" s="57"/>
      <c r="AR396" s="57"/>
      <c r="AS396" s="57"/>
      <c r="AT396" s="57"/>
      <c r="AU396" s="57"/>
      <c r="AV396" s="57"/>
      <c r="AW396" s="57"/>
    </row>
    <row r="397" spans="1:49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/>
      <c r="AP397" s="57"/>
      <c r="AQ397" s="57"/>
      <c r="AR397" s="57"/>
      <c r="AS397" s="57"/>
      <c r="AT397" s="57"/>
      <c r="AU397" s="57"/>
      <c r="AV397" s="57"/>
      <c r="AW397" s="57"/>
    </row>
    <row r="398" spans="1:49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/>
      <c r="AP398" s="57"/>
      <c r="AQ398" s="57"/>
      <c r="AR398" s="57"/>
      <c r="AS398" s="57"/>
      <c r="AT398" s="57"/>
      <c r="AU398" s="57"/>
      <c r="AV398" s="57"/>
      <c r="AW398" s="57"/>
    </row>
    <row r="399" spans="1:49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/>
      <c r="AP399" s="57"/>
      <c r="AQ399" s="57"/>
      <c r="AR399" s="57"/>
      <c r="AS399" s="57"/>
      <c r="AT399" s="57"/>
      <c r="AU399" s="57"/>
      <c r="AV399" s="57"/>
      <c r="AW399" s="57"/>
    </row>
    <row r="400" spans="1:49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/>
      <c r="AP400" s="57"/>
      <c r="AQ400" s="57"/>
      <c r="AR400" s="57"/>
      <c r="AS400" s="57"/>
      <c r="AT400" s="57"/>
      <c r="AU400" s="57"/>
      <c r="AV400" s="57"/>
      <c r="AW400" s="57"/>
    </row>
    <row r="401" spans="1:49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/>
      <c r="AP401" s="57"/>
      <c r="AQ401" s="57"/>
      <c r="AR401" s="57"/>
      <c r="AS401" s="57"/>
      <c r="AT401" s="57"/>
      <c r="AU401" s="57"/>
      <c r="AV401" s="57"/>
      <c r="AW401" s="57"/>
    </row>
    <row r="402" spans="1:49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/>
      <c r="AP402" s="57"/>
      <c r="AQ402" s="57"/>
      <c r="AR402" s="57"/>
      <c r="AS402" s="57"/>
      <c r="AT402" s="57"/>
      <c r="AU402" s="57"/>
      <c r="AV402" s="57"/>
      <c r="AW402" s="57"/>
    </row>
    <row r="403" spans="1:49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  <c r="AH403" s="57"/>
      <c r="AI403" s="57"/>
      <c r="AJ403" s="57"/>
      <c r="AK403" s="57"/>
      <c r="AL403" s="57"/>
      <c r="AM403" s="57"/>
      <c r="AN403" s="57"/>
      <c r="AO403"/>
      <c r="AP403" s="57"/>
      <c r="AQ403" s="57"/>
      <c r="AR403" s="57"/>
      <c r="AS403" s="57"/>
      <c r="AT403" s="57"/>
      <c r="AU403" s="57"/>
      <c r="AV403" s="57"/>
      <c r="AW403" s="57"/>
    </row>
    <row r="404" spans="1:49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/>
      <c r="AP404" s="57"/>
      <c r="AQ404" s="57"/>
      <c r="AR404" s="57"/>
      <c r="AS404" s="57"/>
      <c r="AT404" s="57"/>
      <c r="AU404" s="57"/>
      <c r="AV404" s="57"/>
      <c r="AW404" s="57"/>
    </row>
    <row r="405" spans="1:49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/>
      <c r="AP405" s="57"/>
      <c r="AQ405" s="57"/>
      <c r="AR405" s="57"/>
      <c r="AS405" s="57"/>
      <c r="AT405" s="57"/>
      <c r="AU405" s="57"/>
      <c r="AV405" s="57"/>
      <c r="AW405" s="57"/>
    </row>
    <row r="406" spans="1:49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/>
      <c r="AP406" s="57"/>
      <c r="AQ406" s="57"/>
      <c r="AR406" s="57"/>
      <c r="AS406" s="57"/>
      <c r="AT406" s="57"/>
      <c r="AU406" s="57"/>
      <c r="AV406" s="57"/>
      <c r="AW406" s="57"/>
    </row>
    <row r="407" spans="1:49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/>
      <c r="AP407" s="57"/>
      <c r="AQ407" s="57"/>
      <c r="AR407" s="57"/>
      <c r="AS407" s="57"/>
      <c r="AT407" s="57"/>
      <c r="AU407" s="57"/>
      <c r="AV407" s="57"/>
      <c r="AW407" s="57"/>
    </row>
    <row r="408" spans="1:49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/>
      <c r="AP408" s="57"/>
      <c r="AQ408" s="57"/>
      <c r="AR408" s="57"/>
      <c r="AS408" s="57"/>
      <c r="AT408" s="57"/>
      <c r="AU408" s="57"/>
      <c r="AV408" s="57"/>
      <c r="AW408" s="57"/>
    </row>
    <row r="409" spans="1:49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/>
      <c r="AP409" s="57"/>
      <c r="AQ409" s="57"/>
      <c r="AR409" s="57"/>
      <c r="AS409" s="57"/>
      <c r="AT409" s="57"/>
      <c r="AU409" s="57"/>
      <c r="AV409" s="57"/>
      <c r="AW409" s="57"/>
    </row>
    <row r="410" spans="1:49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/>
      <c r="AP410" s="57"/>
      <c r="AQ410" s="57"/>
      <c r="AR410" s="57"/>
      <c r="AS410" s="57"/>
      <c r="AT410" s="57"/>
      <c r="AU410" s="57"/>
      <c r="AV410" s="57"/>
      <c r="AW410" s="57"/>
    </row>
    <row r="411" spans="1:49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/>
      <c r="AP411" s="57"/>
      <c r="AQ411" s="57"/>
      <c r="AR411" s="57"/>
      <c r="AS411" s="57"/>
      <c r="AT411" s="57"/>
      <c r="AU411" s="57"/>
      <c r="AV411" s="57"/>
      <c r="AW411" s="57"/>
    </row>
    <row r="412" spans="1:49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  <c r="AH412" s="57"/>
      <c r="AI412" s="57"/>
      <c r="AJ412" s="57"/>
      <c r="AK412" s="57"/>
      <c r="AL412" s="57"/>
      <c r="AM412" s="57"/>
      <c r="AN412" s="57"/>
      <c r="AO412"/>
      <c r="AP412" s="57"/>
      <c r="AQ412" s="57"/>
      <c r="AR412" s="57"/>
      <c r="AS412" s="57"/>
      <c r="AT412" s="57"/>
      <c r="AU412" s="57"/>
      <c r="AV412" s="57"/>
      <c r="AW412" s="57"/>
    </row>
    <row r="413" spans="1:49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  <c r="AH413" s="57"/>
      <c r="AI413" s="57"/>
      <c r="AJ413" s="57"/>
      <c r="AK413" s="57"/>
      <c r="AL413" s="57"/>
      <c r="AM413" s="57"/>
      <c r="AN413" s="57"/>
      <c r="AO413"/>
      <c r="AP413" s="57"/>
      <c r="AQ413" s="57"/>
      <c r="AR413" s="57"/>
      <c r="AS413" s="57"/>
      <c r="AT413" s="57"/>
      <c r="AU413" s="57"/>
      <c r="AV413" s="57"/>
      <c r="AW413" s="57"/>
    </row>
    <row r="414" spans="1:49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  <c r="AH414" s="57"/>
      <c r="AI414" s="57"/>
      <c r="AJ414" s="57"/>
      <c r="AK414" s="57"/>
      <c r="AL414" s="57"/>
      <c r="AM414" s="57"/>
      <c r="AN414" s="57"/>
      <c r="AO414"/>
      <c r="AP414" s="57"/>
      <c r="AQ414" s="57"/>
      <c r="AR414" s="57"/>
      <c r="AS414" s="57"/>
      <c r="AT414" s="57"/>
      <c r="AU414" s="57"/>
      <c r="AV414" s="57"/>
      <c r="AW414" s="57"/>
    </row>
    <row r="415" spans="1:49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  <c r="AH415" s="57"/>
      <c r="AI415" s="57"/>
      <c r="AJ415" s="57"/>
      <c r="AK415" s="57"/>
      <c r="AL415" s="57"/>
      <c r="AM415" s="57"/>
      <c r="AN415" s="57"/>
      <c r="AO415"/>
      <c r="AP415" s="57"/>
      <c r="AQ415" s="57"/>
      <c r="AR415" s="57"/>
      <c r="AS415" s="57"/>
      <c r="AT415" s="57"/>
      <c r="AU415" s="57"/>
      <c r="AV415" s="57"/>
      <c r="AW415" s="57"/>
    </row>
    <row r="416" spans="1:49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57"/>
      <c r="AN416" s="57"/>
      <c r="AO416"/>
      <c r="AP416" s="57"/>
      <c r="AQ416" s="57"/>
      <c r="AR416" s="57"/>
      <c r="AS416" s="57"/>
      <c r="AT416" s="57"/>
      <c r="AU416" s="57"/>
      <c r="AV416" s="57"/>
      <c r="AW416" s="57"/>
    </row>
    <row r="417" spans="1:49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57"/>
      <c r="AN417" s="57"/>
      <c r="AO417"/>
      <c r="AP417" s="57"/>
      <c r="AQ417" s="57"/>
      <c r="AR417" s="57"/>
      <c r="AS417" s="57"/>
      <c r="AT417" s="57"/>
      <c r="AU417" s="57"/>
      <c r="AV417" s="57"/>
      <c r="AW417" s="57"/>
    </row>
    <row r="418" spans="1:49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  <c r="AH418" s="57"/>
      <c r="AI418" s="57"/>
      <c r="AJ418" s="57"/>
      <c r="AK418" s="57"/>
      <c r="AL418" s="57"/>
      <c r="AM418" s="57"/>
      <c r="AN418" s="57"/>
      <c r="AO418"/>
      <c r="AP418" s="57"/>
      <c r="AQ418" s="57"/>
      <c r="AR418" s="57"/>
      <c r="AS418" s="57"/>
      <c r="AT418" s="57"/>
      <c r="AU418" s="57"/>
      <c r="AV418" s="57"/>
      <c r="AW418" s="57"/>
    </row>
    <row r="419" spans="1:49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  <c r="AH419" s="57"/>
      <c r="AI419" s="57"/>
      <c r="AJ419" s="57"/>
      <c r="AK419" s="57"/>
      <c r="AL419" s="57"/>
      <c r="AM419" s="57"/>
      <c r="AN419" s="57"/>
      <c r="AO419"/>
      <c r="AP419" s="57"/>
      <c r="AQ419" s="57"/>
      <c r="AR419" s="57"/>
      <c r="AS419" s="57"/>
      <c r="AT419" s="57"/>
      <c r="AU419" s="57"/>
      <c r="AV419" s="57"/>
      <c r="AW419" s="57"/>
    </row>
    <row r="420" spans="1:49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57"/>
      <c r="AN420" s="57"/>
      <c r="AO420"/>
      <c r="AP420" s="57"/>
      <c r="AQ420" s="57"/>
      <c r="AR420" s="57"/>
      <c r="AS420" s="57"/>
      <c r="AT420" s="57"/>
      <c r="AU420" s="57"/>
      <c r="AV420" s="57"/>
      <c r="AW420" s="57"/>
    </row>
    <row r="421" spans="1:49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57"/>
      <c r="AN421" s="57"/>
      <c r="AO421"/>
      <c r="AP421" s="57"/>
      <c r="AQ421" s="57"/>
      <c r="AR421" s="57"/>
      <c r="AS421" s="57"/>
      <c r="AT421" s="57"/>
      <c r="AU421" s="57"/>
      <c r="AV421" s="57"/>
      <c r="AW421" s="57"/>
    </row>
    <row r="422" spans="1:49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  <c r="AH422" s="57"/>
      <c r="AI422" s="57"/>
      <c r="AJ422" s="57"/>
      <c r="AK422" s="57"/>
      <c r="AL422" s="57"/>
      <c r="AM422" s="57"/>
      <c r="AN422" s="57"/>
      <c r="AO422"/>
      <c r="AP422" s="57"/>
      <c r="AQ422" s="57"/>
      <c r="AR422" s="57"/>
      <c r="AS422" s="57"/>
      <c r="AT422" s="57"/>
      <c r="AU422" s="57"/>
      <c r="AV422" s="57"/>
      <c r="AW422" s="57"/>
    </row>
    <row r="423" spans="1:49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  <c r="AH423" s="57"/>
      <c r="AI423" s="57"/>
      <c r="AJ423" s="57"/>
      <c r="AK423" s="57"/>
      <c r="AL423" s="57"/>
      <c r="AM423" s="57"/>
      <c r="AN423" s="57"/>
      <c r="AO423"/>
      <c r="AP423" s="57"/>
      <c r="AQ423" s="57"/>
      <c r="AR423" s="57"/>
      <c r="AS423" s="57"/>
      <c r="AT423" s="57"/>
      <c r="AU423" s="57"/>
      <c r="AV423" s="57"/>
      <c r="AW423" s="57"/>
    </row>
    <row r="424" spans="1:49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57"/>
      <c r="AN424" s="57"/>
      <c r="AO424"/>
      <c r="AP424" s="57"/>
      <c r="AQ424" s="57"/>
      <c r="AR424" s="57"/>
      <c r="AS424" s="57"/>
      <c r="AT424" s="57"/>
      <c r="AU424" s="57"/>
      <c r="AV424" s="57"/>
      <c r="AW424" s="57"/>
    </row>
    <row r="425" spans="1:49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  <c r="AH425" s="57"/>
      <c r="AI425" s="57"/>
      <c r="AJ425" s="57"/>
      <c r="AK425" s="57"/>
      <c r="AL425" s="57"/>
      <c r="AM425" s="57"/>
      <c r="AN425" s="57"/>
      <c r="AO425"/>
      <c r="AP425" s="57"/>
      <c r="AQ425" s="57"/>
      <c r="AR425" s="57"/>
      <c r="AS425" s="57"/>
      <c r="AT425" s="57"/>
      <c r="AU425" s="57"/>
      <c r="AV425" s="57"/>
      <c r="AW425" s="57"/>
    </row>
    <row r="426" spans="1:49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  <c r="AH426" s="57"/>
      <c r="AI426" s="57"/>
      <c r="AJ426" s="57"/>
      <c r="AK426" s="57"/>
      <c r="AL426" s="57"/>
      <c r="AM426" s="57"/>
      <c r="AN426" s="57"/>
      <c r="AO426"/>
      <c r="AP426" s="57"/>
      <c r="AQ426" s="57"/>
      <c r="AR426" s="57"/>
      <c r="AS426" s="57"/>
      <c r="AT426" s="57"/>
      <c r="AU426" s="57"/>
      <c r="AV426" s="57"/>
      <c r="AW426" s="57"/>
    </row>
    <row r="427" spans="1:49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  <c r="AH427" s="57"/>
      <c r="AI427" s="57"/>
      <c r="AJ427" s="57"/>
      <c r="AK427" s="57"/>
      <c r="AL427" s="57"/>
      <c r="AM427" s="57"/>
      <c r="AN427" s="57"/>
      <c r="AO427"/>
      <c r="AP427" s="57"/>
      <c r="AQ427" s="57"/>
      <c r="AR427" s="57"/>
      <c r="AS427" s="57"/>
      <c r="AT427" s="57"/>
      <c r="AU427" s="57"/>
      <c r="AV427" s="57"/>
      <c r="AW427" s="57"/>
    </row>
    <row r="428" spans="1:49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  <c r="AH428" s="57"/>
      <c r="AI428" s="57"/>
      <c r="AJ428" s="57"/>
      <c r="AK428" s="57"/>
      <c r="AL428" s="57"/>
      <c r="AM428" s="57"/>
      <c r="AN428" s="57"/>
      <c r="AO428"/>
      <c r="AP428" s="57"/>
      <c r="AQ428" s="57"/>
      <c r="AR428" s="57"/>
      <c r="AS428" s="57"/>
      <c r="AT428" s="57"/>
      <c r="AU428" s="57"/>
      <c r="AV428" s="57"/>
      <c r="AW428" s="57"/>
    </row>
    <row r="429" spans="1:49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  <c r="AH429" s="57"/>
      <c r="AI429" s="57"/>
      <c r="AJ429" s="57"/>
      <c r="AK429" s="57"/>
      <c r="AL429" s="57"/>
      <c r="AM429" s="57"/>
      <c r="AN429" s="57"/>
      <c r="AO429"/>
      <c r="AP429" s="57"/>
      <c r="AQ429" s="57"/>
      <c r="AR429" s="57"/>
      <c r="AS429" s="57"/>
      <c r="AT429" s="57"/>
      <c r="AU429" s="57"/>
      <c r="AV429" s="57"/>
      <c r="AW429" s="57"/>
    </row>
    <row r="430" spans="1:49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  <c r="AH430" s="57"/>
      <c r="AI430" s="57"/>
      <c r="AJ430" s="57"/>
      <c r="AK430" s="57"/>
      <c r="AL430" s="57"/>
      <c r="AM430" s="57"/>
      <c r="AN430" s="57"/>
      <c r="AO430"/>
      <c r="AP430" s="57"/>
      <c r="AQ430" s="57"/>
      <c r="AR430" s="57"/>
      <c r="AS430" s="57"/>
      <c r="AT430" s="57"/>
      <c r="AU430" s="57"/>
      <c r="AV430" s="57"/>
      <c r="AW430" s="57"/>
    </row>
    <row r="431" spans="1:49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  <c r="AH431" s="57"/>
      <c r="AI431" s="57"/>
      <c r="AJ431" s="57"/>
      <c r="AK431" s="57"/>
      <c r="AL431" s="57"/>
      <c r="AM431" s="57"/>
      <c r="AN431" s="57"/>
      <c r="AO431"/>
      <c r="AP431" s="57"/>
      <c r="AQ431" s="57"/>
      <c r="AR431" s="57"/>
      <c r="AS431" s="57"/>
      <c r="AT431" s="57"/>
      <c r="AU431" s="57"/>
      <c r="AV431" s="57"/>
      <c r="AW431" s="57"/>
    </row>
    <row r="432" spans="1:49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  <c r="AH432" s="57"/>
      <c r="AI432" s="57"/>
      <c r="AJ432" s="57"/>
      <c r="AK432" s="57"/>
      <c r="AL432" s="57"/>
      <c r="AM432" s="57"/>
      <c r="AN432" s="57"/>
      <c r="AO432"/>
      <c r="AP432" s="57"/>
      <c r="AQ432" s="57"/>
      <c r="AR432" s="57"/>
      <c r="AS432" s="57"/>
      <c r="AT432" s="57"/>
      <c r="AU432" s="57"/>
      <c r="AV432" s="57"/>
      <c r="AW432" s="57"/>
    </row>
    <row r="433" spans="1:49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  <c r="AH433" s="57"/>
      <c r="AI433" s="57"/>
      <c r="AJ433" s="57"/>
      <c r="AK433" s="57"/>
      <c r="AL433" s="57"/>
      <c r="AM433" s="57"/>
      <c r="AN433" s="57"/>
      <c r="AO433"/>
      <c r="AP433" s="57"/>
      <c r="AQ433" s="57"/>
      <c r="AR433" s="57"/>
      <c r="AS433" s="57"/>
      <c r="AT433" s="57"/>
      <c r="AU433" s="57"/>
      <c r="AV433" s="57"/>
      <c r="AW433" s="57"/>
    </row>
    <row r="434" spans="1:49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  <c r="AH434" s="57"/>
      <c r="AI434" s="57"/>
      <c r="AJ434" s="57"/>
      <c r="AK434" s="57"/>
      <c r="AL434" s="57"/>
      <c r="AM434" s="57"/>
      <c r="AN434" s="57"/>
      <c r="AO434"/>
      <c r="AP434" s="57"/>
      <c r="AQ434" s="57"/>
      <c r="AR434" s="57"/>
      <c r="AS434" s="57"/>
      <c r="AT434" s="57"/>
      <c r="AU434" s="57"/>
      <c r="AV434" s="57"/>
      <c r="AW434" s="57"/>
    </row>
    <row r="435" spans="1:49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  <c r="AH435" s="57"/>
      <c r="AI435" s="57"/>
      <c r="AJ435" s="57"/>
      <c r="AK435" s="57"/>
      <c r="AL435" s="57"/>
      <c r="AM435" s="57"/>
      <c r="AN435" s="57"/>
      <c r="AO435"/>
      <c r="AP435" s="57"/>
      <c r="AQ435" s="57"/>
      <c r="AR435" s="57"/>
      <c r="AS435" s="57"/>
      <c r="AT435" s="57"/>
      <c r="AU435" s="57"/>
      <c r="AV435" s="57"/>
      <c r="AW435" s="57"/>
    </row>
    <row r="436" spans="1:49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  <c r="AH436" s="57"/>
      <c r="AI436" s="57"/>
      <c r="AJ436" s="57"/>
      <c r="AK436" s="57"/>
      <c r="AL436" s="57"/>
      <c r="AM436" s="57"/>
      <c r="AN436" s="57"/>
      <c r="AO436"/>
      <c r="AP436" s="57"/>
      <c r="AQ436" s="57"/>
      <c r="AR436" s="57"/>
      <c r="AS436" s="57"/>
      <c r="AT436" s="57"/>
      <c r="AU436" s="57"/>
      <c r="AV436" s="57"/>
      <c r="AW436" s="57"/>
    </row>
    <row r="437" spans="1:49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  <c r="AH437" s="57"/>
      <c r="AI437" s="57"/>
      <c r="AJ437" s="57"/>
      <c r="AK437" s="57"/>
      <c r="AL437" s="57"/>
      <c r="AM437" s="57"/>
      <c r="AN437" s="57"/>
      <c r="AO437"/>
      <c r="AP437" s="57"/>
      <c r="AQ437" s="57"/>
      <c r="AR437" s="57"/>
      <c r="AS437" s="57"/>
      <c r="AT437" s="57"/>
      <c r="AU437" s="57"/>
      <c r="AV437" s="57"/>
      <c r="AW437" s="57"/>
    </row>
    <row r="438" spans="1:49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/>
      <c r="AP438" s="57"/>
      <c r="AQ438" s="57"/>
      <c r="AR438" s="57"/>
      <c r="AS438" s="57"/>
      <c r="AT438" s="57"/>
      <c r="AU438" s="57"/>
      <c r="AV438" s="57"/>
      <c r="AW438" s="57"/>
    </row>
    <row r="439" spans="1:49" x14ac:dyDescent="0.25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  <c r="AH439" s="57"/>
      <c r="AI439" s="57"/>
      <c r="AJ439" s="57"/>
      <c r="AK439" s="57"/>
      <c r="AL439" s="57"/>
      <c r="AM439" s="57"/>
      <c r="AN439" s="57"/>
      <c r="AO439"/>
      <c r="AP439" s="57"/>
      <c r="AQ439" s="57"/>
      <c r="AR439" s="57"/>
      <c r="AS439" s="57"/>
      <c r="AT439" s="57"/>
      <c r="AU439" s="57"/>
      <c r="AV439" s="57"/>
      <c r="AW439" s="57"/>
    </row>
    <row r="440" spans="1:49" x14ac:dyDescent="0.25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  <c r="AH440" s="57"/>
      <c r="AI440" s="57"/>
      <c r="AJ440" s="57"/>
      <c r="AK440" s="57"/>
      <c r="AL440" s="57"/>
      <c r="AM440" s="57"/>
      <c r="AN440" s="57"/>
      <c r="AO440"/>
      <c r="AP440" s="57"/>
      <c r="AQ440" s="57"/>
      <c r="AR440" s="57"/>
      <c r="AS440" s="57"/>
      <c r="AT440" s="57"/>
      <c r="AU440" s="57"/>
      <c r="AV440" s="57"/>
      <c r="AW440" s="57"/>
    </row>
    <row r="441" spans="1:49" x14ac:dyDescent="0.25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  <c r="AH441" s="57"/>
      <c r="AI441" s="57"/>
      <c r="AJ441" s="57"/>
      <c r="AK441" s="57"/>
      <c r="AL441" s="57"/>
      <c r="AM441" s="57"/>
      <c r="AN441" s="57"/>
      <c r="AO441"/>
      <c r="AP441" s="57"/>
      <c r="AQ441" s="57"/>
      <c r="AR441" s="57"/>
      <c r="AS441" s="57"/>
      <c r="AT441" s="57"/>
      <c r="AU441" s="57"/>
      <c r="AV441" s="57"/>
      <c r="AW441" s="57"/>
    </row>
    <row r="442" spans="1:49" x14ac:dyDescent="0.25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  <c r="AH442" s="57"/>
      <c r="AI442" s="57"/>
      <c r="AJ442" s="57"/>
      <c r="AK442" s="57"/>
      <c r="AL442" s="57"/>
      <c r="AM442" s="57"/>
      <c r="AN442" s="57"/>
      <c r="AO442"/>
      <c r="AP442" s="57"/>
      <c r="AQ442" s="57"/>
      <c r="AR442" s="57"/>
      <c r="AS442" s="57"/>
      <c r="AT442" s="57"/>
      <c r="AU442" s="57"/>
      <c r="AV442" s="57"/>
      <c r="AW442" s="57"/>
    </row>
    <row r="443" spans="1:49" x14ac:dyDescent="0.25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  <c r="AH443" s="57"/>
      <c r="AI443" s="57"/>
      <c r="AJ443" s="57"/>
      <c r="AK443" s="57"/>
      <c r="AL443" s="57"/>
      <c r="AM443" s="57"/>
      <c r="AN443" s="57"/>
      <c r="AO443"/>
      <c r="AP443" s="57"/>
      <c r="AQ443" s="57"/>
      <c r="AR443" s="57"/>
      <c r="AS443" s="57"/>
      <c r="AT443" s="57"/>
      <c r="AU443" s="57"/>
      <c r="AV443" s="57"/>
      <c r="AW443" s="57"/>
    </row>
    <row r="444" spans="1:49" x14ac:dyDescent="0.25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  <c r="AH444" s="57"/>
      <c r="AI444" s="57"/>
      <c r="AJ444" s="57"/>
      <c r="AK444" s="57"/>
      <c r="AL444" s="57"/>
      <c r="AM444" s="57"/>
      <c r="AN444" s="57"/>
      <c r="AO444"/>
      <c r="AP444" s="57"/>
      <c r="AQ444" s="57"/>
      <c r="AR444" s="57"/>
      <c r="AS444" s="57"/>
      <c r="AT444" s="57"/>
      <c r="AU444" s="57"/>
      <c r="AV444" s="57"/>
      <c r="AW444" s="57"/>
    </row>
    <row r="445" spans="1:49" x14ac:dyDescent="0.25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</row>
    <row r="446" spans="1:49" x14ac:dyDescent="0.25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</row>
    <row r="447" spans="1:49" x14ac:dyDescent="0.25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</row>
    <row r="448" spans="1:49" x14ac:dyDescent="0.25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</row>
    <row r="449" spans="1:49" x14ac:dyDescent="0.25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</row>
    <row r="450" spans="1:49" x14ac:dyDescent="0.25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</row>
  </sheetData>
  <mergeCells count="4">
    <mergeCell ref="G4:P4"/>
    <mergeCell ref="AA4:AL4"/>
    <mergeCell ref="Q4:Z4"/>
    <mergeCell ref="K5:P5"/>
  </mergeCells>
  <conditionalFormatting sqref="AO8:AO9 AO11:AO14 AO16:AO46">
    <cfRule type="cellIs" dxfId="34" priority="14" operator="notBetween">
      <formula>0.998</formula>
      <formula>1.002</formula>
    </cfRule>
  </conditionalFormatting>
  <conditionalFormatting sqref="AO10">
    <cfRule type="cellIs" dxfId="33" priority="1" operator="notBetween">
      <formula>0.998</formula>
      <formula>1.002</formula>
    </cfRule>
  </conditionalFormatting>
  <conditionalFormatting sqref="AO15">
    <cfRule type="cellIs" dxfId="32" priority="2" operator="notBetween">
      <formula>0.998</formula>
      <formula>1.002</formula>
    </cfRule>
  </conditionalFormatting>
  <pageMargins left="0.7" right="0.7" top="0.75" bottom="0.75" header="0.3" footer="0.3"/>
  <pageSetup scale="57" fitToWidth="5" orientation="landscape" r:id="rId1"/>
  <colBreaks count="1" manualBreakCount="1">
    <brk id="38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>
    <tabColor theme="5" tint="0.39997558519241921"/>
    <pageSetUpPr fitToPage="1"/>
  </sheetPr>
  <dimension ref="A1:BQ102"/>
  <sheetViews>
    <sheetView topLeftCell="AC34" zoomScale="95" zoomScaleNormal="95" workbookViewId="0">
      <selection activeCell="AK34" sqref="AK34"/>
    </sheetView>
  </sheetViews>
  <sheetFormatPr defaultColWidth="14.28515625" defaultRowHeight="15" x14ac:dyDescent="0.25"/>
  <cols>
    <col min="1" max="1" width="16.28515625" style="58" customWidth="1"/>
    <col min="2" max="2" width="48.140625" style="58" customWidth="1"/>
    <col min="3" max="4" width="15.85546875" style="59" customWidth="1"/>
    <col min="5" max="5" width="14.85546875" style="60" customWidth="1"/>
    <col min="6" max="6" width="14.7109375" style="59" customWidth="1"/>
    <col min="7" max="7" width="4.140625" customWidth="1"/>
    <col min="8" max="10" width="10.5703125" style="61" customWidth="1"/>
    <col min="11" max="11" width="10.28515625" style="61" customWidth="1"/>
    <col min="12" max="13" width="10.5703125" style="61" customWidth="1"/>
    <col min="14" max="31" width="13.42578125" style="59" customWidth="1"/>
    <col min="32" max="32" width="11.140625" style="62" customWidth="1"/>
    <col min="33" max="33" width="13.42578125" style="62" customWidth="1"/>
    <col min="34" max="34" width="13" style="62" customWidth="1"/>
    <col min="35" max="37" width="11.5703125" style="62" customWidth="1"/>
    <col min="38" max="43" width="10.5703125" style="61" customWidth="1"/>
    <col min="44" max="44" width="11.7109375" style="61" customWidth="1"/>
    <col min="45" max="45" width="11.5703125" style="59" customWidth="1"/>
    <col min="46" max="46" width="11.28515625" style="59" customWidth="1"/>
    <col min="47" max="47" width="13" style="59" customWidth="1"/>
    <col min="48" max="48" width="17.140625" style="59" customWidth="1"/>
    <col min="49" max="49" width="15.42578125" style="59" customWidth="1"/>
    <col min="50" max="50" width="14.7109375" style="62" customWidth="1"/>
    <col min="51" max="52" width="13.85546875" style="62" customWidth="1"/>
    <col min="53" max="53" width="14.7109375" style="62" customWidth="1"/>
    <col min="54" max="55" width="13.85546875" style="62" customWidth="1"/>
    <col min="56" max="56" width="14.85546875" style="58" customWidth="1"/>
    <col min="57" max="57" width="15.7109375" style="58" customWidth="1"/>
    <col min="58" max="63" width="11.85546875" style="58" customWidth="1"/>
    <col min="64" max="64" width="12.85546875" style="58" customWidth="1"/>
    <col min="65" max="74" width="8.85546875" style="58" customWidth="1"/>
    <col min="75" max="75" width="30.28515625" style="58" bestFit="1" customWidth="1"/>
    <col min="76" max="76" width="20.7109375" style="58" customWidth="1"/>
    <col min="77" max="77" width="13.42578125" style="58" customWidth="1"/>
    <col min="78" max="78" width="8.85546875" style="58" customWidth="1"/>
    <col min="79" max="79" width="11.7109375" style="58" bestFit="1" customWidth="1"/>
    <col min="80" max="247" width="8.85546875" style="58" customWidth="1"/>
    <col min="248" max="248" width="29.7109375" style="58" customWidth="1"/>
    <col min="249" max="251" width="14.28515625" style="58" customWidth="1"/>
    <col min="252" max="252" width="2.7109375" style="58" customWidth="1"/>
    <col min="253" max="256" width="14.28515625" style="58"/>
    <col min="257" max="257" width="9.28515625" style="58" bestFit="1" customWidth="1"/>
    <col min="258" max="258" width="48.140625" style="58" customWidth="1"/>
    <col min="259" max="259" width="15.85546875" style="58" bestFit="1" customWidth="1"/>
    <col min="260" max="260" width="14.85546875" style="58" bestFit="1" customWidth="1"/>
    <col min="261" max="261" width="14.7109375" style="58" bestFit="1" customWidth="1"/>
    <col min="262" max="262" width="2.7109375" style="58" customWidth="1"/>
    <col min="263" max="263" width="15.85546875" style="58" bestFit="1" customWidth="1"/>
    <col min="264" max="265" width="14.5703125" style="58" bestFit="1" customWidth="1"/>
    <col min="266" max="266" width="2.7109375" style="58" customWidth="1"/>
    <col min="267" max="267" width="15.7109375" style="58" bestFit="1" customWidth="1"/>
    <col min="268" max="268" width="13.7109375" style="58" bestFit="1" customWidth="1"/>
    <col min="269" max="269" width="13.42578125" style="58" bestFit="1" customWidth="1"/>
    <col min="270" max="280" width="10.5703125" style="58" bestFit="1" customWidth="1"/>
    <col min="281" max="281" width="13.5703125" style="58" customWidth="1"/>
    <col min="282" max="282" width="16.5703125" style="58" customWidth="1"/>
    <col min="283" max="283" width="14.42578125" style="58" customWidth="1"/>
    <col min="284" max="284" width="13.28515625" style="58" bestFit="1" customWidth="1"/>
    <col min="285" max="285" width="13.42578125" style="58" bestFit="1" customWidth="1"/>
    <col min="286" max="286" width="13" style="58" customWidth="1"/>
    <col min="287" max="287" width="11.5703125" style="58" customWidth="1"/>
    <col min="288" max="288" width="13.140625" style="58" customWidth="1"/>
    <col min="289" max="290" width="11.5703125" style="58" customWidth="1"/>
    <col min="291" max="291" width="12.42578125" style="58" customWidth="1"/>
    <col min="292" max="292" width="13.5703125" style="58" customWidth="1"/>
    <col min="293" max="293" width="13.140625" style="58" bestFit="1" customWidth="1"/>
    <col min="294" max="294" width="18.85546875" style="58" customWidth="1"/>
    <col min="295" max="296" width="14.140625" style="58" customWidth="1"/>
    <col min="297" max="297" width="13.85546875" style="58" customWidth="1"/>
    <col min="298" max="298" width="14.140625" style="58" customWidth="1"/>
    <col min="299" max="299" width="13.7109375" style="58" customWidth="1"/>
    <col min="300" max="300" width="17.140625" style="58" customWidth="1"/>
    <col min="301" max="301" width="15.42578125" style="58" customWidth="1"/>
    <col min="302" max="302" width="18" style="58" customWidth="1"/>
    <col min="303" max="303" width="13.7109375" style="58" bestFit="1" customWidth="1"/>
    <col min="304" max="304" width="14.140625" style="58" bestFit="1" customWidth="1"/>
    <col min="305" max="305" width="14" style="58" bestFit="1" customWidth="1"/>
    <col min="306" max="306" width="14.85546875" style="58" bestFit="1" customWidth="1"/>
    <col min="307" max="307" width="15.7109375" style="58" customWidth="1"/>
    <col min="308" max="308" width="5.85546875" style="58" customWidth="1"/>
    <col min="309" max="309" width="9.28515625" style="58" customWidth="1"/>
    <col min="310" max="310" width="14.85546875" style="58" customWidth="1"/>
    <col min="311" max="311" width="12.85546875" style="58" bestFit="1" customWidth="1"/>
    <col min="312" max="312" width="12.85546875" style="58" customWidth="1"/>
    <col min="313" max="330" width="8.85546875" style="58" customWidth="1"/>
    <col min="331" max="331" width="30.28515625" style="58" bestFit="1" customWidth="1"/>
    <col min="332" max="332" width="20.7109375" style="58" customWidth="1"/>
    <col min="333" max="333" width="13.42578125" style="58" customWidth="1"/>
    <col min="334" max="334" width="8.85546875" style="58" customWidth="1"/>
    <col min="335" max="335" width="11.7109375" style="58" bestFit="1" customWidth="1"/>
    <col min="336" max="503" width="8.85546875" style="58" customWidth="1"/>
    <col min="504" max="504" width="29.7109375" style="58" customWidth="1"/>
    <col min="505" max="507" width="14.28515625" style="58" customWidth="1"/>
    <col min="508" max="508" width="2.7109375" style="58" customWidth="1"/>
    <col min="509" max="512" width="14.28515625" style="58"/>
    <col min="513" max="513" width="9.28515625" style="58" bestFit="1" customWidth="1"/>
    <col min="514" max="514" width="48.140625" style="58" customWidth="1"/>
    <col min="515" max="515" width="15.85546875" style="58" bestFit="1" customWidth="1"/>
    <col min="516" max="516" width="14.85546875" style="58" bestFit="1" customWidth="1"/>
    <col min="517" max="517" width="14.7109375" style="58" bestFit="1" customWidth="1"/>
    <col min="518" max="518" width="2.7109375" style="58" customWidth="1"/>
    <col min="519" max="519" width="15.85546875" style="58" bestFit="1" customWidth="1"/>
    <col min="520" max="521" width="14.5703125" style="58" bestFit="1" customWidth="1"/>
    <col min="522" max="522" width="2.7109375" style="58" customWidth="1"/>
    <col min="523" max="523" width="15.7109375" style="58" bestFit="1" customWidth="1"/>
    <col min="524" max="524" width="13.7109375" style="58" bestFit="1" customWidth="1"/>
    <col min="525" max="525" width="13.42578125" style="58" bestFit="1" customWidth="1"/>
    <col min="526" max="536" width="10.5703125" style="58" bestFit="1" customWidth="1"/>
    <col min="537" max="537" width="13.5703125" style="58" customWidth="1"/>
    <col min="538" max="538" width="16.5703125" style="58" customWidth="1"/>
    <col min="539" max="539" width="14.42578125" style="58" customWidth="1"/>
    <col min="540" max="540" width="13.28515625" style="58" bestFit="1" customWidth="1"/>
    <col min="541" max="541" width="13.42578125" style="58" bestFit="1" customWidth="1"/>
    <col min="542" max="542" width="13" style="58" customWidth="1"/>
    <col min="543" max="543" width="11.5703125" style="58" customWidth="1"/>
    <col min="544" max="544" width="13.140625" style="58" customWidth="1"/>
    <col min="545" max="546" width="11.5703125" style="58" customWidth="1"/>
    <col min="547" max="547" width="12.42578125" style="58" customWidth="1"/>
    <col min="548" max="548" width="13.5703125" style="58" customWidth="1"/>
    <col min="549" max="549" width="13.140625" style="58" bestFit="1" customWidth="1"/>
    <col min="550" max="550" width="18.85546875" style="58" customWidth="1"/>
    <col min="551" max="552" width="14.140625" style="58" customWidth="1"/>
    <col min="553" max="553" width="13.85546875" style="58" customWidth="1"/>
    <col min="554" max="554" width="14.140625" style="58" customWidth="1"/>
    <col min="555" max="555" width="13.7109375" style="58" customWidth="1"/>
    <col min="556" max="556" width="17.140625" style="58" customWidth="1"/>
    <col min="557" max="557" width="15.42578125" style="58" customWidth="1"/>
    <col min="558" max="558" width="18" style="58" customWidth="1"/>
    <col min="559" max="559" width="13.7109375" style="58" bestFit="1" customWidth="1"/>
    <col min="560" max="560" width="14.140625" style="58" bestFit="1" customWidth="1"/>
    <col min="561" max="561" width="14" style="58" bestFit="1" customWidth="1"/>
    <col min="562" max="562" width="14.85546875" style="58" bestFit="1" customWidth="1"/>
    <col min="563" max="563" width="15.7109375" style="58" customWidth="1"/>
    <col min="564" max="564" width="5.85546875" style="58" customWidth="1"/>
    <col min="565" max="565" width="9.28515625" style="58" customWidth="1"/>
    <col min="566" max="566" width="14.85546875" style="58" customWidth="1"/>
    <col min="567" max="567" width="12.85546875" style="58" bestFit="1" customWidth="1"/>
    <col min="568" max="568" width="12.85546875" style="58" customWidth="1"/>
    <col min="569" max="586" width="8.85546875" style="58" customWidth="1"/>
    <col min="587" max="587" width="30.28515625" style="58" bestFit="1" customWidth="1"/>
    <col min="588" max="588" width="20.7109375" style="58" customWidth="1"/>
    <col min="589" max="589" width="13.42578125" style="58" customWidth="1"/>
    <col min="590" max="590" width="8.85546875" style="58" customWidth="1"/>
    <col min="591" max="591" width="11.7109375" style="58" bestFit="1" customWidth="1"/>
    <col min="592" max="759" width="8.85546875" style="58" customWidth="1"/>
    <col min="760" max="760" width="29.7109375" style="58" customWidth="1"/>
    <col min="761" max="763" width="14.28515625" style="58" customWidth="1"/>
    <col min="764" max="764" width="2.7109375" style="58" customWidth="1"/>
    <col min="765" max="768" width="14.28515625" style="58"/>
    <col min="769" max="769" width="9.28515625" style="58" bestFit="1" customWidth="1"/>
    <col min="770" max="770" width="48.140625" style="58" customWidth="1"/>
    <col min="771" max="771" width="15.85546875" style="58" bestFit="1" customWidth="1"/>
    <col min="772" max="772" width="14.85546875" style="58" bestFit="1" customWidth="1"/>
    <col min="773" max="773" width="14.7109375" style="58" bestFit="1" customWidth="1"/>
    <col min="774" max="774" width="2.7109375" style="58" customWidth="1"/>
    <col min="775" max="775" width="15.85546875" style="58" bestFit="1" customWidth="1"/>
    <col min="776" max="777" width="14.5703125" style="58" bestFit="1" customWidth="1"/>
    <col min="778" max="778" width="2.7109375" style="58" customWidth="1"/>
    <col min="779" max="779" width="15.7109375" style="58" bestFit="1" customWidth="1"/>
    <col min="780" max="780" width="13.7109375" style="58" bestFit="1" customWidth="1"/>
    <col min="781" max="781" width="13.42578125" style="58" bestFit="1" customWidth="1"/>
    <col min="782" max="792" width="10.5703125" style="58" bestFit="1" customWidth="1"/>
    <col min="793" max="793" width="13.5703125" style="58" customWidth="1"/>
    <col min="794" max="794" width="16.5703125" style="58" customWidth="1"/>
    <col min="795" max="795" width="14.42578125" style="58" customWidth="1"/>
    <col min="796" max="796" width="13.28515625" style="58" bestFit="1" customWidth="1"/>
    <col min="797" max="797" width="13.42578125" style="58" bestFit="1" customWidth="1"/>
    <col min="798" max="798" width="13" style="58" customWidth="1"/>
    <col min="799" max="799" width="11.5703125" style="58" customWidth="1"/>
    <col min="800" max="800" width="13.140625" style="58" customWidth="1"/>
    <col min="801" max="802" width="11.5703125" style="58" customWidth="1"/>
    <col min="803" max="803" width="12.42578125" style="58" customWidth="1"/>
    <col min="804" max="804" width="13.5703125" style="58" customWidth="1"/>
    <col min="805" max="805" width="13.140625" style="58" bestFit="1" customWidth="1"/>
    <col min="806" max="806" width="18.85546875" style="58" customWidth="1"/>
    <col min="807" max="808" width="14.140625" style="58" customWidth="1"/>
    <col min="809" max="809" width="13.85546875" style="58" customWidth="1"/>
    <col min="810" max="810" width="14.140625" style="58" customWidth="1"/>
    <col min="811" max="811" width="13.7109375" style="58" customWidth="1"/>
    <col min="812" max="812" width="17.140625" style="58" customWidth="1"/>
    <col min="813" max="813" width="15.42578125" style="58" customWidth="1"/>
    <col min="814" max="814" width="18" style="58" customWidth="1"/>
    <col min="815" max="815" width="13.7109375" style="58" bestFit="1" customWidth="1"/>
    <col min="816" max="816" width="14.140625" style="58" bestFit="1" customWidth="1"/>
    <col min="817" max="817" width="14" style="58" bestFit="1" customWidth="1"/>
    <col min="818" max="818" width="14.85546875" style="58" bestFit="1" customWidth="1"/>
    <col min="819" max="819" width="15.7109375" style="58" customWidth="1"/>
    <col min="820" max="820" width="5.85546875" style="58" customWidth="1"/>
    <col min="821" max="821" width="9.28515625" style="58" customWidth="1"/>
    <col min="822" max="822" width="14.85546875" style="58" customWidth="1"/>
    <col min="823" max="823" width="12.85546875" style="58" bestFit="1" customWidth="1"/>
    <col min="824" max="824" width="12.85546875" style="58" customWidth="1"/>
    <col min="825" max="842" width="8.85546875" style="58" customWidth="1"/>
    <col min="843" max="843" width="30.28515625" style="58" bestFit="1" customWidth="1"/>
    <col min="844" max="844" width="20.7109375" style="58" customWidth="1"/>
    <col min="845" max="845" width="13.42578125" style="58" customWidth="1"/>
    <col min="846" max="846" width="8.85546875" style="58" customWidth="1"/>
    <col min="847" max="847" width="11.7109375" style="58" bestFit="1" customWidth="1"/>
    <col min="848" max="1015" width="8.85546875" style="58" customWidth="1"/>
    <col min="1016" max="1016" width="29.7109375" style="58" customWidth="1"/>
    <col min="1017" max="1019" width="14.28515625" style="58" customWidth="1"/>
    <col min="1020" max="1020" width="2.7109375" style="58" customWidth="1"/>
    <col min="1021" max="1024" width="14.28515625" style="58"/>
    <col min="1025" max="1025" width="9.28515625" style="58" bestFit="1" customWidth="1"/>
    <col min="1026" max="1026" width="48.140625" style="58" customWidth="1"/>
    <col min="1027" max="1027" width="15.85546875" style="58" bestFit="1" customWidth="1"/>
    <col min="1028" max="1028" width="14.85546875" style="58" bestFit="1" customWidth="1"/>
    <col min="1029" max="1029" width="14.7109375" style="58" bestFit="1" customWidth="1"/>
    <col min="1030" max="1030" width="2.7109375" style="58" customWidth="1"/>
    <col min="1031" max="1031" width="15.85546875" style="58" bestFit="1" customWidth="1"/>
    <col min="1032" max="1033" width="14.5703125" style="58" bestFit="1" customWidth="1"/>
    <col min="1034" max="1034" width="2.7109375" style="58" customWidth="1"/>
    <col min="1035" max="1035" width="15.7109375" style="58" bestFit="1" customWidth="1"/>
    <col min="1036" max="1036" width="13.7109375" style="58" bestFit="1" customWidth="1"/>
    <col min="1037" max="1037" width="13.42578125" style="58" bestFit="1" customWidth="1"/>
    <col min="1038" max="1048" width="10.5703125" style="58" bestFit="1" customWidth="1"/>
    <col min="1049" max="1049" width="13.5703125" style="58" customWidth="1"/>
    <col min="1050" max="1050" width="16.5703125" style="58" customWidth="1"/>
    <col min="1051" max="1051" width="14.42578125" style="58" customWidth="1"/>
    <col min="1052" max="1052" width="13.28515625" style="58" bestFit="1" customWidth="1"/>
    <col min="1053" max="1053" width="13.42578125" style="58" bestFit="1" customWidth="1"/>
    <col min="1054" max="1054" width="13" style="58" customWidth="1"/>
    <col min="1055" max="1055" width="11.5703125" style="58" customWidth="1"/>
    <col min="1056" max="1056" width="13.140625" style="58" customWidth="1"/>
    <col min="1057" max="1058" width="11.5703125" style="58" customWidth="1"/>
    <col min="1059" max="1059" width="12.42578125" style="58" customWidth="1"/>
    <col min="1060" max="1060" width="13.5703125" style="58" customWidth="1"/>
    <col min="1061" max="1061" width="13.140625" style="58" bestFit="1" customWidth="1"/>
    <col min="1062" max="1062" width="18.85546875" style="58" customWidth="1"/>
    <col min="1063" max="1064" width="14.140625" style="58" customWidth="1"/>
    <col min="1065" max="1065" width="13.85546875" style="58" customWidth="1"/>
    <col min="1066" max="1066" width="14.140625" style="58" customWidth="1"/>
    <col min="1067" max="1067" width="13.7109375" style="58" customWidth="1"/>
    <col min="1068" max="1068" width="17.140625" style="58" customWidth="1"/>
    <col min="1069" max="1069" width="15.42578125" style="58" customWidth="1"/>
    <col min="1070" max="1070" width="18" style="58" customWidth="1"/>
    <col min="1071" max="1071" width="13.7109375" style="58" bestFit="1" customWidth="1"/>
    <col min="1072" max="1072" width="14.140625" style="58" bestFit="1" customWidth="1"/>
    <col min="1073" max="1073" width="14" style="58" bestFit="1" customWidth="1"/>
    <col min="1074" max="1074" width="14.85546875" style="58" bestFit="1" customWidth="1"/>
    <col min="1075" max="1075" width="15.7109375" style="58" customWidth="1"/>
    <col min="1076" max="1076" width="5.85546875" style="58" customWidth="1"/>
    <col min="1077" max="1077" width="9.28515625" style="58" customWidth="1"/>
    <col min="1078" max="1078" width="14.85546875" style="58" customWidth="1"/>
    <col min="1079" max="1079" width="12.85546875" style="58" bestFit="1" customWidth="1"/>
    <col min="1080" max="1080" width="12.85546875" style="58" customWidth="1"/>
    <col min="1081" max="1098" width="8.85546875" style="58" customWidth="1"/>
    <col min="1099" max="1099" width="30.28515625" style="58" bestFit="1" customWidth="1"/>
    <col min="1100" max="1100" width="20.7109375" style="58" customWidth="1"/>
    <col min="1101" max="1101" width="13.42578125" style="58" customWidth="1"/>
    <col min="1102" max="1102" width="8.85546875" style="58" customWidth="1"/>
    <col min="1103" max="1103" width="11.7109375" style="58" bestFit="1" customWidth="1"/>
    <col min="1104" max="1271" width="8.85546875" style="58" customWidth="1"/>
    <col min="1272" max="1272" width="29.7109375" style="58" customWidth="1"/>
    <col min="1273" max="1275" width="14.28515625" style="58" customWidth="1"/>
    <col min="1276" max="1276" width="2.7109375" style="58" customWidth="1"/>
    <col min="1277" max="1280" width="14.28515625" style="58"/>
    <col min="1281" max="1281" width="9.28515625" style="58" bestFit="1" customWidth="1"/>
    <col min="1282" max="1282" width="48.140625" style="58" customWidth="1"/>
    <col min="1283" max="1283" width="15.85546875" style="58" bestFit="1" customWidth="1"/>
    <col min="1284" max="1284" width="14.85546875" style="58" bestFit="1" customWidth="1"/>
    <col min="1285" max="1285" width="14.7109375" style="58" bestFit="1" customWidth="1"/>
    <col min="1286" max="1286" width="2.7109375" style="58" customWidth="1"/>
    <col min="1287" max="1287" width="15.85546875" style="58" bestFit="1" customWidth="1"/>
    <col min="1288" max="1289" width="14.5703125" style="58" bestFit="1" customWidth="1"/>
    <col min="1290" max="1290" width="2.7109375" style="58" customWidth="1"/>
    <col min="1291" max="1291" width="15.7109375" style="58" bestFit="1" customWidth="1"/>
    <col min="1292" max="1292" width="13.7109375" style="58" bestFit="1" customWidth="1"/>
    <col min="1293" max="1293" width="13.42578125" style="58" bestFit="1" customWidth="1"/>
    <col min="1294" max="1304" width="10.5703125" style="58" bestFit="1" customWidth="1"/>
    <col min="1305" max="1305" width="13.5703125" style="58" customWidth="1"/>
    <col min="1306" max="1306" width="16.5703125" style="58" customWidth="1"/>
    <col min="1307" max="1307" width="14.42578125" style="58" customWidth="1"/>
    <col min="1308" max="1308" width="13.28515625" style="58" bestFit="1" customWidth="1"/>
    <col min="1309" max="1309" width="13.42578125" style="58" bestFit="1" customWidth="1"/>
    <col min="1310" max="1310" width="13" style="58" customWidth="1"/>
    <col min="1311" max="1311" width="11.5703125" style="58" customWidth="1"/>
    <col min="1312" max="1312" width="13.140625" style="58" customWidth="1"/>
    <col min="1313" max="1314" width="11.5703125" style="58" customWidth="1"/>
    <col min="1315" max="1315" width="12.42578125" style="58" customWidth="1"/>
    <col min="1316" max="1316" width="13.5703125" style="58" customWidth="1"/>
    <col min="1317" max="1317" width="13.140625" style="58" bestFit="1" customWidth="1"/>
    <col min="1318" max="1318" width="18.85546875" style="58" customWidth="1"/>
    <col min="1319" max="1320" width="14.140625" style="58" customWidth="1"/>
    <col min="1321" max="1321" width="13.85546875" style="58" customWidth="1"/>
    <col min="1322" max="1322" width="14.140625" style="58" customWidth="1"/>
    <col min="1323" max="1323" width="13.7109375" style="58" customWidth="1"/>
    <col min="1324" max="1324" width="17.140625" style="58" customWidth="1"/>
    <col min="1325" max="1325" width="15.42578125" style="58" customWidth="1"/>
    <col min="1326" max="1326" width="18" style="58" customWidth="1"/>
    <col min="1327" max="1327" width="13.7109375" style="58" bestFit="1" customWidth="1"/>
    <col min="1328" max="1328" width="14.140625" style="58" bestFit="1" customWidth="1"/>
    <col min="1329" max="1329" width="14" style="58" bestFit="1" customWidth="1"/>
    <col min="1330" max="1330" width="14.85546875" style="58" bestFit="1" customWidth="1"/>
    <col min="1331" max="1331" width="15.7109375" style="58" customWidth="1"/>
    <col min="1332" max="1332" width="5.85546875" style="58" customWidth="1"/>
    <col min="1333" max="1333" width="9.28515625" style="58" customWidth="1"/>
    <col min="1334" max="1334" width="14.85546875" style="58" customWidth="1"/>
    <col min="1335" max="1335" width="12.85546875" style="58" bestFit="1" customWidth="1"/>
    <col min="1336" max="1336" width="12.85546875" style="58" customWidth="1"/>
    <col min="1337" max="1354" width="8.85546875" style="58" customWidth="1"/>
    <col min="1355" max="1355" width="30.28515625" style="58" bestFit="1" customWidth="1"/>
    <col min="1356" max="1356" width="20.7109375" style="58" customWidth="1"/>
    <col min="1357" max="1357" width="13.42578125" style="58" customWidth="1"/>
    <col min="1358" max="1358" width="8.85546875" style="58" customWidth="1"/>
    <col min="1359" max="1359" width="11.7109375" style="58" bestFit="1" customWidth="1"/>
    <col min="1360" max="1527" width="8.85546875" style="58" customWidth="1"/>
    <col min="1528" max="1528" width="29.7109375" style="58" customWidth="1"/>
    <col min="1529" max="1531" width="14.28515625" style="58" customWidth="1"/>
    <col min="1532" max="1532" width="2.7109375" style="58" customWidth="1"/>
    <col min="1533" max="1536" width="14.28515625" style="58"/>
    <col min="1537" max="1537" width="9.28515625" style="58" bestFit="1" customWidth="1"/>
    <col min="1538" max="1538" width="48.140625" style="58" customWidth="1"/>
    <col min="1539" max="1539" width="15.85546875" style="58" bestFit="1" customWidth="1"/>
    <col min="1540" max="1540" width="14.85546875" style="58" bestFit="1" customWidth="1"/>
    <col min="1541" max="1541" width="14.7109375" style="58" bestFit="1" customWidth="1"/>
    <col min="1542" max="1542" width="2.7109375" style="58" customWidth="1"/>
    <col min="1543" max="1543" width="15.85546875" style="58" bestFit="1" customWidth="1"/>
    <col min="1544" max="1545" width="14.5703125" style="58" bestFit="1" customWidth="1"/>
    <col min="1546" max="1546" width="2.7109375" style="58" customWidth="1"/>
    <col min="1547" max="1547" width="15.7109375" style="58" bestFit="1" customWidth="1"/>
    <col min="1548" max="1548" width="13.7109375" style="58" bestFit="1" customWidth="1"/>
    <col min="1549" max="1549" width="13.42578125" style="58" bestFit="1" customWidth="1"/>
    <col min="1550" max="1560" width="10.5703125" style="58" bestFit="1" customWidth="1"/>
    <col min="1561" max="1561" width="13.5703125" style="58" customWidth="1"/>
    <col min="1562" max="1562" width="16.5703125" style="58" customWidth="1"/>
    <col min="1563" max="1563" width="14.42578125" style="58" customWidth="1"/>
    <col min="1564" max="1564" width="13.28515625" style="58" bestFit="1" customWidth="1"/>
    <col min="1565" max="1565" width="13.42578125" style="58" bestFit="1" customWidth="1"/>
    <col min="1566" max="1566" width="13" style="58" customWidth="1"/>
    <col min="1567" max="1567" width="11.5703125" style="58" customWidth="1"/>
    <col min="1568" max="1568" width="13.140625" style="58" customWidth="1"/>
    <col min="1569" max="1570" width="11.5703125" style="58" customWidth="1"/>
    <col min="1571" max="1571" width="12.42578125" style="58" customWidth="1"/>
    <col min="1572" max="1572" width="13.5703125" style="58" customWidth="1"/>
    <col min="1573" max="1573" width="13.140625" style="58" bestFit="1" customWidth="1"/>
    <col min="1574" max="1574" width="18.85546875" style="58" customWidth="1"/>
    <col min="1575" max="1576" width="14.140625" style="58" customWidth="1"/>
    <col min="1577" max="1577" width="13.85546875" style="58" customWidth="1"/>
    <col min="1578" max="1578" width="14.140625" style="58" customWidth="1"/>
    <col min="1579" max="1579" width="13.7109375" style="58" customWidth="1"/>
    <col min="1580" max="1580" width="17.140625" style="58" customWidth="1"/>
    <col min="1581" max="1581" width="15.42578125" style="58" customWidth="1"/>
    <col min="1582" max="1582" width="18" style="58" customWidth="1"/>
    <col min="1583" max="1583" width="13.7109375" style="58" bestFit="1" customWidth="1"/>
    <col min="1584" max="1584" width="14.140625" style="58" bestFit="1" customWidth="1"/>
    <col min="1585" max="1585" width="14" style="58" bestFit="1" customWidth="1"/>
    <col min="1586" max="1586" width="14.85546875" style="58" bestFit="1" customWidth="1"/>
    <col min="1587" max="1587" width="15.7109375" style="58" customWidth="1"/>
    <col min="1588" max="1588" width="5.85546875" style="58" customWidth="1"/>
    <col min="1589" max="1589" width="9.28515625" style="58" customWidth="1"/>
    <col min="1590" max="1590" width="14.85546875" style="58" customWidth="1"/>
    <col min="1591" max="1591" width="12.85546875" style="58" bestFit="1" customWidth="1"/>
    <col min="1592" max="1592" width="12.85546875" style="58" customWidth="1"/>
    <col min="1593" max="1610" width="8.85546875" style="58" customWidth="1"/>
    <col min="1611" max="1611" width="30.28515625" style="58" bestFit="1" customWidth="1"/>
    <col min="1612" max="1612" width="20.7109375" style="58" customWidth="1"/>
    <col min="1613" max="1613" width="13.42578125" style="58" customWidth="1"/>
    <col min="1614" max="1614" width="8.85546875" style="58" customWidth="1"/>
    <col min="1615" max="1615" width="11.7109375" style="58" bestFit="1" customWidth="1"/>
    <col min="1616" max="1783" width="8.85546875" style="58" customWidth="1"/>
    <col min="1784" max="1784" width="29.7109375" style="58" customWidth="1"/>
    <col min="1785" max="1787" width="14.28515625" style="58" customWidth="1"/>
    <col min="1788" max="1788" width="2.7109375" style="58" customWidth="1"/>
    <col min="1789" max="1792" width="14.28515625" style="58"/>
    <col min="1793" max="1793" width="9.28515625" style="58" bestFit="1" customWidth="1"/>
    <col min="1794" max="1794" width="48.140625" style="58" customWidth="1"/>
    <col min="1795" max="1795" width="15.85546875" style="58" bestFit="1" customWidth="1"/>
    <col min="1796" max="1796" width="14.85546875" style="58" bestFit="1" customWidth="1"/>
    <col min="1797" max="1797" width="14.7109375" style="58" bestFit="1" customWidth="1"/>
    <col min="1798" max="1798" width="2.7109375" style="58" customWidth="1"/>
    <col min="1799" max="1799" width="15.85546875" style="58" bestFit="1" customWidth="1"/>
    <col min="1800" max="1801" width="14.5703125" style="58" bestFit="1" customWidth="1"/>
    <col min="1802" max="1802" width="2.7109375" style="58" customWidth="1"/>
    <col min="1803" max="1803" width="15.7109375" style="58" bestFit="1" customWidth="1"/>
    <col min="1804" max="1804" width="13.7109375" style="58" bestFit="1" customWidth="1"/>
    <col min="1805" max="1805" width="13.42578125" style="58" bestFit="1" customWidth="1"/>
    <col min="1806" max="1816" width="10.5703125" style="58" bestFit="1" customWidth="1"/>
    <col min="1817" max="1817" width="13.5703125" style="58" customWidth="1"/>
    <col min="1818" max="1818" width="16.5703125" style="58" customWidth="1"/>
    <col min="1819" max="1819" width="14.42578125" style="58" customWidth="1"/>
    <col min="1820" max="1820" width="13.28515625" style="58" bestFit="1" customWidth="1"/>
    <col min="1821" max="1821" width="13.42578125" style="58" bestFit="1" customWidth="1"/>
    <col min="1822" max="1822" width="13" style="58" customWidth="1"/>
    <col min="1823" max="1823" width="11.5703125" style="58" customWidth="1"/>
    <col min="1824" max="1824" width="13.140625" style="58" customWidth="1"/>
    <col min="1825" max="1826" width="11.5703125" style="58" customWidth="1"/>
    <col min="1827" max="1827" width="12.42578125" style="58" customWidth="1"/>
    <col min="1828" max="1828" width="13.5703125" style="58" customWidth="1"/>
    <col min="1829" max="1829" width="13.140625" style="58" bestFit="1" customWidth="1"/>
    <col min="1830" max="1830" width="18.85546875" style="58" customWidth="1"/>
    <col min="1831" max="1832" width="14.140625" style="58" customWidth="1"/>
    <col min="1833" max="1833" width="13.85546875" style="58" customWidth="1"/>
    <col min="1834" max="1834" width="14.140625" style="58" customWidth="1"/>
    <col min="1835" max="1835" width="13.7109375" style="58" customWidth="1"/>
    <col min="1836" max="1836" width="17.140625" style="58" customWidth="1"/>
    <col min="1837" max="1837" width="15.42578125" style="58" customWidth="1"/>
    <col min="1838" max="1838" width="18" style="58" customWidth="1"/>
    <col min="1839" max="1839" width="13.7109375" style="58" bestFit="1" customWidth="1"/>
    <col min="1840" max="1840" width="14.140625" style="58" bestFit="1" customWidth="1"/>
    <col min="1841" max="1841" width="14" style="58" bestFit="1" customWidth="1"/>
    <col min="1842" max="1842" width="14.85546875" style="58" bestFit="1" customWidth="1"/>
    <col min="1843" max="1843" width="15.7109375" style="58" customWidth="1"/>
    <col min="1844" max="1844" width="5.85546875" style="58" customWidth="1"/>
    <col min="1845" max="1845" width="9.28515625" style="58" customWidth="1"/>
    <col min="1846" max="1846" width="14.85546875" style="58" customWidth="1"/>
    <col min="1847" max="1847" width="12.85546875" style="58" bestFit="1" customWidth="1"/>
    <col min="1848" max="1848" width="12.85546875" style="58" customWidth="1"/>
    <col min="1849" max="1866" width="8.85546875" style="58" customWidth="1"/>
    <col min="1867" max="1867" width="30.28515625" style="58" bestFit="1" customWidth="1"/>
    <col min="1868" max="1868" width="20.7109375" style="58" customWidth="1"/>
    <col min="1869" max="1869" width="13.42578125" style="58" customWidth="1"/>
    <col min="1870" max="1870" width="8.85546875" style="58" customWidth="1"/>
    <col min="1871" max="1871" width="11.7109375" style="58" bestFit="1" customWidth="1"/>
    <col min="1872" max="2039" width="8.85546875" style="58" customWidth="1"/>
    <col min="2040" max="2040" width="29.7109375" style="58" customWidth="1"/>
    <col min="2041" max="2043" width="14.28515625" style="58" customWidth="1"/>
    <col min="2044" max="2044" width="2.7109375" style="58" customWidth="1"/>
    <col min="2045" max="2048" width="14.28515625" style="58"/>
    <col min="2049" max="2049" width="9.28515625" style="58" bestFit="1" customWidth="1"/>
    <col min="2050" max="2050" width="48.140625" style="58" customWidth="1"/>
    <col min="2051" max="2051" width="15.85546875" style="58" bestFit="1" customWidth="1"/>
    <col min="2052" max="2052" width="14.85546875" style="58" bestFit="1" customWidth="1"/>
    <col min="2053" max="2053" width="14.7109375" style="58" bestFit="1" customWidth="1"/>
    <col min="2054" max="2054" width="2.7109375" style="58" customWidth="1"/>
    <col min="2055" max="2055" width="15.85546875" style="58" bestFit="1" customWidth="1"/>
    <col min="2056" max="2057" width="14.5703125" style="58" bestFit="1" customWidth="1"/>
    <col min="2058" max="2058" width="2.7109375" style="58" customWidth="1"/>
    <col min="2059" max="2059" width="15.7109375" style="58" bestFit="1" customWidth="1"/>
    <col min="2060" max="2060" width="13.7109375" style="58" bestFit="1" customWidth="1"/>
    <col min="2061" max="2061" width="13.42578125" style="58" bestFit="1" customWidth="1"/>
    <col min="2062" max="2072" width="10.5703125" style="58" bestFit="1" customWidth="1"/>
    <col min="2073" max="2073" width="13.5703125" style="58" customWidth="1"/>
    <col min="2074" max="2074" width="16.5703125" style="58" customWidth="1"/>
    <col min="2075" max="2075" width="14.42578125" style="58" customWidth="1"/>
    <col min="2076" max="2076" width="13.28515625" style="58" bestFit="1" customWidth="1"/>
    <col min="2077" max="2077" width="13.42578125" style="58" bestFit="1" customWidth="1"/>
    <col min="2078" max="2078" width="13" style="58" customWidth="1"/>
    <col min="2079" max="2079" width="11.5703125" style="58" customWidth="1"/>
    <col min="2080" max="2080" width="13.140625" style="58" customWidth="1"/>
    <col min="2081" max="2082" width="11.5703125" style="58" customWidth="1"/>
    <col min="2083" max="2083" width="12.42578125" style="58" customWidth="1"/>
    <col min="2084" max="2084" width="13.5703125" style="58" customWidth="1"/>
    <col min="2085" max="2085" width="13.140625" style="58" bestFit="1" customWidth="1"/>
    <col min="2086" max="2086" width="18.85546875" style="58" customWidth="1"/>
    <col min="2087" max="2088" width="14.140625" style="58" customWidth="1"/>
    <col min="2089" max="2089" width="13.85546875" style="58" customWidth="1"/>
    <col min="2090" max="2090" width="14.140625" style="58" customWidth="1"/>
    <col min="2091" max="2091" width="13.7109375" style="58" customWidth="1"/>
    <col min="2092" max="2092" width="17.140625" style="58" customWidth="1"/>
    <col min="2093" max="2093" width="15.42578125" style="58" customWidth="1"/>
    <col min="2094" max="2094" width="18" style="58" customWidth="1"/>
    <col min="2095" max="2095" width="13.7109375" style="58" bestFit="1" customWidth="1"/>
    <col min="2096" max="2096" width="14.140625" style="58" bestFit="1" customWidth="1"/>
    <col min="2097" max="2097" width="14" style="58" bestFit="1" customWidth="1"/>
    <col min="2098" max="2098" width="14.85546875" style="58" bestFit="1" customWidth="1"/>
    <col min="2099" max="2099" width="15.7109375" style="58" customWidth="1"/>
    <col min="2100" max="2100" width="5.85546875" style="58" customWidth="1"/>
    <col min="2101" max="2101" width="9.28515625" style="58" customWidth="1"/>
    <col min="2102" max="2102" width="14.85546875" style="58" customWidth="1"/>
    <col min="2103" max="2103" width="12.85546875" style="58" bestFit="1" customWidth="1"/>
    <col min="2104" max="2104" width="12.85546875" style="58" customWidth="1"/>
    <col min="2105" max="2122" width="8.85546875" style="58" customWidth="1"/>
    <col min="2123" max="2123" width="30.28515625" style="58" bestFit="1" customWidth="1"/>
    <col min="2124" max="2124" width="20.7109375" style="58" customWidth="1"/>
    <col min="2125" max="2125" width="13.42578125" style="58" customWidth="1"/>
    <col min="2126" max="2126" width="8.85546875" style="58" customWidth="1"/>
    <col min="2127" max="2127" width="11.7109375" style="58" bestFit="1" customWidth="1"/>
    <col min="2128" max="2295" width="8.85546875" style="58" customWidth="1"/>
    <col min="2296" max="2296" width="29.7109375" style="58" customWidth="1"/>
    <col min="2297" max="2299" width="14.28515625" style="58" customWidth="1"/>
    <col min="2300" max="2300" width="2.7109375" style="58" customWidth="1"/>
    <col min="2301" max="2304" width="14.28515625" style="58"/>
    <col min="2305" max="2305" width="9.28515625" style="58" bestFit="1" customWidth="1"/>
    <col min="2306" max="2306" width="48.140625" style="58" customWidth="1"/>
    <col min="2307" max="2307" width="15.85546875" style="58" bestFit="1" customWidth="1"/>
    <col min="2308" max="2308" width="14.85546875" style="58" bestFit="1" customWidth="1"/>
    <col min="2309" max="2309" width="14.7109375" style="58" bestFit="1" customWidth="1"/>
    <col min="2310" max="2310" width="2.7109375" style="58" customWidth="1"/>
    <col min="2311" max="2311" width="15.85546875" style="58" bestFit="1" customWidth="1"/>
    <col min="2312" max="2313" width="14.5703125" style="58" bestFit="1" customWidth="1"/>
    <col min="2314" max="2314" width="2.7109375" style="58" customWidth="1"/>
    <col min="2315" max="2315" width="15.7109375" style="58" bestFit="1" customWidth="1"/>
    <col min="2316" max="2316" width="13.7109375" style="58" bestFit="1" customWidth="1"/>
    <col min="2317" max="2317" width="13.42578125" style="58" bestFit="1" customWidth="1"/>
    <col min="2318" max="2328" width="10.5703125" style="58" bestFit="1" customWidth="1"/>
    <col min="2329" max="2329" width="13.5703125" style="58" customWidth="1"/>
    <col min="2330" max="2330" width="16.5703125" style="58" customWidth="1"/>
    <col min="2331" max="2331" width="14.42578125" style="58" customWidth="1"/>
    <col min="2332" max="2332" width="13.28515625" style="58" bestFit="1" customWidth="1"/>
    <col min="2333" max="2333" width="13.42578125" style="58" bestFit="1" customWidth="1"/>
    <col min="2334" max="2334" width="13" style="58" customWidth="1"/>
    <col min="2335" max="2335" width="11.5703125" style="58" customWidth="1"/>
    <col min="2336" max="2336" width="13.140625" style="58" customWidth="1"/>
    <col min="2337" max="2338" width="11.5703125" style="58" customWidth="1"/>
    <col min="2339" max="2339" width="12.42578125" style="58" customWidth="1"/>
    <col min="2340" max="2340" width="13.5703125" style="58" customWidth="1"/>
    <col min="2341" max="2341" width="13.140625" style="58" bestFit="1" customWidth="1"/>
    <col min="2342" max="2342" width="18.85546875" style="58" customWidth="1"/>
    <col min="2343" max="2344" width="14.140625" style="58" customWidth="1"/>
    <col min="2345" max="2345" width="13.85546875" style="58" customWidth="1"/>
    <col min="2346" max="2346" width="14.140625" style="58" customWidth="1"/>
    <col min="2347" max="2347" width="13.7109375" style="58" customWidth="1"/>
    <col min="2348" max="2348" width="17.140625" style="58" customWidth="1"/>
    <col min="2349" max="2349" width="15.42578125" style="58" customWidth="1"/>
    <col min="2350" max="2350" width="18" style="58" customWidth="1"/>
    <col min="2351" max="2351" width="13.7109375" style="58" bestFit="1" customWidth="1"/>
    <col min="2352" max="2352" width="14.140625" style="58" bestFit="1" customWidth="1"/>
    <col min="2353" max="2353" width="14" style="58" bestFit="1" customWidth="1"/>
    <col min="2354" max="2354" width="14.85546875" style="58" bestFit="1" customWidth="1"/>
    <col min="2355" max="2355" width="15.7109375" style="58" customWidth="1"/>
    <col min="2356" max="2356" width="5.85546875" style="58" customWidth="1"/>
    <col min="2357" max="2357" width="9.28515625" style="58" customWidth="1"/>
    <col min="2358" max="2358" width="14.85546875" style="58" customWidth="1"/>
    <col min="2359" max="2359" width="12.85546875" style="58" bestFit="1" customWidth="1"/>
    <col min="2360" max="2360" width="12.85546875" style="58" customWidth="1"/>
    <col min="2361" max="2378" width="8.85546875" style="58" customWidth="1"/>
    <col min="2379" max="2379" width="30.28515625" style="58" bestFit="1" customWidth="1"/>
    <col min="2380" max="2380" width="20.7109375" style="58" customWidth="1"/>
    <col min="2381" max="2381" width="13.42578125" style="58" customWidth="1"/>
    <col min="2382" max="2382" width="8.85546875" style="58" customWidth="1"/>
    <col min="2383" max="2383" width="11.7109375" style="58" bestFit="1" customWidth="1"/>
    <col min="2384" max="2551" width="8.85546875" style="58" customWidth="1"/>
    <col min="2552" max="2552" width="29.7109375" style="58" customWidth="1"/>
    <col min="2553" max="2555" width="14.28515625" style="58" customWidth="1"/>
    <col min="2556" max="2556" width="2.7109375" style="58" customWidth="1"/>
    <col min="2557" max="2560" width="14.28515625" style="58"/>
    <col min="2561" max="2561" width="9.28515625" style="58" bestFit="1" customWidth="1"/>
    <col min="2562" max="2562" width="48.140625" style="58" customWidth="1"/>
    <col min="2563" max="2563" width="15.85546875" style="58" bestFit="1" customWidth="1"/>
    <col min="2564" max="2564" width="14.85546875" style="58" bestFit="1" customWidth="1"/>
    <col min="2565" max="2565" width="14.7109375" style="58" bestFit="1" customWidth="1"/>
    <col min="2566" max="2566" width="2.7109375" style="58" customWidth="1"/>
    <col min="2567" max="2567" width="15.85546875" style="58" bestFit="1" customWidth="1"/>
    <col min="2568" max="2569" width="14.5703125" style="58" bestFit="1" customWidth="1"/>
    <col min="2570" max="2570" width="2.7109375" style="58" customWidth="1"/>
    <col min="2571" max="2571" width="15.7109375" style="58" bestFit="1" customWidth="1"/>
    <col min="2572" max="2572" width="13.7109375" style="58" bestFit="1" customWidth="1"/>
    <col min="2573" max="2573" width="13.42578125" style="58" bestFit="1" customWidth="1"/>
    <col min="2574" max="2584" width="10.5703125" style="58" bestFit="1" customWidth="1"/>
    <col min="2585" max="2585" width="13.5703125" style="58" customWidth="1"/>
    <col min="2586" max="2586" width="16.5703125" style="58" customWidth="1"/>
    <col min="2587" max="2587" width="14.42578125" style="58" customWidth="1"/>
    <col min="2588" max="2588" width="13.28515625" style="58" bestFit="1" customWidth="1"/>
    <col min="2589" max="2589" width="13.42578125" style="58" bestFit="1" customWidth="1"/>
    <col min="2590" max="2590" width="13" style="58" customWidth="1"/>
    <col min="2591" max="2591" width="11.5703125" style="58" customWidth="1"/>
    <col min="2592" max="2592" width="13.140625" style="58" customWidth="1"/>
    <col min="2593" max="2594" width="11.5703125" style="58" customWidth="1"/>
    <col min="2595" max="2595" width="12.42578125" style="58" customWidth="1"/>
    <col min="2596" max="2596" width="13.5703125" style="58" customWidth="1"/>
    <col min="2597" max="2597" width="13.140625" style="58" bestFit="1" customWidth="1"/>
    <col min="2598" max="2598" width="18.85546875" style="58" customWidth="1"/>
    <col min="2599" max="2600" width="14.140625" style="58" customWidth="1"/>
    <col min="2601" max="2601" width="13.85546875" style="58" customWidth="1"/>
    <col min="2602" max="2602" width="14.140625" style="58" customWidth="1"/>
    <col min="2603" max="2603" width="13.7109375" style="58" customWidth="1"/>
    <col min="2604" max="2604" width="17.140625" style="58" customWidth="1"/>
    <col min="2605" max="2605" width="15.42578125" style="58" customWidth="1"/>
    <col min="2606" max="2606" width="18" style="58" customWidth="1"/>
    <col min="2607" max="2607" width="13.7109375" style="58" bestFit="1" customWidth="1"/>
    <col min="2608" max="2608" width="14.140625" style="58" bestFit="1" customWidth="1"/>
    <col min="2609" max="2609" width="14" style="58" bestFit="1" customWidth="1"/>
    <col min="2610" max="2610" width="14.85546875" style="58" bestFit="1" customWidth="1"/>
    <col min="2611" max="2611" width="15.7109375" style="58" customWidth="1"/>
    <col min="2612" max="2612" width="5.85546875" style="58" customWidth="1"/>
    <col min="2613" max="2613" width="9.28515625" style="58" customWidth="1"/>
    <col min="2614" max="2614" width="14.85546875" style="58" customWidth="1"/>
    <col min="2615" max="2615" width="12.85546875" style="58" bestFit="1" customWidth="1"/>
    <col min="2616" max="2616" width="12.85546875" style="58" customWidth="1"/>
    <col min="2617" max="2634" width="8.85546875" style="58" customWidth="1"/>
    <col min="2635" max="2635" width="30.28515625" style="58" bestFit="1" customWidth="1"/>
    <col min="2636" max="2636" width="20.7109375" style="58" customWidth="1"/>
    <col min="2637" max="2637" width="13.42578125" style="58" customWidth="1"/>
    <col min="2638" max="2638" width="8.85546875" style="58" customWidth="1"/>
    <col min="2639" max="2639" width="11.7109375" style="58" bestFit="1" customWidth="1"/>
    <col min="2640" max="2807" width="8.85546875" style="58" customWidth="1"/>
    <col min="2808" max="2808" width="29.7109375" style="58" customWidth="1"/>
    <col min="2809" max="2811" width="14.28515625" style="58" customWidth="1"/>
    <col min="2812" max="2812" width="2.7109375" style="58" customWidth="1"/>
    <col min="2813" max="2816" width="14.28515625" style="58"/>
    <col min="2817" max="2817" width="9.28515625" style="58" bestFit="1" customWidth="1"/>
    <col min="2818" max="2818" width="48.140625" style="58" customWidth="1"/>
    <col min="2819" max="2819" width="15.85546875" style="58" bestFit="1" customWidth="1"/>
    <col min="2820" max="2820" width="14.85546875" style="58" bestFit="1" customWidth="1"/>
    <col min="2821" max="2821" width="14.7109375" style="58" bestFit="1" customWidth="1"/>
    <col min="2822" max="2822" width="2.7109375" style="58" customWidth="1"/>
    <col min="2823" max="2823" width="15.85546875" style="58" bestFit="1" customWidth="1"/>
    <col min="2824" max="2825" width="14.5703125" style="58" bestFit="1" customWidth="1"/>
    <col min="2826" max="2826" width="2.7109375" style="58" customWidth="1"/>
    <col min="2827" max="2827" width="15.7109375" style="58" bestFit="1" customWidth="1"/>
    <col min="2828" max="2828" width="13.7109375" style="58" bestFit="1" customWidth="1"/>
    <col min="2829" max="2829" width="13.42578125" style="58" bestFit="1" customWidth="1"/>
    <col min="2830" max="2840" width="10.5703125" style="58" bestFit="1" customWidth="1"/>
    <col min="2841" max="2841" width="13.5703125" style="58" customWidth="1"/>
    <col min="2842" max="2842" width="16.5703125" style="58" customWidth="1"/>
    <col min="2843" max="2843" width="14.42578125" style="58" customWidth="1"/>
    <col min="2844" max="2844" width="13.28515625" style="58" bestFit="1" customWidth="1"/>
    <col min="2845" max="2845" width="13.42578125" style="58" bestFit="1" customWidth="1"/>
    <col min="2846" max="2846" width="13" style="58" customWidth="1"/>
    <col min="2847" max="2847" width="11.5703125" style="58" customWidth="1"/>
    <col min="2848" max="2848" width="13.140625" style="58" customWidth="1"/>
    <col min="2849" max="2850" width="11.5703125" style="58" customWidth="1"/>
    <col min="2851" max="2851" width="12.42578125" style="58" customWidth="1"/>
    <col min="2852" max="2852" width="13.5703125" style="58" customWidth="1"/>
    <col min="2853" max="2853" width="13.140625" style="58" bestFit="1" customWidth="1"/>
    <col min="2854" max="2854" width="18.85546875" style="58" customWidth="1"/>
    <col min="2855" max="2856" width="14.140625" style="58" customWidth="1"/>
    <col min="2857" max="2857" width="13.85546875" style="58" customWidth="1"/>
    <col min="2858" max="2858" width="14.140625" style="58" customWidth="1"/>
    <col min="2859" max="2859" width="13.7109375" style="58" customWidth="1"/>
    <col min="2860" max="2860" width="17.140625" style="58" customWidth="1"/>
    <col min="2861" max="2861" width="15.42578125" style="58" customWidth="1"/>
    <col min="2862" max="2862" width="18" style="58" customWidth="1"/>
    <col min="2863" max="2863" width="13.7109375" style="58" bestFit="1" customWidth="1"/>
    <col min="2864" max="2864" width="14.140625" style="58" bestFit="1" customWidth="1"/>
    <col min="2865" max="2865" width="14" style="58" bestFit="1" customWidth="1"/>
    <col min="2866" max="2866" width="14.85546875" style="58" bestFit="1" customWidth="1"/>
    <col min="2867" max="2867" width="15.7109375" style="58" customWidth="1"/>
    <col min="2868" max="2868" width="5.85546875" style="58" customWidth="1"/>
    <col min="2869" max="2869" width="9.28515625" style="58" customWidth="1"/>
    <col min="2870" max="2870" width="14.85546875" style="58" customWidth="1"/>
    <col min="2871" max="2871" width="12.85546875" style="58" bestFit="1" customWidth="1"/>
    <col min="2872" max="2872" width="12.85546875" style="58" customWidth="1"/>
    <col min="2873" max="2890" width="8.85546875" style="58" customWidth="1"/>
    <col min="2891" max="2891" width="30.28515625" style="58" bestFit="1" customWidth="1"/>
    <col min="2892" max="2892" width="20.7109375" style="58" customWidth="1"/>
    <col min="2893" max="2893" width="13.42578125" style="58" customWidth="1"/>
    <col min="2894" max="2894" width="8.85546875" style="58" customWidth="1"/>
    <col min="2895" max="2895" width="11.7109375" style="58" bestFit="1" customWidth="1"/>
    <col min="2896" max="3063" width="8.85546875" style="58" customWidth="1"/>
    <col min="3064" max="3064" width="29.7109375" style="58" customWidth="1"/>
    <col min="3065" max="3067" width="14.28515625" style="58" customWidth="1"/>
    <col min="3068" max="3068" width="2.7109375" style="58" customWidth="1"/>
    <col min="3069" max="3072" width="14.28515625" style="58"/>
    <col min="3073" max="3073" width="9.28515625" style="58" bestFit="1" customWidth="1"/>
    <col min="3074" max="3074" width="48.140625" style="58" customWidth="1"/>
    <col min="3075" max="3075" width="15.85546875" style="58" bestFit="1" customWidth="1"/>
    <col min="3076" max="3076" width="14.85546875" style="58" bestFit="1" customWidth="1"/>
    <col min="3077" max="3077" width="14.7109375" style="58" bestFit="1" customWidth="1"/>
    <col min="3078" max="3078" width="2.7109375" style="58" customWidth="1"/>
    <col min="3079" max="3079" width="15.85546875" style="58" bestFit="1" customWidth="1"/>
    <col min="3080" max="3081" width="14.5703125" style="58" bestFit="1" customWidth="1"/>
    <col min="3082" max="3082" width="2.7109375" style="58" customWidth="1"/>
    <col min="3083" max="3083" width="15.7109375" style="58" bestFit="1" customWidth="1"/>
    <col min="3084" max="3084" width="13.7109375" style="58" bestFit="1" customWidth="1"/>
    <col min="3085" max="3085" width="13.42578125" style="58" bestFit="1" customWidth="1"/>
    <col min="3086" max="3096" width="10.5703125" style="58" bestFit="1" customWidth="1"/>
    <col min="3097" max="3097" width="13.5703125" style="58" customWidth="1"/>
    <col min="3098" max="3098" width="16.5703125" style="58" customWidth="1"/>
    <col min="3099" max="3099" width="14.42578125" style="58" customWidth="1"/>
    <col min="3100" max="3100" width="13.28515625" style="58" bestFit="1" customWidth="1"/>
    <col min="3101" max="3101" width="13.42578125" style="58" bestFit="1" customWidth="1"/>
    <col min="3102" max="3102" width="13" style="58" customWidth="1"/>
    <col min="3103" max="3103" width="11.5703125" style="58" customWidth="1"/>
    <col min="3104" max="3104" width="13.140625" style="58" customWidth="1"/>
    <col min="3105" max="3106" width="11.5703125" style="58" customWidth="1"/>
    <col min="3107" max="3107" width="12.42578125" style="58" customWidth="1"/>
    <col min="3108" max="3108" width="13.5703125" style="58" customWidth="1"/>
    <col min="3109" max="3109" width="13.140625" style="58" bestFit="1" customWidth="1"/>
    <col min="3110" max="3110" width="18.85546875" style="58" customWidth="1"/>
    <col min="3111" max="3112" width="14.140625" style="58" customWidth="1"/>
    <col min="3113" max="3113" width="13.85546875" style="58" customWidth="1"/>
    <col min="3114" max="3114" width="14.140625" style="58" customWidth="1"/>
    <col min="3115" max="3115" width="13.7109375" style="58" customWidth="1"/>
    <col min="3116" max="3116" width="17.140625" style="58" customWidth="1"/>
    <col min="3117" max="3117" width="15.42578125" style="58" customWidth="1"/>
    <col min="3118" max="3118" width="18" style="58" customWidth="1"/>
    <col min="3119" max="3119" width="13.7109375" style="58" bestFit="1" customWidth="1"/>
    <col min="3120" max="3120" width="14.140625" style="58" bestFit="1" customWidth="1"/>
    <col min="3121" max="3121" width="14" style="58" bestFit="1" customWidth="1"/>
    <col min="3122" max="3122" width="14.85546875" style="58" bestFit="1" customWidth="1"/>
    <col min="3123" max="3123" width="15.7109375" style="58" customWidth="1"/>
    <col min="3124" max="3124" width="5.85546875" style="58" customWidth="1"/>
    <col min="3125" max="3125" width="9.28515625" style="58" customWidth="1"/>
    <col min="3126" max="3126" width="14.85546875" style="58" customWidth="1"/>
    <col min="3127" max="3127" width="12.85546875" style="58" bestFit="1" customWidth="1"/>
    <col min="3128" max="3128" width="12.85546875" style="58" customWidth="1"/>
    <col min="3129" max="3146" width="8.85546875" style="58" customWidth="1"/>
    <col min="3147" max="3147" width="30.28515625" style="58" bestFit="1" customWidth="1"/>
    <col min="3148" max="3148" width="20.7109375" style="58" customWidth="1"/>
    <col min="3149" max="3149" width="13.42578125" style="58" customWidth="1"/>
    <col min="3150" max="3150" width="8.85546875" style="58" customWidth="1"/>
    <col min="3151" max="3151" width="11.7109375" style="58" bestFit="1" customWidth="1"/>
    <col min="3152" max="3319" width="8.85546875" style="58" customWidth="1"/>
    <col min="3320" max="3320" width="29.7109375" style="58" customWidth="1"/>
    <col min="3321" max="3323" width="14.28515625" style="58" customWidth="1"/>
    <col min="3324" max="3324" width="2.7109375" style="58" customWidth="1"/>
    <col min="3325" max="3328" width="14.28515625" style="58"/>
    <col min="3329" max="3329" width="9.28515625" style="58" bestFit="1" customWidth="1"/>
    <col min="3330" max="3330" width="48.140625" style="58" customWidth="1"/>
    <col min="3331" max="3331" width="15.85546875" style="58" bestFit="1" customWidth="1"/>
    <col min="3332" max="3332" width="14.85546875" style="58" bestFit="1" customWidth="1"/>
    <col min="3333" max="3333" width="14.7109375" style="58" bestFit="1" customWidth="1"/>
    <col min="3334" max="3334" width="2.7109375" style="58" customWidth="1"/>
    <col min="3335" max="3335" width="15.85546875" style="58" bestFit="1" customWidth="1"/>
    <col min="3336" max="3337" width="14.5703125" style="58" bestFit="1" customWidth="1"/>
    <col min="3338" max="3338" width="2.7109375" style="58" customWidth="1"/>
    <col min="3339" max="3339" width="15.7109375" style="58" bestFit="1" customWidth="1"/>
    <col min="3340" max="3340" width="13.7109375" style="58" bestFit="1" customWidth="1"/>
    <col min="3341" max="3341" width="13.42578125" style="58" bestFit="1" customWidth="1"/>
    <col min="3342" max="3352" width="10.5703125" style="58" bestFit="1" customWidth="1"/>
    <col min="3353" max="3353" width="13.5703125" style="58" customWidth="1"/>
    <col min="3354" max="3354" width="16.5703125" style="58" customWidth="1"/>
    <col min="3355" max="3355" width="14.42578125" style="58" customWidth="1"/>
    <col min="3356" max="3356" width="13.28515625" style="58" bestFit="1" customWidth="1"/>
    <col min="3357" max="3357" width="13.42578125" style="58" bestFit="1" customWidth="1"/>
    <col min="3358" max="3358" width="13" style="58" customWidth="1"/>
    <col min="3359" max="3359" width="11.5703125" style="58" customWidth="1"/>
    <col min="3360" max="3360" width="13.140625" style="58" customWidth="1"/>
    <col min="3361" max="3362" width="11.5703125" style="58" customWidth="1"/>
    <col min="3363" max="3363" width="12.42578125" style="58" customWidth="1"/>
    <col min="3364" max="3364" width="13.5703125" style="58" customWidth="1"/>
    <col min="3365" max="3365" width="13.140625" style="58" bestFit="1" customWidth="1"/>
    <col min="3366" max="3366" width="18.85546875" style="58" customWidth="1"/>
    <col min="3367" max="3368" width="14.140625" style="58" customWidth="1"/>
    <col min="3369" max="3369" width="13.85546875" style="58" customWidth="1"/>
    <col min="3370" max="3370" width="14.140625" style="58" customWidth="1"/>
    <col min="3371" max="3371" width="13.7109375" style="58" customWidth="1"/>
    <col min="3372" max="3372" width="17.140625" style="58" customWidth="1"/>
    <col min="3373" max="3373" width="15.42578125" style="58" customWidth="1"/>
    <col min="3374" max="3374" width="18" style="58" customWidth="1"/>
    <col min="3375" max="3375" width="13.7109375" style="58" bestFit="1" customWidth="1"/>
    <col min="3376" max="3376" width="14.140625" style="58" bestFit="1" customWidth="1"/>
    <col min="3377" max="3377" width="14" style="58" bestFit="1" customWidth="1"/>
    <col min="3378" max="3378" width="14.85546875" style="58" bestFit="1" customWidth="1"/>
    <col min="3379" max="3379" width="15.7109375" style="58" customWidth="1"/>
    <col min="3380" max="3380" width="5.85546875" style="58" customWidth="1"/>
    <col min="3381" max="3381" width="9.28515625" style="58" customWidth="1"/>
    <col min="3382" max="3382" width="14.85546875" style="58" customWidth="1"/>
    <col min="3383" max="3383" width="12.85546875" style="58" bestFit="1" customWidth="1"/>
    <col min="3384" max="3384" width="12.85546875" style="58" customWidth="1"/>
    <col min="3385" max="3402" width="8.85546875" style="58" customWidth="1"/>
    <col min="3403" max="3403" width="30.28515625" style="58" bestFit="1" customWidth="1"/>
    <col min="3404" max="3404" width="20.7109375" style="58" customWidth="1"/>
    <col min="3405" max="3405" width="13.42578125" style="58" customWidth="1"/>
    <col min="3406" max="3406" width="8.85546875" style="58" customWidth="1"/>
    <col min="3407" max="3407" width="11.7109375" style="58" bestFit="1" customWidth="1"/>
    <col min="3408" max="3575" width="8.85546875" style="58" customWidth="1"/>
    <col min="3576" max="3576" width="29.7109375" style="58" customWidth="1"/>
    <col min="3577" max="3579" width="14.28515625" style="58" customWidth="1"/>
    <col min="3580" max="3580" width="2.7109375" style="58" customWidth="1"/>
    <col min="3581" max="3584" width="14.28515625" style="58"/>
    <col min="3585" max="3585" width="9.28515625" style="58" bestFit="1" customWidth="1"/>
    <col min="3586" max="3586" width="48.140625" style="58" customWidth="1"/>
    <col min="3587" max="3587" width="15.85546875" style="58" bestFit="1" customWidth="1"/>
    <col min="3588" max="3588" width="14.85546875" style="58" bestFit="1" customWidth="1"/>
    <col min="3589" max="3589" width="14.7109375" style="58" bestFit="1" customWidth="1"/>
    <col min="3590" max="3590" width="2.7109375" style="58" customWidth="1"/>
    <col min="3591" max="3591" width="15.85546875" style="58" bestFit="1" customWidth="1"/>
    <col min="3592" max="3593" width="14.5703125" style="58" bestFit="1" customWidth="1"/>
    <col min="3594" max="3594" width="2.7109375" style="58" customWidth="1"/>
    <col min="3595" max="3595" width="15.7109375" style="58" bestFit="1" customWidth="1"/>
    <col min="3596" max="3596" width="13.7109375" style="58" bestFit="1" customWidth="1"/>
    <col min="3597" max="3597" width="13.42578125" style="58" bestFit="1" customWidth="1"/>
    <col min="3598" max="3608" width="10.5703125" style="58" bestFit="1" customWidth="1"/>
    <col min="3609" max="3609" width="13.5703125" style="58" customWidth="1"/>
    <col min="3610" max="3610" width="16.5703125" style="58" customWidth="1"/>
    <col min="3611" max="3611" width="14.42578125" style="58" customWidth="1"/>
    <col min="3612" max="3612" width="13.28515625" style="58" bestFit="1" customWidth="1"/>
    <col min="3613" max="3613" width="13.42578125" style="58" bestFit="1" customWidth="1"/>
    <col min="3614" max="3614" width="13" style="58" customWidth="1"/>
    <col min="3615" max="3615" width="11.5703125" style="58" customWidth="1"/>
    <col min="3616" max="3616" width="13.140625" style="58" customWidth="1"/>
    <col min="3617" max="3618" width="11.5703125" style="58" customWidth="1"/>
    <col min="3619" max="3619" width="12.42578125" style="58" customWidth="1"/>
    <col min="3620" max="3620" width="13.5703125" style="58" customWidth="1"/>
    <col min="3621" max="3621" width="13.140625" style="58" bestFit="1" customWidth="1"/>
    <col min="3622" max="3622" width="18.85546875" style="58" customWidth="1"/>
    <col min="3623" max="3624" width="14.140625" style="58" customWidth="1"/>
    <col min="3625" max="3625" width="13.85546875" style="58" customWidth="1"/>
    <col min="3626" max="3626" width="14.140625" style="58" customWidth="1"/>
    <col min="3627" max="3627" width="13.7109375" style="58" customWidth="1"/>
    <col min="3628" max="3628" width="17.140625" style="58" customWidth="1"/>
    <col min="3629" max="3629" width="15.42578125" style="58" customWidth="1"/>
    <col min="3630" max="3630" width="18" style="58" customWidth="1"/>
    <col min="3631" max="3631" width="13.7109375" style="58" bestFit="1" customWidth="1"/>
    <col min="3632" max="3632" width="14.140625" style="58" bestFit="1" customWidth="1"/>
    <col min="3633" max="3633" width="14" style="58" bestFit="1" customWidth="1"/>
    <col min="3634" max="3634" width="14.85546875" style="58" bestFit="1" customWidth="1"/>
    <col min="3635" max="3635" width="15.7109375" style="58" customWidth="1"/>
    <col min="3636" max="3636" width="5.85546875" style="58" customWidth="1"/>
    <col min="3637" max="3637" width="9.28515625" style="58" customWidth="1"/>
    <col min="3638" max="3638" width="14.85546875" style="58" customWidth="1"/>
    <col min="3639" max="3639" width="12.85546875" style="58" bestFit="1" customWidth="1"/>
    <col min="3640" max="3640" width="12.85546875" style="58" customWidth="1"/>
    <col min="3641" max="3658" width="8.85546875" style="58" customWidth="1"/>
    <col min="3659" max="3659" width="30.28515625" style="58" bestFit="1" customWidth="1"/>
    <col min="3660" max="3660" width="20.7109375" style="58" customWidth="1"/>
    <col min="3661" max="3661" width="13.42578125" style="58" customWidth="1"/>
    <col min="3662" max="3662" width="8.85546875" style="58" customWidth="1"/>
    <col min="3663" max="3663" width="11.7109375" style="58" bestFit="1" customWidth="1"/>
    <col min="3664" max="3831" width="8.85546875" style="58" customWidth="1"/>
    <col min="3832" max="3832" width="29.7109375" style="58" customWidth="1"/>
    <col min="3833" max="3835" width="14.28515625" style="58" customWidth="1"/>
    <col min="3836" max="3836" width="2.7109375" style="58" customWidth="1"/>
    <col min="3837" max="3840" width="14.28515625" style="58"/>
    <col min="3841" max="3841" width="9.28515625" style="58" bestFit="1" customWidth="1"/>
    <col min="3842" max="3842" width="48.140625" style="58" customWidth="1"/>
    <col min="3843" max="3843" width="15.85546875" style="58" bestFit="1" customWidth="1"/>
    <col min="3844" max="3844" width="14.85546875" style="58" bestFit="1" customWidth="1"/>
    <col min="3845" max="3845" width="14.7109375" style="58" bestFit="1" customWidth="1"/>
    <col min="3846" max="3846" width="2.7109375" style="58" customWidth="1"/>
    <col min="3847" max="3847" width="15.85546875" style="58" bestFit="1" customWidth="1"/>
    <col min="3848" max="3849" width="14.5703125" style="58" bestFit="1" customWidth="1"/>
    <col min="3850" max="3850" width="2.7109375" style="58" customWidth="1"/>
    <col min="3851" max="3851" width="15.7109375" style="58" bestFit="1" customWidth="1"/>
    <col min="3852" max="3852" width="13.7109375" style="58" bestFit="1" customWidth="1"/>
    <col min="3853" max="3853" width="13.42578125" style="58" bestFit="1" customWidth="1"/>
    <col min="3854" max="3864" width="10.5703125" style="58" bestFit="1" customWidth="1"/>
    <col min="3865" max="3865" width="13.5703125" style="58" customWidth="1"/>
    <col min="3866" max="3866" width="16.5703125" style="58" customWidth="1"/>
    <col min="3867" max="3867" width="14.42578125" style="58" customWidth="1"/>
    <col min="3868" max="3868" width="13.28515625" style="58" bestFit="1" customWidth="1"/>
    <col min="3869" max="3869" width="13.42578125" style="58" bestFit="1" customWidth="1"/>
    <col min="3870" max="3870" width="13" style="58" customWidth="1"/>
    <col min="3871" max="3871" width="11.5703125" style="58" customWidth="1"/>
    <col min="3872" max="3872" width="13.140625" style="58" customWidth="1"/>
    <col min="3873" max="3874" width="11.5703125" style="58" customWidth="1"/>
    <col min="3875" max="3875" width="12.42578125" style="58" customWidth="1"/>
    <col min="3876" max="3876" width="13.5703125" style="58" customWidth="1"/>
    <col min="3877" max="3877" width="13.140625" style="58" bestFit="1" customWidth="1"/>
    <col min="3878" max="3878" width="18.85546875" style="58" customWidth="1"/>
    <col min="3879" max="3880" width="14.140625" style="58" customWidth="1"/>
    <col min="3881" max="3881" width="13.85546875" style="58" customWidth="1"/>
    <col min="3882" max="3882" width="14.140625" style="58" customWidth="1"/>
    <col min="3883" max="3883" width="13.7109375" style="58" customWidth="1"/>
    <col min="3884" max="3884" width="17.140625" style="58" customWidth="1"/>
    <col min="3885" max="3885" width="15.42578125" style="58" customWidth="1"/>
    <col min="3886" max="3886" width="18" style="58" customWidth="1"/>
    <col min="3887" max="3887" width="13.7109375" style="58" bestFit="1" customWidth="1"/>
    <col min="3888" max="3888" width="14.140625" style="58" bestFit="1" customWidth="1"/>
    <col min="3889" max="3889" width="14" style="58" bestFit="1" customWidth="1"/>
    <col min="3890" max="3890" width="14.85546875" style="58" bestFit="1" customWidth="1"/>
    <col min="3891" max="3891" width="15.7109375" style="58" customWidth="1"/>
    <col min="3892" max="3892" width="5.85546875" style="58" customWidth="1"/>
    <col min="3893" max="3893" width="9.28515625" style="58" customWidth="1"/>
    <col min="3894" max="3894" width="14.85546875" style="58" customWidth="1"/>
    <col min="3895" max="3895" width="12.85546875" style="58" bestFit="1" customWidth="1"/>
    <col min="3896" max="3896" width="12.85546875" style="58" customWidth="1"/>
    <col min="3897" max="3914" width="8.85546875" style="58" customWidth="1"/>
    <col min="3915" max="3915" width="30.28515625" style="58" bestFit="1" customWidth="1"/>
    <col min="3916" max="3916" width="20.7109375" style="58" customWidth="1"/>
    <col min="3917" max="3917" width="13.42578125" style="58" customWidth="1"/>
    <col min="3918" max="3918" width="8.85546875" style="58" customWidth="1"/>
    <col min="3919" max="3919" width="11.7109375" style="58" bestFit="1" customWidth="1"/>
    <col min="3920" max="4087" width="8.85546875" style="58" customWidth="1"/>
    <col min="4088" max="4088" width="29.7109375" style="58" customWidth="1"/>
    <col min="4089" max="4091" width="14.28515625" style="58" customWidth="1"/>
    <col min="4092" max="4092" width="2.7109375" style="58" customWidth="1"/>
    <col min="4093" max="4096" width="14.28515625" style="58"/>
    <col min="4097" max="4097" width="9.28515625" style="58" bestFit="1" customWidth="1"/>
    <col min="4098" max="4098" width="48.140625" style="58" customWidth="1"/>
    <col min="4099" max="4099" width="15.85546875" style="58" bestFit="1" customWidth="1"/>
    <col min="4100" max="4100" width="14.85546875" style="58" bestFit="1" customWidth="1"/>
    <col min="4101" max="4101" width="14.7109375" style="58" bestFit="1" customWidth="1"/>
    <col min="4102" max="4102" width="2.7109375" style="58" customWidth="1"/>
    <col min="4103" max="4103" width="15.85546875" style="58" bestFit="1" customWidth="1"/>
    <col min="4104" max="4105" width="14.5703125" style="58" bestFit="1" customWidth="1"/>
    <col min="4106" max="4106" width="2.7109375" style="58" customWidth="1"/>
    <col min="4107" max="4107" width="15.7109375" style="58" bestFit="1" customWidth="1"/>
    <col min="4108" max="4108" width="13.7109375" style="58" bestFit="1" customWidth="1"/>
    <col min="4109" max="4109" width="13.42578125" style="58" bestFit="1" customWidth="1"/>
    <col min="4110" max="4120" width="10.5703125" style="58" bestFit="1" customWidth="1"/>
    <col min="4121" max="4121" width="13.5703125" style="58" customWidth="1"/>
    <col min="4122" max="4122" width="16.5703125" style="58" customWidth="1"/>
    <col min="4123" max="4123" width="14.42578125" style="58" customWidth="1"/>
    <col min="4124" max="4124" width="13.28515625" style="58" bestFit="1" customWidth="1"/>
    <col min="4125" max="4125" width="13.42578125" style="58" bestFit="1" customWidth="1"/>
    <col min="4126" max="4126" width="13" style="58" customWidth="1"/>
    <col min="4127" max="4127" width="11.5703125" style="58" customWidth="1"/>
    <col min="4128" max="4128" width="13.140625" style="58" customWidth="1"/>
    <col min="4129" max="4130" width="11.5703125" style="58" customWidth="1"/>
    <col min="4131" max="4131" width="12.42578125" style="58" customWidth="1"/>
    <col min="4132" max="4132" width="13.5703125" style="58" customWidth="1"/>
    <col min="4133" max="4133" width="13.140625" style="58" bestFit="1" customWidth="1"/>
    <col min="4134" max="4134" width="18.85546875" style="58" customWidth="1"/>
    <col min="4135" max="4136" width="14.140625" style="58" customWidth="1"/>
    <col min="4137" max="4137" width="13.85546875" style="58" customWidth="1"/>
    <col min="4138" max="4138" width="14.140625" style="58" customWidth="1"/>
    <col min="4139" max="4139" width="13.7109375" style="58" customWidth="1"/>
    <col min="4140" max="4140" width="17.140625" style="58" customWidth="1"/>
    <col min="4141" max="4141" width="15.42578125" style="58" customWidth="1"/>
    <col min="4142" max="4142" width="18" style="58" customWidth="1"/>
    <col min="4143" max="4143" width="13.7109375" style="58" bestFit="1" customWidth="1"/>
    <col min="4144" max="4144" width="14.140625" style="58" bestFit="1" customWidth="1"/>
    <col min="4145" max="4145" width="14" style="58" bestFit="1" customWidth="1"/>
    <col min="4146" max="4146" width="14.85546875" style="58" bestFit="1" customWidth="1"/>
    <col min="4147" max="4147" width="15.7109375" style="58" customWidth="1"/>
    <col min="4148" max="4148" width="5.85546875" style="58" customWidth="1"/>
    <col min="4149" max="4149" width="9.28515625" style="58" customWidth="1"/>
    <col min="4150" max="4150" width="14.85546875" style="58" customWidth="1"/>
    <col min="4151" max="4151" width="12.85546875" style="58" bestFit="1" customWidth="1"/>
    <col min="4152" max="4152" width="12.85546875" style="58" customWidth="1"/>
    <col min="4153" max="4170" width="8.85546875" style="58" customWidth="1"/>
    <col min="4171" max="4171" width="30.28515625" style="58" bestFit="1" customWidth="1"/>
    <col min="4172" max="4172" width="20.7109375" style="58" customWidth="1"/>
    <col min="4173" max="4173" width="13.42578125" style="58" customWidth="1"/>
    <col min="4174" max="4174" width="8.85546875" style="58" customWidth="1"/>
    <col min="4175" max="4175" width="11.7109375" style="58" bestFit="1" customWidth="1"/>
    <col min="4176" max="4343" width="8.85546875" style="58" customWidth="1"/>
    <col min="4344" max="4344" width="29.7109375" style="58" customWidth="1"/>
    <col min="4345" max="4347" width="14.28515625" style="58" customWidth="1"/>
    <col min="4348" max="4348" width="2.7109375" style="58" customWidth="1"/>
    <col min="4349" max="4352" width="14.28515625" style="58"/>
    <col min="4353" max="4353" width="9.28515625" style="58" bestFit="1" customWidth="1"/>
    <col min="4354" max="4354" width="48.140625" style="58" customWidth="1"/>
    <col min="4355" max="4355" width="15.85546875" style="58" bestFit="1" customWidth="1"/>
    <col min="4356" max="4356" width="14.85546875" style="58" bestFit="1" customWidth="1"/>
    <col min="4357" max="4357" width="14.7109375" style="58" bestFit="1" customWidth="1"/>
    <col min="4358" max="4358" width="2.7109375" style="58" customWidth="1"/>
    <col min="4359" max="4359" width="15.85546875" style="58" bestFit="1" customWidth="1"/>
    <col min="4360" max="4361" width="14.5703125" style="58" bestFit="1" customWidth="1"/>
    <col min="4362" max="4362" width="2.7109375" style="58" customWidth="1"/>
    <col min="4363" max="4363" width="15.7109375" style="58" bestFit="1" customWidth="1"/>
    <col min="4364" max="4364" width="13.7109375" style="58" bestFit="1" customWidth="1"/>
    <col min="4365" max="4365" width="13.42578125" style="58" bestFit="1" customWidth="1"/>
    <col min="4366" max="4376" width="10.5703125" style="58" bestFit="1" customWidth="1"/>
    <col min="4377" max="4377" width="13.5703125" style="58" customWidth="1"/>
    <col min="4378" max="4378" width="16.5703125" style="58" customWidth="1"/>
    <col min="4379" max="4379" width="14.42578125" style="58" customWidth="1"/>
    <col min="4380" max="4380" width="13.28515625" style="58" bestFit="1" customWidth="1"/>
    <col min="4381" max="4381" width="13.42578125" style="58" bestFit="1" customWidth="1"/>
    <col min="4382" max="4382" width="13" style="58" customWidth="1"/>
    <col min="4383" max="4383" width="11.5703125" style="58" customWidth="1"/>
    <col min="4384" max="4384" width="13.140625" style="58" customWidth="1"/>
    <col min="4385" max="4386" width="11.5703125" style="58" customWidth="1"/>
    <col min="4387" max="4387" width="12.42578125" style="58" customWidth="1"/>
    <col min="4388" max="4388" width="13.5703125" style="58" customWidth="1"/>
    <col min="4389" max="4389" width="13.140625" style="58" bestFit="1" customWidth="1"/>
    <col min="4390" max="4390" width="18.85546875" style="58" customWidth="1"/>
    <col min="4391" max="4392" width="14.140625" style="58" customWidth="1"/>
    <col min="4393" max="4393" width="13.85546875" style="58" customWidth="1"/>
    <col min="4394" max="4394" width="14.140625" style="58" customWidth="1"/>
    <col min="4395" max="4395" width="13.7109375" style="58" customWidth="1"/>
    <col min="4396" max="4396" width="17.140625" style="58" customWidth="1"/>
    <col min="4397" max="4397" width="15.42578125" style="58" customWidth="1"/>
    <col min="4398" max="4398" width="18" style="58" customWidth="1"/>
    <col min="4399" max="4399" width="13.7109375" style="58" bestFit="1" customWidth="1"/>
    <col min="4400" max="4400" width="14.140625" style="58" bestFit="1" customWidth="1"/>
    <col min="4401" max="4401" width="14" style="58" bestFit="1" customWidth="1"/>
    <col min="4402" max="4402" width="14.85546875" style="58" bestFit="1" customWidth="1"/>
    <col min="4403" max="4403" width="15.7109375" style="58" customWidth="1"/>
    <col min="4404" max="4404" width="5.85546875" style="58" customWidth="1"/>
    <col min="4405" max="4405" width="9.28515625" style="58" customWidth="1"/>
    <col min="4406" max="4406" width="14.85546875" style="58" customWidth="1"/>
    <col min="4407" max="4407" width="12.85546875" style="58" bestFit="1" customWidth="1"/>
    <col min="4408" max="4408" width="12.85546875" style="58" customWidth="1"/>
    <col min="4409" max="4426" width="8.85546875" style="58" customWidth="1"/>
    <col min="4427" max="4427" width="30.28515625" style="58" bestFit="1" customWidth="1"/>
    <col min="4428" max="4428" width="20.7109375" style="58" customWidth="1"/>
    <col min="4429" max="4429" width="13.42578125" style="58" customWidth="1"/>
    <col min="4430" max="4430" width="8.85546875" style="58" customWidth="1"/>
    <col min="4431" max="4431" width="11.7109375" style="58" bestFit="1" customWidth="1"/>
    <col min="4432" max="4599" width="8.85546875" style="58" customWidth="1"/>
    <col min="4600" max="4600" width="29.7109375" style="58" customWidth="1"/>
    <col min="4601" max="4603" width="14.28515625" style="58" customWidth="1"/>
    <col min="4604" max="4604" width="2.7109375" style="58" customWidth="1"/>
    <col min="4605" max="4608" width="14.28515625" style="58"/>
    <col min="4609" max="4609" width="9.28515625" style="58" bestFit="1" customWidth="1"/>
    <col min="4610" max="4610" width="48.140625" style="58" customWidth="1"/>
    <col min="4611" max="4611" width="15.85546875" style="58" bestFit="1" customWidth="1"/>
    <col min="4612" max="4612" width="14.85546875" style="58" bestFit="1" customWidth="1"/>
    <col min="4613" max="4613" width="14.7109375" style="58" bestFit="1" customWidth="1"/>
    <col min="4614" max="4614" width="2.7109375" style="58" customWidth="1"/>
    <col min="4615" max="4615" width="15.85546875" style="58" bestFit="1" customWidth="1"/>
    <col min="4616" max="4617" width="14.5703125" style="58" bestFit="1" customWidth="1"/>
    <col min="4618" max="4618" width="2.7109375" style="58" customWidth="1"/>
    <col min="4619" max="4619" width="15.7109375" style="58" bestFit="1" customWidth="1"/>
    <col min="4620" max="4620" width="13.7109375" style="58" bestFit="1" customWidth="1"/>
    <col min="4621" max="4621" width="13.42578125" style="58" bestFit="1" customWidth="1"/>
    <col min="4622" max="4632" width="10.5703125" style="58" bestFit="1" customWidth="1"/>
    <col min="4633" max="4633" width="13.5703125" style="58" customWidth="1"/>
    <col min="4634" max="4634" width="16.5703125" style="58" customWidth="1"/>
    <col min="4635" max="4635" width="14.42578125" style="58" customWidth="1"/>
    <col min="4636" max="4636" width="13.28515625" style="58" bestFit="1" customWidth="1"/>
    <col min="4637" max="4637" width="13.42578125" style="58" bestFit="1" customWidth="1"/>
    <col min="4638" max="4638" width="13" style="58" customWidth="1"/>
    <col min="4639" max="4639" width="11.5703125" style="58" customWidth="1"/>
    <col min="4640" max="4640" width="13.140625" style="58" customWidth="1"/>
    <col min="4641" max="4642" width="11.5703125" style="58" customWidth="1"/>
    <col min="4643" max="4643" width="12.42578125" style="58" customWidth="1"/>
    <col min="4644" max="4644" width="13.5703125" style="58" customWidth="1"/>
    <col min="4645" max="4645" width="13.140625" style="58" bestFit="1" customWidth="1"/>
    <col min="4646" max="4646" width="18.85546875" style="58" customWidth="1"/>
    <col min="4647" max="4648" width="14.140625" style="58" customWidth="1"/>
    <col min="4649" max="4649" width="13.85546875" style="58" customWidth="1"/>
    <col min="4650" max="4650" width="14.140625" style="58" customWidth="1"/>
    <col min="4651" max="4651" width="13.7109375" style="58" customWidth="1"/>
    <col min="4652" max="4652" width="17.140625" style="58" customWidth="1"/>
    <col min="4653" max="4653" width="15.42578125" style="58" customWidth="1"/>
    <col min="4654" max="4654" width="18" style="58" customWidth="1"/>
    <col min="4655" max="4655" width="13.7109375" style="58" bestFit="1" customWidth="1"/>
    <col min="4656" max="4656" width="14.140625" style="58" bestFit="1" customWidth="1"/>
    <col min="4657" max="4657" width="14" style="58" bestFit="1" customWidth="1"/>
    <col min="4658" max="4658" width="14.85546875" style="58" bestFit="1" customWidth="1"/>
    <col min="4659" max="4659" width="15.7109375" style="58" customWidth="1"/>
    <col min="4660" max="4660" width="5.85546875" style="58" customWidth="1"/>
    <col min="4661" max="4661" width="9.28515625" style="58" customWidth="1"/>
    <col min="4662" max="4662" width="14.85546875" style="58" customWidth="1"/>
    <col min="4663" max="4663" width="12.85546875" style="58" bestFit="1" customWidth="1"/>
    <col min="4664" max="4664" width="12.85546875" style="58" customWidth="1"/>
    <col min="4665" max="4682" width="8.85546875" style="58" customWidth="1"/>
    <col min="4683" max="4683" width="30.28515625" style="58" bestFit="1" customWidth="1"/>
    <col min="4684" max="4684" width="20.7109375" style="58" customWidth="1"/>
    <col min="4685" max="4685" width="13.42578125" style="58" customWidth="1"/>
    <col min="4686" max="4686" width="8.85546875" style="58" customWidth="1"/>
    <col min="4687" max="4687" width="11.7109375" style="58" bestFit="1" customWidth="1"/>
    <col min="4688" max="4855" width="8.85546875" style="58" customWidth="1"/>
    <col min="4856" max="4856" width="29.7109375" style="58" customWidth="1"/>
    <col min="4857" max="4859" width="14.28515625" style="58" customWidth="1"/>
    <col min="4860" max="4860" width="2.7109375" style="58" customWidth="1"/>
    <col min="4861" max="4864" width="14.28515625" style="58"/>
    <col min="4865" max="4865" width="9.28515625" style="58" bestFit="1" customWidth="1"/>
    <col min="4866" max="4866" width="48.140625" style="58" customWidth="1"/>
    <col min="4867" max="4867" width="15.85546875" style="58" bestFit="1" customWidth="1"/>
    <col min="4868" max="4868" width="14.85546875" style="58" bestFit="1" customWidth="1"/>
    <col min="4869" max="4869" width="14.7109375" style="58" bestFit="1" customWidth="1"/>
    <col min="4870" max="4870" width="2.7109375" style="58" customWidth="1"/>
    <col min="4871" max="4871" width="15.85546875" style="58" bestFit="1" customWidth="1"/>
    <col min="4872" max="4873" width="14.5703125" style="58" bestFit="1" customWidth="1"/>
    <col min="4874" max="4874" width="2.7109375" style="58" customWidth="1"/>
    <col min="4875" max="4875" width="15.7109375" style="58" bestFit="1" customWidth="1"/>
    <col min="4876" max="4876" width="13.7109375" style="58" bestFit="1" customWidth="1"/>
    <col min="4877" max="4877" width="13.42578125" style="58" bestFit="1" customWidth="1"/>
    <col min="4878" max="4888" width="10.5703125" style="58" bestFit="1" customWidth="1"/>
    <col min="4889" max="4889" width="13.5703125" style="58" customWidth="1"/>
    <col min="4890" max="4890" width="16.5703125" style="58" customWidth="1"/>
    <col min="4891" max="4891" width="14.42578125" style="58" customWidth="1"/>
    <col min="4892" max="4892" width="13.28515625" style="58" bestFit="1" customWidth="1"/>
    <col min="4893" max="4893" width="13.42578125" style="58" bestFit="1" customWidth="1"/>
    <col min="4894" max="4894" width="13" style="58" customWidth="1"/>
    <col min="4895" max="4895" width="11.5703125" style="58" customWidth="1"/>
    <col min="4896" max="4896" width="13.140625" style="58" customWidth="1"/>
    <col min="4897" max="4898" width="11.5703125" style="58" customWidth="1"/>
    <col min="4899" max="4899" width="12.42578125" style="58" customWidth="1"/>
    <col min="4900" max="4900" width="13.5703125" style="58" customWidth="1"/>
    <col min="4901" max="4901" width="13.140625" style="58" bestFit="1" customWidth="1"/>
    <col min="4902" max="4902" width="18.85546875" style="58" customWidth="1"/>
    <col min="4903" max="4904" width="14.140625" style="58" customWidth="1"/>
    <col min="4905" max="4905" width="13.85546875" style="58" customWidth="1"/>
    <col min="4906" max="4906" width="14.140625" style="58" customWidth="1"/>
    <col min="4907" max="4907" width="13.7109375" style="58" customWidth="1"/>
    <col min="4908" max="4908" width="17.140625" style="58" customWidth="1"/>
    <col min="4909" max="4909" width="15.42578125" style="58" customWidth="1"/>
    <col min="4910" max="4910" width="18" style="58" customWidth="1"/>
    <col min="4911" max="4911" width="13.7109375" style="58" bestFit="1" customWidth="1"/>
    <col min="4912" max="4912" width="14.140625" style="58" bestFit="1" customWidth="1"/>
    <col min="4913" max="4913" width="14" style="58" bestFit="1" customWidth="1"/>
    <col min="4914" max="4914" width="14.85546875" style="58" bestFit="1" customWidth="1"/>
    <col min="4915" max="4915" width="15.7109375" style="58" customWidth="1"/>
    <col min="4916" max="4916" width="5.85546875" style="58" customWidth="1"/>
    <col min="4917" max="4917" width="9.28515625" style="58" customWidth="1"/>
    <col min="4918" max="4918" width="14.85546875" style="58" customWidth="1"/>
    <col min="4919" max="4919" width="12.85546875" style="58" bestFit="1" customWidth="1"/>
    <col min="4920" max="4920" width="12.85546875" style="58" customWidth="1"/>
    <col min="4921" max="4938" width="8.85546875" style="58" customWidth="1"/>
    <col min="4939" max="4939" width="30.28515625" style="58" bestFit="1" customWidth="1"/>
    <col min="4940" max="4940" width="20.7109375" style="58" customWidth="1"/>
    <col min="4941" max="4941" width="13.42578125" style="58" customWidth="1"/>
    <col min="4942" max="4942" width="8.85546875" style="58" customWidth="1"/>
    <col min="4943" max="4943" width="11.7109375" style="58" bestFit="1" customWidth="1"/>
    <col min="4944" max="5111" width="8.85546875" style="58" customWidth="1"/>
    <col min="5112" max="5112" width="29.7109375" style="58" customWidth="1"/>
    <col min="5113" max="5115" width="14.28515625" style="58" customWidth="1"/>
    <col min="5116" max="5116" width="2.7109375" style="58" customWidth="1"/>
    <col min="5117" max="5120" width="14.28515625" style="58"/>
    <col min="5121" max="5121" width="9.28515625" style="58" bestFit="1" customWidth="1"/>
    <col min="5122" max="5122" width="48.140625" style="58" customWidth="1"/>
    <col min="5123" max="5123" width="15.85546875" style="58" bestFit="1" customWidth="1"/>
    <col min="5124" max="5124" width="14.85546875" style="58" bestFit="1" customWidth="1"/>
    <col min="5125" max="5125" width="14.7109375" style="58" bestFit="1" customWidth="1"/>
    <col min="5126" max="5126" width="2.7109375" style="58" customWidth="1"/>
    <col min="5127" max="5127" width="15.85546875" style="58" bestFit="1" customWidth="1"/>
    <col min="5128" max="5129" width="14.5703125" style="58" bestFit="1" customWidth="1"/>
    <col min="5130" max="5130" width="2.7109375" style="58" customWidth="1"/>
    <col min="5131" max="5131" width="15.7109375" style="58" bestFit="1" customWidth="1"/>
    <col min="5132" max="5132" width="13.7109375" style="58" bestFit="1" customWidth="1"/>
    <col min="5133" max="5133" width="13.42578125" style="58" bestFit="1" customWidth="1"/>
    <col min="5134" max="5144" width="10.5703125" style="58" bestFit="1" customWidth="1"/>
    <col min="5145" max="5145" width="13.5703125" style="58" customWidth="1"/>
    <col min="5146" max="5146" width="16.5703125" style="58" customWidth="1"/>
    <col min="5147" max="5147" width="14.42578125" style="58" customWidth="1"/>
    <col min="5148" max="5148" width="13.28515625" style="58" bestFit="1" customWidth="1"/>
    <col min="5149" max="5149" width="13.42578125" style="58" bestFit="1" customWidth="1"/>
    <col min="5150" max="5150" width="13" style="58" customWidth="1"/>
    <col min="5151" max="5151" width="11.5703125" style="58" customWidth="1"/>
    <col min="5152" max="5152" width="13.140625" style="58" customWidth="1"/>
    <col min="5153" max="5154" width="11.5703125" style="58" customWidth="1"/>
    <col min="5155" max="5155" width="12.42578125" style="58" customWidth="1"/>
    <col min="5156" max="5156" width="13.5703125" style="58" customWidth="1"/>
    <col min="5157" max="5157" width="13.140625" style="58" bestFit="1" customWidth="1"/>
    <col min="5158" max="5158" width="18.85546875" style="58" customWidth="1"/>
    <col min="5159" max="5160" width="14.140625" style="58" customWidth="1"/>
    <col min="5161" max="5161" width="13.85546875" style="58" customWidth="1"/>
    <col min="5162" max="5162" width="14.140625" style="58" customWidth="1"/>
    <col min="5163" max="5163" width="13.7109375" style="58" customWidth="1"/>
    <col min="5164" max="5164" width="17.140625" style="58" customWidth="1"/>
    <col min="5165" max="5165" width="15.42578125" style="58" customWidth="1"/>
    <col min="5166" max="5166" width="18" style="58" customWidth="1"/>
    <col min="5167" max="5167" width="13.7109375" style="58" bestFit="1" customWidth="1"/>
    <col min="5168" max="5168" width="14.140625" style="58" bestFit="1" customWidth="1"/>
    <col min="5169" max="5169" width="14" style="58" bestFit="1" customWidth="1"/>
    <col min="5170" max="5170" width="14.85546875" style="58" bestFit="1" customWidth="1"/>
    <col min="5171" max="5171" width="15.7109375" style="58" customWidth="1"/>
    <col min="5172" max="5172" width="5.85546875" style="58" customWidth="1"/>
    <col min="5173" max="5173" width="9.28515625" style="58" customWidth="1"/>
    <col min="5174" max="5174" width="14.85546875" style="58" customWidth="1"/>
    <col min="5175" max="5175" width="12.85546875" style="58" bestFit="1" customWidth="1"/>
    <col min="5176" max="5176" width="12.85546875" style="58" customWidth="1"/>
    <col min="5177" max="5194" width="8.85546875" style="58" customWidth="1"/>
    <col min="5195" max="5195" width="30.28515625" style="58" bestFit="1" customWidth="1"/>
    <col min="5196" max="5196" width="20.7109375" style="58" customWidth="1"/>
    <col min="5197" max="5197" width="13.42578125" style="58" customWidth="1"/>
    <col min="5198" max="5198" width="8.85546875" style="58" customWidth="1"/>
    <col min="5199" max="5199" width="11.7109375" style="58" bestFit="1" customWidth="1"/>
    <col min="5200" max="5367" width="8.85546875" style="58" customWidth="1"/>
    <col min="5368" max="5368" width="29.7109375" style="58" customWidth="1"/>
    <col min="5369" max="5371" width="14.28515625" style="58" customWidth="1"/>
    <col min="5372" max="5372" width="2.7109375" style="58" customWidth="1"/>
    <col min="5373" max="5376" width="14.28515625" style="58"/>
    <col min="5377" max="5377" width="9.28515625" style="58" bestFit="1" customWidth="1"/>
    <col min="5378" max="5378" width="48.140625" style="58" customWidth="1"/>
    <col min="5379" max="5379" width="15.85546875" style="58" bestFit="1" customWidth="1"/>
    <col min="5380" max="5380" width="14.85546875" style="58" bestFit="1" customWidth="1"/>
    <col min="5381" max="5381" width="14.7109375" style="58" bestFit="1" customWidth="1"/>
    <col min="5382" max="5382" width="2.7109375" style="58" customWidth="1"/>
    <col min="5383" max="5383" width="15.85546875" style="58" bestFit="1" customWidth="1"/>
    <col min="5384" max="5385" width="14.5703125" style="58" bestFit="1" customWidth="1"/>
    <col min="5386" max="5386" width="2.7109375" style="58" customWidth="1"/>
    <col min="5387" max="5387" width="15.7109375" style="58" bestFit="1" customWidth="1"/>
    <col min="5388" max="5388" width="13.7109375" style="58" bestFit="1" customWidth="1"/>
    <col min="5389" max="5389" width="13.42578125" style="58" bestFit="1" customWidth="1"/>
    <col min="5390" max="5400" width="10.5703125" style="58" bestFit="1" customWidth="1"/>
    <col min="5401" max="5401" width="13.5703125" style="58" customWidth="1"/>
    <col min="5402" max="5402" width="16.5703125" style="58" customWidth="1"/>
    <col min="5403" max="5403" width="14.42578125" style="58" customWidth="1"/>
    <col min="5404" max="5404" width="13.28515625" style="58" bestFit="1" customWidth="1"/>
    <col min="5405" max="5405" width="13.42578125" style="58" bestFit="1" customWidth="1"/>
    <col min="5406" max="5406" width="13" style="58" customWidth="1"/>
    <col min="5407" max="5407" width="11.5703125" style="58" customWidth="1"/>
    <col min="5408" max="5408" width="13.140625" style="58" customWidth="1"/>
    <col min="5409" max="5410" width="11.5703125" style="58" customWidth="1"/>
    <col min="5411" max="5411" width="12.42578125" style="58" customWidth="1"/>
    <col min="5412" max="5412" width="13.5703125" style="58" customWidth="1"/>
    <col min="5413" max="5413" width="13.140625" style="58" bestFit="1" customWidth="1"/>
    <col min="5414" max="5414" width="18.85546875" style="58" customWidth="1"/>
    <col min="5415" max="5416" width="14.140625" style="58" customWidth="1"/>
    <col min="5417" max="5417" width="13.85546875" style="58" customWidth="1"/>
    <col min="5418" max="5418" width="14.140625" style="58" customWidth="1"/>
    <col min="5419" max="5419" width="13.7109375" style="58" customWidth="1"/>
    <col min="5420" max="5420" width="17.140625" style="58" customWidth="1"/>
    <col min="5421" max="5421" width="15.42578125" style="58" customWidth="1"/>
    <col min="5422" max="5422" width="18" style="58" customWidth="1"/>
    <col min="5423" max="5423" width="13.7109375" style="58" bestFit="1" customWidth="1"/>
    <col min="5424" max="5424" width="14.140625" style="58" bestFit="1" customWidth="1"/>
    <col min="5425" max="5425" width="14" style="58" bestFit="1" customWidth="1"/>
    <col min="5426" max="5426" width="14.85546875" style="58" bestFit="1" customWidth="1"/>
    <col min="5427" max="5427" width="15.7109375" style="58" customWidth="1"/>
    <col min="5428" max="5428" width="5.85546875" style="58" customWidth="1"/>
    <col min="5429" max="5429" width="9.28515625" style="58" customWidth="1"/>
    <col min="5430" max="5430" width="14.85546875" style="58" customWidth="1"/>
    <col min="5431" max="5431" width="12.85546875" style="58" bestFit="1" customWidth="1"/>
    <col min="5432" max="5432" width="12.85546875" style="58" customWidth="1"/>
    <col min="5433" max="5450" width="8.85546875" style="58" customWidth="1"/>
    <col min="5451" max="5451" width="30.28515625" style="58" bestFit="1" customWidth="1"/>
    <col min="5452" max="5452" width="20.7109375" style="58" customWidth="1"/>
    <col min="5453" max="5453" width="13.42578125" style="58" customWidth="1"/>
    <col min="5454" max="5454" width="8.85546875" style="58" customWidth="1"/>
    <col min="5455" max="5455" width="11.7109375" style="58" bestFit="1" customWidth="1"/>
    <col min="5456" max="5623" width="8.85546875" style="58" customWidth="1"/>
    <col min="5624" max="5624" width="29.7109375" style="58" customWidth="1"/>
    <col min="5625" max="5627" width="14.28515625" style="58" customWidth="1"/>
    <col min="5628" max="5628" width="2.7109375" style="58" customWidth="1"/>
    <col min="5629" max="5632" width="14.28515625" style="58"/>
    <col min="5633" max="5633" width="9.28515625" style="58" bestFit="1" customWidth="1"/>
    <col min="5634" max="5634" width="48.140625" style="58" customWidth="1"/>
    <col min="5635" max="5635" width="15.85546875" style="58" bestFit="1" customWidth="1"/>
    <col min="5636" max="5636" width="14.85546875" style="58" bestFit="1" customWidth="1"/>
    <col min="5637" max="5637" width="14.7109375" style="58" bestFit="1" customWidth="1"/>
    <col min="5638" max="5638" width="2.7109375" style="58" customWidth="1"/>
    <col min="5639" max="5639" width="15.85546875" style="58" bestFit="1" customWidth="1"/>
    <col min="5640" max="5641" width="14.5703125" style="58" bestFit="1" customWidth="1"/>
    <col min="5642" max="5642" width="2.7109375" style="58" customWidth="1"/>
    <col min="5643" max="5643" width="15.7109375" style="58" bestFit="1" customWidth="1"/>
    <col min="5644" max="5644" width="13.7109375" style="58" bestFit="1" customWidth="1"/>
    <col min="5645" max="5645" width="13.42578125" style="58" bestFit="1" customWidth="1"/>
    <col min="5646" max="5656" width="10.5703125" style="58" bestFit="1" customWidth="1"/>
    <col min="5657" max="5657" width="13.5703125" style="58" customWidth="1"/>
    <col min="5658" max="5658" width="16.5703125" style="58" customWidth="1"/>
    <col min="5659" max="5659" width="14.42578125" style="58" customWidth="1"/>
    <col min="5660" max="5660" width="13.28515625" style="58" bestFit="1" customWidth="1"/>
    <col min="5661" max="5661" width="13.42578125" style="58" bestFit="1" customWidth="1"/>
    <col min="5662" max="5662" width="13" style="58" customWidth="1"/>
    <col min="5663" max="5663" width="11.5703125" style="58" customWidth="1"/>
    <col min="5664" max="5664" width="13.140625" style="58" customWidth="1"/>
    <col min="5665" max="5666" width="11.5703125" style="58" customWidth="1"/>
    <col min="5667" max="5667" width="12.42578125" style="58" customWidth="1"/>
    <col min="5668" max="5668" width="13.5703125" style="58" customWidth="1"/>
    <col min="5669" max="5669" width="13.140625" style="58" bestFit="1" customWidth="1"/>
    <col min="5670" max="5670" width="18.85546875" style="58" customWidth="1"/>
    <col min="5671" max="5672" width="14.140625" style="58" customWidth="1"/>
    <col min="5673" max="5673" width="13.85546875" style="58" customWidth="1"/>
    <col min="5674" max="5674" width="14.140625" style="58" customWidth="1"/>
    <col min="5675" max="5675" width="13.7109375" style="58" customWidth="1"/>
    <col min="5676" max="5676" width="17.140625" style="58" customWidth="1"/>
    <col min="5677" max="5677" width="15.42578125" style="58" customWidth="1"/>
    <col min="5678" max="5678" width="18" style="58" customWidth="1"/>
    <col min="5679" max="5679" width="13.7109375" style="58" bestFit="1" customWidth="1"/>
    <col min="5680" max="5680" width="14.140625" style="58" bestFit="1" customWidth="1"/>
    <col min="5681" max="5681" width="14" style="58" bestFit="1" customWidth="1"/>
    <col min="5682" max="5682" width="14.85546875" style="58" bestFit="1" customWidth="1"/>
    <col min="5683" max="5683" width="15.7109375" style="58" customWidth="1"/>
    <col min="5684" max="5684" width="5.85546875" style="58" customWidth="1"/>
    <col min="5685" max="5685" width="9.28515625" style="58" customWidth="1"/>
    <col min="5686" max="5686" width="14.85546875" style="58" customWidth="1"/>
    <col min="5687" max="5687" width="12.85546875" style="58" bestFit="1" customWidth="1"/>
    <col min="5688" max="5688" width="12.85546875" style="58" customWidth="1"/>
    <col min="5689" max="5706" width="8.85546875" style="58" customWidth="1"/>
    <col min="5707" max="5707" width="30.28515625" style="58" bestFit="1" customWidth="1"/>
    <col min="5708" max="5708" width="20.7109375" style="58" customWidth="1"/>
    <col min="5709" max="5709" width="13.42578125" style="58" customWidth="1"/>
    <col min="5710" max="5710" width="8.85546875" style="58" customWidth="1"/>
    <col min="5711" max="5711" width="11.7109375" style="58" bestFit="1" customWidth="1"/>
    <col min="5712" max="5879" width="8.85546875" style="58" customWidth="1"/>
    <col min="5880" max="5880" width="29.7109375" style="58" customWidth="1"/>
    <col min="5881" max="5883" width="14.28515625" style="58" customWidth="1"/>
    <col min="5884" max="5884" width="2.7109375" style="58" customWidth="1"/>
    <col min="5885" max="5888" width="14.28515625" style="58"/>
    <col min="5889" max="5889" width="9.28515625" style="58" bestFit="1" customWidth="1"/>
    <col min="5890" max="5890" width="48.140625" style="58" customWidth="1"/>
    <col min="5891" max="5891" width="15.85546875" style="58" bestFit="1" customWidth="1"/>
    <col min="5892" max="5892" width="14.85546875" style="58" bestFit="1" customWidth="1"/>
    <col min="5893" max="5893" width="14.7109375" style="58" bestFit="1" customWidth="1"/>
    <col min="5894" max="5894" width="2.7109375" style="58" customWidth="1"/>
    <col min="5895" max="5895" width="15.85546875" style="58" bestFit="1" customWidth="1"/>
    <col min="5896" max="5897" width="14.5703125" style="58" bestFit="1" customWidth="1"/>
    <col min="5898" max="5898" width="2.7109375" style="58" customWidth="1"/>
    <col min="5899" max="5899" width="15.7109375" style="58" bestFit="1" customWidth="1"/>
    <col min="5900" max="5900" width="13.7109375" style="58" bestFit="1" customWidth="1"/>
    <col min="5901" max="5901" width="13.42578125" style="58" bestFit="1" customWidth="1"/>
    <col min="5902" max="5912" width="10.5703125" style="58" bestFit="1" customWidth="1"/>
    <col min="5913" max="5913" width="13.5703125" style="58" customWidth="1"/>
    <col min="5914" max="5914" width="16.5703125" style="58" customWidth="1"/>
    <col min="5915" max="5915" width="14.42578125" style="58" customWidth="1"/>
    <col min="5916" max="5916" width="13.28515625" style="58" bestFit="1" customWidth="1"/>
    <col min="5917" max="5917" width="13.42578125" style="58" bestFit="1" customWidth="1"/>
    <col min="5918" max="5918" width="13" style="58" customWidth="1"/>
    <col min="5919" max="5919" width="11.5703125" style="58" customWidth="1"/>
    <col min="5920" max="5920" width="13.140625" style="58" customWidth="1"/>
    <col min="5921" max="5922" width="11.5703125" style="58" customWidth="1"/>
    <col min="5923" max="5923" width="12.42578125" style="58" customWidth="1"/>
    <col min="5924" max="5924" width="13.5703125" style="58" customWidth="1"/>
    <col min="5925" max="5925" width="13.140625" style="58" bestFit="1" customWidth="1"/>
    <col min="5926" max="5926" width="18.85546875" style="58" customWidth="1"/>
    <col min="5927" max="5928" width="14.140625" style="58" customWidth="1"/>
    <col min="5929" max="5929" width="13.85546875" style="58" customWidth="1"/>
    <col min="5930" max="5930" width="14.140625" style="58" customWidth="1"/>
    <col min="5931" max="5931" width="13.7109375" style="58" customWidth="1"/>
    <col min="5932" max="5932" width="17.140625" style="58" customWidth="1"/>
    <col min="5933" max="5933" width="15.42578125" style="58" customWidth="1"/>
    <col min="5934" max="5934" width="18" style="58" customWidth="1"/>
    <col min="5935" max="5935" width="13.7109375" style="58" bestFit="1" customWidth="1"/>
    <col min="5936" max="5936" width="14.140625" style="58" bestFit="1" customWidth="1"/>
    <col min="5937" max="5937" width="14" style="58" bestFit="1" customWidth="1"/>
    <col min="5938" max="5938" width="14.85546875" style="58" bestFit="1" customWidth="1"/>
    <col min="5939" max="5939" width="15.7109375" style="58" customWidth="1"/>
    <col min="5940" max="5940" width="5.85546875" style="58" customWidth="1"/>
    <col min="5941" max="5941" width="9.28515625" style="58" customWidth="1"/>
    <col min="5942" max="5942" width="14.85546875" style="58" customWidth="1"/>
    <col min="5943" max="5943" width="12.85546875" style="58" bestFit="1" customWidth="1"/>
    <col min="5944" max="5944" width="12.85546875" style="58" customWidth="1"/>
    <col min="5945" max="5962" width="8.85546875" style="58" customWidth="1"/>
    <col min="5963" max="5963" width="30.28515625" style="58" bestFit="1" customWidth="1"/>
    <col min="5964" max="5964" width="20.7109375" style="58" customWidth="1"/>
    <col min="5965" max="5965" width="13.42578125" style="58" customWidth="1"/>
    <col min="5966" max="5966" width="8.85546875" style="58" customWidth="1"/>
    <col min="5967" max="5967" width="11.7109375" style="58" bestFit="1" customWidth="1"/>
    <col min="5968" max="6135" width="8.85546875" style="58" customWidth="1"/>
    <col min="6136" max="6136" width="29.7109375" style="58" customWidth="1"/>
    <col min="6137" max="6139" width="14.28515625" style="58" customWidth="1"/>
    <col min="6140" max="6140" width="2.7109375" style="58" customWidth="1"/>
    <col min="6141" max="6144" width="14.28515625" style="58"/>
    <col min="6145" max="6145" width="9.28515625" style="58" bestFit="1" customWidth="1"/>
    <col min="6146" max="6146" width="48.140625" style="58" customWidth="1"/>
    <col min="6147" max="6147" width="15.85546875" style="58" bestFit="1" customWidth="1"/>
    <col min="6148" max="6148" width="14.85546875" style="58" bestFit="1" customWidth="1"/>
    <col min="6149" max="6149" width="14.7109375" style="58" bestFit="1" customWidth="1"/>
    <col min="6150" max="6150" width="2.7109375" style="58" customWidth="1"/>
    <col min="6151" max="6151" width="15.85546875" style="58" bestFit="1" customWidth="1"/>
    <col min="6152" max="6153" width="14.5703125" style="58" bestFit="1" customWidth="1"/>
    <col min="6154" max="6154" width="2.7109375" style="58" customWidth="1"/>
    <col min="6155" max="6155" width="15.7109375" style="58" bestFit="1" customWidth="1"/>
    <col min="6156" max="6156" width="13.7109375" style="58" bestFit="1" customWidth="1"/>
    <col min="6157" max="6157" width="13.42578125" style="58" bestFit="1" customWidth="1"/>
    <col min="6158" max="6168" width="10.5703125" style="58" bestFit="1" customWidth="1"/>
    <col min="6169" max="6169" width="13.5703125" style="58" customWidth="1"/>
    <col min="6170" max="6170" width="16.5703125" style="58" customWidth="1"/>
    <col min="6171" max="6171" width="14.42578125" style="58" customWidth="1"/>
    <col min="6172" max="6172" width="13.28515625" style="58" bestFit="1" customWidth="1"/>
    <col min="6173" max="6173" width="13.42578125" style="58" bestFit="1" customWidth="1"/>
    <col min="6174" max="6174" width="13" style="58" customWidth="1"/>
    <col min="6175" max="6175" width="11.5703125" style="58" customWidth="1"/>
    <col min="6176" max="6176" width="13.140625" style="58" customWidth="1"/>
    <col min="6177" max="6178" width="11.5703125" style="58" customWidth="1"/>
    <col min="6179" max="6179" width="12.42578125" style="58" customWidth="1"/>
    <col min="6180" max="6180" width="13.5703125" style="58" customWidth="1"/>
    <col min="6181" max="6181" width="13.140625" style="58" bestFit="1" customWidth="1"/>
    <col min="6182" max="6182" width="18.85546875" style="58" customWidth="1"/>
    <col min="6183" max="6184" width="14.140625" style="58" customWidth="1"/>
    <col min="6185" max="6185" width="13.85546875" style="58" customWidth="1"/>
    <col min="6186" max="6186" width="14.140625" style="58" customWidth="1"/>
    <col min="6187" max="6187" width="13.7109375" style="58" customWidth="1"/>
    <col min="6188" max="6188" width="17.140625" style="58" customWidth="1"/>
    <col min="6189" max="6189" width="15.42578125" style="58" customWidth="1"/>
    <col min="6190" max="6190" width="18" style="58" customWidth="1"/>
    <col min="6191" max="6191" width="13.7109375" style="58" bestFit="1" customWidth="1"/>
    <col min="6192" max="6192" width="14.140625" style="58" bestFit="1" customWidth="1"/>
    <col min="6193" max="6193" width="14" style="58" bestFit="1" customWidth="1"/>
    <col min="6194" max="6194" width="14.85546875" style="58" bestFit="1" customWidth="1"/>
    <col min="6195" max="6195" width="15.7109375" style="58" customWidth="1"/>
    <col min="6196" max="6196" width="5.85546875" style="58" customWidth="1"/>
    <col min="6197" max="6197" width="9.28515625" style="58" customWidth="1"/>
    <col min="6198" max="6198" width="14.85546875" style="58" customWidth="1"/>
    <col min="6199" max="6199" width="12.85546875" style="58" bestFit="1" customWidth="1"/>
    <col min="6200" max="6200" width="12.85546875" style="58" customWidth="1"/>
    <col min="6201" max="6218" width="8.85546875" style="58" customWidth="1"/>
    <col min="6219" max="6219" width="30.28515625" style="58" bestFit="1" customWidth="1"/>
    <col min="6220" max="6220" width="20.7109375" style="58" customWidth="1"/>
    <col min="6221" max="6221" width="13.42578125" style="58" customWidth="1"/>
    <col min="6222" max="6222" width="8.85546875" style="58" customWidth="1"/>
    <col min="6223" max="6223" width="11.7109375" style="58" bestFit="1" customWidth="1"/>
    <col min="6224" max="6391" width="8.85546875" style="58" customWidth="1"/>
    <col min="6392" max="6392" width="29.7109375" style="58" customWidth="1"/>
    <col min="6393" max="6395" width="14.28515625" style="58" customWidth="1"/>
    <col min="6396" max="6396" width="2.7109375" style="58" customWidth="1"/>
    <col min="6397" max="6400" width="14.28515625" style="58"/>
    <col min="6401" max="6401" width="9.28515625" style="58" bestFit="1" customWidth="1"/>
    <col min="6402" max="6402" width="48.140625" style="58" customWidth="1"/>
    <col min="6403" max="6403" width="15.85546875" style="58" bestFit="1" customWidth="1"/>
    <col min="6404" max="6404" width="14.85546875" style="58" bestFit="1" customWidth="1"/>
    <col min="6405" max="6405" width="14.7109375" style="58" bestFit="1" customWidth="1"/>
    <col min="6406" max="6406" width="2.7109375" style="58" customWidth="1"/>
    <col min="6407" max="6407" width="15.85546875" style="58" bestFit="1" customWidth="1"/>
    <col min="6408" max="6409" width="14.5703125" style="58" bestFit="1" customWidth="1"/>
    <col min="6410" max="6410" width="2.7109375" style="58" customWidth="1"/>
    <col min="6411" max="6411" width="15.7109375" style="58" bestFit="1" customWidth="1"/>
    <col min="6412" max="6412" width="13.7109375" style="58" bestFit="1" customWidth="1"/>
    <col min="6413" max="6413" width="13.42578125" style="58" bestFit="1" customWidth="1"/>
    <col min="6414" max="6424" width="10.5703125" style="58" bestFit="1" customWidth="1"/>
    <col min="6425" max="6425" width="13.5703125" style="58" customWidth="1"/>
    <col min="6426" max="6426" width="16.5703125" style="58" customWidth="1"/>
    <col min="6427" max="6427" width="14.42578125" style="58" customWidth="1"/>
    <col min="6428" max="6428" width="13.28515625" style="58" bestFit="1" customWidth="1"/>
    <col min="6429" max="6429" width="13.42578125" style="58" bestFit="1" customWidth="1"/>
    <col min="6430" max="6430" width="13" style="58" customWidth="1"/>
    <col min="6431" max="6431" width="11.5703125" style="58" customWidth="1"/>
    <col min="6432" max="6432" width="13.140625" style="58" customWidth="1"/>
    <col min="6433" max="6434" width="11.5703125" style="58" customWidth="1"/>
    <col min="6435" max="6435" width="12.42578125" style="58" customWidth="1"/>
    <col min="6436" max="6436" width="13.5703125" style="58" customWidth="1"/>
    <col min="6437" max="6437" width="13.140625" style="58" bestFit="1" customWidth="1"/>
    <col min="6438" max="6438" width="18.85546875" style="58" customWidth="1"/>
    <col min="6439" max="6440" width="14.140625" style="58" customWidth="1"/>
    <col min="6441" max="6441" width="13.85546875" style="58" customWidth="1"/>
    <col min="6442" max="6442" width="14.140625" style="58" customWidth="1"/>
    <col min="6443" max="6443" width="13.7109375" style="58" customWidth="1"/>
    <col min="6444" max="6444" width="17.140625" style="58" customWidth="1"/>
    <col min="6445" max="6445" width="15.42578125" style="58" customWidth="1"/>
    <col min="6446" max="6446" width="18" style="58" customWidth="1"/>
    <col min="6447" max="6447" width="13.7109375" style="58" bestFit="1" customWidth="1"/>
    <col min="6448" max="6448" width="14.140625" style="58" bestFit="1" customWidth="1"/>
    <col min="6449" max="6449" width="14" style="58" bestFit="1" customWidth="1"/>
    <col min="6450" max="6450" width="14.85546875" style="58" bestFit="1" customWidth="1"/>
    <col min="6451" max="6451" width="15.7109375" style="58" customWidth="1"/>
    <col min="6452" max="6452" width="5.85546875" style="58" customWidth="1"/>
    <col min="6453" max="6453" width="9.28515625" style="58" customWidth="1"/>
    <col min="6454" max="6454" width="14.85546875" style="58" customWidth="1"/>
    <col min="6455" max="6455" width="12.85546875" style="58" bestFit="1" customWidth="1"/>
    <col min="6456" max="6456" width="12.85546875" style="58" customWidth="1"/>
    <col min="6457" max="6474" width="8.85546875" style="58" customWidth="1"/>
    <col min="6475" max="6475" width="30.28515625" style="58" bestFit="1" customWidth="1"/>
    <col min="6476" max="6476" width="20.7109375" style="58" customWidth="1"/>
    <col min="6477" max="6477" width="13.42578125" style="58" customWidth="1"/>
    <col min="6478" max="6478" width="8.85546875" style="58" customWidth="1"/>
    <col min="6479" max="6479" width="11.7109375" style="58" bestFit="1" customWidth="1"/>
    <col min="6480" max="6647" width="8.85546875" style="58" customWidth="1"/>
    <col min="6648" max="6648" width="29.7109375" style="58" customWidth="1"/>
    <col min="6649" max="6651" width="14.28515625" style="58" customWidth="1"/>
    <col min="6652" max="6652" width="2.7109375" style="58" customWidth="1"/>
    <col min="6653" max="6656" width="14.28515625" style="58"/>
    <col min="6657" max="6657" width="9.28515625" style="58" bestFit="1" customWidth="1"/>
    <col min="6658" max="6658" width="48.140625" style="58" customWidth="1"/>
    <col min="6659" max="6659" width="15.85546875" style="58" bestFit="1" customWidth="1"/>
    <col min="6660" max="6660" width="14.85546875" style="58" bestFit="1" customWidth="1"/>
    <col min="6661" max="6661" width="14.7109375" style="58" bestFit="1" customWidth="1"/>
    <col min="6662" max="6662" width="2.7109375" style="58" customWidth="1"/>
    <col min="6663" max="6663" width="15.85546875" style="58" bestFit="1" customWidth="1"/>
    <col min="6664" max="6665" width="14.5703125" style="58" bestFit="1" customWidth="1"/>
    <col min="6666" max="6666" width="2.7109375" style="58" customWidth="1"/>
    <col min="6667" max="6667" width="15.7109375" style="58" bestFit="1" customWidth="1"/>
    <col min="6668" max="6668" width="13.7109375" style="58" bestFit="1" customWidth="1"/>
    <col min="6669" max="6669" width="13.42578125" style="58" bestFit="1" customWidth="1"/>
    <col min="6670" max="6680" width="10.5703125" style="58" bestFit="1" customWidth="1"/>
    <col min="6681" max="6681" width="13.5703125" style="58" customWidth="1"/>
    <col min="6682" max="6682" width="16.5703125" style="58" customWidth="1"/>
    <col min="6683" max="6683" width="14.42578125" style="58" customWidth="1"/>
    <col min="6684" max="6684" width="13.28515625" style="58" bestFit="1" customWidth="1"/>
    <col min="6685" max="6685" width="13.42578125" style="58" bestFit="1" customWidth="1"/>
    <col min="6686" max="6686" width="13" style="58" customWidth="1"/>
    <col min="6687" max="6687" width="11.5703125" style="58" customWidth="1"/>
    <col min="6688" max="6688" width="13.140625" style="58" customWidth="1"/>
    <col min="6689" max="6690" width="11.5703125" style="58" customWidth="1"/>
    <col min="6691" max="6691" width="12.42578125" style="58" customWidth="1"/>
    <col min="6692" max="6692" width="13.5703125" style="58" customWidth="1"/>
    <col min="6693" max="6693" width="13.140625" style="58" bestFit="1" customWidth="1"/>
    <col min="6694" max="6694" width="18.85546875" style="58" customWidth="1"/>
    <col min="6695" max="6696" width="14.140625" style="58" customWidth="1"/>
    <col min="6697" max="6697" width="13.85546875" style="58" customWidth="1"/>
    <col min="6698" max="6698" width="14.140625" style="58" customWidth="1"/>
    <col min="6699" max="6699" width="13.7109375" style="58" customWidth="1"/>
    <col min="6700" max="6700" width="17.140625" style="58" customWidth="1"/>
    <col min="6701" max="6701" width="15.42578125" style="58" customWidth="1"/>
    <col min="6702" max="6702" width="18" style="58" customWidth="1"/>
    <col min="6703" max="6703" width="13.7109375" style="58" bestFit="1" customWidth="1"/>
    <col min="6704" max="6704" width="14.140625" style="58" bestFit="1" customWidth="1"/>
    <col min="6705" max="6705" width="14" style="58" bestFit="1" customWidth="1"/>
    <col min="6706" max="6706" width="14.85546875" style="58" bestFit="1" customWidth="1"/>
    <col min="6707" max="6707" width="15.7109375" style="58" customWidth="1"/>
    <col min="6708" max="6708" width="5.85546875" style="58" customWidth="1"/>
    <col min="6709" max="6709" width="9.28515625" style="58" customWidth="1"/>
    <col min="6710" max="6710" width="14.85546875" style="58" customWidth="1"/>
    <col min="6711" max="6711" width="12.85546875" style="58" bestFit="1" customWidth="1"/>
    <col min="6712" max="6712" width="12.85546875" style="58" customWidth="1"/>
    <col min="6713" max="6730" width="8.85546875" style="58" customWidth="1"/>
    <col min="6731" max="6731" width="30.28515625" style="58" bestFit="1" customWidth="1"/>
    <col min="6732" max="6732" width="20.7109375" style="58" customWidth="1"/>
    <col min="6733" max="6733" width="13.42578125" style="58" customWidth="1"/>
    <col min="6734" max="6734" width="8.85546875" style="58" customWidth="1"/>
    <col min="6735" max="6735" width="11.7109375" style="58" bestFit="1" customWidth="1"/>
    <col min="6736" max="6903" width="8.85546875" style="58" customWidth="1"/>
    <col min="6904" max="6904" width="29.7109375" style="58" customWidth="1"/>
    <col min="6905" max="6907" width="14.28515625" style="58" customWidth="1"/>
    <col min="6908" max="6908" width="2.7109375" style="58" customWidth="1"/>
    <col min="6909" max="6912" width="14.28515625" style="58"/>
    <col min="6913" max="6913" width="9.28515625" style="58" bestFit="1" customWidth="1"/>
    <col min="6914" max="6914" width="48.140625" style="58" customWidth="1"/>
    <col min="6915" max="6915" width="15.85546875" style="58" bestFit="1" customWidth="1"/>
    <col min="6916" max="6916" width="14.85546875" style="58" bestFit="1" customWidth="1"/>
    <col min="6917" max="6917" width="14.7109375" style="58" bestFit="1" customWidth="1"/>
    <col min="6918" max="6918" width="2.7109375" style="58" customWidth="1"/>
    <col min="6919" max="6919" width="15.85546875" style="58" bestFit="1" customWidth="1"/>
    <col min="6920" max="6921" width="14.5703125" style="58" bestFit="1" customWidth="1"/>
    <col min="6922" max="6922" width="2.7109375" style="58" customWidth="1"/>
    <col min="6923" max="6923" width="15.7109375" style="58" bestFit="1" customWidth="1"/>
    <col min="6924" max="6924" width="13.7109375" style="58" bestFit="1" customWidth="1"/>
    <col min="6925" max="6925" width="13.42578125" style="58" bestFit="1" customWidth="1"/>
    <col min="6926" max="6936" width="10.5703125" style="58" bestFit="1" customWidth="1"/>
    <col min="6937" max="6937" width="13.5703125" style="58" customWidth="1"/>
    <col min="6938" max="6938" width="16.5703125" style="58" customWidth="1"/>
    <col min="6939" max="6939" width="14.42578125" style="58" customWidth="1"/>
    <col min="6940" max="6940" width="13.28515625" style="58" bestFit="1" customWidth="1"/>
    <col min="6941" max="6941" width="13.42578125" style="58" bestFit="1" customWidth="1"/>
    <col min="6942" max="6942" width="13" style="58" customWidth="1"/>
    <col min="6943" max="6943" width="11.5703125" style="58" customWidth="1"/>
    <col min="6944" max="6944" width="13.140625" style="58" customWidth="1"/>
    <col min="6945" max="6946" width="11.5703125" style="58" customWidth="1"/>
    <col min="6947" max="6947" width="12.42578125" style="58" customWidth="1"/>
    <col min="6948" max="6948" width="13.5703125" style="58" customWidth="1"/>
    <col min="6949" max="6949" width="13.140625" style="58" bestFit="1" customWidth="1"/>
    <col min="6950" max="6950" width="18.85546875" style="58" customWidth="1"/>
    <col min="6951" max="6952" width="14.140625" style="58" customWidth="1"/>
    <col min="6953" max="6953" width="13.85546875" style="58" customWidth="1"/>
    <col min="6954" max="6954" width="14.140625" style="58" customWidth="1"/>
    <col min="6955" max="6955" width="13.7109375" style="58" customWidth="1"/>
    <col min="6956" max="6956" width="17.140625" style="58" customWidth="1"/>
    <col min="6957" max="6957" width="15.42578125" style="58" customWidth="1"/>
    <col min="6958" max="6958" width="18" style="58" customWidth="1"/>
    <col min="6959" max="6959" width="13.7109375" style="58" bestFit="1" customWidth="1"/>
    <col min="6960" max="6960" width="14.140625" style="58" bestFit="1" customWidth="1"/>
    <col min="6961" max="6961" width="14" style="58" bestFit="1" customWidth="1"/>
    <col min="6962" max="6962" width="14.85546875" style="58" bestFit="1" customWidth="1"/>
    <col min="6963" max="6963" width="15.7109375" style="58" customWidth="1"/>
    <col min="6964" max="6964" width="5.85546875" style="58" customWidth="1"/>
    <col min="6965" max="6965" width="9.28515625" style="58" customWidth="1"/>
    <col min="6966" max="6966" width="14.85546875" style="58" customWidth="1"/>
    <col min="6967" max="6967" width="12.85546875" style="58" bestFit="1" customWidth="1"/>
    <col min="6968" max="6968" width="12.85546875" style="58" customWidth="1"/>
    <col min="6969" max="6986" width="8.85546875" style="58" customWidth="1"/>
    <col min="6987" max="6987" width="30.28515625" style="58" bestFit="1" customWidth="1"/>
    <col min="6988" max="6988" width="20.7109375" style="58" customWidth="1"/>
    <col min="6989" max="6989" width="13.42578125" style="58" customWidth="1"/>
    <col min="6990" max="6990" width="8.85546875" style="58" customWidth="1"/>
    <col min="6991" max="6991" width="11.7109375" style="58" bestFit="1" customWidth="1"/>
    <col min="6992" max="7159" width="8.85546875" style="58" customWidth="1"/>
    <col min="7160" max="7160" width="29.7109375" style="58" customWidth="1"/>
    <col min="7161" max="7163" width="14.28515625" style="58" customWidth="1"/>
    <col min="7164" max="7164" width="2.7109375" style="58" customWidth="1"/>
    <col min="7165" max="7168" width="14.28515625" style="58"/>
    <col min="7169" max="7169" width="9.28515625" style="58" bestFit="1" customWidth="1"/>
    <col min="7170" max="7170" width="48.140625" style="58" customWidth="1"/>
    <col min="7171" max="7171" width="15.85546875" style="58" bestFit="1" customWidth="1"/>
    <col min="7172" max="7172" width="14.85546875" style="58" bestFit="1" customWidth="1"/>
    <col min="7173" max="7173" width="14.7109375" style="58" bestFit="1" customWidth="1"/>
    <col min="7174" max="7174" width="2.7109375" style="58" customWidth="1"/>
    <col min="7175" max="7175" width="15.85546875" style="58" bestFit="1" customWidth="1"/>
    <col min="7176" max="7177" width="14.5703125" style="58" bestFit="1" customWidth="1"/>
    <col min="7178" max="7178" width="2.7109375" style="58" customWidth="1"/>
    <col min="7179" max="7179" width="15.7109375" style="58" bestFit="1" customWidth="1"/>
    <col min="7180" max="7180" width="13.7109375" style="58" bestFit="1" customWidth="1"/>
    <col min="7181" max="7181" width="13.42578125" style="58" bestFit="1" customWidth="1"/>
    <col min="7182" max="7192" width="10.5703125" style="58" bestFit="1" customWidth="1"/>
    <col min="7193" max="7193" width="13.5703125" style="58" customWidth="1"/>
    <col min="7194" max="7194" width="16.5703125" style="58" customWidth="1"/>
    <col min="7195" max="7195" width="14.42578125" style="58" customWidth="1"/>
    <col min="7196" max="7196" width="13.28515625" style="58" bestFit="1" customWidth="1"/>
    <col min="7197" max="7197" width="13.42578125" style="58" bestFit="1" customWidth="1"/>
    <col min="7198" max="7198" width="13" style="58" customWidth="1"/>
    <col min="7199" max="7199" width="11.5703125" style="58" customWidth="1"/>
    <col min="7200" max="7200" width="13.140625" style="58" customWidth="1"/>
    <col min="7201" max="7202" width="11.5703125" style="58" customWidth="1"/>
    <col min="7203" max="7203" width="12.42578125" style="58" customWidth="1"/>
    <col min="7204" max="7204" width="13.5703125" style="58" customWidth="1"/>
    <col min="7205" max="7205" width="13.140625" style="58" bestFit="1" customWidth="1"/>
    <col min="7206" max="7206" width="18.85546875" style="58" customWidth="1"/>
    <col min="7207" max="7208" width="14.140625" style="58" customWidth="1"/>
    <col min="7209" max="7209" width="13.85546875" style="58" customWidth="1"/>
    <col min="7210" max="7210" width="14.140625" style="58" customWidth="1"/>
    <col min="7211" max="7211" width="13.7109375" style="58" customWidth="1"/>
    <col min="7212" max="7212" width="17.140625" style="58" customWidth="1"/>
    <col min="7213" max="7213" width="15.42578125" style="58" customWidth="1"/>
    <col min="7214" max="7214" width="18" style="58" customWidth="1"/>
    <col min="7215" max="7215" width="13.7109375" style="58" bestFit="1" customWidth="1"/>
    <col min="7216" max="7216" width="14.140625" style="58" bestFit="1" customWidth="1"/>
    <col min="7217" max="7217" width="14" style="58" bestFit="1" customWidth="1"/>
    <col min="7218" max="7218" width="14.85546875" style="58" bestFit="1" customWidth="1"/>
    <col min="7219" max="7219" width="15.7109375" style="58" customWidth="1"/>
    <col min="7220" max="7220" width="5.85546875" style="58" customWidth="1"/>
    <col min="7221" max="7221" width="9.28515625" style="58" customWidth="1"/>
    <col min="7222" max="7222" width="14.85546875" style="58" customWidth="1"/>
    <col min="7223" max="7223" width="12.85546875" style="58" bestFit="1" customWidth="1"/>
    <col min="7224" max="7224" width="12.85546875" style="58" customWidth="1"/>
    <col min="7225" max="7242" width="8.85546875" style="58" customWidth="1"/>
    <col min="7243" max="7243" width="30.28515625" style="58" bestFit="1" customWidth="1"/>
    <col min="7244" max="7244" width="20.7109375" style="58" customWidth="1"/>
    <col min="7245" max="7245" width="13.42578125" style="58" customWidth="1"/>
    <col min="7246" max="7246" width="8.85546875" style="58" customWidth="1"/>
    <col min="7247" max="7247" width="11.7109375" style="58" bestFit="1" customWidth="1"/>
    <col min="7248" max="7415" width="8.85546875" style="58" customWidth="1"/>
    <col min="7416" max="7416" width="29.7109375" style="58" customWidth="1"/>
    <col min="7417" max="7419" width="14.28515625" style="58" customWidth="1"/>
    <col min="7420" max="7420" width="2.7109375" style="58" customWidth="1"/>
    <col min="7421" max="7424" width="14.28515625" style="58"/>
    <col min="7425" max="7425" width="9.28515625" style="58" bestFit="1" customWidth="1"/>
    <col min="7426" max="7426" width="48.140625" style="58" customWidth="1"/>
    <col min="7427" max="7427" width="15.85546875" style="58" bestFit="1" customWidth="1"/>
    <col min="7428" max="7428" width="14.85546875" style="58" bestFit="1" customWidth="1"/>
    <col min="7429" max="7429" width="14.7109375" style="58" bestFit="1" customWidth="1"/>
    <col min="7430" max="7430" width="2.7109375" style="58" customWidth="1"/>
    <col min="7431" max="7431" width="15.85546875" style="58" bestFit="1" customWidth="1"/>
    <col min="7432" max="7433" width="14.5703125" style="58" bestFit="1" customWidth="1"/>
    <col min="7434" max="7434" width="2.7109375" style="58" customWidth="1"/>
    <col min="7435" max="7435" width="15.7109375" style="58" bestFit="1" customWidth="1"/>
    <col min="7436" max="7436" width="13.7109375" style="58" bestFit="1" customWidth="1"/>
    <col min="7437" max="7437" width="13.42578125" style="58" bestFit="1" customWidth="1"/>
    <col min="7438" max="7448" width="10.5703125" style="58" bestFit="1" customWidth="1"/>
    <col min="7449" max="7449" width="13.5703125" style="58" customWidth="1"/>
    <col min="7450" max="7450" width="16.5703125" style="58" customWidth="1"/>
    <col min="7451" max="7451" width="14.42578125" style="58" customWidth="1"/>
    <col min="7452" max="7452" width="13.28515625" style="58" bestFit="1" customWidth="1"/>
    <col min="7453" max="7453" width="13.42578125" style="58" bestFit="1" customWidth="1"/>
    <col min="7454" max="7454" width="13" style="58" customWidth="1"/>
    <col min="7455" max="7455" width="11.5703125" style="58" customWidth="1"/>
    <col min="7456" max="7456" width="13.140625" style="58" customWidth="1"/>
    <col min="7457" max="7458" width="11.5703125" style="58" customWidth="1"/>
    <col min="7459" max="7459" width="12.42578125" style="58" customWidth="1"/>
    <col min="7460" max="7460" width="13.5703125" style="58" customWidth="1"/>
    <col min="7461" max="7461" width="13.140625" style="58" bestFit="1" customWidth="1"/>
    <col min="7462" max="7462" width="18.85546875" style="58" customWidth="1"/>
    <col min="7463" max="7464" width="14.140625" style="58" customWidth="1"/>
    <col min="7465" max="7465" width="13.85546875" style="58" customWidth="1"/>
    <col min="7466" max="7466" width="14.140625" style="58" customWidth="1"/>
    <col min="7467" max="7467" width="13.7109375" style="58" customWidth="1"/>
    <col min="7468" max="7468" width="17.140625" style="58" customWidth="1"/>
    <col min="7469" max="7469" width="15.42578125" style="58" customWidth="1"/>
    <col min="7470" max="7470" width="18" style="58" customWidth="1"/>
    <col min="7471" max="7471" width="13.7109375" style="58" bestFit="1" customWidth="1"/>
    <col min="7472" max="7472" width="14.140625" style="58" bestFit="1" customWidth="1"/>
    <col min="7473" max="7473" width="14" style="58" bestFit="1" customWidth="1"/>
    <col min="7474" max="7474" width="14.85546875" style="58" bestFit="1" customWidth="1"/>
    <col min="7475" max="7475" width="15.7109375" style="58" customWidth="1"/>
    <col min="7476" max="7476" width="5.85546875" style="58" customWidth="1"/>
    <col min="7477" max="7477" width="9.28515625" style="58" customWidth="1"/>
    <col min="7478" max="7478" width="14.85546875" style="58" customWidth="1"/>
    <col min="7479" max="7479" width="12.85546875" style="58" bestFit="1" customWidth="1"/>
    <col min="7480" max="7480" width="12.85546875" style="58" customWidth="1"/>
    <col min="7481" max="7498" width="8.85546875" style="58" customWidth="1"/>
    <col min="7499" max="7499" width="30.28515625" style="58" bestFit="1" customWidth="1"/>
    <col min="7500" max="7500" width="20.7109375" style="58" customWidth="1"/>
    <col min="7501" max="7501" width="13.42578125" style="58" customWidth="1"/>
    <col min="7502" max="7502" width="8.85546875" style="58" customWidth="1"/>
    <col min="7503" max="7503" width="11.7109375" style="58" bestFit="1" customWidth="1"/>
    <col min="7504" max="7671" width="8.85546875" style="58" customWidth="1"/>
    <col min="7672" max="7672" width="29.7109375" style="58" customWidth="1"/>
    <col min="7673" max="7675" width="14.28515625" style="58" customWidth="1"/>
    <col min="7676" max="7676" width="2.7109375" style="58" customWidth="1"/>
    <col min="7677" max="7680" width="14.28515625" style="58"/>
    <col min="7681" max="7681" width="9.28515625" style="58" bestFit="1" customWidth="1"/>
    <col min="7682" max="7682" width="48.140625" style="58" customWidth="1"/>
    <col min="7683" max="7683" width="15.85546875" style="58" bestFit="1" customWidth="1"/>
    <col min="7684" max="7684" width="14.85546875" style="58" bestFit="1" customWidth="1"/>
    <col min="7685" max="7685" width="14.7109375" style="58" bestFit="1" customWidth="1"/>
    <col min="7686" max="7686" width="2.7109375" style="58" customWidth="1"/>
    <col min="7687" max="7687" width="15.85546875" style="58" bestFit="1" customWidth="1"/>
    <col min="7688" max="7689" width="14.5703125" style="58" bestFit="1" customWidth="1"/>
    <col min="7690" max="7690" width="2.7109375" style="58" customWidth="1"/>
    <col min="7691" max="7691" width="15.7109375" style="58" bestFit="1" customWidth="1"/>
    <col min="7692" max="7692" width="13.7109375" style="58" bestFit="1" customWidth="1"/>
    <col min="7693" max="7693" width="13.42578125" style="58" bestFit="1" customWidth="1"/>
    <col min="7694" max="7704" width="10.5703125" style="58" bestFit="1" customWidth="1"/>
    <col min="7705" max="7705" width="13.5703125" style="58" customWidth="1"/>
    <col min="7706" max="7706" width="16.5703125" style="58" customWidth="1"/>
    <col min="7707" max="7707" width="14.42578125" style="58" customWidth="1"/>
    <col min="7708" max="7708" width="13.28515625" style="58" bestFit="1" customWidth="1"/>
    <col min="7709" max="7709" width="13.42578125" style="58" bestFit="1" customWidth="1"/>
    <col min="7710" max="7710" width="13" style="58" customWidth="1"/>
    <col min="7711" max="7711" width="11.5703125" style="58" customWidth="1"/>
    <col min="7712" max="7712" width="13.140625" style="58" customWidth="1"/>
    <col min="7713" max="7714" width="11.5703125" style="58" customWidth="1"/>
    <col min="7715" max="7715" width="12.42578125" style="58" customWidth="1"/>
    <col min="7716" max="7716" width="13.5703125" style="58" customWidth="1"/>
    <col min="7717" max="7717" width="13.140625" style="58" bestFit="1" customWidth="1"/>
    <col min="7718" max="7718" width="18.85546875" style="58" customWidth="1"/>
    <col min="7719" max="7720" width="14.140625" style="58" customWidth="1"/>
    <col min="7721" max="7721" width="13.85546875" style="58" customWidth="1"/>
    <col min="7722" max="7722" width="14.140625" style="58" customWidth="1"/>
    <col min="7723" max="7723" width="13.7109375" style="58" customWidth="1"/>
    <col min="7724" max="7724" width="17.140625" style="58" customWidth="1"/>
    <col min="7725" max="7725" width="15.42578125" style="58" customWidth="1"/>
    <col min="7726" max="7726" width="18" style="58" customWidth="1"/>
    <col min="7727" max="7727" width="13.7109375" style="58" bestFit="1" customWidth="1"/>
    <col min="7728" max="7728" width="14.140625" style="58" bestFit="1" customWidth="1"/>
    <col min="7729" max="7729" width="14" style="58" bestFit="1" customWidth="1"/>
    <col min="7730" max="7730" width="14.85546875" style="58" bestFit="1" customWidth="1"/>
    <col min="7731" max="7731" width="15.7109375" style="58" customWidth="1"/>
    <col min="7732" max="7732" width="5.85546875" style="58" customWidth="1"/>
    <col min="7733" max="7733" width="9.28515625" style="58" customWidth="1"/>
    <col min="7734" max="7734" width="14.85546875" style="58" customWidth="1"/>
    <col min="7735" max="7735" width="12.85546875" style="58" bestFit="1" customWidth="1"/>
    <col min="7736" max="7736" width="12.85546875" style="58" customWidth="1"/>
    <col min="7737" max="7754" width="8.85546875" style="58" customWidth="1"/>
    <col min="7755" max="7755" width="30.28515625" style="58" bestFit="1" customWidth="1"/>
    <col min="7756" max="7756" width="20.7109375" style="58" customWidth="1"/>
    <col min="7757" max="7757" width="13.42578125" style="58" customWidth="1"/>
    <col min="7758" max="7758" width="8.85546875" style="58" customWidth="1"/>
    <col min="7759" max="7759" width="11.7109375" style="58" bestFit="1" customWidth="1"/>
    <col min="7760" max="7927" width="8.85546875" style="58" customWidth="1"/>
    <col min="7928" max="7928" width="29.7109375" style="58" customWidth="1"/>
    <col min="7929" max="7931" width="14.28515625" style="58" customWidth="1"/>
    <col min="7932" max="7932" width="2.7109375" style="58" customWidth="1"/>
    <col min="7933" max="7936" width="14.28515625" style="58"/>
    <col min="7937" max="7937" width="9.28515625" style="58" bestFit="1" customWidth="1"/>
    <col min="7938" max="7938" width="48.140625" style="58" customWidth="1"/>
    <col min="7939" max="7939" width="15.85546875" style="58" bestFit="1" customWidth="1"/>
    <col min="7940" max="7940" width="14.85546875" style="58" bestFit="1" customWidth="1"/>
    <col min="7941" max="7941" width="14.7109375" style="58" bestFit="1" customWidth="1"/>
    <col min="7942" max="7942" width="2.7109375" style="58" customWidth="1"/>
    <col min="7943" max="7943" width="15.85546875" style="58" bestFit="1" customWidth="1"/>
    <col min="7944" max="7945" width="14.5703125" style="58" bestFit="1" customWidth="1"/>
    <col min="7946" max="7946" width="2.7109375" style="58" customWidth="1"/>
    <col min="7947" max="7947" width="15.7109375" style="58" bestFit="1" customWidth="1"/>
    <col min="7948" max="7948" width="13.7109375" style="58" bestFit="1" customWidth="1"/>
    <col min="7949" max="7949" width="13.42578125" style="58" bestFit="1" customWidth="1"/>
    <col min="7950" max="7960" width="10.5703125" style="58" bestFit="1" customWidth="1"/>
    <col min="7961" max="7961" width="13.5703125" style="58" customWidth="1"/>
    <col min="7962" max="7962" width="16.5703125" style="58" customWidth="1"/>
    <col min="7963" max="7963" width="14.42578125" style="58" customWidth="1"/>
    <col min="7964" max="7964" width="13.28515625" style="58" bestFit="1" customWidth="1"/>
    <col min="7965" max="7965" width="13.42578125" style="58" bestFit="1" customWidth="1"/>
    <col min="7966" max="7966" width="13" style="58" customWidth="1"/>
    <col min="7967" max="7967" width="11.5703125" style="58" customWidth="1"/>
    <col min="7968" max="7968" width="13.140625" style="58" customWidth="1"/>
    <col min="7969" max="7970" width="11.5703125" style="58" customWidth="1"/>
    <col min="7971" max="7971" width="12.42578125" style="58" customWidth="1"/>
    <col min="7972" max="7972" width="13.5703125" style="58" customWidth="1"/>
    <col min="7973" max="7973" width="13.140625" style="58" bestFit="1" customWidth="1"/>
    <col min="7974" max="7974" width="18.85546875" style="58" customWidth="1"/>
    <col min="7975" max="7976" width="14.140625" style="58" customWidth="1"/>
    <col min="7977" max="7977" width="13.85546875" style="58" customWidth="1"/>
    <col min="7978" max="7978" width="14.140625" style="58" customWidth="1"/>
    <col min="7979" max="7979" width="13.7109375" style="58" customWidth="1"/>
    <col min="7980" max="7980" width="17.140625" style="58" customWidth="1"/>
    <col min="7981" max="7981" width="15.42578125" style="58" customWidth="1"/>
    <col min="7982" max="7982" width="18" style="58" customWidth="1"/>
    <col min="7983" max="7983" width="13.7109375" style="58" bestFit="1" customWidth="1"/>
    <col min="7984" max="7984" width="14.140625" style="58" bestFit="1" customWidth="1"/>
    <col min="7985" max="7985" width="14" style="58" bestFit="1" customWidth="1"/>
    <col min="7986" max="7986" width="14.85546875" style="58" bestFit="1" customWidth="1"/>
    <col min="7987" max="7987" width="15.7109375" style="58" customWidth="1"/>
    <col min="7988" max="7988" width="5.85546875" style="58" customWidth="1"/>
    <col min="7989" max="7989" width="9.28515625" style="58" customWidth="1"/>
    <col min="7990" max="7990" width="14.85546875" style="58" customWidth="1"/>
    <col min="7991" max="7991" width="12.85546875" style="58" bestFit="1" customWidth="1"/>
    <col min="7992" max="7992" width="12.85546875" style="58" customWidth="1"/>
    <col min="7993" max="8010" width="8.85546875" style="58" customWidth="1"/>
    <col min="8011" max="8011" width="30.28515625" style="58" bestFit="1" customWidth="1"/>
    <col min="8012" max="8012" width="20.7109375" style="58" customWidth="1"/>
    <col min="8013" max="8013" width="13.42578125" style="58" customWidth="1"/>
    <col min="8014" max="8014" width="8.85546875" style="58" customWidth="1"/>
    <col min="8015" max="8015" width="11.7109375" style="58" bestFit="1" customWidth="1"/>
    <col min="8016" max="8183" width="8.85546875" style="58" customWidth="1"/>
    <col min="8184" max="8184" width="29.7109375" style="58" customWidth="1"/>
    <col min="8185" max="8187" width="14.28515625" style="58" customWidth="1"/>
    <col min="8188" max="8188" width="2.7109375" style="58" customWidth="1"/>
    <col min="8189" max="8192" width="14.28515625" style="58"/>
    <col min="8193" max="8193" width="9.28515625" style="58" bestFit="1" customWidth="1"/>
    <col min="8194" max="8194" width="48.140625" style="58" customWidth="1"/>
    <col min="8195" max="8195" width="15.85546875" style="58" bestFit="1" customWidth="1"/>
    <col min="8196" max="8196" width="14.85546875" style="58" bestFit="1" customWidth="1"/>
    <col min="8197" max="8197" width="14.7109375" style="58" bestFit="1" customWidth="1"/>
    <col min="8198" max="8198" width="2.7109375" style="58" customWidth="1"/>
    <col min="8199" max="8199" width="15.85546875" style="58" bestFit="1" customWidth="1"/>
    <col min="8200" max="8201" width="14.5703125" style="58" bestFit="1" customWidth="1"/>
    <col min="8202" max="8202" width="2.7109375" style="58" customWidth="1"/>
    <col min="8203" max="8203" width="15.7109375" style="58" bestFit="1" customWidth="1"/>
    <col min="8204" max="8204" width="13.7109375" style="58" bestFit="1" customWidth="1"/>
    <col min="8205" max="8205" width="13.42578125" style="58" bestFit="1" customWidth="1"/>
    <col min="8206" max="8216" width="10.5703125" style="58" bestFit="1" customWidth="1"/>
    <col min="8217" max="8217" width="13.5703125" style="58" customWidth="1"/>
    <col min="8218" max="8218" width="16.5703125" style="58" customWidth="1"/>
    <col min="8219" max="8219" width="14.42578125" style="58" customWidth="1"/>
    <col min="8220" max="8220" width="13.28515625" style="58" bestFit="1" customWidth="1"/>
    <col min="8221" max="8221" width="13.42578125" style="58" bestFit="1" customWidth="1"/>
    <col min="8222" max="8222" width="13" style="58" customWidth="1"/>
    <col min="8223" max="8223" width="11.5703125" style="58" customWidth="1"/>
    <col min="8224" max="8224" width="13.140625" style="58" customWidth="1"/>
    <col min="8225" max="8226" width="11.5703125" style="58" customWidth="1"/>
    <col min="8227" max="8227" width="12.42578125" style="58" customWidth="1"/>
    <col min="8228" max="8228" width="13.5703125" style="58" customWidth="1"/>
    <col min="8229" max="8229" width="13.140625" style="58" bestFit="1" customWidth="1"/>
    <col min="8230" max="8230" width="18.85546875" style="58" customWidth="1"/>
    <col min="8231" max="8232" width="14.140625" style="58" customWidth="1"/>
    <col min="8233" max="8233" width="13.85546875" style="58" customWidth="1"/>
    <col min="8234" max="8234" width="14.140625" style="58" customWidth="1"/>
    <col min="8235" max="8235" width="13.7109375" style="58" customWidth="1"/>
    <col min="8236" max="8236" width="17.140625" style="58" customWidth="1"/>
    <col min="8237" max="8237" width="15.42578125" style="58" customWidth="1"/>
    <col min="8238" max="8238" width="18" style="58" customWidth="1"/>
    <col min="8239" max="8239" width="13.7109375" style="58" bestFit="1" customWidth="1"/>
    <col min="8240" max="8240" width="14.140625" style="58" bestFit="1" customWidth="1"/>
    <col min="8241" max="8241" width="14" style="58" bestFit="1" customWidth="1"/>
    <col min="8242" max="8242" width="14.85546875" style="58" bestFit="1" customWidth="1"/>
    <col min="8243" max="8243" width="15.7109375" style="58" customWidth="1"/>
    <col min="8244" max="8244" width="5.85546875" style="58" customWidth="1"/>
    <col min="8245" max="8245" width="9.28515625" style="58" customWidth="1"/>
    <col min="8246" max="8246" width="14.85546875" style="58" customWidth="1"/>
    <col min="8247" max="8247" width="12.85546875" style="58" bestFit="1" customWidth="1"/>
    <col min="8248" max="8248" width="12.85546875" style="58" customWidth="1"/>
    <col min="8249" max="8266" width="8.85546875" style="58" customWidth="1"/>
    <col min="8267" max="8267" width="30.28515625" style="58" bestFit="1" customWidth="1"/>
    <col min="8268" max="8268" width="20.7109375" style="58" customWidth="1"/>
    <col min="8269" max="8269" width="13.42578125" style="58" customWidth="1"/>
    <col min="8270" max="8270" width="8.85546875" style="58" customWidth="1"/>
    <col min="8271" max="8271" width="11.7109375" style="58" bestFit="1" customWidth="1"/>
    <col min="8272" max="8439" width="8.85546875" style="58" customWidth="1"/>
    <col min="8440" max="8440" width="29.7109375" style="58" customWidth="1"/>
    <col min="8441" max="8443" width="14.28515625" style="58" customWidth="1"/>
    <col min="8444" max="8444" width="2.7109375" style="58" customWidth="1"/>
    <col min="8445" max="8448" width="14.28515625" style="58"/>
    <col min="8449" max="8449" width="9.28515625" style="58" bestFit="1" customWidth="1"/>
    <col min="8450" max="8450" width="48.140625" style="58" customWidth="1"/>
    <col min="8451" max="8451" width="15.85546875" style="58" bestFit="1" customWidth="1"/>
    <col min="8452" max="8452" width="14.85546875" style="58" bestFit="1" customWidth="1"/>
    <col min="8453" max="8453" width="14.7109375" style="58" bestFit="1" customWidth="1"/>
    <col min="8454" max="8454" width="2.7109375" style="58" customWidth="1"/>
    <col min="8455" max="8455" width="15.85546875" style="58" bestFit="1" customWidth="1"/>
    <col min="8456" max="8457" width="14.5703125" style="58" bestFit="1" customWidth="1"/>
    <col min="8458" max="8458" width="2.7109375" style="58" customWidth="1"/>
    <col min="8459" max="8459" width="15.7109375" style="58" bestFit="1" customWidth="1"/>
    <col min="8460" max="8460" width="13.7109375" style="58" bestFit="1" customWidth="1"/>
    <col min="8461" max="8461" width="13.42578125" style="58" bestFit="1" customWidth="1"/>
    <col min="8462" max="8472" width="10.5703125" style="58" bestFit="1" customWidth="1"/>
    <col min="8473" max="8473" width="13.5703125" style="58" customWidth="1"/>
    <col min="8474" max="8474" width="16.5703125" style="58" customWidth="1"/>
    <col min="8475" max="8475" width="14.42578125" style="58" customWidth="1"/>
    <col min="8476" max="8476" width="13.28515625" style="58" bestFit="1" customWidth="1"/>
    <col min="8477" max="8477" width="13.42578125" style="58" bestFit="1" customWidth="1"/>
    <col min="8478" max="8478" width="13" style="58" customWidth="1"/>
    <col min="8479" max="8479" width="11.5703125" style="58" customWidth="1"/>
    <col min="8480" max="8480" width="13.140625" style="58" customWidth="1"/>
    <col min="8481" max="8482" width="11.5703125" style="58" customWidth="1"/>
    <col min="8483" max="8483" width="12.42578125" style="58" customWidth="1"/>
    <col min="8484" max="8484" width="13.5703125" style="58" customWidth="1"/>
    <col min="8485" max="8485" width="13.140625" style="58" bestFit="1" customWidth="1"/>
    <col min="8486" max="8486" width="18.85546875" style="58" customWidth="1"/>
    <col min="8487" max="8488" width="14.140625" style="58" customWidth="1"/>
    <col min="8489" max="8489" width="13.85546875" style="58" customWidth="1"/>
    <col min="8490" max="8490" width="14.140625" style="58" customWidth="1"/>
    <col min="8491" max="8491" width="13.7109375" style="58" customWidth="1"/>
    <col min="8492" max="8492" width="17.140625" style="58" customWidth="1"/>
    <col min="8493" max="8493" width="15.42578125" style="58" customWidth="1"/>
    <col min="8494" max="8494" width="18" style="58" customWidth="1"/>
    <col min="8495" max="8495" width="13.7109375" style="58" bestFit="1" customWidth="1"/>
    <col min="8496" max="8496" width="14.140625" style="58" bestFit="1" customWidth="1"/>
    <col min="8497" max="8497" width="14" style="58" bestFit="1" customWidth="1"/>
    <col min="8498" max="8498" width="14.85546875" style="58" bestFit="1" customWidth="1"/>
    <col min="8499" max="8499" width="15.7109375" style="58" customWidth="1"/>
    <col min="8500" max="8500" width="5.85546875" style="58" customWidth="1"/>
    <col min="8501" max="8501" width="9.28515625" style="58" customWidth="1"/>
    <col min="8502" max="8502" width="14.85546875" style="58" customWidth="1"/>
    <col min="8503" max="8503" width="12.85546875" style="58" bestFit="1" customWidth="1"/>
    <col min="8504" max="8504" width="12.85546875" style="58" customWidth="1"/>
    <col min="8505" max="8522" width="8.85546875" style="58" customWidth="1"/>
    <col min="8523" max="8523" width="30.28515625" style="58" bestFit="1" customWidth="1"/>
    <col min="8524" max="8524" width="20.7109375" style="58" customWidth="1"/>
    <col min="8525" max="8525" width="13.42578125" style="58" customWidth="1"/>
    <col min="8526" max="8526" width="8.85546875" style="58" customWidth="1"/>
    <col min="8527" max="8527" width="11.7109375" style="58" bestFit="1" customWidth="1"/>
    <col min="8528" max="8695" width="8.85546875" style="58" customWidth="1"/>
    <col min="8696" max="8696" width="29.7109375" style="58" customWidth="1"/>
    <col min="8697" max="8699" width="14.28515625" style="58" customWidth="1"/>
    <col min="8700" max="8700" width="2.7109375" style="58" customWidth="1"/>
    <col min="8701" max="8704" width="14.28515625" style="58"/>
    <col min="8705" max="8705" width="9.28515625" style="58" bestFit="1" customWidth="1"/>
    <col min="8706" max="8706" width="48.140625" style="58" customWidth="1"/>
    <col min="8707" max="8707" width="15.85546875" style="58" bestFit="1" customWidth="1"/>
    <col min="8708" max="8708" width="14.85546875" style="58" bestFit="1" customWidth="1"/>
    <col min="8709" max="8709" width="14.7109375" style="58" bestFit="1" customWidth="1"/>
    <col min="8710" max="8710" width="2.7109375" style="58" customWidth="1"/>
    <col min="8711" max="8711" width="15.85546875" style="58" bestFit="1" customWidth="1"/>
    <col min="8712" max="8713" width="14.5703125" style="58" bestFit="1" customWidth="1"/>
    <col min="8714" max="8714" width="2.7109375" style="58" customWidth="1"/>
    <col min="8715" max="8715" width="15.7109375" style="58" bestFit="1" customWidth="1"/>
    <col min="8716" max="8716" width="13.7109375" style="58" bestFit="1" customWidth="1"/>
    <col min="8717" max="8717" width="13.42578125" style="58" bestFit="1" customWidth="1"/>
    <col min="8718" max="8728" width="10.5703125" style="58" bestFit="1" customWidth="1"/>
    <col min="8729" max="8729" width="13.5703125" style="58" customWidth="1"/>
    <col min="8730" max="8730" width="16.5703125" style="58" customWidth="1"/>
    <col min="8731" max="8731" width="14.42578125" style="58" customWidth="1"/>
    <col min="8732" max="8732" width="13.28515625" style="58" bestFit="1" customWidth="1"/>
    <col min="8733" max="8733" width="13.42578125" style="58" bestFit="1" customWidth="1"/>
    <col min="8734" max="8734" width="13" style="58" customWidth="1"/>
    <col min="8735" max="8735" width="11.5703125" style="58" customWidth="1"/>
    <col min="8736" max="8736" width="13.140625" style="58" customWidth="1"/>
    <col min="8737" max="8738" width="11.5703125" style="58" customWidth="1"/>
    <col min="8739" max="8739" width="12.42578125" style="58" customWidth="1"/>
    <col min="8740" max="8740" width="13.5703125" style="58" customWidth="1"/>
    <col min="8741" max="8741" width="13.140625" style="58" bestFit="1" customWidth="1"/>
    <col min="8742" max="8742" width="18.85546875" style="58" customWidth="1"/>
    <col min="8743" max="8744" width="14.140625" style="58" customWidth="1"/>
    <col min="8745" max="8745" width="13.85546875" style="58" customWidth="1"/>
    <col min="8746" max="8746" width="14.140625" style="58" customWidth="1"/>
    <col min="8747" max="8747" width="13.7109375" style="58" customWidth="1"/>
    <col min="8748" max="8748" width="17.140625" style="58" customWidth="1"/>
    <col min="8749" max="8749" width="15.42578125" style="58" customWidth="1"/>
    <col min="8750" max="8750" width="18" style="58" customWidth="1"/>
    <col min="8751" max="8751" width="13.7109375" style="58" bestFit="1" customWidth="1"/>
    <col min="8752" max="8752" width="14.140625" style="58" bestFit="1" customWidth="1"/>
    <col min="8753" max="8753" width="14" style="58" bestFit="1" customWidth="1"/>
    <col min="8754" max="8754" width="14.85546875" style="58" bestFit="1" customWidth="1"/>
    <col min="8755" max="8755" width="15.7109375" style="58" customWidth="1"/>
    <col min="8756" max="8756" width="5.85546875" style="58" customWidth="1"/>
    <col min="8757" max="8757" width="9.28515625" style="58" customWidth="1"/>
    <col min="8758" max="8758" width="14.85546875" style="58" customWidth="1"/>
    <col min="8759" max="8759" width="12.85546875" style="58" bestFit="1" customWidth="1"/>
    <col min="8760" max="8760" width="12.85546875" style="58" customWidth="1"/>
    <col min="8761" max="8778" width="8.85546875" style="58" customWidth="1"/>
    <col min="8779" max="8779" width="30.28515625" style="58" bestFit="1" customWidth="1"/>
    <col min="8780" max="8780" width="20.7109375" style="58" customWidth="1"/>
    <col min="8781" max="8781" width="13.42578125" style="58" customWidth="1"/>
    <col min="8782" max="8782" width="8.85546875" style="58" customWidth="1"/>
    <col min="8783" max="8783" width="11.7109375" style="58" bestFit="1" customWidth="1"/>
    <col min="8784" max="8951" width="8.85546875" style="58" customWidth="1"/>
    <col min="8952" max="8952" width="29.7109375" style="58" customWidth="1"/>
    <col min="8953" max="8955" width="14.28515625" style="58" customWidth="1"/>
    <col min="8956" max="8956" width="2.7109375" style="58" customWidth="1"/>
    <col min="8957" max="8960" width="14.28515625" style="58"/>
    <col min="8961" max="8961" width="9.28515625" style="58" bestFit="1" customWidth="1"/>
    <col min="8962" max="8962" width="48.140625" style="58" customWidth="1"/>
    <col min="8963" max="8963" width="15.85546875" style="58" bestFit="1" customWidth="1"/>
    <col min="8964" max="8964" width="14.85546875" style="58" bestFit="1" customWidth="1"/>
    <col min="8965" max="8965" width="14.7109375" style="58" bestFit="1" customWidth="1"/>
    <col min="8966" max="8966" width="2.7109375" style="58" customWidth="1"/>
    <col min="8967" max="8967" width="15.85546875" style="58" bestFit="1" customWidth="1"/>
    <col min="8968" max="8969" width="14.5703125" style="58" bestFit="1" customWidth="1"/>
    <col min="8970" max="8970" width="2.7109375" style="58" customWidth="1"/>
    <col min="8971" max="8971" width="15.7109375" style="58" bestFit="1" customWidth="1"/>
    <col min="8972" max="8972" width="13.7109375" style="58" bestFit="1" customWidth="1"/>
    <col min="8973" max="8973" width="13.42578125" style="58" bestFit="1" customWidth="1"/>
    <col min="8974" max="8984" width="10.5703125" style="58" bestFit="1" customWidth="1"/>
    <col min="8985" max="8985" width="13.5703125" style="58" customWidth="1"/>
    <col min="8986" max="8986" width="16.5703125" style="58" customWidth="1"/>
    <col min="8987" max="8987" width="14.42578125" style="58" customWidth="1"/>
    <col min="8988" max="8988" width="13.28515625" style="58" bestFit="1" customWidth="1"/>
    <col min="8989" max="8989" width="13.42578125" style="58" bestFit="1" customWidth="1"/>
    <col min="8990" max="8990" width="13" style="58" customWidth="1"/>
    <col min="8991" max="8991" width="11.5703125" style="58" customWidth="1"/>
    <col min="8992" max="8992" width="13.140625" style="58" customWidth="1"/>
    <col min="8993" max="8994" width="11.5703125" style="58" customWidth="1"/>
    <col min="8995" max="8995" width="12.42578125" style="58" customWidth="1"/>
    <col min="8996" max="8996" width="13.5703125" style="58" customWidth="1"/>
    <col min="8997" max="8997" width="13.140625" style="58" bestFit="1" customWidth="1"/>
    <col min="8998" max="8998" width="18.85546875" style="58" customWidth="1"/>
    <col min="8999" max="9000" width="14.140625" style="58" customWidth="1"/>
    <col min="9001" max="9001" width="13.85546875" style="58" customWidth="1"/>
    <col min="9002" max="9002" width="14.140625" style="58" customWidth="1"/>
    <col min="9003" max="9003" width="13.7109375" style="58" customWidth="1"/>
    <col min="9004" max="9004" width="17.140625" style="58" customWidth="1"/>
    <col min="9005" max="9005" width="15.42578125" style="58" customWidth="1"/>
    <col min="9006" max="9006" width="18" style="58" customWidth="1"/>
    <col min="9007" max="9007" width="13.7109375" style="58" bestFit="1" customWidth="1"/>
    <col min="9008" max="9008" width="14.140625" style="58" bestFit="1" customWidth="1"/>
    <col min="9009" max="9009" width="14" style="58" bestFit="1" customWidth="1"/>
    <col min="9010" max="9010" width="14.85546875" style="58" bestFit="1" customWidth="1"/>
    <col min="9011" max="9011" width="15.7109375" style="58" customWidth="1"/>
    <col min="9012" max="9012" width="5.85546875" style="58" customWidth="1"/>
    <col min="9013" max="9013" width="9.28515625" style="58" customWidth="1"/>
    <col min="9014" max="9014" width="14.85546875" style="58" customWidth="1"/>
    <col min="9015" max="9015" width="12.85546875" style="58" bestFit="1" customWidth="1"/>
    <col min="9016" max="9016" width="12.85546875" style="58" customWidth="1"/>
    <col min="9017" max="9034" width="8.85546875" style="58" customWidth="1"/>
    <col min="9035" max="9035" width="30.28515625" style="58" bestFit="1" customWidth="1"/>
    <col min="9036" max="9036" width="20.7109375" style="58" customWidth="1"/>
    <col min="9037" max="9037" width="13.42578125" style="58" customWidth="1"/>
    <col min="9038" max="9038" width="8.85546875" style="58" customWidth="1"/>
    <col min="9039" max="9039" width="11.7109375" style="58" bestFit="1" customWidth="1"/>
    <col min="9040" max="9207" width="8.85546875" style="58" customWidth="1"/>
    <col min="9208" max="9208" width="29.7109375" style="58" customWidth="1"/>
    <col min="9209" max="9211" width="14.28515625" style="58" customWidth="1"/>
    <col min="9212" max="9212" width="2.7109375" style="58" customWidth="1"/>
    <col min="9213" max="9216" width="14.28515625" style="58"/>
    <col min="9217" max="9217" width="9.28515625" style="58" bestFit="1" customWidth="1"/>
    <col min="9218" max="9218" width="48.140625" style="58" customWidth="1"/>
    <col min="9219" max="9219" width="15.85546875" style="58" bestFit="1" customWidth="1"/>
    <col min="9220" max="9220" width="14.85546875" style="58" bestFit="1" customWidth="1"/>
    <col min="9221" max="9221" width="14.7109375" style="58" bestFit="1" customWidth="1"/>
    <col min="9222" max="9222" width="2.7109375" style="58" customWidth="1"/>
    <col min="9223" max="9223" width="15.85546875" style="58" bestFit="1" customWidth="1"/>
    <col min="9224" max="9225" width="14.5703125" style="58" bestFit="1" customWidth="1"/>
    <col min="9226" max="9226" width="2.7109375" style="58" customWidth="1"/>
    <col min="9227" max="9227" width="15.7109375" style="58" bestFit="1" customWidth="1"/>
    <col min="9228" max="9228" width="13.7109375" style="58" bestFit="1" customWidth="1"/>
    <col min="9229" max="9229" width="13.42578125" style="58" bestFit="1" customWidth="1"/>
    <col min="9230" max="9240" width="10.5703125" style="58" bestFit="1" customWidth="1"/>
    <col min="9241" max="9241" width="13.5703125" style="58" customWidth="1"/>
    <col min="9242" max="9242" width="16.5703125" style="58" customWidth="1"/>
    <col min="9243" max="9243" width="14.42578125" style="58" customWidth="1"/>
    <col min="9244" max="9244" width="13.28515625" style="58" bestFit="1" customWidth="1"/>
    <col min="9245" max="9245" width="13.42578125" style="58" bestFit="1" customWidth="1"/>
    <col min="9246" max="9246" width="13" style="58" customWidth="1"/>
    <col min="9247" max="9247" width="11.5703125" style="58" customWidth="1"/>
    <col min="9248" max="9248" width="13.140625" style="58" customWidth="1"/>
    <col min="9249" max="9250" width="11.5703125" style="58" customWidth="1"/>
    <col min="9251" max="9251" width="12.42578125" style="58" customWidth="1"/>
    <col min="9252" max="9252" width="13.5703125" style="58" customWidth="1"/>
    <col min="9253" max="9253" width="13.140625" style="58" bestFit="1" customWidth="1"/>
    <col min="9254" max="9254" width="18.85546875" style="58" customWidth="1"/>
    <col min="9255" max="9256" width="14.140625" style="58" customWidth="1"/>
    <col min="9257" max="9257" width="13.85546875" style="58" customWidth="1"/>
    <col min="9258" max="9258" width="14.140625" style="58" customWidth="1"/>
    <col min="9259" max="9259" width="13.7109375" style="58" customWidth="1"/>
    <col min="9260" max="9260" width="17.140625" style="58" customWidth="1"/>
    <col min="9261" max="9261" width="15.42578125" style="58" customWidth="1"/>
    <col min="9262" max="9262" width="18" style="58" customWidth="1"/>
    <col min="9263" max="9263" width="13.7109375" style="58" bestFit="1" customWidth="1"/>
    <col min="9264" max="9264" width="14.140625" style="58" bestFit="1" customWidth="1"/>
    <col min="9265" max="9265" width="14" style="58" bestFit="1" customWidth="1"/>
    <col min="9266" max="9266" width="14.85546875" style="58" bestFit="1" customWidth="1"/>
    <col min="9267" max="9267" width="15.7109375" style="58" customWidth="1"/>
    <col min="9268" max="9268" width="5.85546875" style="58" customWidth="1"/>
    <col min="9269" max="9269" width="9.28515625" style="58" customWidth="1"/>
    <col min="9270" max="9270" width="14.85546875" style="58" customWidth="1"/>
    <col min="9271" max="9271" width="12.85546875" style="58" bestFit="1" customWidth="1"/>
    <col min="9272" max="9272" width="12.85546875" style="58" customWidth="1"/>
    <col min="9273" max="9290" width="8.85546875" style="58" customWidth="1"/>
    <col min="9291" max="9291" width="30.28515625" style="58" bestFit="1" customWidth="1"/>
    <col min="9292" max="9292" width="20.7109375" style="58" customWidth="1"/>
    <col min="9293" max="9293" width="13.42578125" style="58" customWidth="1"/>
    <col min="9294" max="9294" width="8.85546875" style="58" customWidth="1"/>
    <col min="9295" max="9295" width="11.7109375" style="58" bestFit="1" customWidth="1"/>
    <col min="9296" max="9463" width="8.85546875" style="58" customWidth="1"/>
    <col min="9464" max="9464" width="29.7109375" style="58" customWidth="1"/>
    <col min="9465" max="9467" width="14.28515625" style="58" customWidth="1"/>
    <col min="9468" max="9468" width="2.7109375" style="58" customWidth="1"/>
    <col min="9469" max="9472" width="14.28515625" style="58"/>
    <col min="9473" max="9473" width="9.28515625" style="58" bestFit="1" customWidth="1"/>
    <col min="9474" max="9474" width="48.140625" style="58" customWidth="1"/>
    <col min="9475" max="9475" width="15.85546875" style="58" bestFit="1" customWidth="1"/>
    <col min="9476" max="9476" width="14.85546875" style="58" bestFit="1" customWidth="1"/>
    <col min="9477" max="9477" width="14.7109375" style="58" bestFit="1" customWidth="1"/>
    <col min="9478" max="9478" width="2.7109375" style="58" customWidth="1"/>
    <col min="9479" max="9479" width="15.85546875" style="58" bestFit="1" customWidth="1"/>
    <col min="9480" max="9481" width="14.5703125" style="58" bestFit="1" customWidth="1"/>
    <col min="9482" max="9482" width="2.7109375" style="58" customWidth="1"/>
    <col min="9483" max="9483" width="15.7109375" style="58" bestFit="1" customWidth="1"/>
    <col min="9484" max="9484" width="13.7109375" style="58" bestFit="1" customWidth="1"/>
    <col min="9485" max="9485" width="13.42578125" style="58" bestFit="1" customWidth="1"/>
    <col min="9486" max="9496" width="10.5703125" style="58" bestFit="1" customWidth="1"/>
    <col min="9497" max="9497" width="13.5703125" style="58" customWidth="1"/>
    <col min="9498" max="9498" width="16.5703125" style="58" customWidth="1"/>
    <col min="9499" max="9499" width="14.42578125" style="58" customWidth="1"/>
    <col min="9500" max="9500" width="13.28515625" style="58" bestFit="1" customWidth="1"/>
    <col min="9501" max="9501" width="13.42578125" style="58" bestFit="1" customWidth="1"/>
    <col min="9502" max="9502" width="13" style="58" customWidth="1"/>
    <col min="9503" max="9503" width="11.5703125" style="58" customWidth="1"/>
    <col min="9504" max="9504" width="13.140625" style="58" customWidth="1"/>
    <col min="9505" max="9506" width="11.5703125" style="58" customWidth="1"/>
    <col min="9507" max="9507" width="12.42578125" style="58" customWidth="1"/>
    <col min="9508" max="9508" width="13.5703125" style="58" customWidth="1"/>
    <col min="9509" max="9509" width="13.140625" style="58" bestFit="1" customWidth="1"/>
    <col min="9510" max="9510" width="18.85546875" style="58" customWidth="1"/>
    <col min="9511" max="9512" width="14.140625" style="58" customWidth="1"/>
    <col min="9513" max="9513" width="13.85546875" style="58" customWidth="1"/>
    <col min="9514" max="9514" width="14.140625" style="58" customWidth="1"/>
    <col min="9515" max="9515" width="13.7109375" style="58" customWidth="1"/>
    <col min="9516" max="9516" width="17.140625" style="58" customWidth="1"/>
    <col min="9517" max="9517" width="15.42578125" style="58" customWidth="1"/>
    <col min="9518" max="9518" width="18" style="58" customWidth="1"/>
    <col min="9519" max="9519" width="13.7109375" style="58" bestFit="1" customWidth="1"/>
    <col min="9520" max="9520" width="14.140625" style="58" bestFit="1" customWidth="1"/>
    <col min="9521" max="9521" width="14" style="58" bestFit="1" customWidth="1"/>
    <col min="9522" max="9522" width="14.85546875" style="58" bestFit="1" customWidth="1"/>
    <col min="9523" max="9523" width="15.7109375" style="58" customWidth="1"/>
    <col min="9524" max="9524" width="5.85546875" style="58" customWidth="1"/>
    <col min="9525" max="9525" width="9.28515625" style="58" customWidth="1"/>
    <col min="9526" max="9526" width="14.85546875" style="58" customWidth="1"/>
    <col min="9527" max="9527" width="12.85546875" style="58" bestFit="1" customWidth="1"/>
    <col min="9528" max="9528" width="12.85546875" style="58" customWidth="1"/>
    <col min="9529" max="9546" width="8.85546875" style="58" customWidth="1"/>
    <col min="9547" max="9547" width="30.28515625" style="58" bestFit="1" customWidth="1"/>
    <col min="9548" max="9548" width="20.7109375" style="58" customWidth="1"/>
    <col min="9549" max="9549" width="13.42578125" style="58" customWidth="1"/>
    <col min="9550" max="9550" width="8.85546875" style="58" customWidth="1"/>
    <col min="9551" max="9551" width="11.7109375" style="58" bestFit="1" customWidth="1"/>
    <col min="9552" max="9719" width="8.85546875" style="58" customWidth="1"/>
    <col min="9720" max="9720" width="29.7109375" style="58" customWidth="1"/>
    <col min="9721" max="9723" width="14.28515625" style="58" customWidth="1"/>
    <col min="9724" max="9724" width="2.7109375" style="58" customWidth="1"/>
    <col min="9725" max="9728" width="14.28515625" style="58"/>
    <col min="9729" max="9729" width="9.28515625" style="58" bestFit="1" customWidth="1"/>
    <col min="9730" max="9730" width="48.140625" style="58" customWidth="1"/>
    <col min="9731" max="9731" width="15.85546875" style="58" bestFit="1" customWidth="1"/>
    <col min="9732" max="9732" width="14.85546875" style="58" bestFit="1" customWidth="1"/>
    <col min="9733" max="9733" width="14.7109375" style="58" bestFit="1" customWidth="1"/>
    <col min="9734" max="9734" width="2.7109375" style="58" customWidth="1"/>
    <col min="9735" max="9735" width="15.85546875" style="58" bestFit="1" customWidth="1"/>
    <col min="9736" max="9737" width="14.5703125" style="58" bestFit="1" customWidth="1"/>
    <col min="9738" max="9738" width="2.7109375" style="58" customWidth="1"/>
    <col min="9739" max="9739" width="15.7109375" style="58" bestFit="1" customWidth="1"/>
    <col min="9740" max="9740" width="13.7109375" style="58" bestFit="1" customWidth="1"/>
    <col min="9741" max="9741" width="13.42578125" style="58" bestFit="1" customWidth="1"/>
    <col min="9742" max="9752" width="10.5703125" style="58" bestFit="1" customWidth="1"/>
    <col min="9753" max="9753" width="13.5703125" style="58" customWidth="1"/>
    <col min="9754" max="9754" width="16.5703125" style="58" customWidth="1"/>
    <col min="9755" max="9755" width="14.42578125" style="58" customWidth="1"/>
    <col min="9756" max="9756" width="13.28515625" style="58" bestFit="1" customWidth="1"/>
    <col min="9757" max="9757" width="13.42578125" style="58" bestFit="1" customWidth="1"/>
    <col min="9758" max="9758" width="13" style="58" customWidth="1"/>
    <col min="9759" max="9759" width="11.5703125" style="58" customWidth="1"/>
    <col min="9760" max="9760" width="13.140625" style="58" customWidth="1"/>
    <col min="9761" max="9762" width="11.5703125" style="58" customWidth="1"/>
    <col min="9763" max="9763" width="12.42578125" style="58" customWidth="1"/>
    <col min="9764" max="9764" width="13.5703125" style="58" customWidth="1"/>
    <col min="9765" max="9765" width="13.140625" style="58" bestFit="1" customWidth="1"/>
    <col min="9766" max="9766" width="18.85546875" style="58" customWidth="1"/>
    <col min="9767" max="9768" width="14.140625" style="58" customWidth="1"/>
    <col min="9769" max="9769" width="13.85546875" style="58" customWidth="1"/>
    <col min="9770" max="9770" width="14.140625" style="58" customWidth="1"/>
    <col min="9771" max="9771" width="13.7109375" style="58" customWidth="1"/>
    <col min="9772" max="9772" width="17.140625" style="58" customWidth="1"/>
    <col min="9773" max="9773" width="15.42578125" style="58" customWidth="1"/>
    <col min="9774" max="9774" width="18" style="58" customWidth="1"/>
    <col min="9775" max="9775" width="13.7109375" style="58" bestFit="1" customWidth="1"/>
    <col min="9776" max="9776" width="14.140625" style="58" bestFit="1" customWidth="1"/>
    <col min="9777" max="9777" width="14" style="58" bestFit="1" customWidth="1"/>
    <col min="9778" max="9778" width="14.85546875" style="58" bestFit="1" customWidth="1"/>
    <col min="9779" max="9779" width="15.7109375" style="58" customWidth="1"/>
    <col min="9780" max="9780" width="5.85546875" style="58" customWidth="1"/>
    <col min="9781" max="9781" width="9.28515625" style="58" customWidth="1"/>
    <col min="9782" max="9782" width="14.85546875" style="58" customWidth="1"/>
    <col min="9783" max="9783" width="12.85546875" style="58" bestFit="1" customWidth="1"/>
    <col min="9784" max="9784" width="12.85546875" style="58" customWidth="1"/>
    <col min="9785" max="9802" width="8.85546875" style="58" customWidth="1"/>
    <col min="9803" max="9803" width="30.28515625" style="58" bestFit="1" customWidth="1"/>
    <col min="9804" max="9804" width="20.7109375" style="58" customWidth="1"/>
    <col min="9805" max="9805" width="13.42578125" style="58" customWidth="1"/>
    <col min="9806" max="9806" width="8.85546875" style="58" customWidth="1"/>
    <col min="9807" max="9807" width="11.7109375" style="58" bestFit="1" customWidth="1"/>
    <col min="9808" max="9975" width="8.85546875" style="58" customWidth="1"/>
    <col min="9976" max="9976" width="29.7109375" style="58" customWidth="1"/>
    <col min="9977" max="9979" width="14.28515625" style="58" customWidth="1"/>
    <col min="9980" max="9980" width="2.7109375" style="58" customWidth="1"/>
    <col min="9981" max="9984" width="14.28515625" style="58"/>
    <col min="9985" max="9985" width="9.28515625" style="58" bestFit="1" customWidth="1"/>
    <col min="9986" max="9986" width="48.140625" style="58" customWidth="1"/>
    <col min="9987" max="9987" width="15.85546875" style="58" bestFit="1" customWidth="1"/>
    <col min="9988" max="9988" width="14.85546875" style="58" bestFit="1" customWidth="1"/>
    <col min="9989" max="9989" width="14.7109375" style="58" bestFit="1" customWidth="1"/>
    <col min="9990" max="9990" width="2.7109375" style="58" customWidth="1"/>
    <col min="9991" max="9991" width="15.85546875" style="58" bestFit="1" customWidth="1"/>
    <col min="9992" max="9993" width="14.5703125" style="58" bestFit="1" customWidth="1"/>
    <col min="9994" max="9994" width="2.7109375" style="58" customWidth="1"/>
    <col min="9995" max="9995" width="15.7109375" style="58" bestFit="1" customWidth="1"/>
    <col min="9996" max="9996" width="13.7109375" style="58" bestFit="1" customWidth="1"/>
    <col min="9997" max="9997" width="13.42578125" style="58" bestFit="1" customWidth="1"/>
    <col min="9998" max="10008" width="10.5703125" style="58" bestFit="1" customWidth="1"/>
    <col min="10009" max="10009" width="13.5703125" style="58" customWidth="1"/>
    <col min="10010" max="10010" width="16.5703125" style="58" customWidth="1"/>
    <col min="10011" max="10011" width="14.42578125" style="58" customWidth="1"/>
    <col min="10012" max="10012" width="13.28515625" style="58" bestFit="1" customWidth="1"/>
    <col min="10013" max="10013" width="13.42578125" style="58" bestFit="1" customWidth="1"/>
    <col min="10014" max="10014" width="13" style="58" customWidth="1"/>
    <col min="10015" max="10015" width="11.5703125" style="58" customWidth="1"/>
    <col min="10016" max="10016" width="13.140625" style="58" customWidth="1"/>
    <col min="10017" max="10018" width="11.5703125" style="58" customWidth="1"/>
    <col min="10019" max="10019" width="12.42578125" style="58" customWidth="1"/>
    <col min="10020" max="10020" width="13.5703125" style="58" customWidth="1"/>
    <col min="10021" max="10021" width="13.140625" style="58" bestFit="1" customWidth="1"/>
    <col min="10022" max="10022" width="18.85546875" style="58" customWidth="1"/>
    <col min="10023" max="10024" width="14.140625" style="58" customWidth="1"/>
    <col min="10025" max="10025" width="13.85546875" style="58" customWidth="1"/>
    <col min="10026" max="10026" width="14.140625" style="58" customWidth="1"/>
    <col min="10027" max="10027" width="13.7109375" style="58" customWidth="1"/>
    <col min="10028" max="10028" width="17.140625" style="58" customWidth="1"/>
    <col min="10029" max="10029" width="15.42578125" style="58" customWidth="1"/>
    <col min="10030" max="10030" width="18" style="58" customWidth="1"/>
    <col min="10031" max="10031" width="13.7109375" style="58" bestFit="1" customWidth="1"/>
    <col min="10032" max="10032" width="14.140625" style="58" bestFit="1" customWidth="1"/>
    <col min="10033" max="10033" width="14" style="58" bestFit="1" customWidth="1"/>
    <col min="10034" max="10034" width="14.85546875" style="58" bestFit="1" customWidth="1"/>
    <col min="10035" max="10035" width="15.7109375" style="58" customWidth="1"/>
    <col min="10036" max="10036" width="5.85546875" style="58" customWidth="1"/>
    <col min="10037" max="10037" width="9.28515625" style="58" customWidth="1"/>
    <col min="10038" max="10038" width="14.85546875" style="58" customWidth="1"/>
    <col min="10039" max="10039" width="12.85546875" style="58" bestFit="1" customWidth="1"/>
    <col min="10040" max="10040" width="12.85546875" style="58" customWidth="1"/>
    <col min="10041" max="10058" width="8.85546875" style="58" customWidth="1"/>
    <col min="10059" max="10059" width="30.28515625" style="58" bestFit="1" customWidth="1"/>
    <col min="10060" max="10060" width="20.7109375" style="58" customWidth="1"/>
    <col min="10061" max="10061" width="13.42578125" style="58" customWidth="1"/>
    <col min="10062" max="10062" width="8.85546875" style="58" customWidth="1"/>
    <col min="10063" max="10063" width="11.7109375" style="58" bestFit="1" customWidth="1"/>
    <col min="10064" max="10231" width="8.85546875" style="58" customWidth="1"/>
    <col min="10232" max="10232" width="29.7109375" style="58" customWidth="1"/>
    <col min="10233" max="10235" width="14.28515625" style="58" customWidth="1"/>
    <col min="10236" max="10236" width="2.7109375" style="58" customWidth="1"/>
    <col min="10237" max="10240" width="14.28515625" style="58"/>
    <col min="10241" max="10241" width="9.28515625" style="58" bestFit="1" customWidth="1"/>
    <col min="10242" max="10242" width="48.140625" style="58" customWidth="1"/>
    <col min="10243" max="10243" width="15.85546875" style="58" bestFit="1" customWidth="1"/>
    <col min="10244" max="10244" width="14.85546875" style="58" bestFit="1" customWidth="1"/>
    <col min="10245" max="10245" width="14.7109375" style="58" bestFit="1" customWidth="1"/>
    <col min="10246" max="10246" width="2.7109375" style="58" customWidth="1"/>
    <col min="10247" max="10247" width="15.85546875" style="58" bestFit="1" customWidth="1"/>
    <col min="10248" max="10249" width="14.5703125" style="58" bestFit="1" customWidth="1"/>
    <col min="10250" max="10250" width="2.7109375" style="58" customWidth="1"/>
    <col min="10251" max="10251" width="15.7109375" style="58" bestFit="1" customWidth="1"/>
    <col min="10252" max="10252" width="13.7109375" style="58" bestFit="1" customWidth="1"/>
    <col min="10253" max="10253" width="13.42578125" style="58" bestFit="1" customWidth="1"/>
    <col min="10254" max="10264" width="10.5703125" style="58" bestFit="1" customWidth="1"/>
    <col min="10265" max="10265" width="13.5703125" style="58" customWidth="1"/>
    <col min="10266" max="10266" width="16.5703125" style="58" customWidth="1"/>
    <col min="10267" max="10267" width="14.42578125" style="58" customWidth="1"/>
    <col min="10268" max="10268" width="13.28515625" style="58" bestFit="1" customWidth="1"/>
    <col min="10269" max="10269" width="13.42578125" style="58" bestFit="1" customWidth="1"/>
    <col min="10270" max="10270" width="13" style="58" customWidth="1"/>
    <col min="10271" max="10271" width="11.5703125" style="58" customWidth="1"/>
    <col min="10272" max="10272" width="13.140625" style="58" customWidth="1"/>
    <col min="10273" max="10274" width="11.5703125" style="58" customWidth="1"/>
    <col min="10275" max="10275" width="12.42578125" style="58" customWidth="1"/>
    <col min="10276" max="10276" width="13.5703125" style="58" customWidth="1"/>
    <col min="10277" max="10277" width="13.140625" style="58" bestFit="1" customWidth="1"/>
    <col min="10278" max="10278" width="18.85546875" style="58" customWidth="1"/>
    <col min="10279" max="10280" width="14.140625" style="58" customWidth="1"/>
    <col min="10281" max="10281" width="13.85546875" style="58" customWidth="1"/>
    <col min="10282" max="10282" width="14.140625" style="58" customWidth="1"/>
    <col min="10283" max="10283" width="13.7109375" style="58" customWidth="1"/>
    <col min="10284" max="10284" width="17.140625" style="58" customWidth="1"/>
    <col min="10285" max="10285" width="15.42578125" style="58" customWidth="1"/>
    <col min="10286" max="10286" width="18" style="58" customWidth="1"/>
    <col min="10287" max="10287" width="13.7109375" style="58" bestFit="1" customWidth="1"/>
    <col min="10288" max="10288" width="14.140625" style="58" bestFit="1" customWidth="1"/>
    <col min="10289" max="10289" width="14" style="58" bestFit="1" customWidth="1"/>
    <col min="10290" max="10290" width="14.85546875" style="58" bestFit="1" customWidth="1"/>
    <col min="10291" max="10291" width="15.7109375" style="58" customWidth="1"/>
    <col min="10292" max="10292" width="5.85546875" style="58" customWidth="1"/>
    <col min="10293" max="10293" width="9.28515625" style="58" customWidth="1"/>
    <col min="10294" max="10294" width="14.85546875" style="58" customWidth="1"/>
    <col min="10295" max="10295" width="12.85546875" style="58" bestFit="1" customWidth="1"/>
    <col min="10296" max="10296" width="12.85546875" style="58" customWidth="1"/>
    <col min="10297" max="10314" width="8.85546875" style="58" customWidth="1"/>
    <col min="10315" max="10315" width="30.28515625" style="58" bestFit="1" customWidth="1"/>
    <col min="10316" max="10316" width="20.7109375" style="58" customWidth="1"/>
    <col min="10317" max="10317" width="13.42578125" style="58" customWidth="1"/>
    <col min="10318" max="10318" width="8.85546875" style="58" customWidth="1"/>
    <col min="10319" max="10319" width="11.7109375" style="58" bestFit="1" customWidth="1"/>
    <col min="10320" max="10487" width="8.85546875" style="58" customWidth="1"/>
    <col min="10488" max="10488" width="29.7109375" style="58" customWidth="1"/>
    <col min="10489" max="10491" width="14.28515625" style="58" customWidth="1"/>
    <col min="10492" max="10492" width="2.7109375" style="58" customWidth="1"/>
    <col min="10493" max="10496" width="14.28515625" style="58"/>
    <col min="10497" max="10497" width="9.28515625" style="58" bestFit="1" customWidth="1"/>
    <col min="10498" max="10498" width="48.140625" style="58" customWidth="1"/>
    <col min="10499" max="10499" width="15.85546875" style="58" bestFit="1" customWidth="1"/>
    <col min="10500" max="10500" width="14.85546875" style="58" bestFit="1" customWidth="1"/>
    <col min="10501" max="10501" width="14.7109375" style="58" bestFit="1" customWidth="1"/>
    <col min="10502" max="10502" width="2.7109375" style="58" customWidth="1"/>
    <col min="10503" max="10503" width="15.85546875" style="58" bestFit="1" customWidth="1"/>
    <col min="10504" max="10505" width="14.5703125" style="58" bestFit="1" customWidth="1"/>
    <col min="10506" max="10506" width="2.7109375" style="58" customWidth="1"/>
    <col min="10507" max="10507" width="15.7109375" style="58" bestFit="1" customWidth="1"/>
    <col min="10508" max="10508" width="13.7109375" style="58" bestFit="1" customWidth="1"/>
    <col min="10509" max="10509" width="13.42578125" style="58" bestFit="1" customWidth="1"/>
    <col min="10510" max="10520" width="10.5703125" style="58" bestFit="1" customWidth="1"/>
    <col min="10521" max="10521" width="13.5703125" style="58" customWidth="1"/>
    <col min="10522" max="10522" width="16.5703125" style="58" customWidth="1"/>
    <col min="10523" max="10523" width="14.42578125" style="58" customWidth="1"/>
    <col min="10524" max="10524" width="13.28515625" style="58" bestFit="1" customWidth="1"/>
    <col min="10525" max="10525" width="13.42578125" style="58" bestFit="1" customWidth="1"/>
    <col min="10526" max="10526" width="13" style="58" customWidth="1"/>
    <col min="10527" max="10527" width="11.5703125" style="58" customWidth="1"/>
    <col min="10528" max="10528" width="13.140625" style="58" customWidth="1"/>
    <col min="10529" max="10530" width="11.5703125" style="58" customWidth="1"/>
    <col min="10531" max="10531" width="12.42578125" style="58" customWidth="1"/>
    <col min="10532" max="10532" width="13.5703125" style="58" customWidth="1"/>
    <col min="10533" max="10533" width="13.140625" style="58" bestFit="1" customWidth="1"/>
    <col min="10534" max="10534" width="18.85546875" style="58" customWidth="1"/>
    <col min="10535" max="10536" width="14.140625" style="58" customWidth="1"/>
    <col min="10537" max="10537" width="13.85546875" style="58" customWidth="1"/>
    <col min="10538" max="10538" width="14.140625" style="58" customWidth="1"/>
    <col min="10539" max="10539" width="13.7109375" style="58" customWidth="1"/>
    <col min="10540" max="10540" width="17.140625" style="58" customWidth="1"/>
    <col min="10541" max="10541" width="15.42578125" style="58" customWidth="1"/>
    <col min="10542" max="10542" width="18" style="58" customWidth="1"/>
    <col min="10543" max="10543" width="13.7109375" style="58" bestFit="1" customWidth="1"/>
    <col min="10544" max="10544" width="14.140625" style="58" bestFit="1" customWidth="1"/>
    <col min="10545" max="10545" width="14" style="58" bestFit="1" customWidth="1"/>
    <col min="10546" max="10546" width="14.85546875" style="58" bestFit="1" customWidth="1"/>
    <col min="10547" max="10547" width="15.7109375" style="58" customWidth="1"/>
    <col min="10548" max="10548" width="5.85546875" style="58" customWidth="1"/>
    <col min="10549" max="10549" width="9.28515625" style="58" customWidth="1"/>
    <col min="10550" max="10550" width="14.85546875" style="58" customWidth="1"/>
    <col min="10551" max="10551" width="12.85546875" style="58" bestFit="1" customWidth="1"/>
    <col min="10552" max="10552" width="12.85546875" style="58" customWidth="1"/>
    <col min="10553" max="10570" width="8.85546875" style="58" customWidth="1"/>
    <col min="10571" max="10571" width="30.28515625" style="58" bestFit="1" customWidth="1"/>
    <col min="10572" max="10572" width="20.7109375" style="58" customWidth="1"/>
    <col min="10573" max="10573" width="13.42578125" style="58" customWidth="1"/>
    <col min="10574" max="10574" width="8.85546875" style="58" customWidth="1"/>
    <col min="10575" max="10575" width="11.7109375" style="58" bestFit="1" customWidth="1"/>
    <col min="10576" max="10743" width="8.85546875" style="58" customWidth="1"/>
    <col min="10744" max="10744" width="29.7109375" style="58" customWidth="1"/>
    <col min="10745" max="10747" width="14.28515625" style="58" customWidth="1"/>
    <col min="10748" max="10748" width="2.7109375" style="58" customWidth="1"/>
    <col min="10749" max="10752" width="14.28515625" style="58"/>
    <col min="10753" max="10753" width="9.28515625" style="58" bestFit="1" customWidth="1"/>
    <col min="10754" max="10754" width="48.140625" style="58" customWidth="1"/>
    <col min="10755" max="10755" width="15.85546875" style="58" bestFit="1" customWidth="1"/>
    <col min="10756" max="10756" width="14.85546875" style="58" bestFit="1" customWidth="1"/>
    <col min="10757" max="10757" width="14.7109375" style="58" bestFit="1" customWidth="1"/>
    <col min="10758" max="10758" width="2.7109375" style="58" customWidth="1"/>
    <col min="10759" max="10759" width="15.85546875" style="58" bestFit="1" customWidth="1"/>
    <col min="10760" max="10761" width="14.5703125" style="58" bestFit="1" customWidth="1"/>
    <col min="10762" max="10762" width="2.7109375" style="58" customWidth="1"/>
    <col min="10763" max="10763" width="15.7109375" style="58" bestFit="1" customWidth="1"/>
    <col min="10764" max="10764" width="13.7109375" style="58" bestFit="1" customWidth="1"/>
    <col min="10765" max="10765" width="13.42578125" style="58" bestFit="1" customWidth="1"/>
    <col min="10766" max="10776" width="10.5703125" style="58" bestFit="1" customWidth="1"/>
    <col min="10777" max="10777" width="13.5703125" style="58" customWidth="1"/>
    <col min="10778" max="10778" width="16.5703125" style="58" customWidth="1"/>
    <col min="10779" max="10779" width="14.42578125" style="58" customWidth="1"/>
    <col min="10780" max="10780" width="13.28515625" style="58" bestFit="1" customWidth="1"/>
    <col min="10781" max="10781" width="13.42578125" style="58" bestFit="1" customWidth="1"/>
    <col min="10782" max="10782" width="13" style="58" customWidth="1"/>
    <col min="10783" max="10783" width="11.5703125" style="58" customWidth="1"/>
    <col min="10784" max="10784" width="13.140625" style="58" customWidth="1"/>
    <col min="10785" max="10786" width="11.5703125" style="58" customWidth="1"/>
    <col min="10787" max="10787" width="12.42578125" style="58" customWidth="1"/>
    <col min="10788" max="10788" width="13.5703125" style="58" customWidth="1"/>
    <col min="10789" max="10789" width="13.140625" style="58" bestFit="1" customWidth="1"/>
    <col min="10790" max="10790" width="18.85546875" style="58" customWidth="1"/>
    <col min="10791" max="10792" width="14.140625" style="58" customWidth="1"/>
    <col min="10793" max="10793" width="13.85546875" style="58" customWidth="1"/>
    <col min="10794" max="10794" width="14.140625" style="58" customWidth="1"/>
    <col min="10795" max="10795" width="13.7109375" style="58" customWidth="1"/>
    <col min="10796" max="10796" width="17.140625" style="58" customWidth="1"/>
    <col min="10797" max="10797" width="15.42578125" style="58" customWidth="1"/>
    <col min="10798" max="10798" width="18" style="58" customWidth="1"/>
    <col min="10799" max="10799" width="13.7109375" style="58" bestFit="1" customWidth="1"/>
    <col min="10800" max="10800" width="14.140625" style="58" bestFit="1" customWidth="1"/>
    <col min="10801" max="10801" width="14" style="58" bestFit="1" customWidth="1"/>
    <col min="10802" max="10802" width="14.85546875" style="58" bestFit="1" customWidth="1"/>
    <col min="10803" max="10803" width="15.7109375" style="58" customWidth="1"/>
    <col min="10804" max="10804" width="5.85546875" style="58" customWidth="1"/>
    <col min="10805" max="10805" width="9.28515625" style="58" customWidth="1"/>
    <col min="10806" max="10806" width="14.85546875" style="58" customWidth="1"/>
    <col min="10807" max="10807" width="12.85546875" style="58" bestFit="1" customWidth="1"/>
    <col min="10808" max="10808" width="12.85546875" style="58" customWidth="1"/>
    <col min="10809" max="10826" width="8.85546875" style="58" customWidth="1"/>
    <col min="10827" max="10827" width="30.28515625" style="58" bestFit="1" customWidth="1"/>
    <col min="10828" max="10828" width="20.7109375" style="58" customWidth="1"/>
    <col min="10829" max="10829" width="13.42578125" style="58" customWidth="1"/>
    <col min="10830" max="10830" width="8.85546875" style="58" customWidth="1"/>
    <col min="10831" max="10831" width="11.7109375" style="58" bestFit="1" customWidth="1"/>
    <col min="10832" max="10999" width="8.85546875" style="58" customWidth="1"/>
    <col min="11000" max="11000" width="29.7109375" style="58" customWidth="1"/>
    <col min="11001" max="11003" width="14.28515625" style="58" customWidth="1"/>
    <col min="11004" max="11004" width="2.7109375" style="58" customWidth="1"/>
    <col min="11005" max="11008" width="14.28515625" style="58"/>
    <col min="11009" max="11009" width="9.28515625" style="58" bestFit="1" customWidth="1"/>
    <col min="11010" max="11010" width="48.140625" style="58" customWidth="1"/>
    <col min="11011" max="11011" width="15.85546875" style="58" bestFit="1" customWidth="1"/>
    <col min="11012" max="11012" width="14.85546875" style="58" bestFit="1" customWidth="1"/>
    <col min="11013" max="11013" width="14.7109375" style="58" bestFit="1" customWidth="1"/>
    <col min="11014" max="11014" width="2.7109375" style="58" customWidth="1"/>
    <col min="11015" max="11015" width="15.85546875" style="58" bestFit="1" customWidth="1"/>
    <col min="11016" max="11017" width="14.5703125" style="58" bestFit="1" customWidth="1"/>
    <col min="11018" max="11018" width="2.7109375" style="58" customWidth="1"/>
    <col min="11019" max="11019" width="15.7109375" style="58" bestFit="1" customWidth="1"/>
    <col min="11020" max="11020" width="13.7109375" style="58" bestFit="1" customWidth="1"/>
    <col min="11021" max="11021" width="13.42578125" style="58" bestFit="1" customWidth="1"/>
    <col min="11022" max="11032" width="10.5703125" style="58" bestFit="1" customWidth="1"/>
    <col min="11033" max="11033" width="13.5703125" style="58" customWidth="1"/>
    <col min="11034" max="11034" width="16.5703125" style="58" customWidth="1"/>
    <col min="11035" max="11035" width="14.42578125" style="58" customWidth="1"/>
    <col min="11036" max="11036" width="13.28515625" style="58" bestFit="1" customWidth="1"/>
    <col min="11037" max="11037" width="13.42578125" style="58" bestFit="1" customWidth="1"/>
    <col min="11038" max="11038" width="13" style="58" customWidth="1"/>
    <col min="11039" max="11039" width="11.5703125" style="58" customWidth="1"/>
    <col min="11040" max="11040" width="13.140625" style="58" customWidth="1"/>
    <col min="11041" max="11042" width="11.5703125" style="58" customWidth="1"/>
    <col min="11043" max="11043" width="12.42578125" style="58" customWidth="1"/>
    <col min="11044" max="11044" width="13.5703125" style="58" customWidth="1"/>
    <col min="11045" max="11045" width="13.140625" style="58" bestFit="1" customWidth="1"/>
    <col min="11046" max="11046" width="18.85546875" style="58" customWidth="1"/>
    <col min="11047" max="11048" width="14.140625" style="58" customWidth="1"/>
    <col min="11049" max="11049" width="13.85546875" style="58" customWidth="1"/>
    <col min="11050" max="11050" width="14.140625" style="58" customWidth="1"/>
    <col min="11051" max="11051" width="13.7109375" style="58" customWidth="1"/>
    <col min="11052" max="11052" width="17.140625" style="58" customWidth="1"/>
    <col min="11053" max="11053" width="15.42578125" style="58" customWidth="1"/>
    <col min="11054" max="11054" width="18" style="58" customWidth="1"/>
    <col min="11055" max="11055" width="13.7109375" style="58" bestFit="1" customWidth="1"/>
    <col min="11056" max="11056" width="14.140625" style="58" bestFit="1" customWidth="1"/>
    <col min="11057" max="11057" width="14" style="58" bestFit="1" customWidth="1"/>
    <col min="11058" max="11058" width="14.85546875" style="58" bestFit="1" customWidth="1"/>
    <col min="11059" max="11059" width="15.7109375" style="58" customWidth="1"/>
    <col min="11060" max="11060" width="5.85546875" style="58" customWidth="1"/>
    <col min="11061" max="11061" width="9.28515625" style="58" customWidth="1"/>
    <col min="11062" max="11062" width="14.85546875" style="58" customWidth="1"/>
    <col min="11063" max="11063" width="12.85546875" style="58" bestFit="1" customWidth="1"/>
    <col min="11064" max="11064" width="12.85546875" style="58" customWidth="1"/>
    <col min="11065" max="11082" width="8.85546875" style="58" customWidth="1"/>
    <col min="11083" max="11083" width="30.28515625" style="58" bestFit="1" customWidth="1"/>
    <col min="11084" max="11084" width="20.7109375" style="58" customWidth="1"/>
    <col min="11085" max="11085" width="13.42578125" style="58" customWidth="1"/>
    <col min="11086" max="11086" width="8.85546875" style="58" customWidth="1"/>
    <col min="11087" max="11087" width="11.7109375" style="58" bestFit="1" customWidth="1"/>
    <col min="11088" max="11255" width="8.85546875" style="58" customWidth="1"/>
    <col min="11256" max="11256" width="29.7109375" style="58" customWidth="1"/>
    <col min="11257" max="11259" width="14.28515625" style="58" customWidth="1"/>
    <col min="11260" max="11260" width="2.7109375" style="58" customWidth="1"/>
    <col min="11261" max="11264" width="14.28515625" style="58"/>
    <col min="11265" max="11265" width="9.28515625" style="58" bestFit="1" customWidth="1"/>
    <col min="11266" max="11266" width="48.140625" style="58" customWidth="1"/>
    <col min="11267" max="11267" width="15.85546875" style="58" bestFit="1" customWidth="1"/>
    <col min="11268" max="11268" width="14.85546875" style="58" bestFit="1" customWidth="1"/>
    <col min="11269" max="11269" width="14.7109375" style="58" bestFit="1" customWidth="1"/>
    <col min="11270" max="11270" width="2.7109375" style="58" customWidth="1"/>
    <col min="11271" max="11271" width="15.85546875" style="58" bestFit="1" customWidth="1"/>
    <col min="11272" max="11273" width="14.5703125" style="58" bestFit="1" customWidth="1"/>
    <col min="11274" max="11274" width="2.7109375" style="58" customWidth="1"/>
    <col min="11275" max="11275" width="15.7109375" style="58" bestFit="1" customWidth="1"/>
    <col min="11276" max="11276" width="13.7109375" style="58" bestFit="1" customWidth="1"/>
    <col min="11277" max="11277" width="13.42578125" style="58" bestFit="1" customWidth="1"/>
    <col min="11278" max="11288" width="10.5703125" style="58" bestFit="1" customWidth="1"/>
    <col min="11289" max="11289" width="13.5703125" style="58" customWidth="1"/>
    <col min="11290" max="11290" width="16.5703125" style="58" customWidth="1"/>
    <col min="11291" max="11291" width="14.42578125" style="58" customWidth="1"/>
    <col min="11292" max="11292" width="13.28515625" style="58" bestFit="1" customWidth="1"/>
    <col min="11293" max="11293" width="13.42578125" style="58" bestFit="1" customWidth="1"/>
    <col min="11294" max="11294" width="13" style="58" customWidth="1"/>
    <col min="11295" max="11295" width="11.5703125" style="58" customWidth="1"/>
    <col min="11296" max="11296" width="13.140625" style="58" customWidth="1"/>
    <col min="11297" max="11298" width="11.5703125" style="58" customWidth="1"/>
    <col min="11299" max="11299" width="12.42578125" style="58" customWidth="1"/>
    <col min="11300" max="11300" width="13.5703125" style="58" customWidth="1"/>
    <col min="11301" max="11301" width="13.140625" style="58" bestFit="1" customWidth="1"/>
    <col min="11302" max="11302" width="18.85546875" style="58" customWidth="1"/>
    <col min="11303" max="11304" width="14.140625" style="58" customWidth="1"/>
    <col min="11305" max="11305" width="13.85546875" style="58" customWidth="1"/>
    <col min="11306" max="11306" width="14.140625" style="58" customWidth="1"/>
    <col min="11307" max="11307" width="13.7109375" style="58" customWidth="1"/>
    <col min="11308" max="11308" width="17.140625" style="58" customWidth="1"/>
    <col min="11309" max="11309" width="15.42578125" style="58" customWidth="1"/>
    <col min="11310" max="11310" width="18" style="58" customWidth="1"/>
    <col min="11311" max="11311" width="13.7109375" style="58" bestFit="1" customWidth="1"/>
    <col min="11312" max="11312" width="14.140625" style="58" bestFit="1" customWidth="1"/>
    <col min="11313" max="11313" width="14" style="58" bestFit="1" customWidth="1"/>
    <col min="11314" max="11314" width="14.85546875" style="58" bestFit="1" customWidth="1"/>
    <col min="11315" max="11315" width="15.7109375" style="58" customWidth="1"/>
    <col min="11316" max="11316" width="5.85546875" style="58" customWidth="1"/>
    <col min="11317" max="11317" width="9.28515625" style="58" customWidth="1"/>
    <col min="11318" max="11318" width="14.85546875" style="58" customWidth="1"/>
    <col min="11319" max="11319" width="12.85546875" style="58" bestFit="1" customWidth="1"/>
    <col min="11320" max="11320" width="12.85546875" style="58" customWidth="1"/>
    <col min="11321" max="11338" width="8.85546875" style="58" customWidth="1"/>
    <col min="11339" max="11339" width="30.28515625" style="58" bestFit="1" customWidth="1"/>
    <col min="11340" max="11340" width="20.7109375" style="58" customWidth="1"/>
    <col min="11341" max="11341" width="13.42578125" style="58" customWidth="1"/>
    <col min="11342" max="11342" width="8.85546875" style="58" customWidth="1"/>
    <col min="11343" max="11343" width="11.7109375" style="58" bestFit="1" customWidth="1"/>
    <col min="11344" max="11511" width="8.85546875" style="58" customWidth="1"/>
    <col min="11512" max="11512" width="29.7109375" style="58" customWidth="1"/>
    <col min="11513" max="11515" width="14.28515625" style="58" customWidth="1"/>
    <col min="11516" max="11516" width="2.7109375" style="58" customWidth="1"/>
    <col min="11517" max="11520" width="14.28515625" style="58"/>
    <col min="11521" max="11521" width="9.28515625" style="58" bestFit="1" customWidth="1"/>
    <col min="11522" max="11522" width="48.140625" style="58" customWidth="1"/>
    <col min="11523" max="11523" width="15.85546875" style="58" bestFit="1" customWidth="1"/>
    <col min="11524" max="11524" width="14.85546875" style="58" bestFit="1" customWidth="1"/>
    <col min="11525" max="11525" width="14.7109375" style="58" bestFit="1" customWidth="1"/>
    <col min="11526" max="11526" width="2.7109375" style="58" customWidth="1"/>
    <col min="11527" max="11527" width="15.85546875" style="58" bestFit="1" customWidth="1"/>
    <col min="11528" max="11529" width="14.5703125" style="58" bestFit="1" customWidth="1"/>
    <col min="11530" max="11530" width="2.7109375" style="58" customWidth="1"/>
    <col min="11531" max="11531" width="15.7109375" style="58" bestFit="1" customWidth="1"/>
    <col min="11532" max="11532" width="13.7109375" style="58" bestFit="1" customWidth="1"/>
    <col min="11533" max="11533" width="13.42578125" style="58" bestFit="1" customWidth="1"/>
    <col min="11534" max="11544" width="10.5703125" style="58" bestFit="1" customWidth="1"/>
    <col min="11545" max="11545" width="13.5703125" style="58" customWidth="1"/>
    <col min="11546" max="11546" width="16.5703125" style="58" customWidth="1"/>
    <col min="11547" max="11547" width="14.42578125" style="58" customWidth="1"/>
    <col min="11548" max="11548" width="13.28515625" style="58" bestFit="1" customWidth="1"/>
    <col min="11549" max="11549" width="13.42578125" style="58" bestFit="1" customWidth="1"/>
    <col min="11550" max="11550" width="13" style="58" customWidth="1"/>
    <col min="11551" max="11551" width="11.5703125" style="58" customWidth="1"/>
    <col min="11552" max="11552" width="13.140625" style="58" customWidth="1"/>
    <col min="11553" max="11554" width="11.5703125" style="58" customWidth="1"/>
    <col min="11555" max="11555" width="12.42578125" style="58" customWidth="1"/>
    <col min="11556" max="11556" width="13.5703125" style="58" customWidth="1"/>
    <col min="11557" max="11557" width="13.140625" style="58" bestFit="1" customWidth="1"/>
    <col min="11558" max="11558" width="18.85546875" style="58" customWidth="1"/>
    <col min="11559" max="11560" width="14.140625" style="58" customWidth="1"/>
    <col min="11561" max="11561" width="13.85546875" style="58" customWidth="1"/>
    <col min="11562" max="11562" width="14.140625" style="58" customWidth="1"/>
    <col min="11563" max="11563" width="13.7109375" style="58" customWidth="1"/>
    <col min="11564" max="11564" width="17.140625" style="58" customWidth="1"/>
    <col min="11565" max="11565" width="15.42578125" style="58" customWidth="1"/>
    <col min="11566" max="11566" width="18" style="58" customWidth="1"/>
    <col min="11567" max="11567" width="13.7109375" style="58" bestFit="1" customWidth="1"/>
    <col min="11568" max="11568" width="14.140625" style="58" bestFit="1" customWidth="1"/>
    <col min="11569" max="11569" width="14" style="58" bestFit="1" customWidth="1"/>
    <col min="11570" max="11570" width="14.85546875" style="58" bestFit="1" customWidth="1"/>
    <col min="11571" max="11571" width="15.7109375" style="58" customWidth="1"/>
    <col min="11572" max="11572" width="5.85546875" style="58" customWidth="1"/>
    <col min="11573" max="11573" width="9.28515625" style="58" customWidth="1"/>
    <col min="11574" max="11574" width="14.85546875" style="58" customWidth="1"/>
    <col min="11575" max="11575" width="12.85546875" style="58" bestFit="1" customWidth="1"/>
    <col min="11576" max="11576" width="12.85546875" style="58" customWidth="1"/>
    <col min="11577" max="11594" width="8.85546875" style="58" customWidth="1"/>
    <col min="11595" max="11595" width="30.28515625" style="58" bestFit="1" customWidth="1"/>
    <col min="11596" max="11596" width="20.7109375" style="58" customWidth="1"/>
    <col min="11597" max="11597" width="13.42578125" style="58" customWidth="1"/>
    <col min="11598" max="11598" width="8.85546875" style="58" customWidth="1"/>
    <col min="11599" max="11599" width="11.7109375" style="58" bestFit="1" customWidth="1"/>
    <col min="11600" max="11767" width="8.85546875" style="58" customWidth="1"/>
    <col min="11768" max="11768" width="29.7109375" style="58" customWidth="1"/>
    <col min="11769" max="11771" width="14.28515625" style="58" customWidth="1"/>
    <col min="11772" max="11772" width="2.7109375" style="58" customWidth="1"/>
    <col min="11773" max="11776" width="14.28515625" style="58"/>
    <col min="11777" max="11777" width="9.28515625" style="58" bestFit="1" customWidth="1"/>
    <col min="11778" max="11778" width="48.140625" style="58" customWidth="1"/>
    <col min="11779" max="11779" width="15.85546875" style="58" bestFit="1" customWidth="1"/>
    <col min="11780" max="11780" width="14.85546875" style="58" bestFit="1" customWidth="1"/>
    <col min="11781" max="11781" width="14.7109375" style="58" bestFit="1" customWidth="1"/>
    <col min="11782" max="11782" width="2.7109375" style="58" customWidth="1"/>
    <col min="11783" max="11783" width="15.85546875" style="58" bestFit="1" customWidth="1"/>
    <col min="11784" max="11785" width="14.5703125" style="58" bestFit="1" customWidth="1"/>
    <col min="11786" max="11786" width="2.7109375" style="58" customWidth="1"/>
    <col min="11787" max="11787" width="15.7109375" style="58" bestFit="1" customWidth="1"/>
    <col min="11788" max="11788" width="13.7109375" style="58" bestFit="1" customWidth="1"/>
    <col min="11789" max="11789" width="13.42578125" style="58" bestFit="1" customWidth="1"/>
    <col min="11790" max="11800" width="10.5703125" style="58" bestFit="1" customWidth="1"/>
    <col min="11801" max="11801" width="13.5703125" style="58" customWidth="1"/>
    <col min="11802" max="11802" width="16.5703125" style="58" customWidth="1"/>
    <col min="11803" max="11803" width="14.42578125" style="58" customWidth="1"/>
    <col min="11804" max="11804" width="13.28515625" style="58" bestFit="1" customWidth="1"/>
    <col min="11805" max="11805" width="13.42578125" style="58" bestFit="1" customWidth="1"/>
    <col min="11806" max="11806" width="13" style="58" customWidth="1"/>
    <col min="11807" max="11807" width="11.5703125" style="58" customWidth="1"/>
    <col min="11808" max="11808" width="13.140625" style="58" customWidth="1"/>
    <col min="11809" max="11810" width="11.5703125" style="58" customWidth="1"/>
    <col min="11811" max="11811" width="12.42578125" style="58" customWidth="1"/>
    <col min="11812" max="11812" width="13.5703125" style="58" customWidth="1"/>
    <col min="11813" max="11813" width="13.140625" style="58" bestFit="1" customWidth="1"/>
    <col min="11814" max="11814" width="18.85546875" style="58" customWidth="1"/>
    <col min="11815" max="11816" width="14.140625" style="58" customWidth="1"/>
    <col min="11817" max="11817" width="13.85546875" style="58" customWidth="1"/>
    <col min="11818" max="11818" width="14.140625" style="58" customWidth="1"/>
    <col min="11819" max="11819" width="13.7109375" style="58" customWidth="1"/>
    <col min="11820" max="11820" width="17.140625" style="58" customWidth="1"/>
    <col min="11821" max="11821" width="15.42578125" style="58" customWidth="1"/>
    <col min="11822" max="11822" width="18" style="58" customWidth="1"/>
    <col min="11823" max="11823" width="13.7109375" style="58" bestFit="1" customWidth="1"/>
    <col min="11824" max="11824" width="14.140625" style="58" bestFit="1" customWidth="1"/>
    <col min="11825" max="11825" width="14" style="58" bestFit="1" customWidth="1"/>
    <col min="11826" max="11826" width="14.85546875" style="58" bestFit="1" customWidth="1"/>
    <col min="11827" max="11827" width="15.7109375" style="58" customWidth="1"/>
    <col min="11828" max="11828" width="5.85546875" style="58" customWidth="1"/>
    <col min="11829" max="11829" width="9.28515625" style="58" customWidth="1"/>
    <col min="11830" max="11830" width="14.85546875" style="58" customWidth="1"/>
    <col min="11831" max="11831" width="12.85546875" style="58" bestFit="1" customWidth="1"/>
    <col min="11832" max="11832" width="12.85546875" style="58" customWidth="1"/>
    <col min="11833" max="11850" width="8.85546875" style="58" customWidth="1"/>
    <col min="11851" max="11851" width="30.28515625" style="58" bestFit="1" customWidth="1"/>
    <col min="11852" max="11852" width="20.7109375" style="58" customWidth="1"/>
    <col min="11853" max="11853" width="13.42578125" style="58" customWidth="1"/>
    <col min="11854" max="11854" width="8.85546875" style="58" customWidth="1"/>
    <col min="11855" max="11855" width="11.7109375" style="58" bestFit="1" customWidth="1"/>
    <col min="11856" max="12023" width="8.85546875" style="58" customWidth="1"/>
    <col min="12024" max="12024" width="29.7109375" style="58" customWidth="1"/>
    <col min="12025" max="12027" width="14.28515625" style="58" customWidth="1"/>
    <col min="12028" max="12028" width="2.7109375" style="58" customWidth="1"/>
    <col min="12029" max="12032" width="14.28515625" style="58"/>
    <col min="12033" max="12033" width="9.28515625" style="58" bestFit="1" customWidth="1"/>
    <col min="12034" max="12034" width="48.140625" style="58" customWidth="1"/>
    <col min="12035" max="12035" width="15.85546875" style="58" bestFit="1" customWidth="1"/>
    <col min="12036" max="12036" width="14.85546875" style="58" bestFit="1" customWidth="1"/>
    <col min="12037" max="12037" width="14.7109375" style="58" bestFit="1" customWidth="1"/>
    <col min="12038" max="12038" width="2.7109375" style="58" customWidth="1"/>
    <col min="12039" max="12039" width="15.85546875" style="58" bestFit="1" customWidth="1"/>
    <col min="12040" max="12041" width="14.5703125" style="58" bestFit="1" customWidth="1"/>
    <col min="12042" max="12042" width="2.7109375" style="58" customWidth="1"/>
    <col min="12043" max="12043" width="15.7109375" style="58" bestFit="1" customWidth="1"/>
    <col min="12044" max="12044" width="13.7109375" style="58" bestFit="1" customWidth="1"/>
    <col min="12045" max="12045" width="13.42578125" style="58" bestFit="1" customWidth="1"/>
    <col min="12046" max="12056" width="10.5703125" style="58" bestFit="1" customWidth="1"/>
    <col min="12057" max="12057" width="13.5703125" style="58" customWidth="1"/>
    <col min="12058" max="12058" width="16.5703125" style="58" customWidth="1"/>
    <col min="12059" max="12059" width="14.42578125" style="58" customWidth="1"/>
    <col min="12060" max="12060" width="13.28515625" style="58" bestFit="1" customWidth="1"/>
    <col min="12061" max="12061" width="13.42578125" style="58" bestFit="1" customWidth="1"/>
    <col min="12062" max="12062" width="13" style="58" customWidth="1"/>
    <col min="12063" max="12063" width="11.5703125" style="58" customWidth="1"/>
    <col min="12064" max="12064" width="13.140625" style="58" customWidth="1"/>
    <col min="12065" max="12066" width="11.5703125" style="58" customWidth="1"/>
    <col min="12067" max="12067" width="12.42578125" style="58" customWidth="1"/>
    <col min="12068" max="12068" width="13.5703125" style="58" customWidth="1"/>
    <col min="12069" max="12069" width="13.140625" style="58" bestFit="1" customWidth="1"/>
    <col min="12070" max="12070" width="18.85546875" style="58" customWidth="1"/>
    <col min="12071" max="12072" width="14.140625" style="58" customWidth="1"/>
    <col min="12073" max="12073" width="13.85546875" style="58" customWidth="1"/>
    <col min="12074" max="12074" width="14.140625" style="58" customWidth="1"/>
    <col min="12075" max="12075" width="13.7109375" style="58" customWidth="1"/>
    <col min="12076" max="12076" width="17.140625" style="58" customWidth="1"/>
    <col min="12077" max="12077" width="15.42578125" style="58" customWidth="1"/>
    <col min="12078" max="12078" width="18" style="58" customWidth="1"/>
    <col min="12079" max="12079" width="13.7109375" style="58" bestFit="1" customWidth="1"/>
    <col min="12080" max="12080" width="14.140625" style="58" bestFit="1" customWidth="1"/>
    <col min="12081" max="12081" width="14" style="58" bestFit="1" customWidth="1"/>
    <col min="12082" max="12082" width="14.85546875" style="58" bestFit="1" customWidth="1"/>
    <col min="12083" max="12083" width="15.7109375" style="58" customWidth="1"/>
    <col min="12084" max="12084" width="5.85546875" style="58" customWidth="1"/>
    <col min="12085" max="12085" width="9.28515625" style="58" customWidth="1"/>
    <col min="12086" max="12086" width="14.85546875" style="58" customWidth="1"/>
    <col min="12087" max="12087" width="12.85546875" style="58" bestFit="1" customWidth="1"/>
    <col min="12088" max="12088" width="12.85546875" style="58" customWidth="1"/>
    <col min="12089" max="12106" width="8.85546875" style="58" customWidth="1"/>
    <col min="12107" max="12107" width="30.28515625" style="58" bestFit="1" customWidth="1"/>
    <col min="12108" max="12108" width="20.7109375" style="58" customWidth="1"/>
    <col min="12109" max="12109" width="13.42578125" style="58" customWidth="1"/>
    <col min="12110" max="12110" width="8.85546875" style="58" customWidth="1"/>
    <col min="12111" max="12111" width="11.7109375" style="58" bestFit="1" customWidth="1"/>
    <col min="12112" max="12279" width="8.85546875" style="58" customWidth="1"/>
    <col min="12280" max="12280" width="29.7109375" style="58" customWidth="1"/>
    <col min="12281" max="12283" width="14.28515625" style="58" customWidth="1"/>
    <col min="12284" max="12284" width="2.7109375" style="58" customWidth="1"/>
    <col min="12285" max="12288" width="14.28515625" style="58"/>
    <col min="12289" max="12289" width="9.28515625" style="58" bestFit="1" customWidth="1"/>
    <col min="12290" max="12290" width="48.140625" style="58" customWidth="1"/>
    <col min="12291" max="12291" width="15.85546875" style="58" bestFit="1" customWidth="1"/>
    <col min="12292" max="12292" width="14.85546875" style="58" bestFit="1" customWidth="1"/>
    <col min="12293" max="12293" width="14.7109375" style="58" bestFit="1" customWidth="1"/>
    <col min="12294" max="12294" width="2.7109375" style="58" customWidth="1"/>
    <col min="12295" max="12295" width="15.85546875" style="58" bestFit="1" customWidth="1"/>
    <col min="12296" max="12297" width="14.5703125" style="58" bestFit="1" customWidth="1"/>
    <col min="12298" max="12298" width="2.7109375" style="58" customWidth="1"/>
    <col min="12299" max="12299" width="15.7109375" style="58" bestFit="1" customWidth="1"/>
    <col min="12300" max="12300" width="13.7109375" style="58" bestFit="1" customWidth="1"/>
    <col min="12301" max="12301" width="13.42578125" style="58" bestFit="1" customWidth="1"/>
    <col min="12302" max="12312" width="10.5703125" style="58" bestFit="1" customWidth="1"/>
    <col min="12313" max="12313" width="13.5703125" style="58" customWidth="1"/>
    <col min="12314" max="12314" width="16.5703125" style="58" customWidth="1"/>
    <col min="12315" max="12315" width="14.42578125" style="58" customWidth="1"/>
    <col min="12316" max="12316" width="13.28515625" style="58" bestFit="1" customWidth="1"/>
    <col min="12317" max="12317" width="13.42578125" style="58" bestFit="1" customWidth="1"/>
    <col min="12318" max="12318" width="13" style="58" customWidth="1"/>
    <col min="12319" max="12319" width="11.5703125" style="58" customWidth="1"/>
    <col min="12320" max="12320" width="13.140625" style="58" customWidth="1"/>
    <col min="12321" max="12322" width="11.5703125" style="58" customWidth="1"/>
    <col min="12323" max="12323" width="12.42578125" style="58" customWidth="1"/>
    <col min="12324" max="12324" width="13.5703125" style="58" customWidth="1"/>
    <col min="12325" max="12325" width="13.140625" style="58" bestFit="1" customWidth="1"/>
    <col min="12326" max="12326" width="18.85546875" style="58" customWidth="1"/>
    <col min="12327" max="12328" width="14.140625" style="58" customWidth="1"/>
    <col min="12329" max="12329" width="13.85546875" style="58" customWidth="1"/>
    <col min="12330" max="12330" width="14.140625" style="58" customWidth="1"/>
    <col min="12331" max="12331" width="13.7109375" style="58" customWidth="1"/>
    <col min="12332" max="12332" width="17.140625" style="58" customWidth="1"/>
    <col min="12333" max="12333" width="15.42578125" style="58" customWidth="1"/>
    <col min="12334" max="12334" width="18" style="58" customWidth="1"/>
    <col min="12335" max="12335" width="13.7109375" style="58" bestFit="1" customWidth="1"/>
    <col min="12336" max="12336" width="14.140625" style="58" bestFit="1" customWidth="1"/>
    <col min="12337" max="12337" width="14" style="58" bestFit="1" customWidth="1"/>
    <col min="12338" max="12338" width="14.85546875" style="58" bestFit="1" customWidth="1"/>
    <col min="12339" max="12339" width="15.7109375" style="58" customWidth="1"/>
    <col min="12340" max="12340" width="5.85546875" style="58" customWidth="1"/>
    <col min="12341" max="12341" width="9.28515625" style="58" customWidth="1"/>
    <col min="12342" max="12342" width="14.85546875" style="58" customWidth="1"/>
    <col min="12343" max="12343" width="12.85546875" style="58" bestFit="1" customWidth="1"/>
    <col min="12344" max="12344" width="12.85546875" style="58" customWidth="1"/>
    <col min="12345" max="12362" width="8.85546875" style="58" customWidth="1"/>
    <col min="12363" max="12363" width="30.28515625" style="58" bestFit="1" customWidth="1"/>
    <col min="12364" max="12364" width="20.7109375" style="58" customWidth="1"/>
    <col min="12365" max="12365" width="13.42578125" style="58" customWidth="1"/>
    <col min="12366" max="12366" width="8.85546875" style="58" customWidth="1"/>
    <col min="12367" max="12367" width="11.7109375" style="58" bestFit="1" customWidth="1"/>
    <col min="12368" max="12535" width="8.85546875" style="58" customWidth="1"/>
    <col min="12536" max="12536" width="29.7109375" style="58" customWidth="1"/>
    <col min="12537" max="12539" width="14.28515625" style="58" customWidth="1"/>
    <col min="12540" max="12540" width="2.7109375" style="58" customWidth="1"/>
    <col min="12541" max="12544" width="14.28515625" style="58"/>
    <col min="12545" max="12545" width="9.28515625" style="58" bestFit="1" customWidth="1"/>
    <col min="12546" max="12546" width="48.140625" style="58" customWidth="1"/>
    <col min="12547" max="12547" width="15.85546875" style="58" bestFit="1" customWidth="1"/>
    <col min="12548" max="12548" width="14.85546875" style="58" bestFit="1" customWidth="1"/>
    <col min="12549" max="12549" width="14.7109375" style="58" bestFit="1" customWidth="1"/>
    <col min="12550" max="12550" width="2.7109375" style="58" customWidth="1"/>
    <col min="12551" max="12551" width="15.85546875" style="58" bestFit="1" customWidth="1"/>
    <col min="12552" max="12553" width="14.5703125" style="58" bestFit="1" customWidth="1"/>
    <col min="12554" max="12554" width="2.7109375" style="58" customWidth="1"/>
    <col min="12555" max="12555" width="15.7109375" style="58" bestFit="1" customWidth="1"/>
    <col min="12556" max="12556" width="13.7109375" style="58" bestFit="1" customWidth="1"/>
    <col min="12557" max="12557" width="13.42578125" style="58" bestFit="1" customWidth="1"/>
    <col min="12558" max="12568" width="10.5703125" style="58" bestFit="1" customWidth="1"/>
    <col min="12569" max="12569" width="13.5703125" style="58" customWidth="1"/>
    <col min="12570" max="12570" width="16.5703125" style="58" customWidth="1"/>
    <col min="12571" max="12571" width="14.42578125" style="58" customWidth="1"/>
    <col min="12572" max="12572" width="13.28515625" style="58" bestFit="1" customWidth="1"/>
    <col min="12573" max="12573" width="13.42578125" style="58" bestFit="1" customWidth="1"/>
    <col min="12574" max="12574" width="13" style="58" customWidth="1"/>
    <col min="12575" max="12575" width="11.5703125" style="58" customWidth="1"/>
    <col min="12576" max="12576" width="13.140625" style="58" customWidth="1"/>
    <col min="12577" max="12578" width="11.5703125" style="58" customWidth="1"/>
    <col min="12579" max="12579" width="12.42578125" style="58" customWidth="1"/>
    <col min="12580" max="12580" width="13.5703125" style="58" customWidth="1"/>
    <col min="12581" max="12581" width="13.140625" style="58" bestFit="1" customWidth="1"/>
    <col min="12582" max="12582" width="18.85546875" style="58" customWidth="1"/>
    <col min="12583" max="12584" width="14.140625" style="58" customWidth="1"/>
    <col min="12585" max="12585" width="13.85546875" style="58" customWidth="1"/>
    <col min="12586" max="12586" width="14.140625" style="58" customWidth="1"/>
    <col min="12587" max="12587" width="13.7109375" style="58" customWidth="1"/>
    <col min="12588" max="12588" width="17.140625" style="58" customWidth="1"/>
    <col min="12589" max="12589" width="15.42578125" style="58" customWidth="1"/>
    <col min="12590" max="12590" width="18" style="58" customWidth="1"/>
    <col min="12591" max="12591" width="13.7109375" style="58" bestFit="1" customWidth="1"/>
    <col min="12592" max="12592" width="14.140625" style="58" bestFit="1" customWidth="1"/>
    <col min="12593" max="12593" width="14" style="58" bestFit="1" customWidth="1"/>
    <col min="12594" max="12594" width="14.85546875" style="58" bestFit="1" customWidth="1"/>
    <col min="12595" max="12595" width="15.7109375" style="58" customWidth="1"/>
    <col min="12596" max="12596" width="5.85546875" style="58" customWidth="1"/>
    <col min="12597" max="12597" width="9.28515625" style="58" customWidth="1"/>
    <col min="12598" max="12598" width="14.85546875" style="58" customWidth="1"/>
    <col min="12599" max="12599" width="12.85546875" style="58" bestFit="1" customWidth="1"/>
    <col min="12600" max="12600" width="12.85546875" style="58" customWidth="1"/>
    <col min="12601" max="12618" width="8.85546875" style="58" customWidth="1"/>
    <col min="12619" max="12619" width="30.28515625" style="58" bestFit="1" customWidth="1"/>
    <col min="12620" max="12620" width="20.7109375" style="58" customWidth="1"/>
    <col min="12621" max="12621" width="13.42578125" style="58" customWidth="1"/>
    <col min="12622" max="12622" width="8.85546875" style="58" customWidth="1"/>
    <col min="12623" max="12623" width="11.7109375" style="58" bestFit="1" customWidth="1"/>
    <col min="12624" max="12791" width="8.85546875" style="58" customWidth="1"/>
    <col min="12792" max="12792" width="29.7109375" style="58" customWidth="1"/>
    <col min="12793" max="12795" width="14.28515625" style="58" customWidth="1"/>
    <col min="12796" max="12796" width="2.7109375" style="58" customWidth="1"/>
    <col min="12797" max="12800" width="14.28515625" style="58"/>
    <col min="12801" max="12801" width="9.28515625" style="58" bestFit="1" customWidth="1"/>
    <col min="12802" max="12802" width="48.140625" style="58" customWidth="1"/>
    <col min="12803" max="12803" width="15.85546875" style="58" bestFit="1" customWidth="1"/>
    <col min="12804" max="12804" width="14.85546875" style="58" bestFit="1" customWidth="1"/>
    <col min="12805" max="12805" width="14.7109375" style="58" bestFit="1" customWidth="1"/>
    <col min="12806" max="12806" width="2.7109375" style="58" customWidth="1"/>
    <col min="12807" max="12807" width="15.85546875" style="58" bestFit="1" customWidth="1"/>
    <col min="12808" max="12809" width="14.5703125" style="58" bestFit="1" customWidth="1"/>
    <col min="12810" max="12810" width="2.7109375" style="58" customWidth="1"/>
    <col min="12811" max="12811" width="15.7109375" style="58" bestFit="1" customWidth="1"/>
    <col min="12812" max="12812" width="13.7109375" style="58" bestFit="1" customWidth="1"/>
    <col min="12813" max="12813" width="13.42578125" style="58" bestFit="1" customWidth="1"/>
    <col min="12814" max="12824" width="10.5703125" style="58" bestFit="1" customWidth="1"/>
    <col min="12825" max="12825" width="13.5703125" style="58" customWidth="1"/>
    <col min="12826" max="12826" width="16.5703125" style="58" customWidth="1"/>
    <col min="12827" max="12827" width="14.42578125" style="58" customWidth="1"/>
    <col min="12828" max="12828" width="13.28515625" style="58" bestFit="1" customWidth="1"/>
    <col min="12829" max="12829" width="13.42578125" style="58" bestFit="1" customWidth="1"/>
    <col min="12830" max="12830" width="13" style="58" customWidth="1"/>
    <col min="12831" max="12831" width="11.5703125" style="58" customWidth="1"/>
    <col min="12832" max="12832" width="13.140625" style="58" customWidth="1"/>
    <col min="12833" max="12834" width="11.5703125" style="58" customWidth="1"/>
    <col min="12835" max="12835" width="12.42578125" style="58" customWidth="1"/>
    <col min="12836" max="12836" width="13.5703125" style="58" customWidth="1"/>
    <col min="12837" max="12837" width="13.140625" style="58" bestFit="1" customWidth="1"/>
    <col min="12838" max="12838" width="18.85546875" style="58" customWidth="1"/>
    <col min="12839" max="12840" width="14.140625" style="58" customWidth="1"/>
    <col min="12841" max="12841" width="13.85546875" style="58" customWidth="1"/>
    <col min="12842" max="12842" width="14.140625" style="58" customWidth="1"/>
    <col min="12843" max="12843" width="13.7109375" style="58" customWidth="1"/>
    <col min="12844" max="12844" width="17.140625" style="58" customWidth="1"/>
    <col min="12845" max="12845" width="15.42578125" style="58" customWidth="1"/>
    <col min="12846" max="12846" width="18" style="58" customWidth="1"/>
    <col min="12847" max="12847" width="13.7109375" style="58" bestFit="1" customWidth="1"/>
    <col min="12848" max="12848" width="14.140625" style="58" bestFit="1" customWidth="1"/>
    <col min="12849" max="12849" width="14" style="58" bestFit="1" customWidth="1"/>
    <col min="12850" max="12850" width="14.85546875" style="58" bestFit="1" customWidth="1"/>
    <col min="12851" max="12851" width="15.7109375" style="58" customWidth="1"/>
    <col min="12852" max="12852" width="5.85546875" style="58" customWidth="1"/>
    <col min="12853" max="12853" width="9.28515625" style="58" customWidth="1"/>
    <col min="12854" max="12854" width="14.85546875" style="58" customWidth="1"/>
    <col min="12855" max="12855" width="12.85546875" style="58" bestFit="1" customWidth="1"/>
    <col min="12856" max="12856" width="12.85546875" style="58" customWidth="1"/>
    <col min="12857" max="12874" width="8.85546875" style="58" customWidth="1"/>
    <col min="12875" max="12875" width="30.28515625" style="58" bestFit="1" customWidth="1"/>
    <col min="12876" max="12876" width="20.7109375" style="58" customWidth="1"/>
    <col min="12877" max="12877" width="13.42578125" style="58" customWidth="1"/>
    <col min="12878" max="12878" width="8.85546875" style="58" customWidth="1"/>
    <col min="12879" max="12879" width="11.7109375" style="58" bestFit="1" customWidth="1"/>
    <col min="12880" max="13047" width="8.85546875" style="58" customWidth="1"/>
    <col min="13048" max="13048" width="29.7109375" style="58" customWidth="1"/>
    <col min="13049" max="13051" width="14.28515625" style="58" customWidth="1"/>
    <col min="13052" max="13052" width="2.7109375" style="58" customWidth="1"/>
    <col min="13053" max="13056" width="14.28515625" style="58"/>
    <col min="13057" max="13057" width="9.28515625" style="58" bestFit="1" customWidth="1"/>
    <col min="13058" max="13058" width="48.140625" style="58" customWidth="1"/>
    <col min="13059" max="13059" width="15.85546875" style="58" bestFit="1" customWidth="1"/>
    <col min="13060" max="13060" width="14.85546875" style="58" bestFit="1" customWidth="1"/>
    <col min="13061" max="13061" width="14.7109375" style="58" bestFit="1" customWidth="1"/>
    <col min="13062" max="13062" width="2.7109375" style="58" customWidth="1"/>
    <col min="13063" max="13063" width="15.85546875" style="58" bestFit="1" customWidth="1"/>
    <col min="13064" max="13065" width="14.5703125" style="58" bestFit="1" customWidth="1"/>
    <col min="13066" max="13066" width="2.7109375" style="58" customWidth="1"/>
    <col min="13067" max="13067" width="15.7109375" style="58" bestFit="1" customWidth="1"/>
    <col min="13068" max="13068" width="13.7109375" style="58" bestFit="1" customWidth="1"/>
    <col min="13069" max="13069" width="13.42578125" style="58" bestFit="1" customWidth="1"/>
    <col min="13070" max="13080" width="10.5703125" style="58" bestFit="1" customWidth="1"/>
    <col min="13081" max="13081" width="13.5703125" style="58" customWidth="1"/>
    <col min="13082" max="13082" width="16.5703125" style="58" customWidth="1"/>
    <col min="13083" max="13083" width="14.42578125" style="58" customWidth="1"/>
    <col min="13084" max="13084" width="13.28515625" style="58" bestFit="1" customWidth="1"/>
    <col min="13085" max="13085" width="13.42578125" style="58" bestFit="1" customWidth="1"/>
    <col min="13086" max="13086" width="13" style="58" customWidth="1"/>
    <col min="13087" max="13087" width="11.5703125" style="58" customWidth="1"/>
    <col min="13088" max="13088" width="13.140625" style="58" customWidth="1"/>
    <col min="13089" max="13090" width="11.5703125" style="58" customWidth="1"/>
    <col min="13091" max="13091" width="12.42578125" style="58" customWidth="1"/>
    <col min="13092" max="13092" width="13.5703125" style="58" customWidth="1"/>
    <col min="13093" max="13093" width="13.140625" style="58" bestFit="1" customWidth="1"/>
    <col min="13094" max="13094" width="18.85546875" style="58" customWidth="1"/>
    <col min="13095" max="13096" width="14.140625" style="58" customWidth="1"/>
    <col min="13097" max="13097" width="13.85546875" style="58" customWidth="1"/>
    <col min="13098" max="13098" width="14.140625" style="58" customWidth="1"/>
    <col min="13099" max="13099" width="13.7109375" style="58" customWidth="1"/>
    <col min="13100" max="13100" width="17.140625" style="58" customWidth="1"/>
    <col min="13101" max="13101" width="15.42578125" style="58" customWidth="1"/>
    <col min="13102" max="13102" width="18" style="58" customWidth="1"/>
    <col min="13103" max="13103" width="13.7109375" style="58" bestFit="1" customWidth="1"/>
    <col min="13104" max="13104" width="14.140625" style="58" bestFit="1" customWidth="1"/>
    <col min="13105" max="13105" width="14" style="58" bestFit="1" customWidth="1"/>
    <col min="13106" max="13106" width="14.85546875" style="58" bestFit="1" customWidth="1"/>
    <col min="13107" max="13107" width="15.7109375" style="58" customWidth="1"/>
    <col min="13108" max="13108" width="5.85546875" style="58" customWidth="1"/>
    <col min="13109" max="13109" width="9.28515625" style="58" customWidth="1"/>
    <col min="13110" max="13110" width="14.85546875" style="58" customWidth="1"/>
    <col min="13111" max="13111" width="12.85546875" style="58" bestFit="1" customWidth="1"/>
    <col min="13112" max="13112" width="12.85546875" style="58" customWidth="1"/>
    <col min="13113" max="13130" width="8.85546875" style="58" customWidth="1"/>
    <col min="13131" max="13131" width="30.28515625" style="58" bestFit="1" customWidth="1"/>
    <col min="13132" max="13132" width="20.7109375" style="58" customWidth="1"/>
    <col min="13133" max="13133" width="13.42578125" style="58" customWidth="1"/>
    <col min="13134" max="13134" width="8.85546875" style="58" customWidth="1"/>
    <col min="13135" max="13135" width="11.7109375" style="58" bestFit="1" customWidth="1"/>
    <col min="13136" max="13303" width="8.85546875" style="58" customWidth="1"/>
    <col min="13304" max="13304" width="29.7109375" style="58" customWidth="1"/>
    <col min="13305" max="13307" width="14.28515625" style="58" customWidth="1"/>
    <col min="13308" max="13308" width="2.7109375" style="58" customWidth="1"/>
    <col min="13309" max="13312" width="14.28515625" style="58"/>
    <col min="13313" max="13313" width="9.28515625" style="58" bestFit="1" customWidth="1"/>
    <col min="13314" max="13314" width="48.140625" style="58" customWidth="1"/>
    <col min="13315" max="13315" width="15.85546875" style="58" bestFit="1" customWidth="1"/>
    <col min="13316" max="13316" width="14.85546875" style="58" bestFit="1" customWidth="1"/>
    <col min="13317" max="13317" width="14.7109375" style="58" bestFit="1" customWidth="1"/>
    <col min="13318" max="13318" width="2.7109375" style="58" customWidth="1"/>
    <col min="13319" max="13319" width="15.85546875" style="58" bestFit="1" customWidth="1"/>
    <col min="13320" max="13321" width="14.5703125" style="58" bestFit="1" customWidth="1"/>
    <col min="13322" max="13322" width="2.7109375" style="58" customWidth="1"/>
    <col min="13323" max="13323" width="15.7109375" style="58" bestFit="1" customWidth="1"/>
    <col min="13324" max="13324" width="13.7109375" style="58" bestFit="1" customWidth="1"/>
    <col min="13325" max="13325" width="13.42578125" style="58" bestFit="1" customWidth="1"/>
    <col min="13326" max="13336" width="10.5703125" style="58" bestFit="1" customWidth="1"/>
    <col min="13337" max="13337" width="13.5703125" style="58" customWidth="1"/>
    <col min="13338" max="13338" width="16.5703125" style="58" customWidth="1"/>
    <col min="13339" max="13339" width="14.42578125" style="58" customWidth="1"/>
    <col min="13340" max="13340" width="13.28515625" style="58" bestFit="1" customWidth="1"/>
    <col min="13341" max="13341" width="13.42578125" style="58" bestFit="1" customWidth="1"/>
    <col min="13342" max="13342" width="13" style="58" customWidth="1"/>
    <col min="13343" max="13343" width="11.5703125" style="58" customWidth="1"/>
    <col min="13344" max="13344" width="13.140625" style="58" customWidth="1"/>
    <col min="13345" max="13346" width="11.5703125" style="58" customWidth="1"/>
    <col min="13347" max="13347" width="12.42578125" style="58" customWidth="1"/>
    <col min="13348" max="13348" width="13.5703125" style="58" customWidth="1"/>
    <col min="13349" max="13349" width="13.140625" style="58" bestFit="1" customWidth="1"/>
    <col min="13350" max="13350" width="18.85546875" style="58" customWidth="1"/>
    <col min="13351" max="13352" width="14.140625" style="58" customWidth="1"/>
    <col min="13353" max="13353" width="13.85546875" style="58" customWidth="1"/>
    <col min="13354" max="13354" width="14.140625" style="58" customWidth="1"/>
    <col min="13355" max="13355" width="13.7109375" style="58" customWidth="1"/>
    <col min="13356" max="13356" width="17.140625" style="58" customWidth="1"/>
    <col min="13357" max="13357" width="15.42578125" style="58" customWidth="1"/>
    <col min="13358" max="13358" width="18" style="58" customWidth="1"/>
    <col min="13359" max="13359" width="13.7109375" style="58" bestFit="1" customWidth="1"/>
    <col min="13360" max="13360" width="14.140625" style="58" bestFit="1" customWidth="1"/>
    <col min="13361" max="13361" width="14" style="58" bestFit="1" customWidth="1"/>
    <col min="13362" max="13362" width="14.85546875" style="58" bestFit="1" customWidth="1"/>
    <col min="13363" max="13363" width="15.7109375" style="58" customWidth="1"/>
    <col min="13364" max="13364" width="5.85546875" style="58" customWidth="1"/>
    <col min="13365" max="13365" width="9.28515625" style="58" customWidth="1"/>
    <col min="13366" max="13366" width="14.85546875" style="58" customWidth="1"/>
    <col min="13367" max="13367" width="12.85546875" style="58" bestFit="1" customWidth="1"/>
    <col min="13368" max="13368" width="12.85546875" style="58" customWidth="1"/>
    <col min="13369" max="13386" width="8.85546875" style="58" customWidth="1"/>
    <col min="13387" max="13387" width="30.28515625" style="58" bestFit="1" customWidth="1"/>
    <col min="13388" max="13388" width="20.7109375" style="58" customWidth="1"/>
    <col min="13389" max="13389" width="13.42578125" style="58" customWidth="1"/>
    <col min="13390" max="13390" width="8.85546875" style="58" customWidth="1"/>
    <col min="13391" max="13391" width="11.7109375" style="58" bestFit="1" customWidth="1"/>
    <col min="13392" max="13559" width="8.85546875" style="58" customWidth="1"/>
    <col min="13560" max="13560" width="29.7109375" style="58" customWidth="1"/>
    <col min="13561" max="13563" width="14.28515625" style="58" customWidth="1"/>
    <col min="13564" max="13564" width="2.7109375" style="58" customWidth="1"/>
    <col min="13565" max="13568" width="14.28515625" style="58"/>
    <col min="13569" max="13569" width="9.28515625" style="58" bestFit="1" customWidth="1"/>
    <col min="13570" max="13570" width="48.140625" style="58" customWidth="1"/>
    <col min="13571" max="13571" width="15.85546875" style="58" bestFit="1" customWidth="1"/>
    <col min="13572" max="13572" width="14.85546875" style="58" bestFit="1" customWidth="1"/>
    <col min="13573" max="13573" width="14.7109375" style="58" bestFit="1" customWidth="1"/>
    <col min="13574" max="13574" width="2.7109375" style="58" customWidth="1"/>
    <col min="13575" max="13575" width="15.85546875" style="58" bestFit="1" customWidth="1"/>
    <col min="13576" max="13577" width="14.5703125" style="58" bestFit="1" customWidth="1"/>
    <col min="13578" max="13578" width="2.7109375" style="58" customWidth="1"/>
    <col min="13579" max="13579" width="15.7109375" style="58" bestFit="1" customWidth="1"/>
    <col min="13580" max="13580" width="13.7109375" style="58" bestFit="1" customWidth="1"/>
    <col min="13581" max="13581" width="13.42578125" style="58" bestFit="1" customWidth="1"/>
    <col min="13582" max="13592" width="10.5703125" style="58" bestFit="1" customWidth="1"/>
    <col min="13593" max="13593" width="13.5703125" style="58" customWidth="1"/>
    <col min="13594" max="13594" width="16.5703125" style="58" customWidth="1"/>
    <col min="13595" max="13595" width="14.42578125" style="58" customWidth="1"/>
    <col min="13596" max="13596" width="13.28515625" style="58" bestFit="1" customWidth="1"/>
    <col min="13597" max="13597" width="13.42578125" style="58" bestFit="1" customWidth="1"/>
    <col min="13598" max="13598" width="13" style="58" customWidth="1"/>
    <col min="13599" max="13599" width="11.5703125" style="58" customWidth="1"/>
    <col min="13600" max="13600" width="13.140625" style="58" customWidth="1"/>
    <col min="13601" max="13602" width="11.5703125" style="58" customWidth="1"/>
    <col min="13603" max="13603" width="12.42578125" style="58" customWidth="1"/>
    <col min="13604" max="13604" width="13.5703125" style="58" customWidth="1"/>
    <col min="13605" max="13605" width="13.140625" style="58" bestFit="1" customWidth="1"/>
    <col min="13606" max="13606" width="18.85546875" style="58" customWidth="1"/>
    <col min="13607" max="13608" width="14.140625" style="58" customWidth="1"/>
    <col min="13609" max="13609" width="13.85546875" style="58" customWidth="1"/>
    <col min="13610" max="13610" width="14.140625" style="58" customWidth="1"/>
    <col min="13611" max="13611" width="13.7109375" style="58" customWidth="1"/>
    <col min="13612" max="13612" width="17.140625" style="58" customWidth="1"/>
    <col min="13613" max="13613" width="15.42578125" style="58" customWidth="1"/>
    <col min="13614" max="13614" width="18" style="58" customWidth="1"/>
    <col min="13615" max="13615" width="13.7109375" style="58" bestFit="1" customWidth="1"/>
    <col min="13616" max="13616" width="14.140625" style="58" bestFit="1" customWidth="1"/>
    <col min="13617" max="13617" width="14" style="58" bestFit="1" customWidth="1"/>
    <col min="13618" max="13618" width="14.85546875" style="58" bestFit="1" customWidth="1"/>
    <col min="13619" max="13619" width="15.7109375" style="58" customWidth="1"/>
    <col min="13620" max="13620" width="5.85546875" style="58" customWidth="1"/>
    <col min="13621" max="13621" width="9.28515625" style="58" customWidth="1"/>
    <col min="13622" max="13622" width="14.85546875" style="58" customWidth="1"/>
    <col min="13623" max="13623" width="12.85546875" style="58" bestFit="1" customWidth="1"/>
    <col min="13624" max="13624" width="12.85546875" style="58" customWidth="1"/>
    <col min="13625" max="13642" width="8.85546875" style="58" customWidth="1"/>
    <col min="13643" max="13643" width="30.28515625" style="58" bestFit="1" customWidth="1"/>
    <col min="13644" max="13644" width="20.7109375" style="58" customWidth="1"/>
    <col min="13645" max="13645" width="13.42578125" style="58" customWidth="1"/>
    <col min="13646" max="13646" width="8.85546875" style="58" customWidth="1"/>
    <col min="13647" max="13647" width="11.7109375" style="58" bestFit="1" customWidth="1"/>
    <col min="13648" max="13815" width="8.85546875" style="58" customWidth="1"/>
    <col min="13816" max="13816" width="29.7109375" style="58" customWidth="1"/>
    <col min="13817" max="13819" width="14.28515625" style="58" customWidth="1"/>
    <col min="13820" max="13820" width="2.7109375" style="58" customWidth="1"/>
    <col min="13821" max="13824" width="14.28515625" style="58"/>
    <col min="13825" max="13825" width="9.28515625" style="58" bestFit="1" customWidth="1"/>
    <col min="13826" max="13826" width="48.140625" style="58" customWidth="1"/>
    <col min="13827" max="13827" width="15.85546875" style="58" bestFit="1" customWidth="1"/>
    <col min="13828" max="13828" width="14.85546875" style="58" bestFit="1" customWidth="1"/>
    <col min="13829" max="13829" width="14.7109375" style="58" bestFit="1" customWidth="1"/>
    <col min="13830" max="13830" width="2.7109375" style="58" customWidth="1"/>
    <col min="13831" max="13831" width="15.85546875" style="58" bestFit="1" customWidth="1"/>
    <col min="13832" max="13833" width="14.5703125" style="58" bestFit="1" customWidth="1"/>
    <col min="13834" max="13834" width="2.7109375" style="58" customWidth="1"/>
    <col min="13835" max="13835" width="15.7109375" style="58" bestFit="1" customWidth="1"/>
    <col min="13836" max="13836" width="13.7109375" style="58" bestFit="1" customWidth="1"/>
    <col min="13837" max="13837" width="13.42578125" style="58" bestFit="1" customWidth="1"/>
    <col min="13838" max="13848" width="10.5703125" style="58" bestFit="1" customWidth="1"/>
    <col min="13849" max="13849" width="13.5703125" style="58" customWidth="1"/>
    <col min="13850" max="13850" width="16.5703125" style="58" customWidth="1"/>
    <col min="13851" max="13851" width="14.42578125" style="58" customWidth="1"/>
    <col min="13852" max="13852" width="13.28515625" style="58" bestFit="1" customWidth="1"/>
    <col min="13853" max="13853" width="13.42578125" style="58" bestFit="1" customWidth="1"/>
    <col min="13854" max="13854" width="13" style="58" customWidth="1"/>
    <col min="13855" max="13855" width="11.5703125" style="58" customWidth="1"/>
    <col min="13856" max="13856" width="13.140625" style="58" customWidth="1"/>
    <col min="13857" max="13858" width="11.5703125" style="58" customWidth="1"/>
    <col min="13859" max="13859" width="12.42578125" style="58" customWidth="1"/>
    <col min="13860" max="13860" width="13.5703125" style="58" customWidth="1"/>
    <col min="13861" max="13861" width="13.140625" style="58" bestFit="1" customWidth="1"/>
    <col min="13862" max="13862" width="18.85546875" style="58" customWidth="1"/>
    <col min="13863" max="13864" width="14.140625" style="58" customWidth="1"/>
    <col min="13865" max="13865" width="13.85546875" style="58" customWidth="1"/>
    <col min="13866" max="13866" width="14.140625" style="58" customWidth="1"/>
    <col min="13867" max="13867" width="13.7109375" style="58" customWidth="1"/>
    <col min="13868" max="13868" width="17.140625" style="58" customWidth="1"/>
    <col min="13869" max="13869" width="15.42578125" style="58" customWidth="1"/>
    <col min="13870" max="13870" width="18" style="58" customWidth="1"/>
    <col min="13871" max="13871" width="13.7109375" style="58" bestFit="1" customWidth="1"/>
    <col min="13872" max="13872" width="14.140625" style="58" bestFit="1" customWidth="1"/>
    <col min="13873" max="13873" width="14" style="58" bestFit="1" customWidth="1"/>
    <col min="13874" max="13874" width="14.85546875" style="58" bestFit="1" customWidth="1"/>
    <col min="13875" max="13875" width="15.7109375" style="58" customWidth="1"/>
    <col min="13876" max="13876" width="5.85546875" style="58" customWidth="1"/>
    <col min="13877" max="13877" width="9.28515625" style="58" customWidth="1"/>
    <col min="13878" max="13878" width="14.85546875" style="58" customWidth="1"/>
    <col min="13879" max="13879" width="12.85546875" style="58" bestFit="1" customWidth="1"/>
    <col min="13880" max="13880" width="12.85546875" style="58" customWidth="1"/>
    <col min="13881" max="13898" width="8.85546875" style="58" customWidth="1"/>
    <col min="13899" max="13899" width="30.28515625" style="58" bestFit="1" customWidth="1"/>
    <col min="13900" max="13900" width="20.7109375" style="58" customWidth="1"/>
    <col min="13901" max="13901" width="13.42578125" style="58" customWidth="1"/>
    <col min="13902" max="13902" width="8.85546875" style="58" customWidth="1"/>
    <col min="13903" max="13903" width="11.7109375" style="58" bestFit="1" customWidth="1"/>
    <col min="13904" max="14071" width="8.85546875" style="58" customWidth="1"/>
    <col min="14072" max="14072" width="29.7109375" style="58" customWidth="1"/>
    <col min="14073" max="14075" width="14.28515625" style="58" customWidth="1"/>
    <col min="14076" max="14076" width="2.7109375" style="58" customWidth="1"/>
    <col min="14077" max="14080" width="14.28515625" style="58"/>
    <col min="14081" max="14081" width="9.28515625" style="58" bestFit="1" customWidth="1"/>
    <col min="14082" max="14082" width="48.140625" style="58" customWidth="1"/>
    <col min="14083" max="14083" width="15.85546875" style="58" bestFit="1" customWidth="1"/>
    <col min="14084" max="14084" width="14.85546875" style="58" bestFit="1" customWidth="1"/>
    <col min="14085" max="14085" width="14.7109375" style="58" bestFit="1" customWidth="1"/>
    <col min="14086" max="14086" width="2.7109375" style="58" customWidth="1"/>
    <col min="14087" max="14087" width="15.85546875" style="58" bestFit="1" customWidth="1"/>
    <col min="14088" max="14089" width="14.5703125" style="58" bestFit="1" customWidth="1"/>
    <col min="14090" max="14090" width="2.7109375" style="58" customWidth="1"/>
    <col min="14091" max="14091" width="15.7109375" style="58" bestFit="1" customWidth="1"/>
    <col min="14092" max="14092" width="13.7109375" style="58" bestFit="1" customWidth="1"/>
    <col min="14093" max="14093" width="13.42578125" style="58" bestFit="1" customWidth="1"/>
    <col min="14094" max="14104" width="10.5703125" style="58" bestFit="1" customWidth="1"/>
    <col min="14105" max="14105" width="13.5703125" style="58" customWidth="1"/>
    <col min="14106" max="14106" width="16.5703125" style="58" customWidth="1"/>
    <col min="14107" max="14107" width="14.42578125" style="58" customWidth="1"/>
    <col min="14108" max="14108" width="13.28515625" style="58" bestFit="1" customWidth="1"/>
    <col min="14109" max="14109" width="13.42578125" style="58" bestFit="1" customWidth="1"/>
    <col min="14110" max="14110" width="13" style="58" customWidth="1"/>
    <col min="14111" max="14111" width="11.5703125" style="58" customWidth="1"/>
    <col min="14112" max="14112" width="13.140625" style="58" customWidth="1"/>
    <col min="14113" max="14114" width="11.5703125" style="58" customWidth="1"/>
    <col min="14115" max="14115" width="12.42578125" style="58" customWidth="1"/>
    <col min="14116" max="14116" width="13.5703125" style="58" customWidth="1"/>
    <col min="14117" max="14117" width="13.140625" style="58" bestFit="1" customWidth="1"/>
    <col min="14118" max="14118" width="18.85546875" style="58" customWidth="1"/>
    <col min="14119" max="14120" width="14.140625" style="58" customWidth="1"/>
    <col min="14121" max="14121" width="13.85546875" style="58" customWidth="1"/>
    <col min="14122" max="14122" width="14.140625" style="58" customWidth="1"/>
    <col min="14123" max="14123" width="13.7109375" style="58" customWidth="1"/>
    <col min="14124" max="14124" width="17.140625" style="58" customWidth="1"/>
    <col min="14125" max="14125" width="15.42578125" style="58" customWidth="1"/>
    <col min="14126" max="14126" width="18" style="58" customWidth="1"/>
    <col min="14127" max="14127" width="13.7109375" style="58" bestFit="1" customWidth="1"/>
    <col min="14128" max="14128" width="14.140625" style="58" bestFit="1" customWidth="1"/>
    <col min="14129" max="14129" width="14" style="58" bestFit="1" customWidth="1"/>
    <col min="14130" max="14130" width="14.85546875" style="58" bestFit="1" customWidth="1"/>
    <col min="14131" max="14131" width="15.7109375" style="58" customWidth="1"/>
    <col min="14132" max="14132" width="5.85546875" style="58" customWidth="1"/>
    <col min="14133" max="14133" width="9.28515625" style="58" customWidth="1"/>
    <col min="14134" max="14134" width="14.85546875" style="58" customWidth="1"/>
    <col min="14135" max="14135" width="12.85546875" style="58" bestFit="1" customWidth="1"/>
    <col min="14136" max="14136" width="12.85546875" style="58" customWidth="1"/>
    <col min="14137" max="14154" width="8.85546875" style="58" customWidth="1"/>
    <col min="14155" max="14155" width="30.28515625" style="58" bestFit="1" customWidth="1"/>
    <col min="14156" max="14156" width="20.7109375" style="58" customWidth="1"/>
    <col min="14157" max="14157" width="13.42578125" style="58" customWidth="1"/>
    <col min="14158" max="14158" width="8.85546875" style="58" customWidth="1"/>
    <col min="14159" max="14159" width="11.7109375" style="58" bestFit="1" customWidth="1"/>
    <col min="14160" max="14327" width="8.85546875" style="58" customWidth="1"/>
    <col min="14328" max="14328" width="29.7109375" style="58" customWidth="1"/>
    <col min="14329" max="14331" width="14.28515625" style="58" customWidth="1"/>
    <col min="14332" max="14332" width="2.7109375" style="58" customWidth="1"/>
    <col min="14333" max="14336" width="14.28515625" style="58"/>
    <col min="14337" max="14337" width="9.28515625" style="58" bestFit="1" customWidth="1"/>
    <col min="14338" max="14338" width="48.140625" style="58" customWidth="1"/>
    <col min="14339" max="14339" width="15.85546875" style="58" bestFit="1" customWidth="1"/>
    <col min="14340" max="14340" width="14.85546875" style="58" bestFit="1" customWidth="1"/>
    <col min="14341" max="14341" width="14.7109375" style="58" bestFit="1" customWidth="1"/>
    <col min="14342" max="14342" width="2.7109375" style="58" customWidth="1"/>
    <col min="14343" max="14343" width="15.85546875" style="58" bestFit="1" customWidth="1"/>
    <col min="14344" max="14345" width="14.5703125" style="58" bestFit="1" customWidth="1"/>
    <col min="14346" max="14346" width="2.7109375" style="58" customWidth="1"/>
    <col min="14347" max="14347" width="15.7109375" style="58" bestFit="1" customWidth="1"/>
    <col min="14348" max="14348" width="13.7109375" style="58" bestFit="1" customWidth="1"/>
    <col min="14349" max="14349" width="13.42578125" style="58" bestFit="1" customWidth="1"/>
    <col min="14350" max="14360" width="10.5703125" style="58" bestFit="1" customWidth="1"/>
    <col min="14361" max="14361" width="13.5703125" style="58" customWidth="1"/>
    <col min="14362" max="14362" width="16.5703125" style="58" customWidth="1"/>
    <col min="14363" max="14363" width="14.42578125" style="58" customWidth="1"/>
    <col min="14364" max="14364" width="13.28515625" style="58" bestFit="1" customWidth="1"/>
    <col min="14365" max="14365" width="13.42578125" style="58" bestFit="1" customWidth="1"/>
    <col min="14366" max="14366" width="13" style="58" customWidth="1"/>
    <col min="14367" max="14367" width="11.5703125" style="58" customWidth="1"/>
    <col min="14368" max="14368" width="13.140625" style="58" customWidth="1"/>
    <col min="14369" max="14370" width="11.5703125" style="58" customWidth="1"/>
    <col min="14371" max="14371" width="12.42578125" style="58" customWidth="1"/>
    <col min="14372" max="14372" width="13.5703125" style="58" customWidth="1"/>
    <col min="14373" max="14373" width="13.140625" style="58" bestFit="1" customWidth="1"/>
    <col min="14374" max="14374" width="18.85546875" style="58" customWidth="1"/>
    <col min="14375" max="14376" width="14.140625" style="58" customWidth="1"/>
    <col min="14377" max="14377" width="13.85546875" style="58" customWidth="1"/>
    <col min="14378" max="14378" width="14.140625" style="58" customWidth="1"/>
    <col min="14379" max="14379" width="13.7109375" style="58" customWidth="1"/>
    <col min="14380" max="14380" width="17.140625" style="58" customWidth="1"/>
    <col min="14381" max="14381" width="15.42578125" style="58" customWidth="1"/>
    <col min="14382" max="14382" width="18" style="58" customWidth="1"/>
    <col min="14383" max="14383" width="13.7109375" style="58" bestFit="1" customWidth="1"/>
    <col min="14384" max="14384" width="14.140625" style="58" bestFit="1" customWidth="1"/>
    <col min="14385" max="14385" width="14" style="58" bestFit="1" customWidth="1"/>
    <col min="14386" max="14386" width="14.85546875" style="58" bestFit="1" customWidth="1"/>
    <col min="14387" max="14387" width="15.7109375" style="58" customWidth="1"/>
    <col min="14388" max="14388" width="5.85546875" style="58" customWidth="1"/>
    <col min="14389" max="14389" width="9.28515625" style="58" customWidth="1"/>
    <col min="14390" max="14390" width="14.85546875" style="58" customWidth="1"/>
    <col min="14391" max="14391" width="12.85546875" style="58" bestFit="1" customWidth="1"/>
    <col min="14392" max="14392" width="12.85546875" style="58" customWidth="1"/>
    <col min="14393" max="14410" width="8.85546875" style="58" customWidth="1"/>
    <col min="14411" max="14411" width="30.28515625" style="58" bestFit="1" customWidth="1"/>
    <col min="14412" max="14412" width="20.7109375" style="58" customWidth="1"/>
    <col min="14413" max="14413" width="13.42578125" style="58" customWidth="1"/>
    <col min="14414" max="14414" width="8.85546875" style="58" customWidth="1"/>
    <col min="14415" max="14415" width="11.7109375" style="58" bestFit="1" customWidth="1"/>
    <col min="14416" max="14583" width="8.85546875" style="58" customWidth="1"/>
    <col min="14584" max="14584" width="29.7109375" style="58" customWidth="1"/>
    <col min="14585" max="14587" width="14.28515625" style="58" customWidth="1"/>
    <col min="14588" max="14588" width="2.7109375" style="58" customWidth="1"/>
    <col min="14589" max="14592" width="14.28515625" style="58"/>
    <col min="14593" max="14593" width="9.28515625" style="58" bestFit="1" customWidth="1"/>
    <col min="14594" max="14594" width="48.140625" style="58" customWidth="1"/>
    <col min="14595" max="14595" width="15.85546875" style="58" bestFit="1" customWidth="1"/>
    <col min="14596" max="14596" width="14.85546875" style="58" bestFit="1" customWidth="1"/>
    <col min="14597" max="14597" width="14.7109375" style="58" bestFit="1" customWidth="1"/>
    <col min="14598" max="14598" width="2.7109375" style="58" customWidth="1"/>
    <col min="14599" max="14599" width="15.85546875" style="58" bestFit="1" customWidth="1"/>
    <col min="14600" max="14601" width="14.5703125" style="58" bestFit="1" customWidth="1"/>
    <col min="14602" max="14602" width="2.7109375" style="58" customWidth="1"/>
    <col min="14603" max="14603" width="15.7109375" style="58" bestFit="1" customWidth="1"/>
    <col min="14604" max="14604" width="13.7109375" style="58" bestFit="1" customWidth="1"/>
    <col min="14605" max="14605" width="13.42578125" style="58" bestFit="1" customWidth="1"/>
    <col min="14606" max="14616" width="10.5703125" style="58" bestFit="1" customWidth="1"/>
    <col min="14617" max="14617" width="13.5703125" style="58" customWidth="1"/>
    <col min="14618" max="14618" width="16.5703125" style="58" customWidth="1"/>
    <col min="14619" max="14619" width="14.42578125" style="58" customWidth="1"/>
    <col min="14620" max="14620" width="13.28515625" style="58" bestFit="1" customWidth="1"/>
    <col min="14621" max="14621" width="13.42578125" style="58" bestFit="1" customWidth="1"/>
    <col min="14622" max="14622" width="13" style="58" customWidth="1"/>
    <col min="14623" max="14623" width="11.5703125" style="58" customWidth="1"/>
    <col min="14624" max="14624" width="13.140625" style="58" customWidth="1"/>
    <col min="14625" max="14626" width="11.5703125" style="58" customWidth="1"/>
    <col min="14627" max="14627" width="12.42578125" style="58" customWidth="1"/>
    <col min="14628" max="14628" width="13.5703125" style="58" customWidth="1"/>
    <col min="14629" max="14629" width="13.140625" style="58" bestFit="1" customWidth="1"/>
    <col min="14630" max="14630" width="18.85546875" style="58" customWidth="1"/>
    <col min="14631" max="14632" width="14.140625" style="58" customWidth="1"/>
    <col min="14633" max="14633" width="13.85546875" style="58" customWidth="1"/>
    <col min="14634" max="14634" width="14.140625" style="58" customWidth="1"/>
    <col min="14635" max="14635" width="13.7109375" style="58" customWidth="1"/>
    <col min="14636" max="14636" width="17.140625" style="58" customWidth="1"/>
    <col min="14637" max="14637" width="15.42578125" style="58" customWidth="1"/>
    <col min="14638" max="14638" width="18" style="58" customWidth="1"/>
    <col min="14639" max="14639" width="13.7109375" style="58" bestFit="1" customWidth="1"/>
    <col min="14640" max="14640" width="14.140625" style="58" bestFit="1" customWidth="1"/>
    <col min="14641" max="14641" width="14" style="58" bestFit="1" customWidth="1"/>
    <col min="14642" max="14642" width="14.85546875" style="58" bestFit="1" customWidth="1"/>
    <col min="14643" max="14643" width="15.7109375" style="58" customWidth="1"/>
    <col min="14644" max="14644" width="5.85546875" style="58" customWidth="1"/>
    <col min="14645" max="14645" width="9.28515625" style="58" customWidth="1"/>
    <col min="14646" max="14646" width="14.85546875" style="58" customWidth="1"/>
    <col min="14647" max="14647" width="12.85546875" style="58" bestFit="1" customWidth="1"/>
    <col min="14648" max="14648" width="12.85546875" style="58" customWidth="1"/>
    <col min="14649" max="14666" width="8.85546875" style="58" customWidth="1"/>
    <col min="14667" max="14667" width="30.28515625" style="58" bestFit="1" customWidth="1"/>
    <col min="14668" max="14668" width="20.7109375" style="58" customWidth="1"/>
    <col min="14669" max="14669" width="13.42578125" style="58" customWidth="1"/>
    <col min="14670" max="14670" width="8.85546875" style="58" customWidth="1"/>
    <col min="14671" max="14671" width="11.7109375" style="58" bestFit="1" customWidth="1"/>
    <col min="14672" max="14839" width="8.85546875" style="58" customWidth="1"/>
    <col min="14840" max="14840" width="29.7109375" style="58" customWidth="1"/>
    <col min="14841" max="14843" width="14.28515625" style="58" customWidth="1"/>
    <col min="14844" max="14844" width="2.7109375" style="58" customWidth="1"/>
    <col min="14845" max="14848" width="14.28515625" style="58"/>
    <col min="14849" max="14849" width="9.28515625" style="58" bestFit="1" customWidth="1"/>
    <col min="14850" max="14850" width="48.140625" style="58" customWidth="1"/>
    <col min="14851" max="14851" width="15.85546875" style="58" bestFit="1" customWidth="1"/>
    <col min="14852" max="14852" width="14.85546875" style="58" bestFit="1" customWidth="1"/>
    <col min="14853" max="14853" width="14.7109375" style="58" bestFit="1" customWidth="1"/>
    <col min="14854" max="14854" width="2.7109375" style="58" customWidth="1"/>
    <col min="14855" max="14855" width="15.85546875" style="58" bestFit="1" customWidth="1"/>
    <col min="14856" max="14857" width="14.5703125" style="58" bestFit="1" customWidth="1"/>
    <col min="14858" max="14858" width="2.7109375" style="58" customWidth="1"/>
    <col min="14859" max="14859" width="15.7109375" style="58" bestFit="1" customWidth="1"/>
    <col min="14860" max="14860" width="13.7109375" style="58" bestFit="1" customWidth="1"/>
    <col min="14861" max="14861" width="13.42578125" style="58" bestFit="1" customWidth="1"/>
    <col min="14862" max="14872" width="10.5703125" style="58" bestFit="1" customWidth="1"/>
    <col min="14873" max="14873" width="13.5703125" style="58" customWidth="1"/>
    <col min="14874" max="14874" width="16.5703125" style="58" customWidth="1"/>
    <col min="14875" max="14875" width="14.42578125" style="58" customWidth="1"/>
    <col min="14876" max="14876" width="13.28515625" style="58" bestFit="1" customWidth="1"/>
    <col min="14877" max="14877" width="13.42578125" style="58" bestFit="1" customWidth="1"/>
    <col min="14878" max="14878" width="13" style="58" customWidth="1"/>
    <col min="14879" max="14879" width="11.5703125" style="58" customWidth="1"/>
    <col min="14880" max="14880" width="13.140625" style="58" customWidth="1"/>
    <col min="14881" max="14882" width="11.5703125" style="58" customWidth="1"/>
    <col min="14883" max="14883" width="12.42578125" style="58" customWidth="1"/>
    <col min="14884" max="14884" width="13.5703125" style="58" customWidth="1"/>
    <col min="14885" max="14885" width="13.140625" style="58" bestFit="1" customWidth="1"/>
    <col min="14886" max="14886" width="18.85546875" style="58" customWidth="1"/>
    <col min="14887" max="14888" width="14.140625" style="58" customWidth="1"/>
    <col min="14889" max="14889" width="13.85546875" style="58" customWidth="1"/>
    <col min="14890" max="14890" width="14.140625" style="58" customWidth="1"/>
    <col min="14891" max="14891" width="13.7109375" style="58" customWidth="1"/>
    <col min="14892" max="14892" width="17.140625" style="58" customWidth="1"/>
    <col min="14893" max="14893" width="15.42578125" style="58" customWidth="1"/>
    <col min="14894" max="14894" width="18" style="58" customWidth="1"/>
    <col min="14895" max="14895" width="13.7109375" style="58" bestFit="1" customWidth="1"/>
    <col min="14896" max="14896" width="14.140625" style="58" bestFit="1" customWidth="1"/>
    <col min="14897" max="14897" width="14" style="58" bestFit="1" customWidth="1"/>
    <col min="14898" max="14898" width="14.85546875" style="58" bestFit="1" customWidth="1"/>
    <col min="14899" max="14899" width="15.7109375" style="58" customWidth="1"/>
    <col min="14900" max="14900" width="5.85546875" style="58" customWidth="1"/>
    <col min="14901" max="14901" width="9.28515625" style="58" customWidth="1"/>
    <col min="14902" max="14902" width="14.85546875" style="58" customWidth="1"/>
    <col min="14903" max="14903" width="12.85546875" style="58" bestFit="1" customWidth="1"/>
    <col min="14904" max="14904" width="12.85546875" style="58" customWidth="1"/>
    <col min="14905" max="14922" width="8.85546875" style="58" customWidth="1"/>
    <col min="14923" max="14923" width="30.28515625" style="58" bestFit="1" customWidth="1"/>
    <col min="14924" max="14924" width="20.7109375" style="58" customWidth="1"/>
    <col min="14925" max="14925" width="13.42578125" style="58" customWidth="1"/>
    <col min="14926" max="14926" width="8.85546875" style="58" customWidth="1"/>
    <col min="14927" max="14927" width="11.7109375" style="58" bestFit="1" customWidth="1"/>
    <col min="14928" max="15095" width="8.85546875" style="58" customWidth="1"/>
    <col min="15096" max="15096" width="29.7109375" style="58" customWidth="1"/>
    <col min="15097" max="15099" width="14.28515625" style="58" customWidth="1"/>
    <col min="15100" max="15100" width="2.7109375" style="58" customWidth="1"/>
    <col min="15101" max="15104" width="14.28515625" style="58"/>
    <col min="15105" max="15105" width="9.28515625" style="58" bestFit="1" customWidth="1"/>
    <col min="15106" max="15106" width="48.140625" style="58" customWidth="1"/>
    <col min="15107" max="15107" width="15.85546875" style="58" bestFit="1" customWidth="1"/>
    <col min="15108" max="15108" width="14.85546875" style="58" bestFit="1" customWidth="1"/>
    <col min="15109" max="15109" width="14.7109375" style="58" bestFit="1" customWidth="1"/>
    <col min="15110" max="15110" width="2.7109375" style="58" customWidth="1"/>
    <col min="15111" max="15111" width="15.85546875" style="58" bestFit="1" customWidth="1"/>
    <col min="15112" max="15113" width="14.5703125" style="58" bestFit="1" customWidth="1"/>
    <col min="15114" max="15114" width="2.7109375" style="58" customWidth="1"/>
    <col min="15115" max="15115" width="15.7109375" style="58" bestFit="1" customWidth="1"/>
    <col min="15116" max="15116" width="13.7109375" style="58" bestFit="1" customWidth="1"/>
    <col min="15117" max="15117" width="13.42578125" style="58" bestFit="1" customWidth="1"/>
    <col min="15118" max="15128" width="10.5703125" style="58" bestFit="1" customWidth="1"/>
    <col min="15129" max="15129" width="13.5703125" style="58" customWidth="1"/>
    <col min="15130" max="15130" width="16.5703125" style="58" customWidth="1"/>
    <col min="15131" max="15131" width="14.42578125" style="58" customWidth="1"/>
    <col min="15132" max="15132" width="13.28515625" style="58" bestFit="1" customWidth="1"/>
    <col min="15133" max="15133" width="13.42578125" style="58" bestFit="1" customWidth="1"/>
    <col min="15134" max="15134" width="13" style="58" customWidth="1"/>
    <col min="15135" max="15135" width="11.5703125" style="58" customWidth="1"/>
    <col min="15136" max="15136" width="13.140625" style="58" customWidth="1"/>
    <col min="15137" max="15138" width="11.5703125" style="58" customWidth="1"/>
    <col min="15139" max="15139" width="12.42578125" style="58" customWidth="1"/>
    <col min="15140" max="15140" width="13.5703125" style="58" customWidth="1"/>
    <col min="15141" max="15141" width="13.140625" style="58" bestFit="1" customWidth="1"/>
    <col min="15142" max="15142" width="18.85546875" style="58" customWidth="1"/>
    <col min="15143" max="15144" width="14.140625" style="58" customWidth="1"/>
    <col min="15145" max="15145" width="13.85546875" style="58" customWidth="1"/>
    <col min="15146" max="15146" width="14.140625" style="58" customWidth="1"/>
    <col min="15147" max="15147" width="13.7109375" style="58" customWidth="1"/>
    <col min="15148" max="15148" width="17.140625" style="58" customWidth="1"/>
    <col min="15149" max="15149" width="15.42578125" style="58" customWidth="1"/>
    <col min="15150" max="15150" width="18" style="58" customWidth="1"/>
    <col min="15151" max="15151" width="13.7109375" style="58" bestFit="1" customWidth="1"/>
    <col min="15152" max="15152" width="14.140625" style="58" bestFit="1" customWidth="1"/>
    <col min="15153" max="15153" width="14" style="58" bestFit="1" customWidth="1"/>
    <col min="15154" max="15154" width="14.85546875" style="58" bestFit="1" customWidth="1"/>
    <col min="15155" max="15155" width="15.7109375" style="58" customWidth="1"/>
    <col min="15156" max="15156" width="5.85546875" style="58" customWidth="1"/>
    <col min="15157" max="15157" width="9.28515625" style="58" customWidth="1"/>
    <col min="15158" max="15158" width="14.85546875" style="58" customWidth="1"/>
    <col min="15159" max="15159" width="12.85546875" style="58" bestFit="1" customWidth="1"/>
    <col min="15160" max="15160" width="12.85546875" style="58" customWidth="1"/>
    <col min="15161" max="15178" width="8.85546875" style="58" customWidth="1"/>
    <col min="15179" max="15179" width="30.28515625" style="58" bestFit="1" customWidth="1"/>
    <col min="15180" max="15180" width="20.7109375" style="58" customWidth="1"/>
    <col min="15181" max="15181" width="13.42578125" style="58" customWidth="1"/>
    <col min="15182" max="15182" width="8.85546875" style="58" customWidth="1"/>
    <col min="15183" max="15183" width="11.7109375" style="58" bestFit="1" customWidth="1"/>
    <col min="15184" max="15351" width="8.85546875" style="58" customWidth="1"/>
    <col min="15352" max="15352" width="29.7109375" style="58" customWidth="1"/>
    <col min="15353" max="15355" width="14.28515625" style="58" customWidth="1"/>
    <col min="15356" max="15356" width="2.7109375" style="58" customWidth="1"/>
    <col min="15357" max="15360" width="14.28515625" style="58"/>
    <col min="15361" max="15361" width="9.28515625" style="58" bestFit="1" customWidth="1"/>
    <col min="15362" max="15362" width="48.140625" style="58" customWidth="1"/>
    <col min="15363" max="15363" width="15.85546875" style="58" bestFit="1" customWidth="1"/>
    <col min="15364" max="15364" width="14.85546875" style="58" bestFit="1" customWidth="1"/>
    <col min="15365" max="15365" width="14.7109375" style="58" bestFit="1" customWidth="1"/>
    <col min="15366" max="15366" width="2.7109375" style="58" customWidth="1"/>
    <col min="15367" max="15367" width="15.85546875" style="58" bestFit="1" customWidth="1"/>
    <col min="15368" max="15369" width="14.5703125" style="58" bestFit="1" customWidth="1"/>
    <col min="15370" max="15370" width="2.7109375" style="58" customWidth="1"/>
    <col min="15371" max="15371" width="15.7109375" style="58" bestFit="1" customWidth="1"/>
    <col min="15372" max="15372" width="13.7109375" style="58" bestFit="1" customWidth="1"/>
    <col min="15373" max="15373" width="13.42578125" style="58" bestFit="1" customWidth="1"/>
    <col min="15374" max="15384" width="10.5703125" style="58" bestFit="1" customWidth="1"/>
    <col min="15385" max="15385" width="13.5703125" style="58" customWidth="1"/>
    <col min="15386" max="15386" width="16.5703125" style="58" customWidth="1"/>
    <col min="15387" max="15387" width="14.42578125" style="58" customWidth="1"/>
    <col min="15388" max="15388" width="13.28515625" style="58" bestFit="1" customWidth="1"/>
    <col min="15389" max="15389" width="13.42578125" style="58" bestFit="1" customWidth="1"/>
    <col min="15390" max="15390" width="13" style="58" customWidth="1"/>
    <col min="15391" max="15391" width="11.5703125" style="58" customWidth="1"/>
    <col min="15392" max="15392" width="13.140625" style="58" customWidth="1"/>
    <col min="15393" max="15394" width="11.5703125" style="58" customWidth="1"/>
    <col min="15395" max="15395" width="12.42578125" style="58" customWidth="1"/>
    <col min="15396" max="15396" width="13.5703125" style="58" customWidth="1"/>
    <col min="15397" max="15397" width="13.140625" style="58" bestFit="1" customWidth="1"/>
    <col min="15398" max="15398" width="18.85546875" style="58" customWidth="1"/>
    <col min="15399" max="15400" width="14.140625" style="58" customWidth="1"/>
    <col min="15401" max="15401" width="13.85546875" style="58" customWidth="1"/>
    <col min="15402" max="15402" width="14.140625" style="58" customWidth="1"/>
    <col min="15403" max="15403" width="13.7109375" style="58" customWidth="1"/>
    <col min="15404" max="15404" width="17.140625" style="58" customWidth="1"/>
    <col min="15405" max="15405" width="15.42578125" style="58" customWidth="1"/>
    <col min="15406" max="15406" width="18" style="58" customWidth="1"/>
    <col min="15407" max="15407" width="13.7109375" style="58" bestFit="1" customWidth="1"/>
    <col min="15408" max="15408" width="14.140625" style="58" bestFit="1" customWidth="1"/>
    <col min="15409" max="15409" width="14" style="58" bestFit="1" customWidth="1"/>
    <col min="15410" max="15410" width="14.85546875" style="58" bestFit="1" customWidth="1"/>
    <col min="15411" max="15411" width="15.7109375" style="58" customWidth="1"/>
    <col min="15412" max="15412" width="5.85546875" style="58" customWidth="1"/>
    <col min="15413" max="15413" width="9.28515625" style="58" customWidth="1"/>
    <col min="15414" max="15414" width="14.85546875" style="58" customWidth="1"/>
    <col min="15415" max="15415" width="12.85546875" style="58" bestFit="1" customWidth="1"/>
    <col min="15416" max="15416" width="12.85546875" style="58" customWidth="1"/>
    <col min="15417" max="15434" width="8.85546875" style="58" customWidth="1"/>
    <col min="15435" max="15435" width="30.28515625" style="58" bestFit="1" customWidth="1"/>
    <col min="15436" max="15436" width="20.7109375" style="58" customWidth="1"/>
    <col min="15437" max="15437" width="13.42578125" style="58" customWidth="1"/>
    <col min="15438" max="15438" width="8.85546875" style="58" customWidth="1"/>
    <col min="15439" max="15439" width="11.7109375" style="58" bestFit="1" customWidth="1"/>
    <col min="15440" max="15607" width="8.85546875" style="58" customWidth="1"/>
    <col min="15608" max="15608" width="29.7109375" style="58" customWidth="1"/>
    <col min="15609" max="15611" width="14.28515625" style="58" customWidth="1"/>
    <col min="15612" max="15612" width="2.7109375" style="58" customWidth="1"/>
    <col min="15613" max="15616" width="14.28515625" style="58"/>
    <col min="15617" max="15617" width="9.28515625" style="58" bestFit="1" customWidth="1"/>
    <col min="15618" max="15618" width="48.140625" style="58" customWidth="1"/>
    <col min="15619" max="15619" width="15.85546875" style="58" bestFit="1" customWidth="1"/>
    <col min="15620" max="15620" width="14.85546875" style="58" bestFit="1" customWidth="1"/>
    <col min="15621" max="15621" width="14.7109375" style="58" bestFit="1" customWidth="1"/>
    <col min="15622" max="15622" width="2.7109375" style="58" customWidth="1"/>
    <col min="15623" max="15623" width="15.85546875" style="58" bestFit="1" customWidth="1"/>
    <col min="15624" max="15625" width="14.5703125" style="58" bestFit="1" customWidth="1"/>
    <col min="15626" max="15626" width="2.7109375" style="58" customWidth="1"/>
    <col min="15627" max="15627" width="15.7109375" style="58" bestFit="1" customWidth="1"/>
    <col min="15628" max="15628" width="13.7109375" style="58" bestFit="1" customWidth="1"/>
    <col min="15629" max="15629" width="13.42578125" style="58" bestFit="1" customWidth="1"/>
    <col min="15630" max="15640" width="10.5703125" style="58" bestFit="1" customWidth="1"/>
    <col min="15641" max="15641" width="13.5703125" style="58" customWidth="1"/>
    <col min="15642" max="15642" width="16.5703125" style="58" customWidth="1"/>
    <col min="15643" max="15643" width="14.42578125" style="58" customWidth="1"/>
    <col min="15644" max="15644" width="13.28515625" style="58" bestFit="1" customWidth="1"/>
    <col min="15645" max="15645" width="13.42578125" style="58" bestFit="1" customWidth="1"/>
    <col min="15646" max="15646" width="13" style="58" customWidth="1"/>
    <col min="15647" max="15647" width="11.5703125" style="58" customWidth="1"/>
    <col min="15648" max="15648" width="13.140625" style="58" customWidth="1"/>
    <col min="15649" max="15650" width="11.5703125" style="58" customWidth="1"/>
    <col min="15651" max="15651" width="12.42578125" style="58" customWidth="1"/>
    <col min="15652" max="15652" width="13.5703125" style="58" customWidth="1"/>
    <col min="15653" max="15653" width="13.140625" style="58" bestFit="1" customWidth="1"/>
    <col min="15654" max="15654" width="18.85546875" style="58" customWidth="1"/>
    <col min="15655" max="15656" width="14.140625" style="58" customWidth="1"/>
    <col min="15657" max="15657" width="13.85546875" style="58" customWidth="1"/>
    <col min="15658" max="15658" width="14.140625" style="58" customWidth="1"/>
    <col min="15659" max="15659" width="13.7109375" style="58" customWidth="1"/>
    <col min="15660" max="15660" width="17.140625" style="58" customWidth="1"/>
    <col min="15661" max="15661" width="15.42578125" style="58" customWidth="1"/>
    <col min="15662" max="15662" width="18" style="58" customWidth="1"/>
    <col min="15663" max="15663" width="13.7109375" style="58" bestFit="1" customWidth="1"/>
    <col min="15664" max="15664" width="14.140625" style="58" bestFit="1" customWidth="1"/>
    <col min="15665" max="15665" width="14" style="58" bestFit="1" customWidth="1"/>
    <col min="15666" max="15666" width="14.85546875" style="58" bestFit="1" customWidth="1"/>
    <col min="15667" max="15667" width="15.7109375" style="58" customWidth="1"/>
    <col min="15668" max="15668" width="5.85546875" style="58" customWidth="1"/>
    <col min="15669" max="15669" width="9.28515625" style="58" customWidth="1"/>
    <col min="15670" max="15670" width="14.85546875" style="58" customWidth="1"/>
    <col min="15671" max="15671" width="12.85546875" style="58" bestFit="1" customWidth="1"/>
    <col min="15672" max="15672" width="12.85546875" style="58" customWidth="1"/>
    <col min="15673" max="15690" width="8.85546875" style="58" customWidth="1"/>
    <col min="15691" max="15691" width="30.28515625" style="58" bestFit="1" customWidth="1"/>
    <col min="15692" max="15692" width="20.7109375" style="58" customWidth="1"/>
    <col min="15693" max="15693" width="13.42578125" style="58" customWidth="1"/>
    <col min="15694" max="15694" width="8.85546875" style="58" customWidth="1"/>
    <col min="15695" max="15695" width="11.7109375" style="58" bestFit="1" customWidth="1"/>
    <col min="15696" max="15863" width="8.85546875" style="58" customWidth="1"/>
    <col min="15864" max="15864" width="29.7109375" style="58" customWidth="1"/>
    <col min="15865" max="15867" width="14.28515625" style="58" customWidth="1"/>
    <col min="15868" max="15868" width="2.7109375" style="58" customWidth="1"/>
    <col min="15869" max="15872" width="14.28515625" style="58"/>
    <col min="15873" max="15873" width="9.28515625" style="58" bestFit="1" customWidth="1"/>
    <col min="15874" max="15874" width="48.140625" style="58" customWidth="1"/>
    <col min="15875" max="15875" width="15.85546875" style="58" bestFit="1" customWidth="1"/>
    <col min="15876" max="15876" width="14.85546875" style="58" bestFit="1" customWidth="1"/>
    <col min="15877" max="15877" width="14.7109375" style="58" bestFit="1" customWidth="1"/>
    <col min="15878" max="15878" width="2.7109375" style="58" customWidth="1"/>
    <col min="15879" max="15879" width="15.85546875" style="58" bestFit="1" customWidth="1"/>
    <col min="15880" max="15881" width="14.5703125" style="58" bestFit="1" customWidth="1"/>
    <col min="15882" max="15882" width="2.7109375" style="58" customWidth="1"/>
    <col min="15883" max="15883" width="15.7109375" style="58" bestFit="1" customWidth="1"/>
    <col min="15884" max="15884" width="13.7109375" style="58" bestFit="1" customWidth="1"/>
    <col min="15885" max="15885" width="13.42578125" style="58" bestFit="1" customWidth="1"/>
    <col min="15886" max="15896" width="10.5703125" style="58" bestFit="1" customWidth="1"/>
    <col min="15897" max="15897" width="13.5703125" style="58" customWidth="1"/>
    <col min="15898" max="15898" width="16.5703125" style="58" customWidth="1"/>
    <col min="15899" max="15899" width="14.42578125" style="58" customWidth="1"/>
    <col min="15900" max="15900" width="13.28515625" style="58" bestFit="1" customWidth="1"/>
    <col min="15901" max="15901" width="13.42578125" style="58" bestFit="1" customWidth="1"/>
    <col min="15902" max="15902" width="13" style="58" customWidth="1"/>
    <col min="15903" max="15903" width="11.5703125" style="58" customWidth="1"/>
    <col min="15904" max="15904" width="13.140625" style="58" customWidth="1"/>
    <col min="15905" max="15906" width="11.5703125" style="58" customWidth="1"/>
    <col min="15907" max="15907" width="12.42578125" style="58" customWidth="1"/>
    <col min="15908" max="15908" width="13.5703125" style="58" customWidth="1"/>
    <col min="15909" max="15909" width="13.140625" style="58" bestFit="1" customWidth="1"/>
    <col min="15910" max="15910" width="18.85546875" style="58" customWidth="1"/>
    <col min="15911" max="15912" width="14.140625" style="58" customWidth="1"/>
    <col min="15913" max="15913" width="13.85546875" style="58" customWidth="1"/>
    <col min="15914" max="15914" width="14.140625" style="58" customWidth="1"/>
    <col min="15915" max="15915" width="13.7109375" style="58" customWidth="1"/>
    <col min="15916" max="15916" width="17.140625" style="58" customWidth="1"/>
    <col min="15917" max="15917" width="15.42578125" style="58" customWidth="1"/>
    <col min="15918" max="15918" width="18" style="58" customWidth="1"/>
    <col min="15919" max="15919" width="13.7109375" style="58" bestFit="1" customWidth="1"/>
    <col min="15920" max="15920" width="14.140625" style="58" bestFit="1" customWidth="1"/>
    <col min="15921" max="15921" width="14" style="58" bestFit="1" customWidth="1"/>
    <col min="15922" max="15922" width="14.85546875" style="58" bestFit="1" customWidth="1"/>
    <col min="15923" max="15923" width="15.7109375" style="58" customWidth="1"/>
    <col min="15924" max="15924" width="5.85546875" style="58" customWidth="1"/>
    <col min="15925" max="15925" width="9.28515625" style="58" customWidth="1"/>
    <col min="15926" max="15926" width="14.85546875" style="58" customWidth="1"/>
    <col min="15927" max="15927" width="12.85546875" style="58" bestFit="1" customWidth="1"/>
    <col min="15928" max="15928" width="12.85546875" style="58" customWidth="1"/>
    <col min="15929" max="15946" width="8.85546875" style="58" customWidth="1"/>
    <col min="15947" max="15947" width="30.28515625" style="58" bestFit="1" customWidth="1"/>
    <col min="15948" max="15948" width="20.7109375" style="58" customWidth="1"/>
    <col min="15949" max="15949" width="13.42578125" style="58" customWidth="1"/>
    <col min="15950" max="15950" width="8.85546875" style="58" customWidth="1"/>
    <col min="15951" max="15951" width="11.7109375" style="58" bestFit="1" customWidth="1"/>
    <col min="15952" max="16119" width="8.85546875" style="58" customWidth="1"/>
    <col min="16120" max="16120" width="29.7109375" style="58" customWidth="1"/>
    <col min="16121" max="16123" width="14.28515625" style="58" customWidth="1"/>
    <col min="16124" max="16124" width="2.7109375" style="58" customWidth="1"/>
    <col min="16125" max="16128" width="14.28515625" style="58"/>
    <col min="16129" max="16129" width="9.28515625" style="58" bestFit="1" customWidth="1"/>
    <col min="16130" max="16130" width="48.140625" style="58" customWidth="1"/>
    <col min="16131" max="16131" width="15.85546875" style="58" bestFit="1" customWidth="1"/>
    <col min="16132" max="16132" width="14.85546875" style="58" bestFit="1" customWidth="1"/>
    <col min="16133" max="16133" width="14.7109375" style="58" bestFit="1" customWidth="1"/>
    <col min="16134" max="16134" width="2.7109375" style="58" customWidth="1"/>
    <col min="16135" max="16135" width="15.85546875" style="58" bestFit="1" customWidth="1"/>
    <col min="16136" max="16137" width="14.5703125" style="58" bestFit="1" customWidth="1"/>
    <col min="16138" max="16138" width="2.7109375" style="58" customWidth="1"/>
    <col min="16139" max="16139" width="15.7109375" style="58" bestFit="1" customWidth="1"/>
    <col min="16140" max="16140" width="13.7109375" style="58" bestFit="1" customWidth="1"/>
    <col min="16141" max="16141" width="13.42578125" style="58" bestFit="1" customWidth="1"/>
    <col min="16142" max="16152" width="10.5703125" style="58" bestFit="1" customWidth="1"/>
    <col min="16153" max="16153" width="13.5703125" style="58" customWidth="1"/>
    <col min="16154" max="16154" width="16.5703125" style="58" customWidth="1"/>
    <col min="16155" max="16155" width="14.42578125" style="58" customWidth="1"/>
    <col min="16156" max="16156" width="13.28515625" style="58" bestFit="1" customWidth="1"/>
    <col min="16157" max="16157" width="13.42578125" style="58" bestFit="1" customWidth="1"/>
    <col min="16158" max="16158" width="13" style="58" customWidth="1"/>
    <col min="16159" max="16159" width="11.5703125" style="58" customWidth="1"/>
    <col min="16160" max="16160" width="13.140625" style="58" customWidth="1"/>
    <col min="16161" max="16162" width="11.5703125" style="58" customWidth="1"/>
    <col min="16163" max="16163" width="12.42578125" style="58" customWidth="1"/>
    <col min="16164" max="16164" width="13.5703125" style="58" customWidth="1"/>
    <col min="16165" max="16165" width="13.140625" style="58" bestFit="1" customWidth="1"/>
    <col min="16166" max="16166" width="18.85546875" style="58" customWidth="1"/>
    <col min="16167" max="16168" width="14.140625" style="58" customWidth="1"/>
    <col min="16169" max="16169" width="13.85546875" style="58" customWidth="1"/>
    <col min="16170" max="16170" width="14.140625" style="58" customWidth="1"/>
    <col min="16171" max="16171" width="13.7109375" style="58" customWidth="1"/>
    <col min="16172" max="16172" width="17.140625" style="58" customWidth="1"/>
    <col min="16173" max="16173" width="15.42578125" style="58" customWidth="1"/>
    <col min="16174" max="16174" width="18" style="58" customWidth="1"/>
    <col min="16175" max="16175" width="13.7109375" style="58" bestFit="1" customWidth="1"/>
    <col min="16176" max="16176" width="14.140625" style="58" bestFit="1" customWidth="1"/>
    <col min="16177" max="16177" width="14" style="58" bestFit="1" customWidth="1"/>
    <col min="16178" max="16178" width="14.85546875" style="58" bestFit="1" customWidth="1"/>
    <col min="16179" max="16179" width="15.7109375" style="58" customWidth="1"/>
    <col min="16180" max="16180" width="5.85546875" style="58" customWidth="1"/>
    <col min="16181" max="16181" width="9.28515625" style="58" customWidth="1"/>
    <col min="16182" max="16182" width="14.85546875" style="58" customWidth="1"/>
    <col min="16183" max="16183" width="12.85546875" style="58" bestFit="1" customWidth="1"/>
    <col min="16184" max="16184" width="12.85546875" style="58" customWidth="1"/>
    <col min="16185" max="16202" width="8.85546875" style="58" customWidth="1"/>
    <col min="16203" max="16203" width="30.28515625" style="58" bestFit="1" customWidth="1"/>
    <col min="16204" max="16204" width="20.7109375" style="58" customWidth="1"/>
    <col min="16205" max="16205" width="13.42578125" style="58" customWidth="1"/>
    <col min="16206" max="16206" width="8.85546875" style="58" customWidth="1"/>
    <col min="16207" max="16207" width="11.7109375" style="58" bestFit="1" customWidth="1"/>
    <col min="16208" max="16375" width="8.85546875" style="58" customWidth="1"/>
    <col min="16376" max="16376" width="29.7109375" style="58" customWidth="1"/>
    <col min="16377" max="16379" width="14.28515625" style="58" customWidth="1"/>
    <col min="16380" max="16380" width="2.7109375" style="58" customWidth="1"/>
    <col min="16381" max="16384" width="14.28515625" style="58"/>
  </cols>
  <sheetData>
    <row r="1" spans="1:66" x14ac:dyDescent="0.25">
      <c r="H1" s="261"/>
      <c r="N1" s="59">
        <v>2</v>
      </c>
      <c r="AF1" s="261"/>
      <c r="AR1" s="145"/>
      <c r="AS1" s="61"/>
      <c r="AT1" s="63"/>
      <c r="AU1" s="63"/>
      <c r="AV1" s="61"/>
      <c r="AW1" s="61"/>
    </row>
    <row r="2" spans="1:66" x14ac:dyDescent="0.25">
      <c r="C2" s="64"/>
      <c r="D2" s="64"/>
      <c r="E2" s="65"/>
      <c r="F2" s="64"/>
      <c r="H2" s="261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261"/>
      <c r="AR2" s="145"/>
      <c r="AS2" s="61"/>
      <c r="AT2" s="61"/>
      <c r="AU2" s="61"/>
      <c r="AV2" s="61"/>
      <c r="AW2" s="61"/>
      <c r="BF2" s="246"/>
      <c r="BG2" s="246"/>
      <c r="BH2" s="246"/>
      <c r="BI2" s="246"/>
      <c r="BJ2" s="246"/>
      <c r="BK2" s="246"/>
      <c r="BL2" s="246"/>
    </row>
    <row r="3" spans="1:66" s="66" customFormat="1" ht="12.75" x14ac:dyDescent="0.2">
      <c r="B3" s="223"/>
      <c r="C3" s="67"/>
      <c r="D3" s="67"/>
      <c r="E3" s="68"/>
      <c r="F3" s="277"/>
      <c r="H3" s="69" t="str">
        <f>S3</f>
        <v>Customers</v>
      </c>
      <c r="I3" s="69" t="str">
        <f>H3</f>
        <v>Customers</v>
      </c>
      <c r="J3" s="69" t="str">
        <f>I3</f>
        <v>Customers</v>
      </c>
      <c r="K3" s="69" t="str">
        <f>J3</f>
        <v>Customers</v>
      </c>
      <c r="L3" s="69" t="str">
        <f>K3</f>
        <v>Customers</v>
      </c>
      <c r="M3" s="69" t="str">
        <f>L3</f>
        <v>Customers</v>
      </c>
      <c r="N3" s="69" t="s">
        <v>157</v>
      </c>
      <c r="O3" s="69" t="str">
        <f>N3</f>
        <v>Customers</v>
      </c>
      <c r="P3" s="69" t="str">
        <f>O3</f>
        <v>Customers</v>
      </c>
      <c r="Q3" s="69" t="str">
        <f>P3</f>
        <v>Customers</v>
      </c>
      <c r="R3" s="69" t="str">
        <f>Q3</f>
        <v>Customers</v>
      </c>
      <c r="S3" s="69" t="str">
        <f>R3</f>
        <v>Customers</v>
      </c>
      <c r="T3" s="69" t="s">
        <v>1021</v>
      </c>
      <c r="U3" s="69" t="s">
        <v>1021</v>
      </c>
      <c r="V3" s="69" t="s">
        <v>1021</v>
      </c>
      <c r="W3" s="69" t="s">
        <v>1021</v>
      </c>
      <c r="X3" s="69" t="s">
        <v>1021</v>
      </c>
      <c r="Y3" s="69" t="s">
        <v>1021</v>
      </c>
      <c r="Z3" s="69" t="s">
        <v>1021</v>
      </c>
      <c r="AA3" s="69" t="s">
        <v>1021</v>
      </c>
      <c r="AB3" s="69" t="s">
        <v>1021</v>
      </c>
      <c r="AC3" s="69" t="s">
        <v>1021</v>
      </c>
      <c r="AD3" s="69" t="s">
        <v>1021</v>
      </c>
      <c r="AE3" s="69" t="s">
        <v>1021</v>
      </c>
      <c r="AF3" s="70" t="s">
        <v>82</v>
      </c>
      <c r="AG3" s="70" t="s">
        <v>82</v>
      </c>
      <c r="AH3" s="70" t="s">
        <v>82</v>
      </c>
      <c r="AI3" s="70" t="s">
        <v>82</v>
      </c>
      <c r="AJ3" s="70" t="s">
        <v>82</v>
      </c>
      <c r="AK3" s="70" t="s">
        <v>82</v>
      </c>
      <c r="AL3" s="265" t="s">
        <v>82</v>
      </c>
      <c r="AM3" s="265" t="s">
        <v>82</v>
      </c>
      <c r="AN3" s="265" t="s">
        <v>82</v>
      </c>
      <c r="AO3" s="265" t="s">
        <v>82</v>
      </c>
      <c r="AP3" s="265" t="s">
        <v>82</v>
      </c>
      <c r="AQ3" s="265" t="s">
        <v>82</v>
      </c>
      <c r="AR3" s="71" t="s">
        <v>83</v>
      </c>
      <c r="AS3" s="71" t="s">
        <v>83</v>
      </c>
      <c r="AT3" s="71" t="s">
        <v>83</v>
      </c>
      <c r="AU3" s="71" t="s">
        <v>83</v>
      </c>
      <c r="AV3" s="71" t="s">
        <v>83</v>
      </c>
      <c r="AW3" s="71" t="s">
        <v>83</v>
      </c>
      <c r="AX3" s="71" t="s">
        <v>83</v>
      </c>
      <c r="AY3" s="71" t="s">
        <v>83</v>
      </c>
      <c r="AZ3" s="71" t="s">
        <v>83</v>
      </c>
      <c r="BA3" s="71" t="s">
        <v>83</v>
      </c>
      <c r="BB3" s="71" t="s">
        <v>83</v>
      </c>
      <c r="BC3" s="71" t="s">
        <v>83</v>
      </c>
      <c r="BF3" s="247" t="s">
        <v>83</v>
      </c>
      <c r="BG3" s="247" t="s">
        <v>83</v>
      </c>
      <c r="BH3" s="247" t="s">
        <v>83</v>
      </c>
      <c r="BI3" s="247" t="s">
        <v>83</v>
      </c>
      <c r="BJ3" s="247" t="s">
        <v>83</v>
      </c>
      <c r="BK3" s="247" t="s">
        <v>83</v>
      </c>
      <c r="BL3" s="247" t="s">
        <v>83</v>
      </c>
    </row>
    <row r="4" spans="1:66" x14ac:dyDescent="0.25">
      <c r="C4" s="929" t="s">
        <v>1065</v>
      </c>
      <c r="D4" s="929"/>
      <c r="E4" s="930"/>
      <c r="F4" s="930"/>
      <c r="H4" s="72">
        <v>43891</v>
      </c>
      <c r="I4" s="72">
        <f>EDATE(H4,1)</f>
        <v>43922</v>
      </c>
      <c r="J4" s="72">
        <f t="shared" ref="J4:S4" si="0">EDATE(I4,1)</f>
        <v>43952</v>
      </c>
      <c r="K4" s="72">
        <f t="shared" si="0"/>
        <v>43983</v>
      </c>
      <c r="L4" s="72">
        <f t="shared" si="0"/>
        <v>44013</v>
      </c>
      <c r="M4" s="72">
        <f t="shared" si="0"/>
        <v>44044</v>
      </c>
      <c r="N4" s="72">
        <f t="shared" si="0"/>
        <v>44075</v>
      </c>
      <c r="O4" s="72">
        <f t="shared" si="0"/>
        <v>44105</v>
      </c>
      <c r="P4" s="72">
        <f t="shared" si="0"/>
        <v>44136</v>
      </c>
      <c r="Q4" s="72">
        <f t="shared" si="0"/>
        <v>44166</v>
      </c>
      <c r="R4" s="72">
        <f t="shared" si="0"/>
        <v>44197</v>
      </c>
      <c r="S4" s="72">
        <f t="shared" si="0"/>
        <v>44228</v>
      </c>
      <c r="T4" s="72">
        <v>43891</v>
      </c>
      <c r="U4" s="72">
        <f>EDATE(H4,1)</f>
        <v>43922</v>
      </c>
      <c r="V4" s="72">
        <f t="shared" ref="V4:AE4" si="1">EDATE(I4,1)</f>
        <v>43952</v>
      </c>
      <c r="W4" s="72">
        <f t="shared" si="1"/>
        <v>43983</v>
      </c>
      <c r="X4" s="72">
        <f t="shared" si="1"/>
        <v>44013</v>
      </c>
      <c r="Y4" s="72">
        <f t="shared" si="1"/>
        <v>44044</v>
      </c>
      <c r="Z4" s="72">
        <f t="shared" si="1"/>
        <v>44075</v>
      </c>
      <c r="AA4" s="72">
        <f t="shared" si="1"/>
        <v>44105</v>
      </c>
      <c r="AB4" s="72">
        <f t="shared" si="1"/>
        <v>44136</v>
      </c>
      <c r="AC4" s="72">
        <f t="shared" si="1"/>
        <v>44166</v>
      </c>
      <c r="AD4" s="72">
        <f t="shared" si="1"/>
        <v>44197</v>
      </c>
      <c r="AE4" s="72">
        <f t="shared" si="1"/>
        <v>44228</v>
      </c>
      <c r="AF4" s="73">
        <v>43891</v>
      </c>
      <c r="AG4" s="73">
        <f>EDATE(AF4,1)</f>
        <v>43922</v>
      </c>
      <c r="AH4" s="73">
        <f t="shared" ref="AH4:AQ4" si="2">EDATE(AG4,1)</f>
        <v>43952</v>
      </c>
      <c r="AI4" s="73">
        <f t="shared" si="2"/>
        <v>43983</v>
      </c>
      <c r="AJ4" s="73">
        <f t="shared" si="2"/>
        <v>44013</v>
      </c>
      <c r="AK4" s="73">
        <f t="shared" si="2"/>
        <v>44044</v>
      </c>
      <c r="AL4" s="73">
        <f t="shared" si="2"/>
        <v>44075</v>
      </c>
      <c r="AM4" s="73">
        <f t="shared" si="2"/>
        <v>44105</v>
      </c>
      <c r="AN4" s="73">
        <f t="shared" si="2"/>
        <v>44136</v>
      </c>
      <c r="AO4" s="73">
        <f t="shared" si="2"/>
        <v>44166</v>
      </c>
      <c r="AP4" s="73">
        <f t="shared" si="2"/>
        <v>44197</v>
      </c>
      <c r="AQ4" s="73">
        <f t="shared" si="2"/>
        <v>44228</v>
      </c>
      <c r="AR4" s="72">
        <v>43891</v>
      </c>
      <c r="AS4" s="72">
        <f>EDATE(AR4,1)</f>
        <v>43922</v>
      </c>
      <c r="AT4" s="72">
        <f t="shared" ref="AT4:BC4" si="3">EDATE(AS4,1)</f>
        <v>43952</v>
      </c>
      <c r="AU4" s="72">
        <f t="shared" si="3"/>
        <v>43983</v>
      </c>
      <c r="AV4" s="72">
        <f t="shared" si="3"/>
        <v>44013</v>
      </c>
      <c r="AW4" s="72">
        <f t="shared" si="3"/>
        <v>44044</v>
      </c>
      <c r="AX4" s="72">
        <f t="shared" si="3"/>
        <v>44075</v>
      </c>
      <c r="AY4" s="72">
        <f t="shared" si="3"/>
        <v>44105</v>
      </c>
      <c r="AZ4" s="72">
        <f t="shared" si="3"/>
        <v>44136</v>
      </c>
      <c r="BA4" s="72">
        <f t="shared" si="3"/>
        <v>44166</v>
      </c>
      <c r="BB4" s="72">
        <f t="shared" si="3"/>
        <v>44197</v>
      </c>
      <c r="BC4" s="72">
        <f t="shared" si="3"/>
        <v>44228</v>
      </c>
      <c r="BF4" s="248">
        <f>AR4</f>
        <v>43891</v>
      </c>
      <c r="BG4" s="248">
        <f>AS4</f>
        <v>43922</v>
      </c>
      <c r="BH4" s="248">
        <f>AT4</f>
        <v>43952</v>
      </c>
      <c r="BI4" s="248">
        <f>AU4</f>
        <v>43983</v>
      </c>
      <c r="BJ4" s="248">
        <v>44013</v>
      </c>
      <c r="BK4" s="248">
        <v>44044</v>
      </c>
      <c r="BL4" s="249" t="s">
        <v>391</v>
      </c>
    </row>
    <row r="5" spans="1:66" ht="13.15" customHeight="1" x14ac:dyDescent="0.25">
      <c r="C5" s="266" t="s">
        <v>224</v>
      </c>
      <c r="D5" s="861" t="s">
        <v>1020</v>
      </c>
      <c r="E5" s="269" t="s">
        <v>225</v>
      </c>
      <c r="F5" s="266" t="s">
        <v>83</v>
      </c>
      <c r="G5" s="46"/>
      <c r="H5" s="77"/>
      <c r="I5" s="77"/>
      <c r="J5" s="77"/>
      <c r="K5" s="78"/>
      <c r="L5" s="78"/>
      <c r="M5" s="78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79"/>
      <c r="AG5" s="79"/>
      <c r="AH5" s="79"/>
      <c r="AI5" s="79"/>
      <c r="AJ5" s="79"/>
      <c r="AK5" s="79"/>
      <c r="AL5" s="114"/>
      <c r="AM5" s="114"/>
      <c r="AN5" s="114"/>
      <c r="AO5" s="114"/>
      <c r="AP5" s="114"/>
      <c r="AQ5" s="114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F5" s="250">
        <f>AR42</f>
        <v>-935.66</v>
      </c>
      <c r="BG5" s="250">
        <f t="shared" ref="BG5:BK5" si="4">AS42</f>
        <v>6960.4</v>
      </c>
      <c r="BH5" s="250">
        <f t="shared" si="4"/>
        <v>8509.07</v>
      </c>
      <c r="BI5" s="250">
        <f t="shared" si="4"/>
        <v>-30.56</v>
      </c>
      <c r="BJ5" s="250">
        <f t="shared" si="4"/>
        <v>386.56</v>
      </c>
      <c r="BK5" s="250">
        <f t="shared" si="4"/>
        <v>373.73</v>
      </c>
      <c r="BL5" s="250">
        <f>SUM(BF5:BK5)</f>
        <v>15263.539999999999</v>
      </c>
    </row>
    <row r="6" spans="1:66" x14ac:dyDescent="0.25">
      <c r="B6" s="81" t="s">
        <v>226</v>
      </c>
      <c r="C6" s="82"/>
      <c r="D6" s="82"/>
      <c r="E6" s="83"/>
      <c r="F6" s="82"/>
      <c r="G6" s="46"/>
      <c r="H6" s="84"/>
      <c r="I6" s="84"/>
      <c r="J6" s="84"/>
      <c r="K6" s="85"/>
      <c r="L6" s="85"/>
      <c r="M6" s="85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86"/>
      <c r="AG6" s="86"/>
      <c r="AH6" s="86"/>
      <c r="AI6" s="86"/>
      <c r="AJ6" s="86"/>
      <c r="AK6" s="86"/>
      <c r="AL6" s="114"/>
      <c r="AM6" s="114"/>
      <c r="AN6" s="114"/>
      <c r="AO6" s="114"/>
      <c r="AP6" s="114"/>
      <c r="AQ6" s="114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E6" s="87"/>
    </row>
    <row r="7" spans="1:66" x14ac:dyDescent="0.25">
      <c r="A7" s="141" t="s">
        <v>26</v>
      </c>
      <c r="B7" s="50" t="s">
        <v>27</v>
      </c>
      <c r="C7" s="112">
        <f>SUM(H7:S7)</f>
        <v>3619848</v>
      </c>
      <c r="D7" s="112">
        <f>SUM(T7:AE7)</f>
        <v>109296514.99999997</v>
      </c>
      <c r="E7" s="123">
        <f>SUM(AF7:AQ7)</f>
        <v>20843319.078806616</v>
      </c>
      <c r="F7" s="112">
        <f>SUM(AR7:BC7)+BL7</f>
        <v>233418749.25999999</v>
      </c>
      <c r="G7" s="46"/>
      <c r="H7" s="89">
        <f>SUMIFS('Mar20-Aug20 Billed-RETAIL'!$H$7:$H$155,'Mar20-Aug20 Billed-RETAIL'!$C$7:$C$155,H$4,'Mar20-Aug20 Billed-RETAIL'!$E$7:$E$155,$A7)+SUMIFS('Mar20-Aug20 Billed-RETAIL'!$I$7:$I$155,'Mar20-Aug20 Billed-RETAIL'!$C$7:$C$155,H$4,'Mar20-Aug20 Billed-RETAIL'!$E$7:$E$155,$A7)</f>
        <v>301473</v>
      </c>
      <c r="I7" s="89">
        <f>SUMIFS('Mar20-Aug20 Billed-RETAIL'!$H$7:$H$155,'Mar20-Aug20 Billed-RETAIL'!$C$7:$C$155,I$4,'Mar20-Aug20 Billed-RETAIL'!$E$7:$E$155,$A7)+SUMIFS('Mar20-Aug20 Billed-RETAIL'!$I$7:$I$155,'Mar20-Aug20 Billed-RETAIL'!$C$7:$C$155,I$4,'Mar20-Aug20 Billed-RETAIL'!$E$7:$E$155,$A7)</f>
        <v>302662</v>
      </c>
      <c r="J7" s="89">
        <f>SUMIFS('Mar20-Aug20 Billed-RETAIL'!$H$7:$H$155,'Mar20-Aug20 Billed-RETAIL'!$C$7:$C$155,J$4,'Mar20-Aug20 Billed-RETAIL'!$E$7:$E$155,$A7)+SUMIFS('Mar20-Aug20 Billed-RETAIL'!$I$7:$I$155,'Mar20-Aug20 Billed-RETAIL'!$C$7:$C$155,J$4,'Mar20-Aug20 Billed-RETAIL'!$E$7:$E$155,$A7)</f>
        <v>302736</v>
      </c>
      <c r="K7" s="89">
        <f>SUMIFS('Mar20-Aug20 Billed-RETAIL'!$H$7:$H$155,'Mar20-Aug20 Billed-RETAIL'!$C$7:$C$155,K$4,'Mar20-Aug20 Billed-RETAIL'!$E$7:$E$155,$A7)+SUMIFS('Mar20-Aug20 Billed-RETAIL'!$I$7:$I$155,'Mar20-Aug20 Billed-RETAIL'!$C$7:$C$155,K$4,'Mar20-Aug20 Billed-RETAIL'!$E$7:$E$155,$A7)</f>
        <v>303111</v>
      </c>
      <c r="L7" s="89">
        <f>SUMIFS('Mar20-Aug20 Billed-RETAIL'!$H$7:$H$155,'Mar20-Aug20 Billed-RETAIL'!$C$7:$C$155,L$4,'Mar20-Aug20 Billed-RETAIL'!$E$7:$E$155,$A7)+SUMIFS('Mar20-Aug20 Billed-RETAIL'!$I$7:$I$155,'Mar20-Aug20 Billed-RETAIL'!$C$7:$C$155,L$4,'Mar20-Aug20 Billed-RETAIL'!$E$7:$E$155,$A7)</f>
        <v>302550</v>
      </c>
      <c r="M7" s="89">
        <f>SUMIFS('Mar20-Aug20 Billed-RETAIL'!$H$7:$H$155,'Mar20-Aug20 Billed-RETAIL'!$C$7:$C$155,M$4,'Mar20-Aug20 Billed-RETAIL'!$E$7:$E$155,$A7)+SUMIFS('Mar20-Aug20 Billed-RETAIL'!$I$7:$I$155,'Mar20-Aug20 Billed-RETAIL'!$C$7:$C$155,M$4,'Mar20-Aug20 Billed-RETAIL'!$E$7:$E$155,$A7)</f>
        <v>302484</v>
      </c>
      <c r="N7" s="89">
        <f>SUMIFS('Mar20-Aug20 Billed-RETAIL'!$H$7:$H$155,'Mar20-Aug20 Billed-RETAIL'!$C$7:$C$155,N$4,'Mar20-Aug20 Billed-RETAIL'!$E$7:$E$155,$A$7)</f>
        <v>299489</v>
      </c>
      <c r="O7" s="89">
        <f>SUMIFS('Mar20-Aug20 Billed-RETAIL'!$H$7:$H$155,'Mar20-Aug20 Billed-RETAIL'!$C$7:$C$155,O$4,'Mar20-Aug20 Billed-RETAIL'!$E$7:$E$155,$A$7)</f>
        <v>299810</v>
      </c>
      <c r="P7" s="89">
        <f>SUMIFS('Mar20-Aug20 Billed-RETAIL'!$H$7:$H$155,'Mar20-Aug20 Billed-RETAIL'!$C$7:$C$155,P$4,'Mar20-Aug20 Billed-RETAIL'!$E$7:$E$155,$A$7)</f>
        <v>300127</v>
      </c>
      <c r="Q7" s="89">
        <f>SUMIFS('Mar20-Aug20 Billed-RETAIL'!$H$7:$H$155,'Mar20-Aug20 Billed-RETAIL'!$C$7:$C$155,Q$4,'Mar20-Aug20 Billed-RETAIL'!$E$7:$E$155,$A$7)</f>
        <v>301386</v>
      </c>
      <c r="R7" s="89">
        <f>SUMIFS('Mar20-Aug20 Billed-RETAIL'!$H$7:$H$155,'Mar20-Aug20 Billed-RETAIL'!$C$7:$C$155,R$4,'Mar20-Aug20 Billed-RETAIL'!$E$7:$E$155,$A$7)</f>
        <v>301961</v>
      </c>
      <c r="S7" s="89">
        <f>SUMIFS('Mar20-Aug20 Billed-RETAIL'!$H$7:$H$155,'Mar20-Aug20 Billed-RETAIL'!$C$7:$C$155,S$4,'Mar20-Aug20 Billed-RETAIL'!$E$7:$E$155,$A$7)</f>
        <v>302059</v>
      </c>
      <c r="T7" s="89">
        <f>SUMIFS('Mar20-Aug20 Billed-RETAIL'!P7:P155,'Mar20-Aug20 Billed-RETAIL'!E7:E155,SBR!A7,'Mar20-Aug20 Billed-RETAIL'!C7:C155,SBR!T4)</f>
        <v>8781551</v>
      </c>
      <c r="U7" s="89">
        <f>SUMIFS('Mar20-Aug20 Billed-RETAIL'!P7:P155,'Mar20-Aug20 Billed-RETAIL'!E7:E155,SBR!A7,'Mar20-Aug20 Billed-RETAIL'!C7:C155,SBR!U4)</f>
        <v>9287521</v>
      </c>
      <c r="V7" s="89">
        <f>SUMIFS('Mar20-Aug20 Billed-RETAIL'!P7:P155,'Mar20-Aug20 Billed-RETAIL'!E7:E155,SBR!A7,'Mar20-Aug20 Billed-RETAIL'!C7:C155,SBR!V4)</f>
        <v>8984276</v>
      </c>
      <c r="W7" s="89">
        <f>SUMIFS('Mar20-Aug20 Billed-RETAIL'!P7:P155,'Mar20-Aug20 Billed-RETAIL'!E7:E155,SBR!A7,'Mar20-Aug20 Billed-RETAIL'!C7:C155,SBR!W4)</f>
        <v>9407481</v>
      </c>
      <c r="X7" s="89">
        <f>SUMIFS('Mar20-Aug20 Billed-RETAIL'!P7:P155,'Mar20-Aug20 Billed-RETAIL'!E7:E155,SBR!A7,'Mar20-Aug20 Billed-RETAIL'!C7:C155,SBR!X4)</f>
        <v>9371002</v>
      </c>
      <c r="Y7" s="89">
        <f>SUMIFS('Mar20-Aug20 Billed-RETAIL'!P7:P155,'Mar20-Aug20 Billed-RETAIL'!E7:E155,SBR!A7,'Mar20-Aug20 Billed-RETAIL'!C7:C155,SBR!Y4)</f>
        <v>9020685</v>
      </c>
      <c r="Z7" s="89">
        <f>SUMIFS('Mar20-Aug20 Billed-RETAIL'!P7:P155,'Mar20-Aug20 Billed-RETAIL'!E7:E155,SBR!A7,'Mar20-Aug20 Billed-RETAIL'!C7:C155,SBR!Z4)</f>
        <v>8984670</v>
      </c>
      <c r="AA7" s="89">
        <f>SUMIFS('Mar20-Aug20 Billed-RETAIL'!P7:P155,'Mar20-Aug20 Billed-RETAIL'!E7:E155,SBR!A7,'Mar20-Aug20 Billed-RETAIL'!C7:C155,SBR!AA4)</f>
        <v>9294110</v>
      </c>
      <c r="AB7" s="89">
        <f>SUMIFS('Mar20-Aug20 Billed-RETAIL'!P7:P155,'Mar20-Aug20 Billed-RETAIL'!E7:E155,SBR!A7,'Mar20-Aug20 Billed-RETAIL'!C7:C155,SBR!AB4)</f>
        <v>9003810</v>
      </c>
      <c r="AC7" s="89">
        <f>SUMIFS('Mar20-Aug20 Billed-RETAIL'!P7:P155,'Mar20-Aug20 Billed-RETAIL'!E7:E155,SBR!A7,'Mar20-Aug20 Billed-RETAIL'!C7:C155,SBR!AC4)</f>
        <v>9342965.9999999851</v>
      </c>
      <c r="AD7" s="89">
        <f>SUMIFS('Mar20-Aug20 Billed-RETAIL'!P7:P155,'Mar20-Aug20 Billed-RETAIL'!E7:E155,SBR!A7,'Mar20-Aug20 Billed-RETAIL'!C7:C155,SBR!AD4)</f>
        <v>9360790.9999999851</v>
      </c>
      <c r="AE7" s="89">
        <f>SUMIFS('Mar20-Aug20 Billed-RETAIL'!P7:P155,'Mar20-Aug20 Billed-RETAIL'!E7:E155,SBR!A7,'Mar20-Aug20 Billed-RETAIL'!C7:C155,SBR!AE4)</f>
        <v>8457652</v>
      </c>
      <c r="AF7" s="90">
        <f>(SUMIFS('Mar20-Aug20 Billed-RETAIL'!$J$5:$J$230,'Mar20-Aug20 Billed-RETAIL'!$C$5:$C$230,SBR!AF$4,'Mar20-Aug20 Billed-RETAIL'!$E$5:$E$230,SBR!$A7)+SUMIFS('Mar20-Aug20 Billed-RETAIL'!$K$5:$K$230,'Mar20-Aug20 Billed-RETAIL'!$C$5:$C$230,SBR!AF$4,'Mar20-Aug20 Billed-RETAIL'!$E$5:$E$230,SBR!$A7))*0.1</f>
        <v>2658992.1</v>
      </c>
      <c r="AG7" s="90">
        <f>(SUMIFS('Mar20-Aug20 Billed-RETAIL'!$J$5:$J$230,'Mar20-Aug20 Billed-RETAIL'!$C$5:$C$230,SBR!AG$4,'Mar20-Aug20 Billed-RETAIL'!$E$5:$E$230,SBR!$A7)+SUMIFS('Mar20-Aug20 Billed-RETAIL'!$K$5:$K$230,'Mar20-Aug20 Billed-RETAIL'!$C$5:$C$230,SBR!AG$4,'Mar20-Aug20 Billed-RETAIL'!$E$5:$E$230,SBR!$A7))*0.1</f>
        <v>1493767.6</v>
      </c>
      <c r="AH7" s="90">
        <f>(SUMIFS('Mar20-Aug20 Billed-RETAIL'!$J$5:$J$230,'Mar20-Aug20 Billed-RETAIL'!$C$5:$C$230,SBR!AH$4,'Mar20-Aug20 Billed-RETAIL'!$E$5:$E$230,SBR!$A7)+SUMIFS('Mar20-Aug20 Billed-RETAIL'!$K$5:$K$230,'Mar20-Aug20 Billed-RETAIL'!$C$5:$C$230,SBR!AH$4,'Mar20-Aug20 Billed-RETAIL'!$E$5:$E$230,SBR!$A7))*0.1</f>
        <v>1092621.4000000001</v>
      </c>
      <c r="AI7" s="90">
        <f>(SUMIFS('Mar20-Aug20 Billed-RETAIL'!$J$5:$J$230,'Mar20-Aug20 Billed-RETAIL'!$C$5:$C$230,SBR!AI$4,'Mar20-Aug20 Billed-RETAIL'!$E$5:$E$230,SBR!$A7)+SUMIFS('Mar20-Aug20 Billed-RETAIL'!$K$5:$K$230,'Mar20-Aug20 Billed-RETAIL'!$C$5:$C$230,SBR!AI$4,'Mar20-Aug20 Billed-RETAIL'!$E$5:$E$230,SBR!$A7))*0.1</f>
        <v>537055.1</v>
      </c>
      <c r="AJ7" s="90">
        <f>(SUMIFS('Mar20-Aug20 Billed-RETAIL'!$J$5:$J$230,'Mar20-Aug20 Billed-RETAIL'!$C$5:$C$230,SBR!AJ$4,'Mar20-Aug20 Billed-RETAIL'!$E$5:$E$230,SBR!$A7)+SUMIFS('Mar20-Aug20 Billed-RETAIL'!$K$5:$K$230,'Mar20-Aug20 Billed-RETAIL'!$C$5:$C$230,SBR!AJ$4,'Mar20-Aug20 Billed-RETAIL'!$E$5:$E$230,SBR!$A7))*0.1</f>
        <v>361200</v>
      </c>
      <c r="AK7" s="90">
        <f>(SUMIFS('Mar20-Aug20 Billed-RETAIL'!$J$5:$J$230,'Mar20-Aug20 Billed-RETAIL'!$C$5:$C$230,SBR!AK$4,'Mar20-Aug20 Billed-RETAIL'!$E$5:$E$230,SBR!$A7)+SUMIFS('Mar20-Aug20 Billed-RETAIL'!$K$5:$K$230,'Mar20-Aug20 Billed-RETAIL'!$C$5:$C$230,SBR!AK$4,'Mar20-Aug20 Billed-RETAIL'!$E$5:$E$230,SBR!$A7))*0.1</f>
        <v>323078</v>
      </c>
      <c r="AL7" s="90">
        <f>(SUMIFS('Mar20-Aug20 Billed-RETAIL'!$J$5:$J$230,'Mar20-Aug20 Billed-RETAIL'!$C$5:$C$230,SBR!AL$4,'Mar20-Aug20 Billed-RETAIL'!$E$5:$E$230,SBR!$A7)+SUMIFS('Mar20-Aug20 Billed-RETAIL'!$K$5:$K$230,'Mar20-Aug20 Billed-RETAIL'!$C$5:$C$230,SBR!AL$4,'Mar20-Aug20 Billed-RETAIL'!$E$5:$E$230,SBR!$A7))*0.1</f>
        <v>415684.77807482198</v>
      </c>
      <c r="AM7" s="90">
        <f>(SUMIFS('Mar20-Aug20 Billed-RETAIL'!$J$5:$J$230,'Mar20-Aug20 Billed-RETAIL'!$C$5:$C$230,SBR!AM$4,'Mar20-Aug20 Billed-RETAIL'!$E$5:$E$230,SBR!$A7)+SUMIFS('Mar20-Aug20 Billed-RETAIL'!$K$5:$K$230,'Mar20-Aug20 Billed-RETAIL'!$C$5:$C$230,SBR!AM$4,'Mar20-Aug20 Billed-RETAIL'!$E$5:$E$230,SBR!$A7))*0.1</f>
        <v>874443.5065756042</v>
      </c>
      <c r="AN7" s="90">
        <f>(SUMIFS('Mar20-Aug20 Billed-RETAIL'!$J$5:$J$230,'Mar20-Aug20 Billed-RETAIL'!$C$5:$C$230,SBR!AN$4,'Mar20-Aug20 Billed-RETAIL'!$E$5:$E$230,SBR!$A7)+SUMIFS('Mar20-Aug20 Billed-RETAIL'!$K$5:$K$230,'Mar20-Aug20 Billed-RETAIL'!$C$5:$C$230,SBR!AN$4,'Mar20-Aug20 Billed-RETAIL'!$E$5:$E$230,SBR!$A7))*0.1</f>
        <v>2366748.9171698298</v>
      </c>
      <c r="AO7" s="90">
        <f>(SUMIFS('Mar20-Aug20 Billed-RETAIL'!$J$5:$J$230,'Mar20-Aug20 Billed-RETAIL'!$C$5:$C$230,SBR!AO$4,'Mar20-Aug20 Billed-RETAIL'!$E$5:$E$230,SBR!$A7)+SUMIFS('Mar20-Aug20 Billed-RETAIL'!$K$5:$K$230,'Mar20-Aug20 Billed-RETAIL'!$C$5:$C$230,SBR!AO$4,'Mar20-Aug20 Billed-RETAIL'!$E$5:$E$230,SBR!$A7))*0.1</f>
        <v>3307624.7132563102</v>
      </c>
      <c r="AP7" s="90">
        <f>(SUMIFS('Mar20-Aug20 Billed-RETAIL'!$J$5:$J$230,'Mar20-Aug20 Billed-RETAIL'!$C$5:$C$230,SBR!AP$4,'Mar20-Aug20 Billed-RETAIL'!$E$5:$E$230,SBR!$A7)+SUMIFS('Mar20-Aug20 Billed-RETAIL'!$K$5:$K$230,'Mar20-Aug20 Billed-RETAIL'!$C$5:$C$230,SBR!AP$4,'Mar20-Aug20 Billed-RETAIL'!$E$5:$E$230,SBR!$A7))*0.1</f>
        <v>4167254.7721179496</v>
      </c>
      <c r="AQ7" s="90">
        <f>(SUMIFS('Mar20-Aug20 Billed-RETAIL'!$J$5:$J$230,'Mar20-Aug20 Billed-RETAIL'!$C$5:$C$230,SBR!AQ$4,'Mar20-Aug20 Billed-RETAIL'!$E$5:$E$230,SBR!$A7)+SUMIFS('Mar20-Aug20 Billed-RETAIL'!$K$5:$K$230,'Mar20-Aug20 Billed-RETAIL'!$C$5:$C$230,SBR!AQ$4,'Mar20-Aug20 Billed-RETAIL'!$E$5:$E$230,SBR!$A7))*0.1</f>
        <v>3244848.1916121002</v>
      </c>
      <c r="AR7" s="91">
        <f>SUMIFS('Mar20-Aug20 Billed-RETAIL'!$BA$5:$BA$156,'Mar20-Aug20 Billed-RETAIL'!$C$5:$C$156,SBR!AR$4,'Mar20-Aug20 Billed-RETAIL'!$E$5:$E$156,SBR!$A7)</f>
        <v>25299167.100000001</v>
      </c>
      <c r="AS7" s="91">
        <f>SUMIFS('Mar20-Aug20 Billed-RETAIL'!$BA$5:$BA$156,'Mar20-Aug20 Billed-RETAIL'!$C$5:$C$156,SBR!AS$4,'Mar20-Aug20 Billed-RETAIL'!$E$5:$E$156,SBR!$A7)</f>
        <v>17734978.699999999</v>
      </c>
      <c r="AT7" s="91">
        <f>SUMIFS('Mar20-Aug20 Billed-RETAIL'!$BA$5:$BA$156,'Mar20-Aug20 Billed-RETAIL'!$C$5:$C$156,SBR!AT$4,'Mar20-Aug20 Billed-RETAIL'!$E$5:$E$156,SBR!$A7)</f>
        <v>13724484.99</v>
      </c>
      <c r="AU7" s="91">
        <f>SUMIFS('Mar20-Aug20 Billed-RETAIL'!$BA$5:$BA$156,'Mar20-Aug20 Billed-RETAIL'!$C$5:$C$156,SBR!AU$4,'Mar20-Aug20 Billed-RETAIL'!$E$5:$E$156,SBR!$A7)</f>
        <v>10133094.07</v>
      </c>
      <c r="AV7" s="91">
        <f>SUMIFS('Mar20-Aug20 Billed-RETAIL'!$BA$5:$BA$156,'Mar20-Aug20 Billed-RETAIL'!$C$5:$C$156,SBR!AV$4,'Mar20-Aug20 Billed-RETAIL'!$E$5:$E$156,SBR!$A7)</f>
        <v>8982080.3599999994</v>
      </c>
      <c r="AW7" s="91">
        <f>SUMIFS('Mar20-Aug20 Billed-RETAIL'!$BA$5:$BA$156,'Mar20-Aug20 Billed-RETAIL'!$C$5:$C$156,SBR!AW$4,'Mar20-Aug20 Billed-RETAIL'!$E$5:$E$156,SBR!$A7)</f>
        <v>8591072.0399999991</v>
      </c>
      <c r="AX7" s="91">
        <f>SUMIFS('Mar20-Aug20 Billed-RETAIL'!$BA$7:$BA$155,'Mar20-Aug20 Billed-RETAIL'!$E$7:$E$155,$A7,'Mar20-Aug20 Billed-RETAIL'!$C$7:$C$155,AX$4)</f>
        <v>9554126.8599999994</v>
      </c>
      <c r="AY7" s="91">
        <f>SUMIFS('Mar20-Aug20 Billed-RETAIL'!$BA$7:$BA$155,'Mar20-Aug20 Billed-RETAIL'!$E$7:$E$155,$A7,'Mar20-Aug20 Billed-RETAIL'!$C$7:$C$155,AY$4)</f>
        <v>12951464.73</v>
      </c>
      <c r="AZ7" s="91">
        <f>SUMIFS('Mar20-Aug20 Billed-RETAIL'!$BA$7:$BA$155,'Mar20-Aug20 Billed-RETAIL'!$E$7:$E$155,$A7,'Mar20-Aug20 Billed-RETAIL'!$C$7:$C$155,AZ$4)</f>
        <v>23757047.120000001</v>
      </c>
      <c r="BA7" s="91">
        <f>SUMIFS('Mar20-Aug20 Billed-RETAIL'!$BA$7:$BA$155,'Mar20-Aug20 Billed-RETAIL'!$E$7:$E$155,$A7,'Mar20-Aug20 Billed-RETAIL'!$C$7:$C$155,BA$4)</f>
        <v>31853810.649999999</v>
      </c>
      <c r="BB7" s="91">
        <f>SUMIFS('Mar20-Aug20 Billed-RETAIL'!$BA$7:$BA$155,'Mar20-Aug20 Billed-RETAIL'!$E$7:$E$155,$A7,'Mar20-Aug20 Billed-RETAIL'!$C$7:$C$155,BB$4)</f>
        <v>39210138.439999998</v>
      </c>
      <c r="BC7" s="91">
        <f>SUMIFS('Mar20-Aug20 Billed-RETAIL'!$BA$7:$BA$155,'Mar20-Aug20 Billed-RETAIL'!$E$7:$E$155,$A7,'Mar20-Aug20 Billed-RETAIL'!$C$7:$C$155,BC$4)</f>
        <v>31616484.629999999</v>
      </c>
      <c r="BD7" s="92"/>
      <c r="BE7" s="92"/>
      <c r="BF7" s="251">
        <f>ROUND((AR7/SUM(AR$9+AR$17+AR$23+AR26+AR29+AR$39))*BF$5,2)</f>
        <v>-637.27</v>
      </c>
      <c r="BG7" s="251">
        <f t="shared" ref="BG7:BK7" si="5">ROUND((AS7/SUM(AS$9+AS$17+AS$23+AS26+AS29+AS$39))*BG$5,2)</f>
        <v>4833</v>
      </c>
      <c r="BH7" s="251">
        <f t="shared" si="5"/>
        <v>6096.13</v>
      </c>
      <c r="BI7" s="251">
        <f t="shared" si="5"/>
        <v>-21.42</v>
      </c>
      <c r="BJ7" s="251">
        <f t="shared" si="5"/>
        <v>269.82</v>
      </c>
      <c r="BK7" s="251">
        <f t="shared" si="5"/>
        <v>259.31</v>
      </c>
      <c r="BL7" s="251">
        <f t="shared" ref="BL7:BL39" si="6">SUM(BF7:BK7)</f>
        <v>10799.57</v>
      </c>
    </row>
    <row r="8" spans="1:66" x14ac:dyDescent="0.25">
      <c r="A8" s="141" t="s">
        <v>28</v>
      </c>
      <c r="B8" s="50" t="s">
        <v>29</v>
      </c>
      <c r="C8" s="124">
        <f>SUM(H8:S8)</f>
        <v>18</v>
      </c>
      <c r="D8" s="124">
        <f>SUM(T8:AE8)</f>
        <v>550</v>
      </c>
      <c r="E8" s="125">
        <f>SUM(AF8:AQ8)</f>
        <v>428.59999999999997</v>
      </c>
      <c r="F8" s="124">
        <f t="shared" ref="F8:F39" si="7">SUM(AR8:BC8)+BL8</f>
        <v>3451.2099999999996</v>
      </c>
      <c r="G8" s="46"/>
      <c r="H8" s="95">
        <f>SUMIFS('Mar20-Aug20 Billed-RETAIL'!$H$7:$H$155,'Mar20-Aug20 Billed-RETAIL'!$C$7:$C$155,H$4,'Mar20-Aug20 Billed-RETAIL'!$E$7:$E$155,$A8)+SUMIFS('Mar20-Aug20 Billed-RETAIL'!$I$7:$I$155,'Mar20-Aug20 Billed-RETAIL'!$C$7:$C$155,H$4,'Mar20-Aug20 Billed-RETAIL'!$E$7:$E$155,$A8)</f>
        <v>3</v>
      </c>
      <c r="I8" s="95">
        <f>SUMIFS('Mar20-Aug20 Billed-RETAIL'!$H$7:$H$155,'Mar20-Aug20 Billed-RETAIL'!$C$7:$C$155,I$4,'Mar20-Aug20 Billed-RETAIL'!$E$7:$E$155,$A8)+SUMIFS('Mar20-Aug20 Billed-RETAIL'!$I$7:$I$155,'Mar20-Aug20 Billed-RETAIL'!$C$7:$C$155,I$4,'Mar20-Aug20 Billed-RETAIL'!$E$7:$E$155,$A8)</f>
        <v>3</v>
      </c>
      <c r="J8" s="95">
        <f>SUMIFS('Mar20-Aug20 Billed-RETAIL'!$H$7:$H$155,'Mar20-Aug20 Billed-RETAIL'!$C$7:$C$155,J$4,'Mar20-Aug20 Billed-RETAIL'!$E$7:$E$155,$A8)+SUMIFS('Mar20-Aug20 Billed-RETAIL'!$I$7:$I$155,'Mar20-Aug20 Billed-RETAIL'!$C$7:$C$155,J$4,'Mar20-Aug20 Billed-RETAIL'!$E$7:$E$155,$A8)</f>
        <v>3</v>
      </c>
      <c r="K8" s="95">
        <f>SUMIFS('Mar20-Aug20 Billed-RETAIL'!$H$7:$H$155,'Mar20-Aug20 Billed-RETAIL'!$C$7:$C$155,K$4,'Mar20-Aug20 Billed-RETAIL'!$E$7:$E$155,$A8)+SUMIFS('Mar20-Aug20 Billed-RETAIL'!$I$7:$I$155,'Mar20-Aug20 Billed-RETAIL'!$C$7:$C$155,K$4,'Mar20-Aug20 Billed-RETAIL'!$E$7:$E$155,$A8)</f>
        <v>3</v>
      </c>
      <c r="L8" s="95">
        <f>SUMIFS('Mar20-Aug20 Billed-RETAIL'!$H$7:$H$155,'Mar20-Aug20 Billed-RETAIL'!$C$7:$C$155,L$4,'Mar20-Aug20 Billed-RETAIL'!$E$7:$E$155,$A8)+SUMIFS('Mar20-Aug20 Billed-RETAIL'!$I$7:$I$155,'Mar20-Aug20 Billed-RETAIL'!$C$7:$C$155,L$4,'Mar20-Aug20 Billed-RETAIL'!$E$7:$E$155,$A8)</f>
        <v>3</v>
      </c>
      <c r="M8" s="95">
        <f>SUMIFS('Mar20-Aug20 Billed-RETAIL'!$H$7:$H$155,'Mar20-Aug20 Billed-RETAIL'!$C$7:$C$155,M$4,'Mar20-Aug20 Billed-RETAIL'!$E$7:$E$155,$A8)+SUMIFS('Mar20-Aug20 Billed-RETAIL'!$I$7:$I$155,'Mar20-Aug20 Billed-RETAIL'!$C$7:$C$155,M$4,'Mar20-Aug20 Billed-RETAIL'!$E$7:$E$155,$A8)</f>
        <v>3</v>
      </c>
      <c r="N8" s="95">
        <f>SUMIFS('Mar20-Aug20 Billed-RETAIL'!$H$7:$H$155,'Mar20-Aug20 Billed-RETAIL'!$C$7:$C$155,N$4,'Mar20-Aug20 Billed-RETAIL'!$E$7:$E$155,$A$8)</f>
        <v>0</v>
      </c>
      <c r="O8" s="95">
        <f>SUMIFS('Mar20-Aug20 Billed-RETAIL'!$H$7:$H$155,'Mar20-Aug20 Billed-RETAIL'!$C$7:$C$155,O$4,'Mar20-Aug20 Billed-RETAIL'!$E$7:$E$155,$A$8)</f>
        <v>0</v>
      </c>
      <c r="P8" s="95">
        <f>SUMIFS('Mar20-Aug20 Billed-RETAIL'!$H$7:$H$155,'Mar20-Aug20 Billed-RETAIL'!$C$7:$C$155,P$4,'Mar20-Aug20 Billed-RETAIL'!$E$7:$E$155,$A$8)</f>
        <v>0</v>
      </c>
      <c r="Q8" s="95">
        <f>SUMIFS('Mar20-Aug20 Billed-RETAIL'!$H$7:$H$155,'Mar20-Aug20 Billed-RETAIL'!$C$7:$C$155,Q$4,'Mar20-Aug20 Billed-RETAIL'!$E$7:$E$155,$A$8)</f>
        <v>0</v>
      </c>
      <c r="R8" s="95">
        <f>SUMIFS('Mar20-Aug20 Billed-RETAIL'!$H$7:$H$155,'Mar20-Aug20 Billed-RETAIL'!$C$7:$C$155,R$4,'Mar20-Aug20 Billed-RETAIL'!$E$7:$E$155,$A$8)</f>
        <v>0</v>
      </c>
      <c r="S8" s="95">
        <f>SUMIFS('Mar20-Aug20 Billed-RETAIL'!$H$7:$H$155,'Mar20-Aug20 Billed-RETAIL'!$C$7:$C$155,S$4,'Mar20-Aug20 Billed-RETAIL'!$E$7:$E$155,$A$8)</f>
        <v>0</v>
      </c>
      <c r="T8" s="95">
        <f>SUMIFS('Mar20-Aug20 Billed-RETAIL'!$P$7:$P$155,'Mar20-Aug20 Billed-RETAIL'!$E$7:$E$155,A$8,'Mar20-Aug20 Billed-RETAIL'!$C$7:$C$155,$T$4)</f>
        <v>88</v>
      </c>
      <c r="U8" s="95">
        <f>SUMIFS('Mar20-Aug20 Billed-RETAIL'!$P$7:$P$155,'Mar20-Aug20 Billed-RETAIL'!$E$7:$E$155,A$8,'Mar20-Aug20 Billed-RETAIL'!$C$7:$C$155,$U$4)</f>
        <v>90</v>
      </c>
      <c r="V8" s="95">
        <f>SUMIFS('Mar20-Aug20 Billed-RETAIL'!$P$7:$P$155,'Mar20-Aug20 Billed-RETAIL'!$E$7:$E$155,A$8,'Mar20-Aug20 Billed-RETAIL'!$C$7:$C$155,$V$4)</f>
        <v>92</v>
      </c>
      <c r="W8" s="95">
        <f>SUMIFS('Mar20-Aug20 Billed-RETAIL'!$P$7:$P$155,'Mar20-Aug20 Billed-RETAIL'!$E$7:$E$155,A$8,'Mar20-Aug20 Billed-RETAIL'!$C$7:$C$155,$W$4)</f>
        <v>93</v>
      </c>
      <c r="X8" s="95">
        <f>SUMIFS('Mar20-Aug20 Billed-RETAIL'!$P$7:$P$155,'Mar20-Aug20 Billed-RETAIL'!$E$7:$E$155,A$8,'Mar20-Aug20 Billed-RETAIL'!$C$7:$C$155,$X$4)</f>
        <v>94</v>
      </c>
      <c r="Y8" s="95">
        <f>SUMIFS('Mar20-Aug20 Billed-RETAIL'!$P$7:$P$155,'Mar20-Aug20 Billed-RETAIL'!$E$7:$E$155,A$8,'Mar20-Aug20 Billed-RETAIL'!$C$7:$C$155,$Y$4)</f>
        <v>92.999999999999986</v>
      </c>
      <c r="Z8" s="95">
        <f>SUMIFS('Mar20-Aug20 Billed-RETAIL'!$P$7:$P$155,'Mar20-Aug20 Billed-RETAIL'!$E$7:$E$155,A$8,'Mar20-Aug20 Billed-RETAIL'!$C$7:$C$155,$Z$4)</f>
        <v>0</v>
      </c>
      <c r="AA8" s="95">
        <f>SUMIFS('Mar20-Aug20 Billed-RETAIL'!$P$7:$P$155,'Mar20-Aug20 Billed-RETAIL'!$E$7:$E$155,A$8,'Mar20-Aug20 Billed-RETAIL'!$C$7:$C$155,$AA$4)</f>
        <v>0</v>
      </c>
      <c r="AB8" s="95">
        <f>SUMIFS('Mar20-Aug20 Billed-RETAIL'!$P$7:$P$155,'Mar20-Aug20 Billed-RETAIL'!$E$7:$E$155,A$8,'Mar20-Aug20 Billed-RETAIL'!$C$7:$C$155,$AB$4)</f>
        <v>0</v>
      </c>
      <c r="AC8" s="95">
        <f>SUMIFS('Mar20-Aug20 Billed-RETAIL'!$P$7:$P$155,'Mar20-Aug20 Billed-RETAIL'!$E$7:$E$155,A$8,'Mar20-Aug20 Billed-RETAIL'!$C$7:$C$155,$AC$4)</f>
        <v>0</v>
      </c>
      <c r="AD8" s="95">
        <f>SUMIFS('Mar20-Aug20 Billed-RETAIL'!$P$7:$P$155,'Mar20-Aug20 Billed-RETAIL'!$E$7:$E$155,A$8,'Mar20-Aug20 Billed-RETAIL'!$C$7:$C$155,$AD$4)</f>
        <v>0</v>
      </c>
      <c r="AE8" s="95">
        <f>SUMIFS('Mar20-Aug20 Billed-RETAIL'!$P$7:$P$155,'Mar20-Aug20 Billed-RETAIL'!$E$7:$E$155,A$8,'Mar20-Aug20 Billed-RETAIL'!$C$7:$C$155,$AE$4)</f>
        <v>0</v>
      </c>
      <c r="AF8" s="96">
        <f>(SUMIFS('Mar20-Aug20 Billed-RETAIL'!$J$5:$J$230,'Mar20-Aug20 Billed-RETAIL'!$C$5:$C$230,SBR!AF$4,'Mar20-Aug20 Billed-RETAIL'!$E$5:$E$230,SBR!$A8)+SUMIFS('Mar20-Aug20 Billed-RETAIL'!$K$5:$K$230,'Mar20-Aug20 Billed-RETAIL'!$C$5:$C$230,SBR!AF$4,'Mar20-Aug20 Billed-RETAIL'!$E$5:$E$230,SBR!$A8))*0.1</f>
        <v>193.3</v>
      </c>
      <c r="AG8" s="96">
        <f>(SUMIFS('Mar20-Aug20 Billed-RETAIL'!$J$5:$J$230,'Mar20-Aug20 Billed-RETAIL'!$C$5:$C$230,SBR!AG$4,'Mar20-Aug20 Billed-RETAIL'!$E$5:$E$230,SBR!$A8)+SUMIFS('Mar20-Aug20 Billed-RETAIL'!$K$5:$K$230,'Mar20-Aug20 Billed-RETAIL'!$C$5:$C$230,SBR!AG$4,'Mar20-Aug20 Billed-RETAIL'!$E$5:$E$230,SBR!$A8))*0.1</f>
        <v>84</v>
      </c>
      <c r="AH8" s="96">
        <f>(SUMIFS('Mar20-Aug20 Billed-RETAIL'!$J$5:$J$230,'Mar20-Aug20 Billed-RETAIL'!$C$5:$C$230,SBR!AH$4,'Mar20-Aug20 Billed-RETAIL'!$E$5:$E$230,SBR!$A8)+SUMIFS('Mar20-Aug20 Billed-RETAIL'!$K$5:$K$230,'Mar20-Aug20 Billed-RETAIL'!$C$5:$C$230,SBR!AH$4,'Mar20-Aug20 Billed-RETAIL'!$E$5:$E$230,SBR!$A8))*0.1</f>
        <v>62</v>
      </c>
      <c r="AI8" s="96">
        <f>(SUMIFS('Mar20-Aug20 Billed-RETAIL'!$J$5:$J$230,'Mar20-Aug20 Billed-RETAIL'!$C$5:$C$230,SBR!AI$4,'Mar20-Aug20 Billed-RETAIL'!$E$5:$E$230,SBR!$A8)+SUMIFS('Mar20-Aug20 Billed-RETAIL'!$K$5:$K$230,'Mar20-Aug20 Billed-RETAIL'!$C$5:$C$230,SBR!AI$4,'Mar20-Aug20 Billed-RETAIL'!$E$5:$E$230,SBR!$A8))*0.1</f>
        <v>32</v>
      </c>
      <c r="AJ8" s="96">
        <f>(SUMIFS('Mar20-Aug20 Billed-RETAIL'!$J$5:$J$230,'Mar20-Aug20 Billed-RETAIL'!$C$5:$C$230,SBR!AJ$4,'Mar20-Aug20 Billed-RETAIL'!$E$5:$E$230,SBR!$A8)+SUMIFS('Mar20-Aug20 Billed-RETAIL'!$K$5:$K$230,'Mar20-Aug20 Billed-RETAIL'!$C$5:$C$230,SBR!AJ$4,'Mar20-Aug20 Billed-RETAIL'!$E$5:$E$230,SBR!$A8))*0.1</f>
        <v>29.900000000000002</v>
      </c>
      <c r="AK8" s="96">
        <f>(SUMIFS('Mar20-Aug20 Billed-RETAIL'!$J$5:$J$230,'Mar20-Aug20 Billed-RETAIL'!$C$5:$C$230,SBR!AK$4,'Mar20-Aug20 Billed-RETAIL'!$E$5:$E$230,SBR!$A8)+SUMIFS('Mar20-Aug20 Billed-RETAIL'!$K$5:$K$230,'Mar20-Aug20 Billed-RETAIL'!$C$5:$C$230,SBR!AK$4,'Mar20-Aug20 Billed-RETAIL'!$E$5:$E$230,SBR!$A8))*0.1</f>
        <v>27.400000000000002</v>
      </c>
      <c r="AL8" s="96">
        <f>(SUMIFS('Mar20-Aug20 Billed-RETAIL'!$J$5:$J$230,'Mar20-Aug20 Billed-RETAIL'!$C$5:$C$230,SBR!AL$4,'Mar20-Aug20 Billed-RETAIL'!$E$5:$E$230,SBR!$A8)+SUMIFS('Mar20-Aug20 Billed-RETAIL'!$K$5:$K$230,'Mar20-Aug20 Billed-RETAIL'!$C$5:$C$230,SBR!AL$4,'Mar20-Aug20 Billed-RETAIL'!$E$5:$E$230,SBR!$A8))*0.1</f>
        <v>0</v>
      </c>
      <c r="AM8" s="96">
        <f>(SUMIFS('Mar20-Aug20 Billed-RETAIL'!$J$5:$J$230,'Mar20-Aug20 Billed-RETAIL'!$C$5:$C$230,SBR!AM$4,'Mar20-Aug20 Billed-RETAIL'!$E$5:$E$230,SBR!$A8)+SUMIFS('Mar20-Aug20 Billed-RETAIL'!$K$5:$K$230,'Mar20-Aug20 Billed-RETAIL'!$C$5:$C$230,SBR!AM$4,'Mar20-Aug20 Billed-RETAIL'!$E$5:$E$230,SBR!$A8))*0.1</f>
        <v>0</v>
      </c>
      <c r="AN8" s="96">
        <f>(SUMIFS('Mar20-Aug20 Billed-RETAIL'!$J$5:$J$230,'Mar20-Aug20 Billed-RETAIL'!$C$5:$C$230,SBR!AN$4,'Mar20-Aug20 Billed-RETAIL'!$E$5:$E$230,SBR!$A8)+SUMIFS('Mar20-Aug20 Billed-RETAIL'!$K$5:$K$230,'Mar20-Aug20 Billed-RETAIL'!$C$5:$C$230,SBR!AN$4,'Mar20-Aug20 Billed-RETAIL'!$E$5:$E$230,SBR!$A8))*0.1</f>
        <v>0</v>
      </c>
      <c r="AO8" s="96">
        <f>(SUMIFS('Mar20-Aug20 Billed-RETAIL'!$J$5:$J$230,'Mar20-Aug20 Billed-RETAIL'!$C$5:$C$230,SBR!AO$4,'Mar20-Aug20 Billed-RETAIL'!$E$5:$E$230,SBR!$A8)+SUMIFS('Mar20-Aug20 Billed-RETAIL'!$K$5:$K$230,'Mar20-Aug20 Billed-RETAIL'!$C$5:$C$230,SBR!AO$4,'Mar20-Aug20 Billed-RETAIL'!$E$5:$E$230,SBR!$A8))*0.1</f>
        <v>0</v>
      </c>
      <c r="AP8" s="96">
        <f>(SUMIFS('Mar20-Aug20 Billed-RETAIL'!$J$5:$J$230,'Mar20-Aug20 Billed-RETAIL'!$C$5:$C$230,SBR!AP$4,'Mar20-Aug20 Billed-RETAIL'!$E$5:$E$230,SBR!$A8)+SUMIFS('Mar20-Aug20 Billed-RETAIL'!$K$5:$K$230,'Mar20-Aug20 Billed-RETAIL'!$C$5:$C$230,SBR!AP$4,'Mar20-Aug20 Billed-RETAIL'!$E$5:$E$230,SBR!$A8))*0.1</f>
        <v>0</v>
      </c>
      <c r="AQ8" s="96">
        <f>(SUMIFS('Mar20-Aug20 Billed-RETAIL'!$J$5:$J$230,'Mar20-Aug20 Billed-RETAIL'!$C$5:$C$230,SBR!AQ$4,'Mar20-Aug20 Billed-RETAIL'!$E$5:$E$230,SBR!$A8)+SUMIFS('Mar20-Aug20 Billed-RETAIL'!$K$5:$K$230,'Mar20-Aug20 Billed-RETAIL'!$C$5:$C$230,SBR!AQ$4,'Mar20-Aug20 Billed-RETAIL'!$E$5:$E$230,SBR!$A8))*0.1</f>
        <v>0</v>
      </c>
      <c r="AR8" s="97">
        <f>SUMIFS('Mar20-Aug20 Billed-RETAIL'!$BA$5:$BA$156,'Mar20-Aug20 Billed-RETAIL'!$C$5:$C$156,SBR!AR$4,'Mar20-Aug20 Billed-RETAIL'!$E$5:$E$156,SBR!$A8)</f>
        <v>1474.53</v>
      </c>
      <c r="AS8" s="97">
        <f>SUMIFS('Mar20-Aug20 Billed-RETAIL'!$BA$5:$BA$156,'Mar20-Aug20 Billed-RETAIL'!$C$5:$C$156,SBR!AS$4,'Mar20-Aug20 Billed-RETAIL'!$E$5:$E$156,SBR!$A8)</f>
        <v>709.54</v>
      </c>
      <c r="AT8" s="97">
        <f>SUMIFS('Mar20-Aug20 Billed-RETAIL'!$BA$5:$BA$156,'Mar20-Aug20 Billed-RETAIL'!$C$5:$C$156,SBR!AT$4,'Mar20-Aug20 Billed-RETAIL'!$E$5:$E$156,SBR!$A8)</f>
        <v>484.85</v>
      </c>
      <c r="AU8" s="97">
        <f>SUMIFS('Mar20-Aug20 Billed-RETAIL'!$BA$5:$BA$156,'Mar20-Aug20 Billed-RETAIL'!$C$5:$C$156,SBR!AU$4,'Mar20-Aug20 Billed-RETAIL'!$E$5:$E$156,SBR!$A8)</f>
        <v>272.19</v>
      </c>
      <c r="AV8" s="97">
        <f>SUMIFS('Mar20-Aug20 Billed-RETAIL'!$BA$5:$BA$156,'Mar20-Aug20 Billed-RETAIL'!$C$5:$C$156,SBR!AV$4,'Mar20-Aug20 Billed-RETAIL'!$E$5:$E$156,SBR!$A8)</f>
        <v>259.29000000000002</v>
      </c>
      <c r="AW8" s="97">
        <f>SUMIFS('Mar20-Aug20 Billed-RETAIL'!$BA$5:$BA$156,'Mar20-Aug20 Billed-RETAIL'!$C$5:$C$156,SBR!AW$4,'Mar20-Aug20 Billed-RETAIL'!$E$5:$E$156,SBR!$A8)</f>
        <v>250.42</v>
      </c>
      <c r="AX8" s="97"/>
      <c r="AY8" s="97"/>
      <c r="AZ8" s="97"/>
      <c r="BA8" s="97"/>
      <c r="BB8" s="97"/>
      <c r="BC8" s="97"/>
      <c r="BD8" s="92"/>
      <c r="BE8" s="92"/>
      <c r="BF8" s="251">
        <f t="shared" ref="BF8:BK8" si="8">ROUND((AR8/SUM(AR$9+AR$17+AR$23+AR26+AR29+AR$39))*BF$5,2)</f>
        <v>-0.04</v>
      </c>
      <c r="BG8" s="251">
        <f t="shared" si="8"/>
        <v>0.19</v>
      </c>
      <c r="BH8" s="251">
        <f t="shared" si="8"/>
        <v>0.22</v>
      </c>
      <c r="BI8" s="251">
        <f t="shared" si="8"/>
        <v>0</v>
      </c>
      <c r="BJ8" s="251">
        <f t="shared" si="8"/>
        <v>0.01</v>
      </c>
      <c r="BK8" s="251">
        <f t="shared" si="8"/>
        <v>0.01</v>
      </c>
      <c r="BL8" s="251">
        <f t="shared" si="6"/>
        <v>0.39</v>
      </c>
    </row>
    <row r="9" spans="1:66" x14ac:dyDescent="0.25">
      <c r="B9" s="98" t="s">
        <v>227</v>
      </c>
      <c r="C9" s="112">
        <f>SUM(H9:S9)</f>
        <v>3619866</v>
      </c>
      <c r="D9" s="112">
        <f>SUM(T9:AE9)</f>
        <v>109297064.99999997</v>
      </c>
      <c r="E9" s="123">
        <f>SUM(AF9:AQ9)</f>
        <v>20843747.678806618</v>
      </c>
      <c r="F9" s="112">
        <f t="shared" si="7"/>
        <v>233422200.47</v>
      </c>
      <c r="G9" s="46"/>
      <c r="H9" s="99">
        <f t="shared" ref="H9:M9" si="9">SUM(H7:H8)</f>
        <v>301476</v>
      </c>
      <c r="I9" s="99">
        <f t="shared" si="9"/>
        <v>302665</v>
      </c>
      <c r="J9" s="99">
        <f t="shared" si="9"/>
        <v>302739</v>
      </c>
      <c r="K9" s="99">
        <f t="shared" si="9"/>
        <v>303114</v>
      </c>
      <c r="L9" s="99">
        <f t="shared" si="9"/>
        <v>302553</v>
      </c>
      <c r="M9" s="99">
        <f t="shared" si="9"/>
        <v>302487</v>
      </c>
      <c r="N9" s="99">
        <f t="shared" ref="N9:AQ9" si="10">SUM(N7:N8)</f>
        <v>299489</v>
      </c>
      <c r="O9" s="99">
        <f t="shared" si="10"/>
        <v>299810</v>
      </c>
      <c r="P9" s="99">
        <f t="shared" si="10"/>
        <v>300127</v>
      </c>
      <c r="Q9" s="99">
        <f t="shared" si="10"/>
        <v>301386</v>
      </c>
      <c r="R9" s="99">
        <f t="shared" si="10"/>
        <v>301961</v>
      </c>
      <c r="S9" s="99">
        <f t="shared" si="10"/>
        <v>302059</v>
      </c>
      <c r="T9" s="99">
        <f>SUM(T7:T8)</f>
        <v>8781639</v>
      </c>
      <c r="U9" s="99">
        <f t="shared" ref="U9:AE9" si="11">SUM(U7:U8)</f>
        <v>9287611</v>
      </c>
      <c r="V9" s="99">
        <f t="shared" si="11"/>
        <v>8984368</v>
      </c>
      <c r="W9" s="99">
        <f t="shared" si="11"/>
        <v>9407574</v>
      </c>
      <c r="X9" s="99">
        <f t="shared" si="11"/>
        <v>9371096</v>
      </c>
      <c r="Y9" s="99">
        <f t="shared" si="11"/>
        <v>9020778</v>
      </c>
      <c r="Z9" s="99">
        <f t="shared" si="11"/>
        <v>8984670</v>
      </c>
      <c r="AA9" s="99">
        <f t="shared" si="11"/>
        <v>9294110</v>
      </c>
      <c r="AB9" s="99">
        <f t="shared" si="11"/>
        <v>9003810</v>
      </c>
      <c r="AC9" s="99">
        <f t="shared" si="11"/>
        <v>9342965.9999999851</v>
      </c>
      <c r="AD9" s="99">
        <f t="shared" si="11"/>
        <v>9360790.9999999851</v>
      </c>
      <c r="AE9" s="99">
        <f t="shared" si="11"/>
        <v>8457652</v>
      </c>
      <c r="AF9" s="86">
        <f t="shared" si="10"/>
        <v>2659185.4</v>
      </c>
      <c r="AG9" s="86">
        <f t="shared" si="10"/>
        <v>1493851.6</v>
      </c>
      <c r="AH9" s="86">
        <f t="shared" si="10"/>
        <v>1092683.4000000001</v>
      </c>
      <c r="AI9" s="86">
        <f t="shared" si="10"/>
        <v>537087.1</v>
      </c>
      <c r="AJ9" s="86">
        <f t="shared" si="10"/>
        <v>361229.9</v>
      </c>
      <c r="AK9" s="86">
        <f t="shared" si="10"/>
        <v>323105.40000000002</v>
      </c>
      <c r="AL9" s="86">
        <f t="shared" si="10"/>
        <v>415684.77807482198</v>
      </c>
      <c r="AM9" s="86">
        <f t="shared" si="10"/>
        <v>874443.5065756042</v>
      </c>
      <c r="AN9" s="86">
        <f t="shared" si="10"/>
        <v>2366748.9171698298</v>
      </c>
      <c r="AO9" s="86">
        <f t="shared" si="10"/>
        <v>3307624.7132563102</v>
      </c>
      <c r="AP9" s="86">
        <f t="shared" si="10"/>
        <v>4167254.7721179496</v>
      </c>
      <c r="AQ9" s="86">
        <f t="shared" si="10"/>
        <v>3244848.1916121002</v>
      </c>
      <c r="AR9" s="100">
        <f t="shared" ref="AR9:BC9" si="12">SUM(AR7:AR8)</f>
        <v>25300641.630000003</v>
      </c>
      <c r="AS9" s="100">
        <f t="shared" si="12"/>
        <v>17735688.239999998</v>
      </c>
      <c r="AT9" s="100">
        <f t="shared" si="12"/>
        <v>13724969.84</v>
      </c>
      <c r="AU9" s="100">
        <f t="shared" si="12"/>
        <v>10133366.26</v>
      </c>
      <c r="AV9" s="100">
        <f t="shared" si="12"/>
        <v>8982339.6499999985</v>
      </c>
      <c r="AW9" s="100">
        <f t="shared" si="12"/>
        <v>8591322.459999999</v>
      </c>
      <c r="AX9" s="100">
        <f t="shared" si="12"/>
        <v>9554126.8599999994</v>
      </c>
      <c r="AY9" s="100">
        <f t="shared" si="12"/>
        <v>12951464.73</v>
      </c>
      <c r="AZ9" s="100">
        <f t="shared" si="12"/>
        <v>23757047.120000001</v>
      </c>
      <c r="BA9" s="100">
        <f t="shared" si="12"/>
        <v>31853810.649999999</v>
      </c>
      <c r="BB9" s="100">
        <f t="shared" si="12"/>
        <v>39210138.439999998</v>
      </c>
      <c r="BC9" s="100">
        <f t="shared" si="12"/>
        <v>31616484.629999999</v>
      </c>
      <c r="BD9" s="92"/>
      <c r="BE9" s="92"/>
      <c r="BF9" s="255">
        <f t="shared" ref="BF9:BK9" si="13">SUM(BF7:BF8)</f>
        <v>-637.30999999999995</v>
      </c>
      <c r="BG9" s="255">
        <f t="shared" si="13"/>
        <v>4833.1899999999996</v>
      </c>
      <c r="BH9" s="255">
        <f t="shared" si="13"/>
        <v>6096.35</v>
      </c>
      <c r="BI9" s="255">
        <f t="shared" si="13"/>
        <v>-21.42</v>
      </c>
      <c r="BJ9" s="255">
        <f t="shared" si="13"/>
        <v>269.83</v>
      </c>
      <c r="BK9" s="255">
        <f t="shared" si="13"/>
        <v>259.32</v>
      </c>
      <c r="BL9" s="251">
        <f t="shared" si="6"/>
        <v>10799.96</v>
      </c>
      <c r="BN9" s="374"/>
    </row>
    <row r="10" spans="1:66" x14ac:dyDescent="0.25">
      <c r="B10" s="101"/>
      <c r="C10" s="128"/>
      <c r="D10" s="112"/>
      <c r="E10" s="327"/>
      <c r="F10" s="128"/>
      <c r="G10" s="46"/>
      <c r="H10" s="102"/>
      <c r="I10" s="102"/>
      <c r="J10" s="102"/>
      <c r="K10" s="102"/>
      <c r="L10" s="102"/>
      <c r="M10" s="102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03"/>
      <c r="AG10" s="103"/>
      <c r="AH10" s="103"/>
      <c r="AI10" s="103"/>
      <c r="AJ10" s="103"/>
      <c r="AK10" s="103"/>
      <c r="AL10" s="114"/>
      <c r="AM10" s="114"/>
      <c r="AN10" s="114"/>
      <c r="AO10" s="114"/>
      <c r="AP10" s="114"/>
      <c r="AQ10" s="114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92"/>
      <c r="BE10" s="92"/>
      <c r="BF10" s="250"/>
      <c r="BG10" s="250"/>
      <c r="BH10" s="250"/>
      <c r="BI10" s="250"/>
      <c r="BJ10" s="250"/>
      <c r="BK10" s="250"/>
      <c r="BL10" s="251">
        <f t="shared" si="6"/>
        <v>0</v>
      </c>
    </row>
    <row r="11" spans="1:66" x14ac:dyDescent="0.25">
      <c r="A11" s="50" t="s">
        <v>19</v>
      </c>
      <c r="B11" s="50" t="s">
        <v>20</v>
      </c>
      <c r="C11" s="112">
        <f t="shared" ref="C11:C17" si="14">SUM(H11:S11)</f>
        <v>306811</v>
      </c>
      <c r="D11" s="112">
        <f t="shared" ref="D11:D14" si="15">SUM(T11:AE11)</f>
        <v>9228842</v>
      </c>
      <c r="E11" s="123">
        <f t="shared" ref="E11:E39" si="16">SUM(AF11:AQ11)</f>
        <v>10727952.426360626</v>
      </c>
      <c r="F11" s="112">
        <f t="shared" si="7"/>
        <v>97144279.719999999</v>
      </c>
      <c r="G11" s="46"/>
      <c r="H11" s="89">
        <f>SUMIFS('Mar20-Aug20 Billed-RETAIL'!$H$7:$H$155,'Mar20-Aug20 Billed-RETAIL'!$C$7:$C$155,H$4,'Mar20-Aug20 Billed-RETAIL'!$E$7:$E$155,$A11)+SUMIFS('Mar20-Aug20 Billed-RETAIL'!$I$7:$I$155,'Mar20-Aug20 Billed-RETAIL'!$C$7:$C$155,H$4,'Mar20-Aug20 Billed-RETAIL'!$E$7:$E$155,$A11)</f>
        <v>25367</v>
      </c>
      <c r="I11" s="89">
        <f>SUMIFS('Mar20-Aug20 Billed-RETAIL'!$H$7:$H$155,'Mar20-Aug20 Billed-RETAIL'!$C$7:$C$155,I$4,'Mar20-Aug20 Billed-RETAIL'!$E$7:$E$155,$A11)+SUMIFS('Mar20-Aug20 Billed-RETAIL'!$I$7:$I$155,'Mar20-Aug20 Billed-RETAIL'!$C$7:$C$155,I$4,'Mar20-Aug20 Billed-RETAIL'!$E$7:$E$155,$A11)</f>
        <v>25760</v>
      </c>
      <c r="J11" s="89">
        <f>SUMIFS('Mar20-Aug20 Billed-RETAIL'!$H$7:$H$155,'Mar20-Aug20 Billed-RETAIL'!$C$7:$C$155,J$4,'Mar20-Aug20 Billed-RETAIL'!$E$7:$E$155,$A11)+SUMIFS('Mar20-Aug20 Billed-RETAIL'!$I$7:$I$155,'Mar20-Aug20 Billed-RETAIL'!$C$7:$C$155,J$4,'Mar20-Aug20 Billed-RETAIL'!$E$7:$E$155,$A11)</f>
        <v>25645</v>
      </c>
      <c r="K11" s="89">
        <f>SUMIFS('Mar20-Aug20 Billed-RETAIL'!$H$7:$H$155,'Mar20-Aug20 Billed-RETAIL'!$C$7:$C$155,K$4,'Mar20-Aug20 Billed-RETAIL'!$E$7:$E$155,$A11)+SUMIFS('Mar20-Aug20 Billed-RETAIL'!$I$7:$I$155,'Mar20-Aug20 Billed-RETAIL'!$C$7:$C$155,K$4,'Mar20-Aug20 Billed-RETAIL'!$E$7:$E$155,$A11)</f>
        <v>25596</v>
      </c>
      <c r="L11" s="89">
        <f>SUMIFS('Mar20-Aug20 Billed-RETAIL'!$H$7:$H$155,'Mar20-Aug20 Billed-RETAIL'!$C$7:$C$155,L$4,'Mar20-Aug20 Billed-RETAIL'!$E$7:$E$155,$A11)+SUMIFS('Mar20-Aug20 Billed-RETAIL'!$I$7:$I$155,'Mar20-Aug20 Billed-RETAIL'!$C$7:$C$155,L$4,'Mar20-Aug20 Billed-RETAIL'!$E$7:$E$155,$A11)</f>
        <v>25281</v>
      </c>
      <c r="M11" s="89">
        <f>SUMIFS('Mar20-Aug20 Billed-RETAIL'!$H$7:$H$155,'Mar20-Aug20 Billed-RETAIL'!$C$7:$C$155,M$4,'Mar20-Aug20 Billed-RETAIL'!$E$7:$E$155,$A11)+SUMIFS('Mar20-Aug20 Billed-RETAIL'!$I$7:$I$155,'Mar20-Aug20 Billed-RETAIL'!$C$7:$C$155,M$4,'Mar20-Aug20 Billed-RETAIL'!$E$7:$E$155,$A11)</f>
        <v>24968</v>
      </c>
      <c r="N11" s="89">
        <f>SUMIFS('Mar20-Aug20 Billed-RETAIL'!$H$7:$H$155,'Mar20-Aug20 Billed-RETAIL'!$C$7:$C$155,N$4,'Mar20-Aug20 Billed-RETAIL'!$E$7:$E$155,$A11)+SUMIFS('Mar20-Aug20 Billed-RETAIL'!$I$7:$I$155,'Mar20-Aug20 Billed-RETAIL'!$C$7:$C$155,N$4,'Mar20-Aug20 Billed-RETAIL'!$E$7:$E$155,$A11)</f>
        <v>25091</v>
      </c>
      <c r="O11" s="89">
        <f>SUMIFS('Mar20-Aug20 Billed-RETAIL'!$H$7:$H$155,'Mar20-Aug20 Billed-RETAIL'!$C$7:$C$155,O$4,'Mar20-Aug20 Billed-RETAIL'!$E$7:$E$155,$A11)+SUMIFS('Mar20-Aug20 Billed-RETAIL'!$I$7:$I$155,'Mar20-Aug20 Billed-RETAIL'!$C$7:$C$155,O$4,'Mar20-Aug20 Billed-RETAIL'!$E$7:$E$155,$A11)</f>
        <v>25233</v>
      </c>
      <c r="P11" s="89">
        <f>SUMIFS('Mar20-Aug20 Billed-RETAIL'!$H$7:$H$155,'Mar20-Aug20 Billed-RETAIL'!$C$7:$C$155,P$4,'Mar20-Aug20 Billed-RETAIL'!$E$7:$E$155,$A11)+SUMIFS('Mar20-Aug20 Billed-RETAIL'!$I$7:$I$155,'Mar20-Aug20 Billed-RETAIL'!$C$7:$C$155,P$4,'Mar20-Aug20 Billed-RETAIL'!$E$7:$E$155,$A11)</f>
        <v>25644</v>
      </c>
      <c r="Q11" s="89">
        <f>SUMIFS('Mar20-Aug20 Billed-RETAIL'!$H$7:$H$155,'Mar20-Aug20 Billed-RETAIL'!$C$7:$C$155,Q$4,'Mar20-Aug20 Billed-RETAIL'!$E$7:$E$155,$A11)+SUMIFS('Mar20-Aug20 Billed-RETAIL'!$I$7:$I$155,'Mar20-Aug20 Billed-RETAIL'!$C$7:$C$155,Q$4,'Mar20-Aug20 Billed-RETAIL'!$E$7:$E$155,$A11)</f>
        <v>25967</v>
      </c>
      <c r="R11" s="89">
        <f>SUMIFS('Mar20-Aug20 Billed-RETAIL'!$H$7:$H$155,'Mar20-Aug20 Billed-RETAIL'!$C$7:$C$155,R$4,'Mar20-Aug20 Billed-RETAIL'!$E$7:$E$155,$A11)+SUMIFS('Mar20-Aug20 Billed-RETAIL'!$I$7:$I$155,'Mar20-Aug20 Billed-RETAIL'!$C$7:$C$155,R$4,'Mar20-Aug20 Billed-RETAIL'!$E$7:$E$155,$A11)</f>
        <v>26116</v>
      </c>
      <c r="S11" s="89">
        <f>SUMIFS('Mar20-Aug20 Billed-RETAIL'!$H$7:$H$155,'Mar20-Aug20 Billed-RETAIL'!$C$7:$C$155,S$4,'Mar20-Aug20 Billed-RETAIL'!$E$7:$E$155,$A11)+SUMIFS('Mar20-Aug20 Billed-RETAIL'!$I$7:$I$155,'Mar20-Aug20 Billed-RETAIL'!$C$7:$C$155,S$4,'Mar20-Aug20 Billed-RETAIL'!$E$7:$E$155,$A11)</f>
        <v>26143</v>
      </c>
      <c r="T11" s="89">
        <f>SUMIFS('Mar20-Aug20 Billed-RETAIL'!P7:P155,'Mar20-Aug20 Billed-RETAIL'!E7:E155,SBR!A11,'Mar20-Aug20 Billed-RETAIL'!C7:C155,SBR!T4)+SUMIFS('Mar20-Aug20 Billed-RETAIL'!Q7:Q155,'Mar20-Aug20 Billed-RETAIL'!E7:E155,SBR!A11,'Mar20-Aug20 Billed-RETAIL'!C7:C155,SBR!T4)</f>
        <v>736788</v>
      </c>
      <c r="U11" s="89">
        <f>SUMIFS('Mar20-Aug20 Billed-RETAIL'!P7:P155,'Mar20-Aug20 Billed-RETAIL'!E7:E155,SBR!A11,'Mar20-Aug20 Billed-RETAIL'!C7:C155,SBR!U4)+SUMIFS('Mar20-Aug20 Billed-RETAIL'!Q7:Q155,'Mar20-Aug20 Billed-RETAIL'!E7:E155,SBR!A11,'Mar20-Aug20 Billed-RETAIL'!C7:C155,SBR!U4)</f>
        <v>787797</v>
      </c>
      <c r="V11" s="89">
        <f>SUMIFS('Mar20-Aug20 Billed-RETAIL'!P7:P155,'Mar20-Aug20 Billed-RETAIL'!E7:E155,SBR!A11,'Mar20-Aug20 Billed-RETAIL'!C7:C155,SBR!V4)+SUMIFS('Mar20-Aug20 Billed-RETAIL'!Q7:Q155,'Mar20-Aug20 Billed-RETAIL'!E7:E155,SBR!A11,'Mar20-Aug20 Billed-RETAIL'!C7:C155,SBR!V4)</f>
        <v>754240</v>
      </c>
      <c r="W11" s="89">
        <f>SUMIFS('Mar20-Aug20 Billed-RETAIL'!P7:P155,'Mar20-Aug20 Billed-RETAIL'!E7:E155,SBR!A11,'Mar20-Aug20 Billed-RETAIL'!C7:C155,SBR!W4)+SUMIFS('Mar20-Aug20 Billed-RETAIL'!Q7:Q155,'Mar20-Aug20 Billed-RETAIL'!E7:E155,SBR!A11,'Mar20-Aug20 Billed-RETAIL'!C7:C155,SBR!W4)</f>
        <v>782455</v>
      </c>
      <c r="X11" s="89">
        <f>SUMIFS('Mar20-Aug20 Billed-RETAIL'!P7:P155,'Mar20-Aug20 Billed-RETAIL'!E7:E155,SBR!A11,'Mar20-Aug20 Billed-RETAIL'!C7:C155,SBR!X4)+SUMIFS('Mar20-Aug20 Billed-RETAIL'!Q7:Q155,'Mar20-Aug20 Billed-RETAIL'!E7:E155,SBR!A11,'Mar20-Aug20 Billed-RETAIL'!C7:C155,SBR!X4)</f>
        <v>776936</v>
      </c>
      <c r="Y11" s="89">
        <f>SUMIFS('Mar20-Aug20 Billed-RETAIL'!P7:P155,'Mar20-Aug20 Billed-RETAIL'!E7:E155,SBR!A11,'Mar20-Aug20 Billed-RETAIL'!C7:C155,SBR!Y4)+SUMIFS('Mar20-Aug20 Billed-RETAIL'!Q7:Q155,'Mar20-Aug20 Billed-RETAIL'!E7:E155,SBR!A11,'Mar20-Aug20 Billed-RETAIL'!C7:C155,SBR!Y4)</f>
        <v>739776.00000000012</v>
      </c>
      <c r="Z11" s="89">
        <f>SUMIFS('Mar20-Aug20 Billed-RETAIL'!P7:P155,'Mar20-Aug20 Billed-RETAIL'!E7:E155,SBR!A11,'Mar20-Aug20 Billed-RETAIL'!C7:C155,SBR!Z4)+SUMIFS('Mar20-Aug20 Billed-RETAIL'!Q7:Q155,'Mar20-Aug20 Billed-RETAIL'!E7:E155,SBR!A11,'Mar20-Aug20 Billed-RETAIL'!C7:C155,SBR!Z4)</f>
        <v>752729.99999999988</v>
      </c>
      <c r="AA11" s="89">
        <f>SUMIFS('Mar20-Aug20 Billed-RETAIL'!P7:P155,'Mar20-Aug20 Billed-RETAIL'!E7:E155,SBR!A11,'Mar20-Aug20 Billed-RETAIL'!C7:C155,SBR!AA4)+SUMIFS('Mar20-Aug20 Billed-RETAIL'!Q7:Q155,'Mar20-Aug20 Billed-RETAIL'!E7:E155,SBR!A11,'Mar20-Aug20 Billed-RETAIL'!C7:C155,SBR!AA4)</f>
        <v>782222.99999999988</v>
      </c>
      <c r="AB11" s="89">
        <f>SUMIFS('Mar20-Aug20 Billed-RETAIL'!P7:P155,'Mar20-Aug20 Billed-RETAIL'!E7:E155,SBR!A11,'Mar20-Aug20 Billed-RETAIL'!C7:C155,SBR!AB4)+SUMIFS('Mar20-Aug20 Billed-RETAIL'!Q7:Q155,'Mar20-Aug20 Billed-RETAIL'!E7:E155,SBR!A11,'Mar20-Aug20 Billed-RETAIL'!C7:C155,SBR!AB4)</f>
        <v>769320</v>
      </c>
      <c r="AC11" s="89">
        <f>SUMIFS('Mar20-Aug20 Billed-RETAIL'!P7:P155,'Mar20-Aug20 Billed-RETAIL'!E7:E155,SBR!A11,'Mar20-Aug20 Billed-RETAIL'!C7:C155,SBR!AC4)+SUMIFS('Mar20-Aug20 Billed-RETAIL'!Q7:Q155,'Mar20-Aug20 Billed-RETAIL'!E7:E155,SBR!A11,'Mar20-Aug20 Billed-RETAIL'!C7:C155,SBR!AC4)</f>
        <v>804976.99999999988</v>
      </c>
      <c r="AD11" s="89">
        <f>SUMIFS('Mar20-Aug20 Billed-RETAIL'!P7:P155,'Mar20-Aug20 Billed-RETAIL'!E7:E155,SBR!A11,'Mar20-Aug20 Billed-RETAIL'!C7:C155,SBR!AD4)+SUMIFS('Mar20-Aug20 Billed-RETAIL'!Q7:Q155,'Mar20-Aug20 Billed-RETAIL'!E7:E155,SBR!A11,'Mar20-Aug20 Billed-RETAIL'!C7:C155,SBR!AD4)</f>
        <v>809596</v>
      </c>
      <c r="AE11" s="89">
        <f>SUMIFS('Mar20-Aug20 Billed-RETAIL'!P7:P155,'Mar20-Aug20 Billed-RETAIL'!E7:E155,SBR!A11,'Mar20-Aug20 Billed-RETAIL'!C7:C155,SBR!AE4)+SUMIFS('Mar20-Aug20 Billed-RETAIL'!Q7:Q155,'Mar20-Aug20 Billed-RETAIL'!E7:E155,SBR!A11,'Mar20-Aug20 Billed-RETAIL'!C7:C155,SBR!AE4)</f>
        <v>732003.99999999988</v>
      </c>
      <c r="AF11" s="90">
        <f>(SUMIFS('Mar20-Aug20 Billed-RETAIL'!$J$5:$J$230,'Mar20-Aug20 Billed-RETAIL'!$C$5:$C$230,SBR!AF$4,'Mar20-Aug20 Billed-RETAIL'!$E$5:$E$230,SBR!$A11)+SUMIFS('Mar20-Aug20 Billed-RETAIL'!$K$5:$K$230,'Mar20-Aug20 Billed-RETAIL'!$C$5:$C$230,SBR!AF$4,'Mar20-Aug20 Billed-RETAIL'!$E$5:$E$230,SBR!$A11))*0.1</f>
        <v>1303725.8</v>
      </c>
      <c r="AG11" s="90">
        <f>(SUMIFS('Mar20-Aug20 Billed-RETAIL'!$J$5:$J$230,'Mar20-Aug20 Billed-RETAIL'!$C$5:$C$230,SBR!AG$4,'Mar20-Aug20 Billed-RETAIL'!$E$5:$E$230,SBR!$A11)+SUMIFS('Mar20-Aug20 Billed-RETAIL'!$K$5:$K$230,'Mar20-Aug20 Billed-RETAIL'!$C$5:$C$230,SBR!AG$4,'Mar20-Aug20 Billed-RETAIL'!$E$5:$E$230,SBR!$A11))*0.1</f>
        <v>763448</v>
      </c>
      <c r="AH11" s="90">
        <f>(SUMIFS('Mar20-Aug20 Billed-RETAIL'!$J$5:$J$230,'Mar20-Aug20 Billed-RETAIL'!$C$5:$C$230,SBR!AH$4,'Mar20-Aug20 Billed-RETAIL'!$E$5:$E$230,SBR!$A11)+SUMIFS('Mar20-Aug20 Billed-RETAIL'!$K$5:$K$230,'Mar20-Aug20 Billed-RETAIL'!$C$5:$C$230,SBR!AH$4,'Mar20-Aug20 Billed-RETAIL'!$E$5:$E$230,SBR!$A11))*0.1</f>
        <v>478129.5</v>
      </c>
      <c r="AI11" s="90">
        <f>(SUMIFS('Mar20-Aug20 Billed-RETAIL'!$J$5:$J$230,'Mar20-Aug20 Billed-RETAIL'!$C$5:$C$230,SBR!AI$4,'Mar20-Aug20 Billed-RETAIL'!$E$5:$E$230,SBR!$A11)+SUMIFS('Mar20-Aug20 Billed-RETAIL'!$K$5:$K$230,'Mar20-Aug20 Billed-RETAIL'!$C$5:$C$230,SBR!AI$4,'Mar20-Aug20 Billed-RETAIL'!$E$5:$E$230,SBR!$A11))*0.1</f>
        <v>305579.7</v>
      </c>
      <c r="AJ11" s="90">
        <f>(SUMIFS('Mar20-Aug20 Billed-RETAIL'!$J$5:$J$230,'Mar20-Aug20 Billed-RETAIL'!$C$5:$C$230,SBR!AJ$4,'Mar20-Aug20 Billed-RETAIL'!$E$5:$E$230,SBR!$A11)+SUMIFS('Mar20-Aug20 Billed-RETAIL'!$K$5:$K$230,'Mar20-Aug20 Billed-RETAIL'!$C$5:$C$230,SBR!AJ$4,'Mar20-Aug20 Billed-RETAIL'!$E$5:$E$230,SBR!$A11))*0.1</f>
        <v>232410.80000000002</v>
      </c>
      <c r="AK11" s="90">
        <f>(SUMIFS('Mar20-Aug20 Billed-RETAIL'!$J$5:$J$230,'Mar20-Aug20 Billed-RETAIL'!$C$5:$C$230,SBR!AK$4,'Mar20-Aug20 Billed-RETAIL'!$E$5:$E$230,SBR!$A11)+SUMIFS('Mar20-Aug20 Billed-RETAIL'!$K$5:$K$230,'Mar20-Aug20 Billed-RETAIL'!$C$5:$C$230,SBR!AK$4,'Mar20-Aug20 Billed-RETAIL'!$E$5:$E$230,SBR!$A11))*0.1</f>
        <v>226720.5</v>
      </c>
      <c r="AL11" s="90">
        <f>(SUMIFS('Mar20-Aug20 Billed-RETAIL'!$J$7:$J$155,'Mar20-Aug20 Billed-RETAIL'!$C$7:$C$155,SBR!AL$4,'Mar20-Aug20 Billed-RETAIL'!$E$7:$E$155,SBR!$A11)+SUMIFS('Mar20-Aug20 Billed-RETAIL'!$K$7:$K$155,'Mar20-Aug20 Billed-RETAIL'!$C$7:$C$155,SBR!AL$4,'Mar20-Aug20 Billed-RETAIL'!$E$7:$E$155,SBR!$A11))*0.1</f>
        <v>259549.94945897424</v>
      </c>
      <c r="AM11" s="90">
        <f>(SUMIFS('Mar20-Aug20 Billed-RETAIL'!$J$7:$J$155,'Mar20-Aug20 Billed-RETAIL'!$C$7:$C$155,SBR!AM$4,'Mar20-Aug20 Billed-RETAIL'!$E$7:$E$155,SBR!$A11)+SUMIFS('Mar20-Aug20 Billed-RETAIL'!$K$7:$K$155,'Mar20-Aug20 Billed-RETAIL'!$C$7:$C$155,SBR!AM$4,'Mar20-Aug20 Billed-RETAIL'!$E$7:$E$155,SBR!$A11))*0.1</f>
        <v>507287.00033551792</v>
      </c>
      <c r="AN11" s="90">
        <f>(SUMIFS('Mar20-Aug20 Billed-RETAIL'!$J$7:$J$155,'Mar20-Aug20 Billed-RETAIL'!$C$7:$C$155,SBR!AN$4,'Mar20-Aug20 Billed-RETAIL'!$E$7:$E$155,SBR!$A11)+SUMIFS('Mar20-Aug20 Billed-RETAIL'!$K$7:$K$155,'Mar20-Aug20 Billed-RETAIL'!$C$7:$C$155,SBR!AN$4,'Mar20-Aug20 Billed-RETAIL'!$E$7:$E$155,SBR!$A11))*0.1</f>
        <v>1110215.2257026162</v>
      </c>
      <c r="AO11" s="90">
        <f>(SUMIFS('Mar20-Aug20 Billed-RETAIL'!$J$7:$J$155,'Mar20-Aug20 Billed-RETAIL'!$C$7:$C$155,SBR!AO$4,'Mar20-Aug20 Billed-RETAIL'!$E$7:$E$155,SBR!$A11)+SUMIFS('Mar20-Aug20 Billed-RETAIL'!$K$7:$K$155,'Mar20-Aug20 Billed-RETAIL'!$C$7:$C$155,SBR!AO$4,'Mar20-Aug20 Billed-RETAIL'!$E$7:$E$155,SBR!$A11))*0.1</f>
        <v>1682770.2455497272</v>
      </c>
      <c r="AP11" s="90">
        <f>(SUMIFS('Mar20-Aug20 Billed-RETAIL'!$J$7:$J$155,'Mar20-Aug20 Billed-RETAIL'!$C$7:$C$155,SBR!AP$4,'Mar20-Aug20 Billed-RETAIL'!$E$7:$E$155,SBR!$A11)+SUMIFS('Mar20-Aug20 Billed-RETAIL'!$K$7:$K$155,'Mar20-Aug20 Billed-RETAIL'!$C$7:$C$155,SBR!AP$4,'Mar20-Aug20 Billed-RETAIL'!$E$7:$E$155,SBR!$A11))*0.1</f>
        <v>2164102.062298927</v>
      </c>
      <c r="AQ11" s="90">
        <f>(SUMIFS('Mar20-Aug20 Billed-RETAIL'!$J$7:$J$155,'Mar20-Aug20 Billed-RETAIL'!$C$7:$C$155,SBR!AQ$4,'Mar20-Aug20 Billed-RETAIL'!$E$7:$E$155,SBR!$A11)+SUMIFS('Mar20-Aug20 Billed-RETAIL'!$K$7:$K$155,'Mar20-Aug20 Billed-RETAIL'!$C$7:$C$155,SBR!AQ$4,'Mar20-Aug20 Billed-RETAIL'!$E$7:$E$155,SBR!$A11))*0.1</f>
        <v>1694013.6430148636</v>
      </c>
      <c r="AR11" s="91">
        <f>SUMIFS('Mar20-Aug20 Billed-RETAIL'!$BA$5:$BA$156,'Mar20-Aug20 Billed-RETAIL'!$C$5:$C$156,SBR!AR$4,'Mar20-Aug20 Billed-RETAIL'!$E$5:$E$156,SBR!$A11)</f>
        <v>10813326.699999999</v>
      </c>
      <c r="AS11" s="91">
        <f>SUMIFS('Mar20-Aug20 Billed-RETAIL'!$BA$5:$BA$156,'Mar20-Aug20 Billed-RETAIL'!$C$5:$C$156,SBR!AS$4,'Mar20-Aug20 Billed-RETAIL'!$E$5:$E$156,SBR!$A11)</f>
        <v>7093566.4800000004</v>
      </c>
      <c r="AT11" s="91">
        <f>SUMIFS('Mar20-Aug20 Billed-RETAIL'!$BA$5:$BA$156,'Mar20-Aug20 Billed-RETAIL'!$C$5:$C$156,SBR!AT$4,'Mar20-Aug20 Billed-RETAIL'!$E$5:$E$156,SBR!$A11)</f>
        <v>4800180.9000000004</v>
      </c>
      <c r="AU11" s="91">
        <f>SUMIFS('Mar20-Aug20 Billed-RETAIL'!$BA$5:$BA$156,'Mar20-Aug20 Billed-RETAIL'!$C$5:$C$156,SBR!AU$4,'Mar20-Aug20 Billed-RETAIL'!$E$5:$E$156,SBR!$A11)</f>
        <v>3758434.78</v>
      </c>
      <c r="AV11" s="91">
        <f>SUMIFS('Mar20-Aug20 Billed-RETAIL'!$BA$5:$BA$156,'Mar20-Aug20 Billed-RETAIL'!$C$5:$C$156,SBR!AV$4,'Mar20-Aug20 Billed-RETAIL'!$E$5:$E$156,SBR!$A11)</f>
        <v>3334352.23</v>
      </c>
      <c r="AW11" s="91">
        <f>SUMIFS('Mar20-Aug20 Billed-RETAIL'!$BA$5:$BA$156,'Mar20-Aug20 Billed-RETAIL'!$C$5:$C$156,SBR!AW$4,'Mar20-Aug20 Billed-RETAIL'!$E$5:$E$156,SBR!$A11)</f>
        <v>3289581.23</v>
      </c>
      <c r="AX11" s="91">
        <f>SUMIFS('Mar20-Aug20 Billed-RETAIL'!$BA$7:$BA$155,'Mar20-Aug20 Billed-RETAIL'!$E$7:$E$155,$A11,'Mar20-Aug20 Billed-RETAIL'!$C$7:$C$155,AX$4)</f>
        <v>3688052.78</v>
      </c>
      <c r="AY11" s="91">
        <f>SUMIFS('Mar20-Aug20 Billed-RETAIL'!$BA$7:$BA$155,'Mar20-Aug20 Billed-RETAIL'!$E$7:$E$155,$A11,'Mar20-Aug20 Billed-RETAIL'!$C$7:$C$155,AY$4)</f>
        <v>5281741.53</v>
      </c>
      <c r="AZ11" s="91">
        <f>SUMIFS('Mar20-Aug20 Billed-RETAIL'!$BA$7:$BA$155,'Mar20-Aug20 Billed-RETAIL'!$E$7:$E$155,$A11,'Mar20-Aug20 Billed-RETAIL'!$C$7:$C$155,AZ$4)</f>
        <v>9453879.7899999991</v>
      </c>
      <c r="BA11" s="91">
        <f>SUMIFS('Mar20-Aug20 Billed-RETAIL'!$BA$7:$BA$155,'Mar20-Aug20 Billed-RETAIL'!$E$7:$E$155,$A11,'Mar20-Aug20 Billed-RETAIL'!$C$7:$C$155,BA$4)</f>
        <v>13864873.82</v>
      </c>
      <c r="BB11" s="91">
        <f>SUMIFS('Mar20-Aug20 Billed-RETAIL'!$BA$7:$BA$155,'Mar20-Aug20 Billed-RETAIL'!$E$7:$E$155,$A11,'Mar20-Aug20 Billed-RETAIL'!$C$7:$C$155,BB$4)</f>
        <v>17613027.129999999</v>
      </c>
      <c r="BC11" s="91">
        <f>SUMIFS('Mar20-Aug20 Billed-RETAIL'!$BA$7:$BA$155,'Mar20-Aug20 Billed-RETAIL'!$E$7:$E$155,$A11,'Mar20-Aug20 Billed-RETAIL'!$C$7:$C$155,BC$4)</f>
        <v>14149278</v>
      </c>
      <c r="BD11" s="92"/>
      <c r="BE11" s="92"/>
      <c r="BF11" s="251">
        <f t="shared" ref="BF11:BK11" si="17">ROUND((AR11/SUM(AR$9+AR$17+AR$23+AR26+AR29+AR$39))*BF$5,2)</f>
        <v>-272.38</v>
      </c>
      <c r="BG11" s="251">
        <f t="shared" si="17"/>
        <v>1933.09</v>
      </c>
      <c r="BH11" s="251">
        <f t="shared" si="17"/>
        <v>2132.14</v>
      </c>
      <c r="BI11" s="251">
        <f t="shared" si="17"/>
        <v>-7.95</v>
      </c>
      <c r="BJ11" s="251">
        <f t="shared" si="17"/>
        <v>100.16</v>
      </c>
      <c r="BK11" s="251">
        <f t="shared" si="17"/>
        <v>99.29</v>
      </c>
      <c r="BL11" s="251">
        <f t="shared" si="6"/>
        <v>3984.35</v>
      </c>
    </row>
    <row r="12" spans="1:66" x14ac:dyDescent="0.25">
      <c r="A12" s="50" t="s">
        <v>350</v>
      </c>
      <c r="B12" s="50" t="s">
        <v>351</v>
      </c>
      <c r="C12" s="112">
        <f t="shared" si="14"/>
        <v>6</v>
      </c>
      <c r="D12" s="112">
        <f t="shared" si="15"/>
        <v>181</v>
      </c>
      <c r="E12" s="123">
        <f t="shared" si="16"/>
        <v>161.19999999999999</v>
      </c>
      <c r="F12" s="112">
        <f t="shared" si="7"/>
        <v>1388.3700000000001</v>
      </c>
      <c r="G12" s="46"/>
      <c r="H12" s="89">
        <f>SUMIFS('Mar20-Aug20 Billed-RETAIL'!$H$7:$H$155,'Mar20-Aug20 Billed-RETAIL'!$C$7:$C$155,H$4,'Mar20-Aug20 Billed-RETAIL'!$E$7:$E$155,$A12)+SUMIFS('Mar20-Aug20 Billed-RETAIL'!$I$7:$I$155,'Mar20-Aug20 Billed-RETAIL'!$C$7:$C$155,H$4,'Mar20-Aug20 Billed-RETAIL'!$E$7:$E$155,$A12)</f>
        <v>1</v>
      </c>
      <c r="I12" s="89">
        <f>SUMIFS('Mar20-Aug20 Billed-RETAIL'!$H$7:$H$155,'Mar20-Aug20 Billed-RETAIL'!$C$7:$C$155,I$4,'Mar20-Aug20 Billed-RETAIL'!$E$7:$E$155,$A12)+SUMIFS('Mar20-Aug20 Billed-RETAIL'!$I$7:$I$155,'Mar20-Aug20 Billed-RETAIL'!$C$7:$C$155,I$4,'Mar20-Aug20 Billed-RETAIL'!$E$7:$E$155,$A12)</f>
        <v>1</v>
      </c>
      <c r="J12" s="89">
        <f>SUMIFS('Mar20-Aug20 Billed-RETAIL'!$H$7:$H$155,'Mar20-Aug20 Billed-RETAIL'!$C$7:$C$155,J$4,'Mar20-Aug20 Billed-RETAIL'!$E$7:$E$155,$A12)+SUMIFS('Mar20-Aug20 Billed-RETAIL'!$I$7:$I$155,'Mar20-Aug20 Billed-RETAIL'!$C$7:$C$155,J$4,'Mar20-Aug20 Billed-RETAIL'!$E$7:$E$155,$A12)</f>
        <v>1</v>
      </c>
      <c r="K12" s="89">
        <f>SUMIFS('Mar20-Aug20 Billed-RETAIL'!$H$7:$H$155,'Mar20-Aug20 Billed-RETAIL'!$C$7:$C$155,K$4,'Mar20-Aug20 Billed-RETAIL'!$E$7:$E$155,$A12)+SUMIFS('Mar20-Aug20 Billed-RETAIL'!$I$7:$I$155,'Mar20-Aug20 Billed-RETAIL'!$C$7:$C$155,K$4,'Mar20-Aug20 Billed-RETAIL'!$E$7:$E$155,$A12)</f>
        <v>1</v>
      </c>
      <c r="L12" s="89">
        <f>SUMIFS('Mar20-Aug20 Billed-RETAIL'!$H$7:$H$155,'Mar20-Aug20 Billed-RETAIL'!$C$7:$C$155,L$4,'Mar20-Aug20 Billed-RETAIL'!$E$7:$E$155,$A12)+SUMIFS('Mar20-Aug20 Billed-RETAIL'!$I$7:$I$155,'Mar20-Aug20 Billed-RETAIL'!$C$7:$C$155,L$4,'Mar20-Aug20 Billed-RETAIL'!$E$7:$E$155,$A12)</f>
        <v>1</v>
      </c>
      <c r="M12" s="89">
        <f>SUMIFS('Mar20-Aug20 Billed-RETAIL'!$H$7:$H$155,'Mar20-Aug20 Billed-RETAIL'!$C$7:$C$155,M$4,'Mar20-Aug20 Billed-RETAIL'!$E$7:$E$155,$A12)</f>
        <v>1</v>
      </c>
      <c r="N12" s="89">
        <f>SUMIFS('Mar20-Aug20 Billed-RETAIL'!$H$7:$H$155,'Mar20-Aug20 Billed-RETAIL'!$C$7:$C$155,N$4,'Mar20-Aug20 Billed-RETAIL'!$E$7:$E$155,$A12)</f>
        <v>0</v>
      </c>
      <c r="O12" s="89">
        <f>SUMIFS('Mar20-Aug20 Billed-RETAIL'!$H$7:$H$155,'Mar20-Aug20 Billed-RETAIL'!$C$7:$C$155,O$4,'Mar20-Aug20 Billed-RETAIL'!$E$7:$E$155,$A12)</f>
        <v>0</v>
      </c>
      <c r="P12" s="89">
        <f>SUMIFS('Mar20-Aug20 Billed-RETAIL'!$H$7:$H$155,'Mar20-Aug20 Billed-RETAIL'!$C$7:$C$155,P$4,'Mar20-Aug20 Billed-RETAIL'!$E$7:$E$155,$A12)</f>
        <v>0</v>
      </c>
      <c r="Q12" s="89">
        <f>SUMIFS('Mar20-Aug20 Billed-RETAIL'!$H$7:$H$155,'Mar20-Aug20 Billed-RETAIL'!$C$7:$C$155,Q$4,'Mar20-Aug20 Billed-RETAIL'!$E$7:$E$155,$A12)</f>
        <v>0</v>
      </c>
      <c r="R12" s="89">
        <f>SUMIFS('Mar20-Aug20 Billed-RETAIL'!$H$7:$H$155,'Mar20-Aug20 Billed-RETAIL'!$C$7:$C$155,R$4,'Mar20-Aug20 Billed-RETAIL'!$E$7:$E$155,$A12)</f>
        <v>0</v>
      </c>
      <c r="S12" s="89">
        <f>SUMIFS('Mar20-Aug20 Billed-RETAIL'!$H$7:$H$155,'Mar20-Aug20 Billed-RETAIL'!$C$7:$C$155,S$4,'Mar20-Aug20 Billed-RETAIL'!$E$7:$E$155,$A12)</f>
        <v>0</v>
      </c>
      <c r="T12" s="89">
        <f>SUMIFS('Mar20-Aug20 Billed-RETAIL'!P7:P155,'Mar20-Aug20 Billed-RETAIL'!E7:E155,SBR!A12,'Mar20-Aug20 Billed-RETAIL'!C7:C155,SBR!T4)</f>
        <v>28</v>
      </c>
      <c r="U12" s="89">
        <f>SUMIFS('Mar20-Aug20 Billed-RETAIL'!P7:P155,'Mar20-Aug20 Billed-RETAIL'!E7:E155,SBR!A12,'Mar20-Aug20 Billed-RETAIL'!C7:C155,SBR!U4)</f>
        <v>29</v>
      </c>
      <c r="V12" s="89">
        <f>SUMIFS('Mar20-Aug20 Billed-RETAIL'!P8:P156,'Mar20-Aug20 Billed-RETAIL'!E8:E156,SBR!A12,'Mar20-Aug20 Billed-RETAIL'!C8:C156,SBR!V4)</f>
        <v>33</v>
      </c>
      <c r="W12" s="89">
        <f>SUMIFS('Mar20-Aug20 Billed-RETAIL'!P8:P156,'Mar20-Aug20 Billed-RETAIL'!E8:E156,SBR!A12,'Mar20-Aug20 Billed-RETAIL'!C8:C156,SBR!W4)</f>
        <v>29</v>
      </c>
      <c r="X12" s="89">
        <f>SUMIFS('Mar20-Aug20 Billed-RETAIL'!P8:P156,'Mar20-Aug20 Billed-RETAIL'!E8:E156,SBR!A12,'Mar20-Aug20 Billed-RETAIL'!C8:C156,SBR!X4)</f>
        <v>29</v>
      </c>
      <c r="Y12" s="89">
        <f>SUMIFS('Mar20-Aug20 Billed-RETAIL'!P8:P156,'Mar20-Aug20 Billed-RETAIL'!E8:E156,SBR!A12,'Mar20-Aug20 Billed-RETAIL'!C8:C156,SBR!Y4)</f>
        <v>33</v>
      </c>
      <c r="Z12" s="89">
        <f>SUMIFS('Mar20-Aug20 Billed-RETAIL'!P8:P156,'Mar20-Aug20 Billed-RETAIL'!E8:E156,SBR!A12,'Mar20-Aug20 Billed-RETAIL'!C8:C156,SBR!Z4)</f>
        <v>0</v>
      </c>
      <c r="AA12" s="89">
        <f>SUMIFS('Mar20-Aug20 Billed-RETAIL'!P8:P156,'Mar20-Aug20 Billed-RETAIL'!E8:E156,SBR!A12,'Mar20-Aug20 Billed-RETAIL'!C8:C156,SBR!AA4)</f>
        <v>0</v>
      </c>
      <c r="AB12" s="89">
        <f>SUMIFS('Mar20-Aug20 Billed-RETAIL'!P8:P156,'Mar20-Aug20 Billed-RETAIL'!E8:E156,SBR!A12,'Mar20-Aug20 Billed-RETAIL'!C8:C156,SBR!AB4)</f>
        <v>0</v>
      </c>
      <c r="AC12" s="89">
        <f>SUMIFS('Mar20-Aug20 Billed-RETAIL'!P8:P156,'Mar20-Aug20 Billed-RETAIL'!E8:E156,SBR!A12,'Mar20-Aug20 Billed-RETAIL'!C8:C156,SBR!AC4)</f>
        <v>0</v>
      </c>
      <c r="AD12" s="89">
        <f>SUMIFS('Mar20-Aug20 Billed-RETAIL'!P8:P156,'Mar20-Aug20 Billed-RETAIL'!E8:E156,SBR!A12,'Mar20-Aug20 Billed-RETAIL'!C8:C156,SBR!AD4)</f>
        <v>0</v>
      </c>
      <c r="AE12" s="89">
        <f>SUMIFS('Mar20-Aug20 Billed-RETAIL'!P8:P156,'Mar20-Aug20 Billed-RETAIL'!E8:E156,SBR!A12,'Mar20-Aug20 Billed-RETAIL'!C8:C156,SBR!AE4)</f>
        <v>0</v>
      </c>
      <c r="AF12" s="90">
        <f>(SUMIFS('Mar20-Aug20 Billed-RETAIL'!$J$5:$J$230,'Mar20-Aug20 Billed-RETAIL'!$C$5:$C$230,SBR!AF$4,'Mar20-Aug20 Billed-RETAIL'!$E$5:$E$230,SBR!$A12)+SUMIFS('Mar20-Aug20 Billed-RETAIL'!$K$5:$K$230,'Mar20-Aug20 Billed-RETAIL'!$C$5:$C$230,SBR!AF$4,'Mar20-Aug20 Billed-RETAIL'!$E$5:$E$230,SBR!$A12))*0.1</f>
        <v>24.8</v>
      </c>
      <c r="AG12" s="90">
        <f>(SUMIFS('Mar20-Aug20 Billed-RETAIL'!$J$5:$J$230,'Mar20-Aug20 Billed-RETAIL'!$C$5:$C$230,SBR!AG$4,'Mar20-Aug20 Billed-RETAIL'!$E$5:$E$230,SBR!$A12)+SUMIFS('Mar20-Aug20 Billed-RETAIL'!$K$5:$K$230,'Mar20-Aug20 Billed-RETAIL'!$C$5:$C$230,SBR!AG$4,'Mar20-Aug20 Billed-RETAIL'!$E$5:$E$230,SBR!$A12))*0.1</f>
        <v>25.6</v>
      </c>
      <c r="AH12" s="90">
        <f>(SUMIFS('Mar20-Aug20 Billed-RETAIL'!$J$5:$J$230,'Mar20-Aug20 Billed-RETAIL'!$C$5:$C$230,SBR!AH$4,'Mar20-Aug20 Billed-RETAIL'!$E$5:$E$230,SBR!$A12)+SUMIFS('Mar20-Aug20 Billed-RETAIL'!$K$5:$K$230,'Mar20-Aug20 Billed-RETAIL'!$C$5:$C$230,SBR!AH$4,'Mar20-Aug20 Billed-RETAIL'!$E$5:$E$230,SBR!$A12))*0.1</f>
        <v>29.6</v>
      </c>
      <c r="AI12" s="90">
        <f>(SUMIFS('Mar20-Aug20 Billed-RETAIL'!$J$5:$J$230,'Mar20-Aug20 Billed-RETAIL'!$C$5:$C$230,SBR!AI$4,'Mar20-Aug20 Billed-RETAIL'!$E$5:$E$230,SBR!$A12)+SUMIFS('Mar20-Aug20 Billed-RETAIL'!$K$5:$K$230,'Mar20-Aug20 Billed-RETAIL'!$C$5:$C$230,SBR!AI$4,'Mar20-Aug20 Billed-RETAIL'!$E$5:$E$230,SBR!$A12))*0.1</f>
        <v>25.6</v>
      </c>
      <c r="AJ12" s="90">
        <f>(SUMIFS('Mar20-Aug20 Billed-RETAIL'!$J$5:$J$230,'Mar20-Aug20 Billed-RETAIL'!$C$5:$C$230,SBR!AJ$4,'Mar20-Aug20 Billed-RETAIL'!$E$5:$E$230,SBR!$A12)+SUMIFS('Mar20-Aug20 Billed-RETAIL'!$K$5:$K$230,'Mar20-Aug20 Billed-RETAIL'!$C$5:$C$230,SBR!AJ$4,'Mar20-Aug20 Billed-RETAIL'!$E$5:$E$230,SBR!$A12))*0.1</f>
        <v>34.4</v>
      </c>
      <c r="AK12" s="90">
        <f>(SUMIFS('Mar20-Aug20 Billed-RETAIL'!$J$5:$J$230,'Mar20-Aug20 Billed-RETAIL'!$C$5:$C$230,SBR!AK$4,'Mar20-Aug20 Billed-RETAIL'!$E$5:$E$230,SBR!$A12)+SUMIFS('Mar20-Aug20 Billed-RETAIL'!$K$5:$K$230,'Mar20-Aug20 Billed-RETAIL'!$C$5:$C$230,SBR!AK$4,'Mar20-Aug20 Billed-RETAIL'!$E$5:$E$230,SBR!$A12))*0.1</f>
        <v>21.200000000000003</v>
      </c>
      <c r="AL12" s="114"/>
      <c r="AM12" s="114"/>
      <c r="AN12" s="114"/>
      <c r="AO12" s="114"/>
      <c r="AP12" s="114"/>
      <c r="AQ12" s="114"/>
      <c r="AR12" s="91">
        <f>SUMIFS('Mar20-Aug20 Billed-RETAIL'!$BA$5:$BA$156,'Mar20-Aug20 Billed-RETAIL'!$C$5:$C$156,SBR!AR$4,'Mar20-Aug20 Billed-RETAIL'!$E$5:$E$156,SBR!$A12)</f>
        <v>222.24</v>
      </c>
      <c r="AS12" s="91">
        <f>SUMIFS('Mar20-Aug20 Billed-RETAIL'!$BA$5:$BA$156,'Mar20-Aug20 Billed-RETAIL'!$C$5:$C$156,SBR!AS$4,'Mar20-Aug20 Billed-RETAIL'!$E$5:$E$156,SBR!$A12)</f>
        <v>229.72</v>
      </c>
      <c r="AT12" s="91">
        <f>SUMIFS('Mar20-Aug20 Billed-RETAIL'!$BA$5:$BA$156,'Mar20-Aug20 Billed-RETAIL'!$C$5:$C$156,SBR!AT$4,'Mar20-Aug20 Billed-RETAIL'!$E$5:$E$156,SBR!$A12)</f>
        <v>249.63</v>
      </c>
      <c r="AU12" s="91">
        <f>SUMIFS('Mar20-Aug20 Billed-RETAIL'!$BA$5:$BA$156,'Mar20-Aug20 Billed-RETAIL'!$C$5:$C$156,SBR!AU$4,'Mar20-Aug20 Billed-RETAIL'!$E$5:$E$156,SBR!$A12)</f>
        <v>215.01</v>
      </c>
      <c r="AV12" s="91">
        <f>SUMIFS('Mar20-Aug20 Billed-RETAIL'!$BA$5:$BA$156,'Mar20-Aug20 Billed-RETAIL'!$C$5:$C$156,SBR!AV$4,'Mar20-Aug20 Billed-RETAIL'!$E$5:$E$156,SBR!$A12)</f>
        <v>266.08</v>
      </c>
      <c r="AW12" s="91">
        <f>SUMIFS('Mar20-Aug20 Billed-RETAIL'!$BA$5:$BA$156,'Mar20-Aug20 Billed-RETAIL'!$C$5:$C$156,SBR!AW$4,'Mar20-Aug20 Billed-RETAIL'!$E$5:$E$156,SBR!$A12)</f>
        <v>205.51</v>
      </c>
      <c r="AX12" s="91"/>
      <c r="AY12" s="91"/>
      <c r="AZ12" s="91"/>
      <c r="BA12" s="91"/>
      <c r="BB12" s="91"/>
      <c r="BC12" s="91"/>
      <c r="BD12" s="92"/>
      <c r="BE12" s="92"/>
      <c r="BF12" s="251">
        <f t="shared" ref="BF12:BK12" si="18">ROUND((AR12/SUM(AR$9+AR$17+AR$23+AR26+AR29+AR$39))*BF$5,2)</f>
        <v>-0.01</v>
      </c>
      <c r="BG12" s="251">
        <f t="shared" si="18"/>
        <v>0.06</v>
      </c>
      <c r="BH12" s="251">
        <f t="shared" si="18"/>
        <v>0.11</v>
      </c>
      <c r="BI12" s="251">
        <f t="shared" si="18"/>
        <v>0</v>
      </c>
      <c r="BJ12" s="251">
        <f t="shared" si="18"/>
        <v>0.01</v>
      </c>
      <c r="BK12" s="251">
        <f t="shared" si="18"/>
        <v>0.01</v>
      </c>
      <c r="BL12" s="251">
        <f t="shared" si="6"/>
        <v>0.18000000000000002</v>
      </c>
    </row>
    <row r="13" spans="1:66" x14ac:dyDescent="0.25">
      <c r="A13" s="50" t="s">
        <v>22</v>
      </c>
      <c r="B13" s="50" t="s">
        <v>23</v>
      </c>
      <c r="C13" s="112">
        <f t="shared" si="14"/>
        <v>0</v>
      </c>
      <c r="D13" s="112"/>
      <c r="E13" s="123">
        <f t="shared" si="16"/>
        <v>0</v>
      </c>
      <c r="F13" s="112">
        <f t="shared" si="7"/>
        <v>0</v>
      </c>
      <c r="G13" s="46"/>
      <c r="H13" s="89">
        <f>SUMIFS('Mar20-Aug20 Billed-RETAIL'!$H$7:$H$155,'Mar20-Aug20 Billed-RETAIL'!$C$7:$C$155,H$4,'Mar20-Aug20 Billed-RETAIL'!$E$7:$E$155,$A13)+SUMIFS('Mar20-Aug20 Billed-RETAIL'!$I$7:$I$155,'Mar20-Aug20 Billed-RETAIL'!$C$7:$C$155,H$4,'Mar20-Aug20 Billed-RETAIL'!$E$7:$E$155,$A13)</f>
        <v>0</v>
      </c>
      <c r="I13" s="89">
        <f>SUMIFS('Mar20-Aug20 Billed-RETAIL'!$H$7:$H$155,'Mar20-Aug20 Billed-RETAIL'!$C$7:$C$155,I$4,'Mar20-Aug20 Billed-RETAIL'!$E$7:$E$155,$A13)+SUMIFS('Mar20-Aug20 Billed-RETAIL'!$I$7:$I$155,'Mar20-Aug20 Billed-RETAIL'!$C$7:$C$155,I$4,'Mar20-Aug20 Billed-RETAIL'!$E$7:$E$155,$A13)</f>
        <v>0</v>
      </c>
      <c r="J13" s="89">
        <f>SUMIFS('Mar20-Aug20 Billed-RETAIL'!$H$7:$H$155,'Mar20-Aug20 Billed-RETAIL'!$C$7:$C$155,J$4,'Mar20-Aug20 Billed-RETAIL'!$E$7:$E$155,$A13)+SUMIFS('Mar20-Aug20 Billed-RETAIL'!$I$7:$I$155,'Mar20-Aug20 Billed-RETAIL'!$C$7:$C$155,J$4,'Mar20-Aug20 Billed-RETAIL'!$E$7:$E$155,$A13)</f>
        <v>0</v>
      </c>
      <c r="K13" s="89">
        <f>SUMIFS('Mar20-Aug20 Billed-RETAIL'!$H$7:$H$155,'Mar20-Aug20 Billed-RETAIL'!$C$7:$C$155,K$4,'Mar20-Aug20 Billed-RETAIL'!$E$7:$E$155,$A13)+SUMIFS('Mar20-Aug20 Billed-RETAIL'!$I$7:$I$155,'Mar20-Aug20 Billed-RETAIL'!$C$7:$C$155,K$4,'Mar20-Aug20 Billed-RETAIL'!$E$7:$E$155,$A13)</f>
        <v>0</v>
      </c>
      <c r="L13" s="89">
        <f>SUMIFS('Mar20-Aug20 Billed-RETAIL'!$H$7:$H$155,'Mar20-Aug20 Billed-RETAIL'!$C$7:$C$155,L$4,'Mar20-Aug20 Billed-RETAIL'!$E$7:$E$155,$A13)+SUMIFS('Mar20-Aug20 Billed-RETAIL'!$I$7:$I$155,'Mar20-Aug20 Billed-RETAIL'!$C$7:$C$155,L$4,'Mar20-Aug20 Billed-RETAIL'!$E$7:$E$155,$A13)</f>
        <v>0</v>
      </c>
      <c r="M13" s="89">
        <f>SUMIFS('Mar20-Aug20 Billed-RETAIL'!$H$7:$H$155,'Mar20-Aug20 Billed-RETAIL'!$C$7:$C$155,M$4,'Mar20-Aug20 Billed-RETAIL'!$E$7:$E$155,$A13)</f>
        <v>0</v>
      </c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90">
        <f>(SUMIFS('Mar20-Aug20 Billed-RETAIL'!$J$5:$J$230,'Mar20-Aug20 Billed-RETAIL'!$C$5:$C$230,SBR!AF$4,'Mar20-Aug20 Billed-RETAIL'!$E$5:$E$230,SBR!$A13)+SUMIFS('Mar20-Aug20 Billed-RETAIL'!$K$5:$K$230,'Mar20-Aug20 Billed-RETAIL'!$C$5:$C$230,SBR!AF$4,'Mar20-Aug20 Billed-RETAIL'!$E$5:$E$230,SBR!$A13))*0.1</f>
        <v>0</v>
      </c>
      <c r="AG13" s="90">
        <f>(SUMIFS('Mar20-Aug20 Billed-RETAIL'!$J$5:$J$230,'Mar20-Aug20 Billed-RETAIL'!$C$5:$C$230,SBR!AG$4,'Mar20-Aug20 Billed-RETAIL'!$E$5:$E$230,SBR!$A13)+SUMIFS('Mar20-Aug20 Billed-RETAIL'!$K$5:$K$230,'Mar20-Aug20 Billed-RETAIL'!$C$5:$C$230,SBR!AG$4,'Mar20-Aug20 Billed-RETAIL'!$E$5:$E$230,SBR!$A13))*0.1</f>
        <v>0</v>
      </c>
      <c r="AH13" s="90">
        <f>(SUMIFS('Mar20-Aug20 Billed-RETAIL'!$J$5:$J$230,'Mar20-Aug20 Billed-RETAIL'!$C$5:$C$230,SBR!AH$4,'Mar20-Aug20 Billed-RETAIL'!$E$5:$E$230,SBR!$A13)+SUMIFS('Mar20-Aug20 Billed-RETAIL'!$K$5:$K$230,'Mar20-Aug20 Billed-RETAIL'!$C$5:$C$230,SBR!AH$4,'Mar20-Aug20 Billed-RETAIL'!$E$5:$E$230,SBR!$A13))*0.1</f>
        <v>0</v>
      </c>
      <c r="AI13" s="90">
        <f>(SUMIFS('Mar20-Aug20 Billed-RETAIL'!$J$5:$J$230,'Mar20-Aug20 Billed-RETAIL'!$C$5:$C$230,SBR!AI$4,'Mar20-Aug20 Billed-RETAIL'!$E$5:$E$230,SBR!$A13)+SUMIFS('Mar20-Aug20 Billed-RETAIL'!$K$5:$K$230,'Mar20-Aug20 Billed-RETAIL'!$C$5:$C$230,SBR!AI$4,'Mar20-Aug20 Billed-RETAIL'!$E$5:$E$230,SBR!$A13))*0.1</f>
        <v>0</v>
      </c>
      <c r="AJ13" s="90">
        <f>(SUMIFS('Mar20-Aug20 Billed-RETAIL'!$J$5:$J$230,'Mar20-Aug20 Billed-RETAIL'!$C$5:$C$230,SBR!AJ$4,'Mar20-Aug20 Billed-RETAIL'!$E$5:$E$230,SBR!$A13)+SUMIFS('Mar20-Aug20 Billed-RETAIL'!$K$5:$K$230,'Mar20-Aug20 Billed-RETAIL'!$C$5:$C$230,SBR!AJ$4,'Mar20-Aug20 Billed-RETAIL'!$E$5:$E$230,SBR!$A13))*0.1</f>
        <v>0</v>
      </c>
      <c r="AK13" s="90">
        <f>(SUMIFS('Mar20-Aug20 Billed-RETAIL'!$J$5:$J$230,'Mar20-Aug20 Billed-RETAIL'!$C$5:$C$230,SBR!AK$4,'Mar20-Aug20 Billed-RETAIL'!$E$5:$E$230,SBR!$A13)+SUMIFS('Mar20-Aug20 Billed-RETAIL'!$K$5:$K$230,'Mar20-Aug20 Billed-RETAIL'!$C$5:$C$230,SBR!AK$4,'Mar20-Aug20 Billed-RETAIL'!$E$5:$E$230,SBR!$A13))*0.1</f>
        <v>0</v>
      </c>
      <c r="AL13" s="114"/>
      <c r="AM13" s="114"/>
      <c r="AN13" s="114"/>
      <c r="AO13" s="114"/>
      <c r="AP13" s="114"/>
      <c r="AQ13" s="114"/>
      <c r="AR13" s="91">
        <f>SUMIFS('Mar20-Aug20 Billed-RETAIL'!$BA$5:$BA$156,'Mar20-Aug20 Billed-RETAIL'!$C$5:$C$156,SBR!AR$4,'Mar20-Aug20 Billed-RETAIL'!$E$5:$E$156,SBR!$A13)</f>
        <v>0</v>
      </c>
      <c r="AS13" s="91">
        <f>SUMIFS('Mar20-Aug20 Billed-RETAIL'!$BA$5:$BA$156,'Mar20-Aug20 Billed-RETAIL'!$C$5:$C$156,SBR!AS$4,'Mar20-Aug20 Billed-RETAIL'!$E$5:$E$156,SBR!$A13)</f>
        <v>0</v>
      </c>
      <c r="AT13" s="91">
        <f>SUMIFS('Mar20-Aug20 Billed-RETAIL'!$BA$5:$BA$156,'Mar20-Aug20 Billed-RETAIL'!$C$5:$C$156,SBR!AT$4,'Mar20-Aug20 Billed-RETAIL'!$E$5:$E$156,SBR!$A13)</f>
        <v>0</v>
      </c>
      <c r="AU13" s="91">
        <f>SUMIFS('Mar20-Aug20 Billed-RETAIL'!$BA$5:$BA$156,'Mar20-Aug20 Billed-RETAIL'!$C$5:$C$156,SBR!AU$4,'Mar20-Aug20 Billed-RETAIL'!$E$5:$E$156,SBR!$A13)</f>
        <v>0</v>
      </c>
      <c r="AV13" s="91">
        <f>SUMIFS('Mar20-Aug20 Billed-RETAIL'!$BA$5:$BA$156,'Mar20-Aug20 Billed-RETAIL'!$C$5:$C$156,SBR!AV$4,'Mar20-Aug20 Billed-RETAIL'!$E$5:$E$156,SBR!$A13)</f>
        <v>0</v>
      </c>
      <c r="AW13" s="91">
        <f>SUMIFS('Mar20-Aug20 Billed-RETAIL'!$BA$5:$BA$156,'Mar20-Aug20 Billed-RETAIL'!$C$5:$C$156,SBR!AW$4,'Mar20-Aug20 Billed-RETAIL'!$E$5:$E$156,SBR!$A13)</f>
        <v>0</v>
      </c>
      <c r="AX13" s="91"/>
      <c r="AY13" s="91"/>
      <c r="AZ13" s="91"/>
      <c r="BA13" s="91"/>
      <c r="BB13" s="91"/>
      <c r="BC13" s="91"/>
      <c r="BD13" s="92"/>
      <c r="BE13" s="92"/>
      <c r="BF13" s="251">
        <f t="shared" ref="BF13:BK13" si="19">ROUND((AR13/SUM(AR$9+AR$17+AR$23+AR26+AR29+AR$39))*BF$5,2)</f>
        <v>0</v>
      </c>
      <c r="BG13" s="251">
        <f t="shared" si="19"/>
        <v>0</v>
      </c>
      <c r="BH13" s="251">
        <f t="shared" si="19"/>
        <v>0</v>
      </c>
      <c r="BI13" s="251">
        <f t="shared" si="19"/>
        <v>0</v>
      </c>
      <c r="BJ13" s="251">
        <f t="shared" si="19"/>
        <v>0</v>
      </c>
      <c r="BK13" s="251">
        <f t="shared" si="19"/>
        <v>0</v>
      </c>
      <c r="BL13" s="251">
        <f t="shared" si="6"/>
        <v>0</v>
      </c>
    </row>
    <row r="14" spans="1:66" x14ac:dyDescent="0.25">
      <c r="A14" s="50" t="s">
        <v>599</v>
      </c>
      <c r="B14" s="50" t="s">
        <v>631</v>
      </c>
      <c r="C14" s="112">
        <f t="shared" si="14"/>
        <v>3647</v>
      </c>
      <c r="D14" s="112">
        <f t="shared" si="15"/>
        <v>110431</v>
      </c>
      <c r="E14" s="123">
        <f t="shared" si="16"/>
        <v>360.6</v>
      </c>
      <c r="F14" s="112">
        <f t="shared" si="7"/>
        <v>247224.82999999996</v>
      </c>
      <c r="G14" s="46"/>
      <c r="H14" s="89">
        <f>SUMIFS('Mar20-Aug20 Billed-RETAIL'!$H$7:$H$155,'Mar20-Aug20 Billed-RETAIL'!$C$7:$C$155,H$4,'Mar20-Aug20 Billed-RETAIL'!$E$7:$E$155,$A14)+SUMIFS('Mar20-Aug20 Billed-RETAIL'!$I$7:$I$155,'Mar20-Aug20 Billed-RETAIL'!$C$7:$C$155,H$4,'Mar20-Aug20 Billed-RETAIL'!$E$7:$E$155,$A14)</f>
        <v>608</v>
      </c>
      <c r="I14" s="89">
        <f>SUMIFS('Mar20-Aug20 Billed-RETAIL'!$H$7:$H$155,'Mar20-Aug20 Billed-RETAIL'!$C$7:$C$155,I$4,'Mar20-Aug20 Billed-RETAIL'!$E$7:$E$155,$A14)+SUMIFS('Mar20-Aug20 Billed-RETAIL'!$I$7:$I$155,'Mar20-Aug20 Billed-RETAIL'!$C$7:$C$155,I$4,'Mar20-Aug20 Billed-RETAIL'!$E$7:$E$155,$A14)</f>
        <v>608</v>
      </c>
      <c r="J14" s="89">
        <f>SUMIFS('Mar20-Aug20 Billed-RETAIL'!$H$7:$H$155,'Mar20-Aug20 Billed-RETAIL'!$C$7:$C$155,J$4,'Mar20-Aug20 Billed-RETAIL'!$E$7:$E$155,$A14)+SUMIFS('Mar20-Aug20 Billed-RETAIL'!$I$7:$I$155,'Mar20-Aug20 Billed-RETAIL'!$C$7:$C$155,J$4,'Mar20-Aug20 Billed-RETAIL'!$E$7:$E$155,$A14)</f>
        <v>607</v>
      </c>
      <c r="K14" s="89">
        <f>SUMIFS('Mar20-Aug20 Billed-RETAIL'!$H$7:$H$155,'Mar20-Aug20 Billed-RETAIL'!$C$7:$C$155,K$4,'Mar20-Aug20 Billed-RETAIL'!$E$7:$E$155,$A14)+SUMIFS('Mar20-Aug20 Billed-RETAIL'!$I$7:$I$155,'Mar20-Aug20 Billed-RETAIL'!$C$7:$C$155,K$4,'Mar20-Aug20 Billed-RETAIL'!$E$7:$E$155,$A14)</f>
        <v>609</v>
      </c>
      <c r="L14" s="89">
        <f>SUMIFS('Mar20-Aug20 Billed-RETAIL'!$H$7:$H$155,'Mar20-Aug20 Billed-RETAIL'!$C$7:$C$155,L$4,'Mar20-Aug20 Billed-RETAIL'!$E$7:$E$155,$A14)+SUMIFS('Mar20-Aug20 Billed-RETAIL'!$I$7:$I$155,'Mar20-Aug20 Billed-RETAIL'!$C$7:$C$155,L$4,'Mar20-Aug20 Billed-RETAIL'!$E$7:$E$155,$A14)</f>
        <v>607</v>
      </c>
      <c r="M14" s="89">
        <f>SUMIFS('Mar20-Aug20 Billed-RETAIL'!$H$7:$H$155,'Mar20-Aug20 Billed-RETAIL'!$C$7:$C$155,M$4,'Mar20-Aug20 Billed-RETAIL'!$E$7:$E$155,$A14)</f>
        <v>608</v>
      </c>
      <c r="N14" s="89">
        <f>SUMIFS('Mar20-Aug20 Billed-RETAIL'!$H$7:$H$155,'Mar20-Aug20 Billed-RETAIL'!$C$7:$C$155,N$4,'Mar20-Aug20 Billed-RETAIL'!$E$7:$E$155,$A14)</f>
        <v>0</v>
      </c>
      <c r="O14" s="89">
        <f>SUMIFS('Mar20-Aug20 Billed-RETAIL'!$H$7:$H$155,'Mar20-Aug20 Billed-RETAIL'!$C$7:$C$155,O$4,'Mar20-Aug20 Billed-RETAIL'!$E$7:$E$155,$A14)</f>
        <v>0</v>
      </c>
      <c r="P14" s="89">
        <f>SUMIFS('Mar20-Aug20 Billed-RETAIL'!$H$7:$H$155,'Mar20-Aug20 Billed-RETAIL'!$C$7:$C$155,P$4,'Mar20-Aug20 Billed-RETAIL'!$E$7:$E$155,$A14)</f>
        <v>0</v>
      </c>
      <c r="Q14" s="89">
        <f>SUMIFS('Mar20-Aug20 Billed-RETAIL'!$H$7:$H$155,'Mar20-Aug20 Billed-RETAIL'!$C$7:$C$155,Q$4,'Mar20-Aug20 Billed-RETAIL'!$E$7:$E$155,$A14)</f>
        <v>0</v>
      </c>
      <c r="R14" s="89">
        <f>SUMIFS('Mar20-Aug20 Billed-RETAIL'!$H$7:$H$155,'Mar20-Aug20 Billed-RETAIL'!$C$7:$C$155,R$4,'Mar20-Aug20 Billed-RETAIL'!$E$7:$E$155,$A14)</f>
        <v>0</v>
      </c>
      <c r="S14" s="89">
        <f>SUMIFS('Mar20-Aug20 Billed-RETAIL'!$H$7:$H$155,'Mar20-Aug20 Billed-RETAIL'!$C$7:$C$155,S$4,'Mar20-Aug20 Billed-RETAIL'!$E$7:$E$155,$A14)</f>
        <v>0</v>
      </c>
      <c r="T14" s="89">
        <f>SUMIFS('Mar20-Aug20 Billed-RETAIL'!P9:P157,'Mar20-Aug20 Billed-RETAIL'!E9:E157,SBR!A14,'Mar20-Aug20 Billed-RETAIL'!C9:C157,SBR!T4)</f>
        <v>18088</v>
      </c>
      <c r="U14" s="89">
        <f>SUMIFS('Mar20-Aug20 Billed-RETAIL'!P9:P157,'Mar20-Aug20 Billed-RETAIL'!E9:E157,SBR!A14,'Mar20-Aug20 Billed-RETAIL'!C9:C157,SBR!U4)</f>
        <v>18806</v>
      </c>
      <c r="V14" s="89">
        <f>SUMIFS('Mar20-Aug20 Billed-RETAIL'!P10:P158,'Mar20-Aug20 Billed-RETAIL'!E10:E158,SBR!A14,'Mar20-Aug20 Billed-RETAIL'!C10:C158,SBR!V4)</f>
        <v>18272</v>
      </c>
      <c r="W14" s="89">
        <f>SUMIFS('Mar20-Aug20 Billed-RETAIL'!P10:P158,'Mar20-Aug20 Billed-RETAIL'!E10:E158,SBR!A14,'Mar20-Aug20 Billed-RETAIL'!C10:C158,SBR!W4)</f>
        <v>18681</v>
      </c>
      <c r="X14" s="89">
        <f>SUMIFS('Mar20-Aug20 Billed-RETAIL'!P10:P158,'Mar20-Aug20 Billed-RETAIL'!E10:E158,SBR!A14,'Mar20-Aug20 Billed-RETAIL'!C10:C158,SBR!X4)</f>
        <v>18669</v>
      </c>
      <c r="Y14" s="89">
        <f>SUMIFS('Mar20-Aug20 Billed-RETAIL'!P10:P158,'Mar20-Aug20 Billed-RETAIL'!E10:E158,SBR!A14,'Mar20-Aug20 Billed-RETAIL'!C10:C158,SBR!Y4)</f>
        <v>17915</v>
      </c>
      <c r="Z14" s="89">
        <f>SUMIFS('Mar20-Aug20 Billed-RETAIL'!P10:P158,'Mar20-Aug20 Billed-RETAIL'!E10:E158,SBR!A14,'Mar20-Aug20 Billed-RETAIL'!C10:C158,SBR!Z4)</f>
        <v>0</v>
      </c>
      <c r="AA14" s="89">
        <f>SUMIFS('Mar20-Aug20 Billed-RETAIL'!P10:P158,'Mar20-Aug20 Billed-RETAIL'!E10:E158,SBR!A14,'Mar20-Aug20 Billed-RETAIL'!C10:C158,SBR!AA4)</f>
        <v>0</v>
      </c>
      <c r="AB14" s="89">
        <f>SUMIFS('Mar20-Aug20 Billed-RETAIL'!P10:P158,'Mar20-Aug20 Billed-RETAIL'!E10:E158,SBR!A14,'Mar20-Aug20 Billed-RETAIL'!C10:C158,SBR!AB4)</f>
        <v>0</v>
      </c>
      <c r="AC14" s="89">
        <f>SUMIFS('Mar20-Aug20 Billed-RETAIL'!P10:P158,'Mar20-Aug20 Billed-RETAIL'!E10:E158,SBR!A14,'Mar20-Aug20 Billed-RETAIL'!C10:C158,SBR!AC4)</f>
        <v>0</v>
      </c>
      <c r="AD14" s="89">
        <f>SUMIFS('Mar20-Aug20 Billed-RETAIL'!P10:P158,'Mar20-Aug20 Billed-RETAIL'!E10:E158,SBR!A14,'Mar20-Aug20 Billed-RETAIL'!C10:C158,SBR!AD4)</f>
        <v>0</v>
      </c>
      <c r="AE14" s="89">
        <f>SUMIFS('Mar20-Aug20 Billed-RETAIL'!P10:P158,'Mar20-Aug20 Billed-RETAIL'!E10:E158,SBR!A14,'Mar20-Aug20 Billed-RETAIL'!C10:C158,SBR!AE4)</f>
        <v>0</v>
      </c>
      <c r="AF14" s="90">
        <f>(SUMIFS('Mar20-Aug20 Billed-RETAIL'!$J$5:$J$230,'Mar20-Aug20 Billed-RETAIL'!$C$5:$C$230,SBR!AF$4,'Mar20-Aug20 Billed-RETAIL'!$E$5:$E$230,SBR!$A14)+SUMIFS('Mar20-Aug20 Billed-RETAIL'!$K$5:$K$230,'Mar20-Aug20 Billed-RETAIL'!$C$5:$C$230,SBR!AF$4,'Mar20-Aug20 Billed-RETAIL'!$E$5:$E$230,SBR!$A14))*0.1</f>
        <v>60.1</v>
      </c>
      <c r="AG14" s="90">
        <f>(SUMIFS('Mar20-Aug20 Billed-RETAIL'!$J$5:$J$230,'Mar20-Aug20 Billed-RETAIL'!$C$5:$C$230,SBR!AG$4,'Mar20-Aug20 Billed-RETAIL'!$E$5:$E$230,SBR!$A14)+SUMIFS('Mar20-Aug20 Billed-RETAIL'!$K$5:$K$230,'Mar20-Aug20 Billed-RETAIL'!$C$5:$C$230,SBR!AG$4,'Mar20-Aug20 Billed-RETAIL'!$E$5:$E$230,SBR!$A14))*0.1</f>
        <v>60.1</v>
      </c>
      <c r="AH14" s="90">
        <f>(SUMIFS('Mar20-Aug20 Billed-RETAIL'!$J$5:$J$230,'Mar20-Aug20 Billed-RETAIL'!$C$5:$C$230,SBR!AH$4,'Mar20-Aug20 Billed-RETAIL'!$E$5:$E$230,SBR!$A14)+SUMIFS('Mar20-Aug20 Billed-RETAIL'!$K$5:$K$230,'Mar20-Aug20 Billed-RETAIL'!$C$5:$C$230,SBR!AH$4,'Mar20-Aug20 Billed-RETAIL'!$E$5:$E$230,SBR!$A14))*0.1</f>
        <v>60.1</v>
      </c>
      <c r="AI14" s="90">
        <f>(SUMIFS('Mar20-Aug20 Billed-RETAIL'!$J$5:$J$230,'Mar20-Aug20 Billed-RETAIL'!$C$5:$C$230,SBR!AI$4,'Mar20-Aug20 Billed-RETAIL'!$E$5:$E$230,SBR!$A14)+SUMIFS('Mar20-Aug20 Billed-RETAIL'!$K$5:$K$230,'Mar20-Aug20 Billed-RETAIL'!$C$5:$C$230,SBR!AI$4,'Mar20-Aug20 Billed-RETAIL'!$E$5:$E$230,SBR!$A14))*0.1</f>
        <v>60.1</v>
      </c>
      <c r="AJ14" s="90">
        <f>(SUMIFS('Mar20-Aug20 Billed-RETAIL'!$J$5:$J$230,'Mar20-Aug20 Billed-RETAIL'!$C$5:$C$230,SBR!AJ$4,'Mar20-Aug20 Billed-RETAIL'!$E$5:$E$230,SBR!$A14)+SUMIFS('Mar20-Aug20 Billed-RETAIL'!$K$5:$K$230,'Mar20-Aug20 Billed-RETAIL'!$C$5:$C$230,SBR!AJ$4,'Mar20-Aug20 Billed-RETAIL'!$E$5:$E$230,SBR!$A14))*0.1</f>
        <v>60.1</v>
      </c>
      <c r="AK14" s="90">
        <f>(SUMIFS('Mar20-Aug20 Billed-RETAIL'!$J$5:$J$230,'Mar20-Aug20 Billed-RETAIL'!$C$5:$C$230,SBR!AK$4,'Mar20-Aug20 Billed-RETAIL'!$E$5:$E$230,SBR!$A14)+SUMIFS('Mar20-Aug20 Billed-RETAIL'!$K$5:$K$230,'Mar20-Aug20 Billed-RETAIL'!$C$5:$C$230,SBR!AK$4,'Mar20-Aug20 Billed-RETAIL'!$E$5:$E$230,SBR!$A14))*0.1</f>
        <v>60.1</v>
      </c>
      <c r="AL14" s="90">
        <f>(SUMIFS('Mar20-Aug20 Billed-RETAIL'!$K$5:$K$230,'Mar20-Aug20 Billed-RETAIL'!$C$5:$C$230,SBR!AL$4,'Mar20-Aug20 Billed-RETAIL'!$D$5:$D$230,SBR!$A14)+SUMIFS('Mar20-Aug20 Billed-RETAIL'!$L$5:$L$230,'Mar20-Aug20 Billed-RETAIL'!$C$5:$C$230,SBR!AL$4,'Mar20-Aug20 Billed-RETAIL'!$D$5:$D$230,SBR!$A14))*0.1</f>
        <v>0</v>
      </c>
      <c r="AM14" s="90">
        <f>(SUMIFS('Mar20-Aug20 Billed-RETAIL'!$K$5:$K$230,'Mar20-Aug20 Billed-RETAIL'!$C$5:$C$230,SBR!AM$4,'Mar20-Aug20 Billed-RETAIL'!$D$5:$D$230,SBR!$A14)+SUMIFS('Mar20-Aug20 Billed-RETAIL'!$L$5:$L$230,'Mar20-Aug20 Billed-RETAIL'!$C$5:$C$230,SBR!AM$4,'Mar20-Aug20 Billed-RETAIL'!$D$5:$D$230,SBR!$A14))*0.1</f>
        <v>0</v>
      </c>
      <c r="AN14" s="90">
        <f>(SUMIFS('Mar20-Aug20 Billed-RETAIL'!$K$5:$K$230,'Mar20-Aug20 Billed-RETAIL'!$C$5:$C$230,SBR!AN$4,'Mar20-Aug20 Billed-RETAIL'!$D$5:$D$230,SBR!$A14)+SUMIFS('Mar20-Aug20 Billed-RETAIL'!$L$5:$L$230,'Mar20-Aug20 Billed-RETAIL'!$C$5:$C$230,SBR!AN$4,'Mar20-Aug20 Billed-RETAIL'!$D$5:$D$230,SBR!$A14))*0.1</f>
        <v>0</v>
      </c>
      <c r="AO14" s="90">
        <f>(SUMIFS('Mar20-Aug20 Billed-RETAIL'!$K$5:$K$230,'Mar20-Aug20 Billed-RETAIL'!$C$5:$C$230,SBR!AO$4,'Mar20-Aug20 Billed-RETAIL'!$D$5:$D$230,SBR!$A14)+SUMIFS('Mar20-Aug20 Billed-RETAIL'!$L$5:$L$230,'Mar20-Aug20 Billed-RETAIL'!$C$5:$C$230,SBR!AO$4,'Mar20-Aug20 Billed-RETAIL'!$D$5:$D$230,SBR!$A14))*0.1</f>
        <v>0</v>
      </c>
      <c r="AP14" s="90">
        <f>(SUMIFS('Mar20-Aug20 Billed-RETAIL'!$K$5:$K$230,'Mar20-Aug20 Billed-RETAIL'!$C$5:$C$230,SBR!AP$4,'Mar20-Aug20 Billed-RETAIL'!$D$5:$D$230,SBR!$A14)+SUMIFS('Mar20-Aug20 Billed-RETAIL'!$L$5:$L$230,'Mar20-Aug20 Billed-RETAIL'!$C$5:$C$230,SBR!AP$4,'Mar20-Aug20 Billed-RETAIL'!$D$5:$D$230,SBR!$A14))*0.1</f>
        <v>0</v>
      </c>
      <c r="AQ14" s="90">
        <f>(SUMIFS('Mar20-Aug20 Billed-RETAIL'!$K$5:$K$230,'Mar20-Aug20 Billed-RETAIL'!$C$5:$C$230,SBR!AQ$4,'Mar20-Aug20 Billed-RETAIL'!$D$5:$D$230,SBR!$A14)+SUMIFS('Mar20-Aug20 Billed-RETAIL'!$L$5:$L$230,'Mar20-Aug20 Billed-RETAIL'!$C$5:$C$230,SBR!AQ$4,'Mar20-Aug20 Billed-RETAIL'!$D$5:$D$230,SBR!$A14))*0.1</f>
        <v>0</v>
      </c>
      <c r="AR14" s="91">
        <f>SUMIFS('Mar20-Aug20 Billed-RETAIL'!$BA$5:$BA$156,'Mar20-Aug20 Billed-RETAIL'!$C$5:$C$156,SBR!AR$4,'Mar20-Aug20 Billed-RETAIL'!$E$5:$E$156,SBR!$A14)</f>
        <v>39142.980000000003</v>
      </c>
      <c r="AS14" s="91">
        <f>SUMIFS('Mar20-Aug20 Billed-RETAIL'!$BA$5:$BA$156,'Mar20-Aug20 Billed-RETAIL'!$C$5:$C$156,SBR!AS$4,'Mar20-Aug20 Billed-RETAIL'!$E$5:$E$156,SBR!$A14)</f>
        <v>40557.440000000002</v>
      </c>
      <c r="AT14" s="91">
        <f>SUMIFS('Mar20-Aug20 Billed-RETAIL'!$BA$5:$BA$156,'Mar20-Aug20 Billed-RETAIL'!$C$5:$C$156,SBR!AT$4,'Mar20-Aug20 Billed-RETAIL'!$E$5:$E$156,SBR!$A14)</f>
        <v>40654.199999999997</v>
      </c>
      <c r="AU14" s="91">
        <f>SUMIFS('Mar20-Aug20 Billed-RETAIL'!$BA$5:$BA$156,'Mar20-Aug20 Billed-RETAIL'!$C$5:$C$156,SBR!AU$4,'Mar20-Aug20 Billed-RETAIL'!$E$5:$E$156,SBR!$A14)</f>
        <v>42786.31</v>
      </c>
      <c r="AV14" s="91">
        <f>SUMIFS('Mar20-Aug20 Billed-RETAIL'!$BA$5:$BA$156,'Mar20-Aug20 Billed-RETAIL'!$C$5:$C$156,SBR!AV$4,'Mar20-Aug20 Billed-RETAIL'!$E$5:$E$156,SBR!$A14)</f>
        <v>42762.67</v>
      </c>
      <c r="AW14" s="91">
        <f>SUMIFS('Mar20-Aug20 Billed-RETAIL'!$BA$5:$BA$156,'Mar20-Aug20 Billed-RETAIL'!$C$5:$C$156,SBR!AW$4,'Mar20-Aug20 Billed-RETAIL'!$E$5:$E$156,SBR!$A14)</f>
        <v>41290.67</v>
      </c>
      <c r="AX14" s="91"/>
      <c r="AY14" s="91"/>
      <c r="AZ14" s="91"/>
      <c r="BA14" s="91"/>
      <c r="BB14" s="91"/>
      <c r="BC14" s="91"/>
      <c r="BD14" s="92"/>
      <c r="BE14" s="92"/>
      <c r="BF14" s="251">
        <f t="shared" ref="BF14:BK14" si="20">ROUND((AR14/SUM(AR$9+AR$17+AR$23+AR26+AR29+AR$39))*BF$5,2)</f>
        <v>-0.99</v>
      </c>
      <c r="BG14" s="251">
        <f t="shared" si="20"/>
        <v>11.05</v>
      </c>
      <c r="BH14" s="251">
        <f t="shared" si="20"/>
        <v>18.059999999999999</v>
      </c>
      <c r="BI14" s="251">
        <f t="shared" si="20"/>
        <v>-0.09</v>
      </c>
      <c r="BJ14" s="251">
        <f t="shared" si="20"/>
        <v>1.28</v>
      </c>
      <c r="BK14" s="251">
        <f t="shared" si="20"/>
        <v>1.25</v>
      </c>
      <c r="BL14" s="251">
        <f t="shared" si="6"/>
        <v>30.56</v>
      </c>
    </row>
    <row r="15" spans="1:66" x14ac:dyDescent="0.25">
      <c r="A15" s="50" t="s">
        <v>30</v>
      </c>
      <c r="B15" s="142" t="s">
        <v>486</v>
      </c>
      <c r="C15" s="112">
        <f t="shared" si="14"/>
        <v>0</v>
      </c>
      <c r="D15" s="112"/>
      <c r="E15" s="123">
        <f t="shared" si="16"/>
        <v>0</v>
      </c>
      <c r="F15" s="112">
        <f t="shared" si="7"/>
        <v>0</v>
      </c>
      <c r="G15" s="808"/>
      <c r="H15" s="89">
        <f>SUMIFS('Mar20-Aug20 Billed-RETAIL'!$H$7:$H$155,'Mar20-Aug20 Billed-RETAIL'!$C$7:$C$155,H$4,'Mar20-Aug20 Billed-RETAIL'!$E$7:$E$155,$A15)+SUMIFS('Mar20-Aug20 Billed-RETAIL'!$I$7:$I$155,'Mar20-Aug20 Billed-RETAIL'!$C$7:$C$155,H$4,'Mar20-Aug20 Billed-RETAIL'!$E$7:$E$155,$A15)</f>
        <v>0</v>
      </c>
      <c r="I15" s="89">
        <f>SUMIFS('Mar20-Aug20 Billed-RETAIL'!$H$7:$H$155,'Mar20-Aug20 Billed-RETAIL'!$C$7:$C$155,I$4,'Mar20-Aug20 Billed-RETAIL'!$E$7:$E$155,$A15)+SUMIFS('Mar20-Aug20 Billed-RETAIL'!$I$7:$I$155,'Mar20-Aug20 Billed-RETAIL'!$C$7:$C$155,I$4,'Mar20-Aug20 Billed-RETAIL'!$E$7:$E$155,$A15)</f>
        <v>0</v>
      </c>
      <c r="J15" s="89">
        <f>SUMIFS('Mar20-Aug20 Billed-RETAIL'!$H$7:$H$155,'Mar20-Aug20 Billed-RETAIL'!$C$7:$C$155,J$4,'Mar20-Aug20 Billed-RETAIL'!$E$7:$E$155,$A15)+SUMIFS('Mar20-Aug20 Billed-RETAIL'!$I$7:$I$155,'Mar20-Aug20 Billed-RETAIL'!$C$7:$C$155,J$4,'Mar20-Aug20 Billed-RETAIL'!$E$7:$E$155,$A15)</f>
        <v>0</v>
      </c>
      <c r="K15" s="89">
        <f>SUMIFS('Mar20-Aug20 Billed-RETAIL'!$H$7:$H$155,'Mar20-Aug20 Billed-RETAIL'!$C$7:$C$155,K$4,'Mar20-Aug20 Billed-RETAIL'!$E$7:$E$155,$A15)+SUMIFS('Mar20-Aug20 Billed-RETAIL'!$I$7:$I$155,'Mar20-Aug20 Billed-RETAIL'!$C$7:$C$155,K$4,'Mar20-Aug20 Billed-RETAIL'!$E$7:$E$155,$A15)</f>
        <v>0</v>
      </c>
      <c r="L15" s="89">
        <f>SUMIFS('Mar20-Aug20 Billed-RETAIL'!$H$7:$H$155,'Mar20-Aug20 Billed-RETAIL'!$C$7:$C$155,L$4,'Mar20-Aug20 Billed-RETAIL'!$E$7:$E$155,$A15)+SUMIFS('Mar20-Aug20 Billed-RETAIL'!$I$7:$I$155,'Mar20-Aug20 Billed-RETAIL'!$C$7:$C$155,L$4,'Mar20-Aug20 Billed-RETAIL'!$E$7:$E$155,$A15)</f>
        <v>0</v>
      </c>
      <c r="M15" s="225">
        <f>'Mar20-Aug20 Transport Actuals'!N$537</f>
        <v>0</v>
      </c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104">
        <f>'Mar20-Aug20 Transport Actuals'!I525</f>
        <v>0</v>
      </c>
      <c r="AG15" s="104">
        <f>'Mar20-Aug20 Transport Actuals'!J525</f>
        <v>0</v>
      </c>
      <c r="AH15" s="104">
        <f>'Mar20-Aug20 Transport Actuals'!K525</f>
        <v>0</v>
      </c>
      <c r="AI15" s="104">
        <f>'Mar20-Aug20 Transport Actuals'!L525</f>
        <v>0</v>
      </c>
      <c r="AJ15" s="104">
        <f>'Mar20-Aug20 Transport Actuals'!M525</f>
        <v>0</v>
      </c>
      <c r="AK15" s="104">
        <f>'Mar20-Aug20 Transport Actuals'!N525</f>
        <v>0</v>
      </c>
      <c r="AL15" s="114"/>
      <c r="AM15" s="114"/>
      <c r="AN15" s="114"/>
      <c r="AO15" s="114"/>
      <c r="AP15" s="114"/>
      <c r="AQ15" s="114"/>
      <c r="AR15" s="105">
        <f>'Mar20-Aug20 Transport Actuals'!I537+'Mar20-Aug20 Transport Actuals'!I561</f>
        <v>0</v>
      </c>
      <c r="AS15" s="105">
        <f>'Mar20-Aug20 Transport Actuals'!K537+'Mar20-Aug20 Transport Actuals'!K561</f>
        <v>0</v>
      </c>
      <c r="AT15" s="105">
        <f>'Mar20-Aug20 Transport Actuals'!L537+'Mar20-Aug20 Transport Actuals'!L561</f>
        <v>0</v>
      </c>
      <c r="AU15" s="105">
        <f>'Mar20-Aug20 Transport Actuals'!M537+'Mar20-Aug20 Transport Actuals'!M561</f>
        <v>0</v>
      </c>
      <c r="AV15" s="105">
        <f>'Mar20-Aug20 Transport Actuals'!N537+'Mar20-Aug20 Transport Actuals'!N561</f>
        <v>0</v>
      </c>
      <c r="AW15" s="105">
        <f>'Mar20-Aug20 Transport Actuals'!O537+'Mar20-Aug20 Transport Actuals'!O561</f>
        <v>0</v>
      </c>
      <c r="AX15" s="105"/>
      <c r="AY15" s="105"/>
      <c r="AZ15" s="105"/>
      <c r="BA15" s="105"/>
      <c r="BB15" s="105"/>
      <c r="BC15" s="105"/>
      <c r="BD15" s="92"/>
      <c r="BE15" s="92"/>
      <c r="BF15" s="252">
        <f t="shared" ref="BF15:BK15" si="21">ROUND((AR15/SUM(AR$9+AR$17+AR$23+AR26+AR29+AR$39))*BF$5,2)</f>
        <v>0</v>
      </c>
      <c r="BG15" s="252">
        <f t="shared" si="21"/>
        <v>0</v>
      </c>
      <c r="BH15" s="252">
        <f t="shared" si="21"/>
        <v>0</v>
      </c>
      <c r="BI15" s="252">
        <f t="shared" si="21"/>
        <v>0</v>
      </c>
      <c r="BJ15" s="252">
        <f t="shared" si="21"/>
        <v>0</v>
      </c>
      <c r="BK15" s="252">
        <f t="shared" si="21"/>
        <v>0</v>
      </c>
      <c r="BL15" s="251">
        <f t="shared" si="6"/>
        <v>0</v>
      </c>
    </row>
    <row r="16" spans="1:66" x14ac:dyDescent="0.25">
      <c r="A16" s="50" t="s">
        <v>34</v>
      </c>
      <c r="B16" s="106" t="s">
        <v>642</v>
      </c>
      <c r="C16" s="124">
        <f>SUM(H16:S16)</f>
        <v>0</v>
      </c>
      <c r="D16" s="124"/>
      <c r="E16" s="125">
        <f>SUM(AF16:AQ16)</f>
        <v>805.7</v>
      </c>
      <c r="F16" s="124">
        <f>SUM(AR16:BC16)+BL16</f>
        <v>1629.5191959999997</v>
      </c>
      <c r="G16" s="46"/>
      <c r="H16" s="95">
        <f>SUMIFS('Mar20-Aug20 Billed-RETAIL'!$H$7:$H$155,'Mar20-Aug20 Billed-RETAIL'!$C$7:$C$155,H$4,'Mar20-Aug20 Billed-RETAIL'!$E$7:$E$155,$A16)+SUMIFS('Mar20-Aug20 Billed-RETAIL'!$I$7:$I$155,'Mar20-Aug20 Billed-RETAIL'!$C$7:$C$155,H$4,'Mar20-Aug20 Billed-RETAIL'!$E$7:$E$155,$A16)</f>
        <v>0</v>
      </c>
      <c r="I16" s="95">
        <f>SUMIFS('Mar20-Aug20 Billed-RETAIL'!$H$7:$H$155,'Mar20-Aug20 Billed-RETAIL'!$C$7:$C$155,I$4,'Mar20-Aug20 Billed-RETAIL'!$E$7:$E$155,$A16)+SUMIFS('Mar20-Aug20 Billed-RETAIL'!$I$7:$I$155,'Mar20-Aug20 Billed-RETAIL'!$C$7:$C$155,I$4,'Mar20-Aug20 Billed-RETAIL'!$E$7:$E$155,$A16)</f>
        <v>0</v>
      </c>
      <c r="J16" s="95">
        <f>SUMIFS('Mar20-Aug20 Billed-RETAIL'!$H$7:$H$155,'Mar20-Aug20 Billed-RETAIL'!$C$7:$C$155,J$4,'Mar20-Aug20 Billed-RETAIL'!$E$7:$E$155,$A16)+SUMIFS('Mar20-Aug20 Billed-RETAIL'!$I$7:$I$155,'Mar20-Aug20 Billed-RETAIL'!$C$7:$C$155,J$4,'Mar20-Aug20 Billed-RETAIL'!$E$7:$E$155,$A16)</f>
        <v>0</v>
      </c>
      <c r="K16" s="95">
        <f>SUMIFS('Mar20-Aug20 Billed-RETAIL'!$H$7:$H$155,'Mar20-Aug20 Billed-RETAIL'!$C$7:$C$155,K$4,'Mar20-Aug20 Billed-RETAIL'!$E$7:$E$155,$A16)+SUMIFS('Mar20-Aug20 Billed-RETAIL'!$I$7:$I$155,'Mar20-Aug20 Billed-RETAIL'!$C$7:$C$155,K$4,'Mar20-Aug20 Billed-RETAIL'!$E$7:$E$155,$A16)</f>
        <v>0</v>
      </c>
      <c r="L16" s="95">
        <f>SUMIFS('Mar20-Aug20 Billed-RETAIL'!$H$7:$H$155,'Mar20-Aug20 Billed-RETAIL'!$C$7:$C$155,L$4,'Mar20-Aug20 Billed-RETAIL'!$E$7:$E$155,$A16)+SUMIFS('Mar20-Aug20 Billed-RETAIL'!$I$7:$I$155,'Mar20-Aug20 Billed-RETAIL'!$C$7:$C$155,L$4,'Mar20-Aug20 Billed-RETAIL'!$E$7:$E$155,$A16)</f>
        <v>0</v>
      </c>
      <c r="M16" s="95">
        <f>SUMIFS('Mar20-Aug20 Billed-RETAIL'!$H$7:$H$155,'Mar20-Aug20 Billed-RETAIL'!$C$7:$C$155,M$4,'Mar20-Aug20 Billed-RETAIL'!$E$7:$E$155,$A16)+SUMIFS('Mar20-Aug20 Billed-RETAIL'!$I$7:$I$155,'Mar20-Aug20 Billed-RETAIL'!$C$7:$C$155,M$4,'Mar20-Aug20 Billed-RETAIL'!$E$7:$E$155,$A16)</f>
        <v>0</v>
      </c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96">
        <f>'Mar20-Aug20 Transport Actuals'!I392</f>
        <v>0</v>
      </c>
      <c r="AG16" s="96">
        <f>'Mar20-Aug20 Transport Actuals'!J392</f>
        <v>0</v>
      </c>
      <c r="AH16" s="96">
        <f>'Mar20-Aug20 Transport Actuals'!K392</f>
        <v>0</v>
      </c>
      <c r="AI16" s="96">
        <f>'Mar20-Aug20 Transport Actuals'!L392+'Mar20-Aug20 Transport Actuals'!L428</f>
        <v>98.1</v>
      </c>
      <c r="AJ16" s="96">
        <f>'Mar20-Aug20 Transport Actuals'!M392+'Mar20-Aug20 Transport Actuals'!M428</f>
        <v>707.6</v>
      </c>
      <c r="AK16" s="96">
        <f>'Mar20-Aug20 Transport Actuals'!N392</f>
        <v>0</v>
      </c>
      <c r="AL16" s="96"/>
      <c r="AM16" s="96"/>
      <c r="AN16" s="96"/>
      <c r="AO16" s="96"/>
      <c r="AP16" s="96"/>
      <c r="AQ16" s="96"/>
      <c r="AR16" s="97">
        <f>'Mar20-Aug20 Transport Actuals'!I404+'Mar20-Aug20 Transport Actuals'!I439</f>
        <v>0</v>
      </c>
      <c r="AS16" s="97">
        <f>'Mar20-Aug20 Transport Actuals'!J404+'Mar20-Aug20 Transport Actuals'!J439</f>
        <v>0</v>
      </c>
      <c r="AT16" s="97">
        <f>'Mar20-Aug20 Transport Actuals'!K404+'Mar20-Aug20 Transport Actuals'!K439</f>
        <v>0</v>
      </c>
      <c r="AU16" s="97">
        <f>'Mar20-Aug20 Transport Actuals'!L404+'Mar20-Aug20 Transport Actuals'!L439</f>
        <v>201.49626799999999</v>
      </c>
      <c r="AV16" s="97">
        <f>'Mar20-Aug20 Transport Actuals'!M404+'Mar20-Aug20 Transport Actuals'!M439</f>
        <v>1427.9829279999999</v>
      </c>
      <c r="AW16" s="97">
        <f>'Mar20-Aug20 Transport Actuals'!N404+'Mar20-Aug20 Transport Actuals'!N439</f>
        <v>0</v>
      </c>
      <c r="AX16" s="97"/>
      <c r="AY16" s="97"/>
      <c r="AZ16" s="97"/>
      <c r="BA16" s="97"/>
      <c r="BB16" s="97"/>
      <c r="BC16" s="97"/>
      <c r="BD16" s="92"/>
      <c r="BE16" s="92"/>
      <c r="BF16" s="252">
        <f t="shared" ref="BF16:BK16" si="22">ROUND((AR16/SUM(AR$9+AR$17+AR$23+AR26+AR29+AR$39))*BF$5,2)</f>
        <v>0</v>
      </c>
      <c r="BG16" s="252">
        <f t="shared" si="22"/>
        <v>0</v>
      </c>
      <c r="BH16" s="252">
        <f t="shared" si="22"/>
        <v>0</v>
      </c>
      <c r="BI16" s="252">
        <f t="shared" si="22"/>
        <v>0</v>
      </c>
      <c r="BJ16" s="252">
        <f t="shared" si="22"/>
        <v>0.04</v>
      </c>
      <c r="BK16" s="252">
        <f t="shared" si="22"/>
        <v>0</v>
      </c>
      <c r="BL16" s="251">
        <f t="shared" si="6"/>
        <v>0.04</v>
      </c>
    </row>
    <row r="17" spans="1:66" x14ac:dyDescent="0.25">
      <c r="A17" s="50"/>
      <c r="B17" s="98" t="s">
        <v>229</v>
      </c>
      <c r="C17" s="112">
        <f t="shared" si="14"/>
        <v>310464</v>
      </c>
      <c r="D17" s="112">
        <f>SUM(T17:AE17)</f>
        <v>9339454</v>
      </c>
      <c r="E17" s="123">
        <f t="shared" si="16"/>
        <v>10729279.926360626</v>
      </c>
      <c r="F17" s="112">
        <f t="shared" si="7"/>
        <v>97394522.439195991</v>
      </c>
      <c r="G17" s="46"/>
      <c r="H17" s="99">
        <f t="shared" ref="H17:BC17" si="23">SUM(H11:H16)</f>
        <v>25976</v>
      </c>
      <c r="I17" s="99">
        <f t="shared" si="23"/>
        <v>26369</v>
      </c>
      <c r="J17" s="99">
        <f t="shared" si="23"/>
        <v>26253</v>
      </c>
      <c r="K17" s="99">
        <f t="shared" si="23"/>
        <v>26206</v>
      </c>
      <c r="L17" s="99">
        <f t="shared" si="23"/>
        <v>25889</v>
      </c>
      <c r="M17" s="99">
        <f t="shared" si="23"/>
        <v>25577</v>
      </c>
      <c r="N17" s="99">
        <f t="shared" si="23"/>
        <v>25091</v>
      </c>
      <c r="O17" s="99">
        <f t="shared" si="23"/>
        <v>25233</v>
      </c>
      <c r="P17" s="99">
        <f t="shared" si="23"/>
        <v>25644</v>
      </c>
      <c r="Q17" s="99">
        <f t="shared" si="23"/>
        <v>25967</v>
      </c>
      <c r="R17" s="99">
        <f t="shared" si="23"/>
        <v>26116</v>
      </c>
      <c r="S17" s="99">
        <f>SUM(S11:S16)</f>
        <v>26143</v>
      </c>
      <c r="T17" s="99">
        <f>SUM(T11:T16)</f>
        <v>754904</v>
      </c>
      <c r="U17" s="99">
        <f t="shared" ref="U17:AE17" si="24">SUM(U11:U16)</f>
        <v>806632</v>
      </c>
      <c r="V17" s="99">
        <f t="shared" si="24"/>
        <v>772545</v>
      </c>
      <c r="W17" s="99">
        <f t="shared" si="24"/>
        <v>801165</v>
      </c>
      <c r="X17" s="99">
        <f t="shared" si="24"/>
        <v>795634</v>
      </c>
      <c r="Y17" s="99">
        <f t="shared" si="24"/>
        <v>757724.00000000012</v>
      </c>
      <c r="Z17" s="99">
        <f t="shared" si="24"/>
        <v>752729.99999999988</v>
      </c>
      <c r="AA17" s="99">
        <f t="shared" si="24"/>
        <v>782222.99999999988</v>
      </c>
      <c r="AB17" s="99">
        <f t="shared" si="24"/>
        <v>769320</v>
      </c>
      <c r="AC17" s="99">
        <f t="shared" si="24"/>
        <v>804976.99999999988</v>
      </c>
      <c r="AD17" s="99">
        <f t="shared" si="24"/>
        <v>809596</v>
      </c>
      <c r="AE17" s="99">
        <f t="shared" si="24"/>
        <v>732003.99999999988</v>
      </c>
      <c r="AF17" s="86">
        <f t="shared" si="23"/>
        <v>1303810.7000000002</v>
      </c>
      <c r="AG17" s="86">
        <f t="shared" si="23"/>
        <v>763533.7</v>
      </c>
      <c r="AH17" s="86">
        <f t="shared" si="23"/>
        <v>478219.19999999995</v>
      </c>
      <c r="AI17" s="86">
        <f t="shared" si="23"/>
        <v>305763.49999999994</v>
      </c>
      <c r="AJ17" s="86">
        <f t="shared" si="23"/>
        <v>233212.90000000002</v>
      </c>
      <c r="AK17" s="86">
        <f t="shared" si="23"/>
        <v>226801.80000000002</v>
      </c>
      <c r="AL17" s="86">
        <f t="shared" si="23"/>
        <v>259549.94945897424</v>
      </c>
      <c r="AM17" s="86">
        <f t="shared" si="23"/>
        <v>507287.00033551792</v>
      </c>
      <c r="AN17" s="86">
        <f t="shared" si="23"/>
        <v>1110215.2257026162</v>
      </c>
      <c r="AO17" s="86">
        <f t="shared" si="23"/>
        <v>1682770.2455497272</v>
      </c>
      <c r="AP17" s="86">
        <f t="shared" si="23"/>
        <v>2164102.062298927</v>
      </c>
      <c r="AQ17" s="86">
        <f t="shared" si="23"/>
        <v>1694013.6430148636</v>
      </c>
      <c r="AR17" s="99">
        <f t="shared" si="23"/>
        <v>10852691.92</v>
      </c>
      <c r="AS17" s="99">
        <f t="shared" si="23"/>
        <v>7134353.6400000006</v>
      </c>
      <c r="AT17" s="99">
        <f t="shared" si="23"/>
        <v>4841084.7300000004</v>
      </c>
      <c r="AU17" s="99">
        <f t="shared" si="23"/>
        <v>3801637.5962679996</v>
      </c>
      <c r="AV17" s="99">
        <f t="shared" si="23"/>
        <v>3378808.9629279999</v>
      </c>
      <c r="AW17" s="99">
        <f t="shared" si="23"/>
        <v>3331077.4099999997</v>
      </c>
      <c r="AX17" s="99">
        <f t="shared" si="23"/>
        <v>3688052.78</v>
      </c>
      <c r="AY17" s="99">
        <f t="shared" si="23"/>
        <v>5281741.53</v>
      </c>
      <c r="AZ17" s="99">
        <f t="shared" si="23"/>
        <v>9453879.7899999991</v>
      </c>
      <c r="BA17" s="99">
        <f t="shared" si="23"/>
        <v>13864873.82</v>
      </c>
      <c r="BB17" s="99">
        <f t="shared" si="23"/>
        <v>17613027.129999999</v>
      </c>
      <c r="BC17" s="99">
        <f t="shared" si="23"/>
        <v>14149278</v>
      </c>
      <c r="BD17" s="92"/>
      <c r="BE17" s="92"/>
      <c r="BF17" s="256">
        <f t="shared" ref="BF17:BK17" si="25">SUM(BF11:BF16)</f>
        <v>-273.38</v>
      </c>
      <c r="BG17" s="256">
        <f t="shared" si="25"/>
        <v>1944.1999999999998</v>
      </c>
      <c r="BH17" s="256">
        <f t="shared" si="25"/>
        <v>2150.31</v>
      </c>
      <c r="BI17" s="256">
        <f t="shared" si="25"/>
        <v>-8.0400000000000009</v>
      </c>
      <c r="BJ17" s="256">
        <f t="shared" si="25"/>
        <v>101.49000000000001</v>
      </c>
      <c r="BK17" s="256">
        <f t="shared" si="25"/>
        <v>100.55000000000001</v>
      </c>
      <c r="BL17" s="251">
        <f t="shared" si="6"/>
        <v>4015.13</v>
      </c>
      <c r="BN17" s="374"/>
    </row>
    <row r="18" spans="1:66" x14ac:dyDescent="0.25">
      <c r="A18" s="50"/>
      <c r="B18" s="101"/>
      <c r="C18" s="328"/>
      <c r="D18" s="112"/>
      <c r="E18" s="328"/>
      <c r="F18" s="328"/>
      <c r="G18" s="46"/>
      <c r="H18" s="102"/>
      <c r="I18" s="102"/>
      <c r="J18" s="102"/>
      <c r="K18" s="102"/>
      <c r="L18" s="102"/>
      <c r="M18" s="102"/>
      <c r="N18" s="113"/>
      <c r="O18" s="113"/>
      <c r="P18" s="113"/>
      <c r="Q18" s="113"/>
      <c r="R18" s="113"/>
      <c r="S18" s="113"/>
      <c r="T18" s="99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03"/>
      <c r="AG18" s="103"/>
      <c r="AH18" s="103"/>
      <c r="AI18" s="103"/>
      <c r="AJ18" s="103"/>
      <c r="AK18" s="103"/>
      <c r="AL18" s="114"/>
      <c r="AM18" s="114"/>
      <c r="AN18" s="114"/>
      <c r="AO18" s="114"/>
      <c r="AP18" s="114"/>
      <c r="AQ18" s="114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92"/>
      <c r="BE18" s="92"/>
      <c r="BF18" s="250"/>
      <c r="BG18" s="250"/>
      <c r="BH18" s="250"/>
      <c r="BI18" s="250"/>
      <c r="BJ18" s="250"/>
      <c r="BK18" s="250"/>
      <c r="BL18" s="251"/>
    </row>
    <row r="19" spans="1:66" x14ac:dyDescent="0.25">
      <c r="A19" s="50" t="s">
        <v>24</v>
      </c>
      <c r="B19" s="50" t="s">
        <v>25</v>
      </c>
      <c r="C19" s="112">
        <f>SUM(H19:S19)</f>
        <v>1774</v>
      </c>
      <c r="D19" s="112">
        <f t="shared" ref="D19:D20" si="26">SUM(T19:AE19)</f>
        <v>53426</v>
      </c>
      <c r="E19" s="123">
        <f t="shared" si="16"/>
        <v>733368.893769591</v>
      </c>
      <c r="F19" s="112">
        <f t="shared" si="7"/>
        <v>5150557.5399999991</v>
      </c>
      <c r="G19" s="46"/>
      <c r="H19" s="89">
        <f>SUMIFS('Mar20-Aug20 Billed-RETAIL'!$H$7:$H$155,'Mar20-Aug20 Billed-RETAIL'!$C$7:$C$155,H$4,'Mar20-Aug20 Billed-RETAIL'!$E$7:$E$155,$A19)+SUMIFS('Mar20-Aug20 Billed-RETAIL'!$I$7:$I$155,'Mar20-Aug20 Billed-RETAIL'!$C$7:$C$155,H$4,'Mar20-Aug20 Billed-RETAIL'!$E$7:$E$155,$A19)</f>
        <v>87</v>
      </c>
      <c r="I19" s="89">
        <f>SUMIFS('Mar20-Aug20 Billed-RETAIL'!$H$7:$H$155,'Mar20-Aug20 Billed-RETAIL'!$C$7:$C$155,I$4,'Mar20-Aug20 Billed-RETAIL'!$E$7:$E$155,$A19)+SUMIFS('Mar20-Aug20 Billed-RETAIL'!$I$7:$I$155,'Mar20-Aug20 Billed-RETAIL'!$C$7:$C$155,I$4,'Mar20-Aug20 Billed-RETAIL'!$E$7:$E$155,$A19)</f>
        <v>93</v>
      </c>
      <c r="J19" s="89">
        <f>SUMIFS('Mar20-Aug20 Billed-RETAIL'!$H$7:$H$155,'Mar20-Aug20 Billed-RETAIL'!$C$7:$C$155,J$4,'Mar20-Aug20 Billed-RETAIL'!$E$7:$E$155,$A19)+SUMIFS('Mar20-Aug20 Billed-RETAIL'!$I$7:$I$155,'Mar20-Aug20 Billed-RETAIL'!$C$7:$C$155,J$4,'Mar20-Aug20 Billed-RETAIL'!$E$7:$E$155,$A19)</f>
        <v>91</v>
      </c>
      <c r="K19" s="89">
        <f>SUMIFS('Mar20-Aug20 Billed-RETAIL'!$H$7:$H$155,'Mar20-Aug20 Billed-RETAIL'!$C$7:$C$155,K$4,'Mar20-Aug20 Billed-RETAIL'!$E$7:$E$155,$A19)+SUMIFS('Mar20-Aug20 Billed-RETAIL'!$I$7:$I$155,'Mar20-Aug20 Billed-RETAIL'!$C$7:$C$155,K$4,'Mar20-Aug20 Billed-RETAIL'!$E$7:$E$155,$A19)</f>
        <v>92</v>
      </c>
      <c r="L19" s="89">
        <f>SUMIFS('Mar20-Aug20 Billed-RETAIL'!$H$7:$H$155,'Mar20-Aug20 Billed-RETAIL'!$C$7:$C$155,L$4,'Mar20-Aug20 Billed-RETAIL'!$E$7:$E$155,$A19)+SUMIFS('Mar20-Aug20 Billed-RETAIL'!$I$7:$I$155,'Mar20-Aug20 Billed-RETAIL'!$C$7:$C$155,L$4,'Mar20-Aug20 Billed-RETAIL'!$E$7:$E$155,$A19)</f>
        <v>89</v>
      </c>
      <c r="M19" s="89">
        <f>SUMIFS('Mar20-Aug20 Billed-RETAIL'!$H$7:$H$155,'Mar20-Aug20 Billed-RETAIL'!$C$7:$C$155,M$4,'Mar20-Aug20 Billed-RETAIL'!$E$7:$E$155,$A19)+SUMIFS('Mar20-Aug20 Billed-RETAIL'!$I$7:$I$155,'Mar20-Aug20 Billed-RETAIL'!$C$7:$C$155,M$4,'Mar20-Aug20 Billed-RETAIL'!$E$7:$E$155,$A19)</f>
        <v>88</v>
      </c>
      <c r="N19" s="89">
        <f>SUMIFS('Mar20-Aug20 Billed-RETAIL'!$H$7:$H$155,'Mar20-Aug20 Billed-RETAIL'!$C$7:$C$155,N$4,'Mar20-Aug20 Billed-RETAIL'!$E$7:$E$155,$A19)+SUMIFS('Mar20-Aug20 Billed-RETAIL'!$I$7:$I$155,'Mar20-Aug20 Billed-RETAIL'!$C$7:$C$155,N$4,'Mar20-Aug20 Billed-RETAIL'!$E$7:$E$155,$A19)</f>
        <v>184</v>
      </c>
      <c r="O19" s="89">
        <f>SUMIFS('Mar20-Aug20 Billed-RETAIL'!$H$7:$H$155,'Mar20-Aug20 Billed-RETAIL'!$C$7:$C$155,O$4,'Mar20-Aug20 Billed-RETAIL'!$E$7:$E$155,$A19)+SUMIFS('Mar20-Aug20 Billed-RETAIL'!$I$7:$I$155,'Mar20-Aug20 Billed-RETAIL'!$C$7:$C$155,O$4,'Mar20-Aug20 Billed-RETAIL'!$E$7:$E$155,$A19)</f>
        <v>194</v>
      </c>
      <c r="P19" s="89">
        <f>SUMIFS('Mar20-Aug20 Billed-RETAIL'!$H$7:$H$155,'Mar20-Aug20 Billed-RETAIL'!$C$7:$C$155,P$4,'Mar20-Aug20 Billed-RETAIL'!$E$7:$E$155,$A19)+SUMIFS('Mar20-Aug20 Billed-RETAIL'!$I$7:$I$155,'Mar20-Aug20 Billed-RETAIL'!$C$7:$C$155,P$4,'Mar20-Aug20 Billed-RETAIL'!$E$7:$E$155,$A19)</f>
        <v>212</v>
      </c>
      <c r="Q19" s="89">
        <f>SUMIFS('Mar20-Aug20 Billed-RETAIL'!$H$7:$H$155,'Mar20-Aug20 Billed-RETAIL'!$C$7:$C$155,Q$4,'Mar20-Aug20 Billed-RETAIL'!$E$7:$E$155,$A19)+SUMIFS('Mar20-Aug20 Billed-RETAIL'!$I$7:$I$155,'Mar20-Aug20 Billed-RETAIL'!$C$7:$C$155,Q$4,'Mar20-Aug20 Billed-RETAIL'!$E$7:$E$155,$A19)</f>
        <v>216</v>
      </c>
      <c r="R19" s="89">
        <f>SUMIFS('Mar20-Aug20 Billed-RETAIL'!$H$7:$H$155,'Mar20-Aug20 Billed-RETAIL'!$C$7:$C$155,R$4,'Mar20-Aug20 Billed-RETAIL'!$E$7:$E$155,$A19)+SUMIFS('Mar20-Aug20 Billed-RETAIL'!$I$7:$I$155,'Mar20-Aug20 Billed-RETAIL'!$C$7:$C$155,R$4,'Mar20-Aug20 Billed-RETAIL'!$E$7:$E$155,$A19)</f>
        <v>216</v>
      </c>
      <c r="S19" s="89">
        <f>SUMIFS('Mar20-Aug20 Billed-RETAIL'!$H$7:$H$155,'Mar20-Aug20 Billed-RETAIL'!$C$7:$C$155,S$4,'Mar20-Aug20 Billed-RETAIL'!$E$7:$E$155,$A19)+SUMIFS('Mar20-Aug20 Billed-RETAIL'!$I$7:$I$155,'Mar20-Aug20 Billed-RETAIL'!$C$7:$C$155,S$4,'Mar20-Aug20 Billed-RETAIL'!$E$7:$E$155,$A19)</f>
        <v>212</v>
      </c>
      <c r="T19" s="99">
        <f>SUMIFS('Mar20-Aug20 Billed-RETAIL'!P7:P155,'Mar20-Aug20 Billed-RETAIL'!E7:E155,SBR!A19,'Mar20-Aug20 Billed-RETAIL'!C7:C155,SBR!T4)+SUMIFS('Mar20-Aug20 Billed-RETAIL'!Q9:Q157,'Mar20-Aug20 Billed-RETAIL'!E9:E157,SBR!A19,'Mar20-Aug20 Billed-RETAIL'!C9:C157,SBR!T4)</f>
        <v>2575</v>
      </c>
      <c r="U19" s="99">
        <f>SUMIFS('Mar20-Aug20 Billed-RETAIL'!P7:P155,'Mar20-Aug20 Billed-RETAIL'!E7:E155,SBR!A19,'Mar20-Aug20 Billed-RETAIL'!C7:C155,SBR!U4)+SUMIFS('Mar20-Aug20 Billed-RETAIL'!Q9:Q157,'Mar20-Aug20 Billed-RETAIL'!E9:E157,SBR!A19,'Mar20-Aug20 Billed-RETAIL'!C9:C157,SBR!U4)</f>
        <v>2826</v>
      </c>
      <c r="V19" s="89">
        <f>SUMIFS('Mar20-Aug20 Billed-RETAIL'!P7:P155,'Mar20-Aug20 Billed-RETAIL'!E7:E155,SBR!A19,'Mar20-Aug20 Billed-RETAIL'!C7:C155,SBR!V4)+SUMIFS('Mar20-Aug20 Billed-RETAIL'!Q9:Q157,'Mar20-Aug20 Billed-RETAIL'!E9:E157,SBR!A19,'Mar20-Aug20 Billed-RETAIL'!C9:C157,SBR!V4)</f>
        <v>2670</v>
      </c>
      <c r="W19" s="89">
        <f>SUMIFS('Mar20-Aug20 Billed-RETAIL'!P7:P155,'Mar20-Aug20 Billed-RETAIL'!E7:E155,SBR!A19,'Mar20-Aug20 Billed-RETAIL'!C7:C155,SBR!W4)+SUMIFS('Mar20-Aug20 Billed-RETAIL'!Q9:Q157,'Mar20-Aug20 Billed-RETAIL'!E9:E157,SBR!A19,'Mar20-Aug20 Billed-RETAIL'!C9:C157,SBR!W4)</f>
        <v>2801</v>
      </c>
      <c r="X19" s="89">
        <f>SUMIFS('Mar20-Aug20 Billed-RETAIL'!P7:P155,'Mar20-Aug20 Billed-RETAIL'!E7:E155,SBR!A19,'Mar20-Aug20 Billed-RETAIL'!C7:C155,SBR!X4)+SUMIFS('Mar20-Aug20 Billed-RETAIL'!Q9:Q157,'Mar20-Aug20 Billed-RETAIL'!E9:E157,SBR!A19,'Mar20-Aug20 Billed-RETAIL'!C9:C157,SBR!X4)</f>
        <v>2772.9999999999995</v>
      </c>
      <c r="Y19" s="89">
        <f>SUMIFS('Mar20-Aug20 Billed-RETAIL'!P7:P155,'Mar20-Aug20 Billed-RETAIL'!E7:E155,SBR!A19,'Mar20-Aug20 Billed-RETAIL'!C7:C155,SBR!Y4)+SUMIFS('Mar20-Aug20 Billed-RETAIL'!Q9:Q157,'Mar20-Aug20 Billed-RETAIL'!E9:E157,SBR!A19,'Mar20-Aug20 Billed-RETAIL'!C9:C157,SBR!Y4)</f>
        <v>2559</v>
      </c>
      <c r="Z19" s="89">
        <f>SUMIFS('Mar20-Aug20 Billed-RETAIL'!P7:P155,'Mar20-Aug20 Billed-RETAIL'!E7:E155,SBR!A19,'Mar20-Aug20 Billed-RETAIL'!C7:C155,SBR!Z4)+SUMIFS('Mar20-Aug20 Billed-RETAIL'!Q9:Q157,'Mar20-Aug20 Billed-RETAIL'!E9:E157,SBR!A19,'Mar20-Aug20 Billed-RETAIL'!C9:C157,SBR!Z4)</f>
        <v>5519.9999999999964</v>
      </c>
      <c r="AA19" s="89">
        <f>SUMIFS('Mar20-Aug20 Billed-RETAIL'!P7:P155,'Mar20-Aug20 Billed-RETAIL'!E7:E155,SBR!A19,'Mar20-Aug20 Billed-RETAIL'!C7:C155,SBR!AA4)+SUMIFS('Mar20-Aug20 Billed-RETAIL'!Q9:Q157,'Mar20-Aug20 Billed-RETAIL'!E9:E157,SBR!A19,'Mar20-Aug20 Billed-RETAIL'!C9:C157,SBR!AA4)</f>
        <v>6014</v>
      </c>
      <c r="AB19" s="89">
        <f>SUMIFS('Mar20-Aug20 Billed-RETAIL'!P7:P155,'Mar20-Aug20 Billed-RETAIL'!E7:E155,SBR!A19,'Mar20-Aug20 Billed-RETAIL'!C7:C155,SBR!AB4)+SUMIFS('Mar20-Aug20 Billed-RETAIL'!Q9:Q157,'Mar20-Aug20 Billed-RETAIL'!E9:E157,SBR!A19,'Mar20-Aug20 Billed-RETAIL'!C9:C157,SBR!AB4)</f>
        <v>6360</v>
      </c>
      <c r="AC19" s="89">
        <f>SUMIFS('Mar20-Aug20 Billed-RETAIL'!P7:P155,'Mar20-Aug20 Billed-RETAIL'!E7:E155,SBR!A19,'Mar20-Aug20 Billed-RETAIL'!C7:C155,SBR!AC4)+SUMIFS('Mar20-Aug20 Billed-RETAIL'!Q9:Q157,'Mar20-Aug20 Billed-RETAIL'!E9:E157,SBR!A19,'Mar20-Aug20 Billed-RETAIL'!C9:C157,SBR!AC4)</f>
        <v>6696</v>
      </c>
      <c r="AD19" s="89">
        <f>SUMIFS('Mar20-Aug20 Billed-RETAIL'!P7:P155,'Mar20-Aug20 Billed-RETAIL'!E7:E155,SBR!A19,'Mar20-Aug20 Billed-RETAIL'!C7:C155,SBR!AD4)+SUMIFS('Mar20-Aug20 Billed-RETAIL'!Q9:Q157,'Mar20-Aug20 Billed-RETAIL'!E9:E157,SBR!A19,'Mar20-Aug20 Billed-RETAIL'!C9:C157,SBR!AD4)</f>
        <v>6696</v>
      </c>
      <c r="AE19" s="89">
        <f>SUMIFS('Mar20-Aug20 Billed-RETAIL'!P7:P155,'Mar20-Aug20 Billed-RETAIL'!E7:E155,SBR!A19,'Mar20-Aug20 Billed-RETAIL'!C7:C155,SBR!AE4)+SUMIFS('Mar20-Aug20 Billed-RETAIL'!Q9:Q157,'Mar20-Aug20 Billed-RETAIL'!E9:E157,SBR!A19,'Mar20-Aug20 Billed-RETAIL'!C9:C157,SBR!AE4)</f>
        <v>5936</v>
      </c>
      <c r="AF19" s="90">
        <f>(SUMIFS('Mar20-Aug20 Billed-RETAIL'!$J$5:$J$230,'Mar20-Aug20 Billed-RETAIL'!$C$5:$C$230,SBR!AF$4,'Mar20-Aug20 Billed-RETAIL'!$E$5:$E$230,SBR!$A19)+SUMIFS('Mar20-Aug20 Billed-RETAIL'!$K$5:$K$230,'Mar20-Aug20 Billed-RETAIL'!$C$5:$C$230,SBR!AF$4,'Mar20-Aug20 Billed-RETAIL'!$E$5:$E$230,SBR!$A19))*0.1</f>
        <v>62748.100000000006</v>
      </c>
      <c r="AG19" s="90">
        <f>(SUMIFS('Mar20-Aug20 Billed-RETAIL'!$J$5:$J$230,'Mar20-Aug20 Billed-RETAIL'!$C$5:$C$230,SBR!AG$4,'Mar20-Aug20 Billed-RETAIL'!$E$5:$E$230,SBR!$A19)+SUMIFS('Mar20-Aug20 Billed-RETAIL'!$K$5:$K$230,'Mar20-Aug20 Billed-RETAIL'!$C$5:$C$230,SBR!AG$4,'Mar20-Aug20 Billed-RETAIL'!$E$5:$E$230,SBR!$A19))*0.1</f>
        <v>47808.3</v>
      </c>
      <c r="AH19" s="90">
        <f>(SUMIFS('Mar20-Aug20 Billed-RETAIL'!$J$5:$J$230,'Mar20-Aug20 Billed-RETAIL'!$C$5:$C$230,SBR!AH$4,'Mar20-Aug20 Billed-RETAIL'!$E$5:$E$230,SBR!$A19)+SUMIFS('Mar20-Aug20 Billed-RETAIL'!$K$5:$K$230,'Mar20-Aug20 Billed-RETAIL'!$C$5:$C$230,SBR!AH$4,'Mar20-Aug20 Billed-RETAIL'!$E$5:$E$230,SBR!$A19))*0.1</f>
        <v>40316.400000000001</v>
      </c>
      <c r="AI19" s="90">
        <f>(SUMIFS('Mar20-Aug20 Billed-RETAIL'!$J$5:$J$230,'Mar20-Aug20 Billed-RETAIL'!$C$5:$C$230,SBR!AI$4,'Mar20-Aug20 Billed-RETAIL'!$E$5:$E$230,SBR!$A19)+SUMIFS('Mar20-Aug20 Billed-RETAIL'!$K$5:$K$230,'Mar20-Aug20 Billed-RETAIL'!$C$5:$C$230,SBR!AI$4,'Mar20-Aug20 Billed-RETAIL'!$E$5:$E$230,SBR!$A19))*0.1</f>
        <v>33153.599999999999</v>
      </c>
      <c r="AJ19" s="90">
        <f>(SUMIFS('Mar20-Aug20 Billed-RETAIL'!$J$5:$J$230,'Mar20-Aug20 Billed-RETAIL'!$C$5:$C$230,SBR!AJ$4,'Mar20-Aug20 Billed-RETAIL'!$E$5:$E$230,SBR!$A19)+SUMIFS('Mar20-Aug20 Billed-RETAIL'!$K$5:$K$230,'Mar20-Aug20 Billed-RETAIL'!$C$5:$C$230,SBR!AJ$4,'Mar20-Aug20 Billed-RETAIL'!$E$5:$E$230,SBR!$A19))*0.1</f>
        <v>35647</v>
      </c>
      <c r="AK19" s="90">
        <f>(SUMIFS('Mar20-Aug20 Billed-RETAIL'!$J$5:$J$230,'Mar20-Aug20 Billed-RETAIL'!$C$5:$C$230,SBR!AK$4,'Mar20-Aug20 Billed-RETAIL'!$E$5:$E$230,SBR!$A19)+SUMIFS('Mar20-Aug20 Billed-RETAIL'!$K$5:$K$230,'Mar20-Aug20 Billed-RETAIL'!$C$5:$C$230,SBR!AK$4,'Mar20-Aug20 Billed-RETAIL'!$E$5:$E$230,SBR!$A19))*0.1</f>
        <v>22575.7</v>
      </c>
      <c r="AL19" s="90">
        <f>(SUMIFS('Mar20-Aug20 Billed-RETAIL'!$J$7:$J$155,'Mar20-Aug20 Billed-RETAIL'!$C$7:$C$155,SBR!AL$4,'Mar20-Aug20 Billed-RETAIL'!$E$7:$E$155,SBR!$A19)+SUMIFS('Mar20-Aug20 Billed-RETAIL'!$K$7:$K$155,'Mar20-Aug20 Billed-RETAIL'!$C$7:$C$155,SBR!AL$4,'Mar20-Aug20 Billed-RETAIL'!$E$7:$E$155,SBR!$A19))*0.1</f>
        <v>30517.366002783809</v>
      </c>
      <c r="AM19" s="90">
        <f>(SUMIFS('Mar20-Aug20 Billed-RETAIL'!$J$7:$J$155,'Mar20-Aug20 Billed-RETAIL'!$C$7:$C$155,SBR!AM$4,'Mar20-Aug20 Billed-RETAIL'!$E$7:$E$155,SBR!$A19)+SUMIFS('Mar20-Aug20 Billed-RETAIL'!$K$7:$K$155,'Mar20-Aug20 Billed-RETAIL'!$C$7:$C$155,SBR!AM$4,'Mar20-Aug20 Billed-RETAIL'!$E$7:$E$155,SBR!$A19))*0.1</f>
        <v>48272.42779204563</v>
      </c>
      <c r="AN19" s="90">
        <f>(SUMIFS('Mar20-Aug20 Billed-RETAIL'!$J$7:$J$155,'Mar20-Aug20 Billed-RETAIL'!$C$7:$C$155,SBR!AN$4,'Mar20-Aug20 Billed-RETAIL'!$E$7:$E$155,SBR!$A19)+SUMIFS('Mar20-Aug20 Billed-RETAIL'!$K$7:$K$155,'Mar20-Aug20 Billed-RETAIL'!$C$7:$C$155,SBR!AN$4,'Mar20-Aug20 Billed-RETAIL'!$E$7:$E$155,SBR!$A19))*0.1</f>
        <v>77164.58007761465</v>
      </c>
      <c r="AO19" s="90">
        <f>(SUMIFS('Mar20-Aug20 Billed-RETAIL'!$J$7:$J$155,'Mar20-Aug20 Billed-RETAIL'!$C$7:$C$155,SBR!AO$4,'Mar20-Aug20 Billed-RETAIL'!$E$7:$E$155,SBR!$A19)+SUMIFS('Mar20-Aug20 Billed-RETAIL'!$K$7:$K$155,'Mar20-Aug20 Billed-RETAIL'!$C$7:$C$155,SBR!AO$4,'Mar20-Aug20 Billed-RETAIL'!$E$7:$E$155,SBR!$A19))*0.1</f>
        <v>101696.57741216892</v>
      </c>
      <c r="AP19" s="90">
        <f>(SUMIFS('Mar20-Aug20 Billed-RETAIL'!$J$7:$J$155,'Mar20-Aug20 Billed-RETAIL'!$C$7:$C$155,SBR!AP$4,'Mar20-Aug20 Billed-RETAIL'!$E$7:$E$155,SBR!$A19)+SUMIFS('Mar20-Aug20 Billed-RETAIL'!$K$7:$K$155,'Mar20-Aug20 Billed-RETAIL'!$C$7:$C$155,SBR!AP$4,'Mar20-Aug20 Billed-RETAIL'!$E$7:$E$155,SBR!$A19))*0.1</f>
        <v>129550.89783428729</v>
      </c>
      <c r="AQ19" s="90">
        <f>(SUMIFS('Mar20-Aug20 Billed-RETAIL'!$J$7:$J$155,'Mar20-Aug20 Billed-RETAIL'!$C$7:$C$155,SBR!AQ$4,'Mar20-Aug20 Billed-RETAIL'!$E$7:$E$155,SBR!$A19)+SUMIFS('Mar20-Aug20 Billed-RETAIL'!$K$7:$K$155,'Mar20-Aug20 Billed-RETAIL'!$C$7:$C$155,SBR!AQ$4,'Mar20-Aug20 Billed-RETAIL'!$E$7:$E$155,SBR!$A19))*0.1</f>
        <v>103917.94465069064</v>
      </c>
      <c r="AR19" s="91">
        <f>SUMIFS('Mar20-Aug20 Billed-RETAIL'!$BA$5:$BA$156,'Mar20-Aug20 Billed-RETAIL'!$C$5:$C$156,SBR!AR$4,'Mar20-Aug20 Billed-RETAIL'!$E$5:$E$156,SBR!$A19)</f>
        <v>400215.7</v>
      </c>
      <c r="AS19" s="91">
        <f>SUMIFS('Mar20-Aug20 Billed-RETAIL'!$BA$5:$BA$156,'Mar20-Aug20 Billed-RETAIL'!$C$5:$C$156,SBR!AS$4,'Mar20-Aug20 Billed-RETAIL'!$E$5:$E$156,SBR!$A19)</f>
        <v>299045.46000000002</v>
      </c>
      <c r="AT19" s="91">
        <f>SUMIFS('Mar20-Aug20 Billed-RETAIL'!$BA$5:$BA$156,'Mar20-Aug20 Billed-RETAIL'!$C$5:$C$156,SBR!AT$4,'Mar20-Aug20 Billed-RETAIL'!$E$5:$E$156,SBR!$A19)</f>
        <v>247619.38</v>
      </c>
      <c r="AU19" s="91">
        <f>SUMIFS('Mar20-Aug20 Billed-RETAIL'!$BA$5:$BA$156,'Mar20-Aug20 Billed-RETAIL'!$C$5:$C$156,SBR!AU$4,'Mar20-Aug20 Billed-RETAIL'!$E$5:$E$156,SBR!$A19)</f>
        <v>201523.93</v>
      </c>
      <c r="AV19" s="91">
        <f>SUMIFS('Mar20-Aug20 Billed-RETAIL'!$BA$5:$BA$156,'Mar20-Aug20 Billed-RETAIL'!$C$5:$C$156,SBR!AV$4,'Mar20-Aug20 Billed-RETAIL'!$E$5:$E$156,SBR!$A19)</f>
        <v>211125.53</v>
      </c>
      <c r="AW19" s="91">
        <f>SUMIFS('Mar20-Aug20 Billed-RETAIL'!$BA$5:$BA$156,'Mar20-Aug20 Billed-RETAIL'!$C$5:$C$156,SBR!AW$4,'Mar20-Aug20 Billed-RETAIL'!$E$5:$E$156,SBR!$A19)</f>
        <v>158476.19</v>
      </c>
      <c r="AX19" s="91">
        <f>SUMIFS('Mar20-Aug20 Billed-RETAIL'!$BA$7:$BA$155,'Mar20-Aug20 Billed-RETAIL'!$E$7:$E$155,$A19,'Mar20-Aug20 Billed-RETAIL'!$C$7:$C$155,AX$4)</f>
        <v>246045.26</v>
      </c>
      <c r="AY19" s="91">
        <f>SUMIFS('Mar20-Aug20 Billed-RETAIL'!$BA$7:$BA$155,'Mar20-Aug20 Billed-RETAIL'!$E$7:$E$155,$A19,'Mar20-Aug20 Billed-RETAIL'!$C$7:$C$155,AY$4)</f>
        <v>347619.65</v>
      </c>
      <c r="AZ19" s="91">
        <f>SUMIFS('Mar20-Aug20 Billed-RETAIL'!$BA$7:$BA$155,'Mar20-Aug20 Billed-RETAIL'!$E$7:$E$155,$A19,'Mar20-Aug20 Billed-RETAIL'!$C$7:$C$155,AZ$4)</f>
        <v>559491.88</v>
      </c>
      <c r="BA19" s="91">
        <f>SUMIFS('Mar20-Aug20 Billed-RETAIL'!$BA$7:$BA$155,'Mar20-Aug20 Billed-RETAIL'!$E$7:$E$155,$A19,'Mar20-Aug20 Billed-RETAIL'!$C$7:$C$155,BA$4)</f>
        <v>744434.24</v>
      </c>
      <c r="BB19" s="91">
        <f>SUMIFS('Mar20-Aug20 Billed-RETAIL'!$BA$7:$BA$155,'Mar20-Aug20 Billed-RETAIL'!$E$7:$E$155,$A19,'Mar20-Aug20 Billed-RETAIL'!$C$7:$C$155,BB$4)</f>
        <v>951711.14</v>
      </c>
      <c r="BC19" s="91">
        <f>SUMIFS('Mar20-Aug20 Billed-RETAIL'!$BA$7:$BA$155,'Mar20-Aug20 Billed-RETAIL'!$E$7:$E$155,$A19,'Mar20-Aug20 Billed-RETAIL'!$C$7:$C$155,BC$4)</f>
        <v>783057.09</v>
      </c>
      <c r="BD19" s="92"/>
      <c r="BE19" s="92"/>
      <c r="BF19" s="251">
        <f t="shared" ref="BF19:BK22" si="27">ROUND((AR19/SUM(AR$9+AR$17+AR$23+AR$26+AR$29+AR$39))*BF$5,2)</f>
        <v>-10.08</v>
      </c>
      <c r="BG19" s="251">
        <f t="shared" si="27"/>
        <v>81.489999999999995</v>
      </c>
      <c r="BH19" s="251">
        <f t="shared" si="27"/>
        <v>109.99</v>
      </c>
      <c r="BI19" s="251">
        <f t="shared" si="27"/>
        <v>-0.43</v>
      </c>
      <c r="BJ19" s="251">
        <f t="shared" si="27"/>
        <v>6.34</v>
      </c>
      <c r="BK19" s="251">
        <f t="shared" si="27"/>
        <v>4.78</v>
      </c>
      <c r="BL19" s="251">
        <f t="shared" si="6"/>
        <v>192.08999999999997</v>
      </c>
    </row>
    <row r="20" spans="1:66" x14ac:dyDescent="0.25">
      <c r="A20" s="50" t="s">
        <v>434</v>
      </c>
      <c r="B20" s="50" t="s">
        <v>25</v>
      </c>
      <c r="C20" s="112">
        <f>SUM(H20:S20)</f>
        <v>811</v>
      </c>
      <c r="D20" s="112">
        <f t="shared" si="26"/>
        <v>24186</v>
      </c>
      <c r="E20" s="123">
        <f t="shared" si="16"/>
        <v>270713.7</v>
      </c>
      <c r="F20" s="112">
        <f t="shared" si="7"/>
        <v>1763923.2400000002</v>
      </c>
      <c r="G20" s="46"/>
      <c r="H20" s="89">
        <f>SUMIFS('Mar20-Aug20 Billed-RETAIL'!$H$7:$H$155,'Mar20-Aug20 Billed-RETAIL'!$C$7:$C$155,H$4,'Mar20-Aug20 Billed-RETAIL'!$E$7:$E$155,$A20)+SUMIFS('Mar20-Aug20 Billed-RETAIL'!$I$7:$I$155,'Mar20-Aug20 Billed-RETAIL'!$C$7:$C$155,H$4,'Mar20-Aug20 Billed-RETAIL'!$E$7:$E$155,$A20)</f>
        <v>130</v>
      </c>
      <c r="I20" s="89">
        <f>SUMIFS('Mar20-Aug20 Billed-RETAIL'!$H$7:$H$155,'Mar20-Aug20 Billed-RETAIL'!$C$7:$C$155,I$4,'Mar20-Aug20 Billed-RETAIL'!$E$7:$E$155,$A20)+SUMIFS('Mar20-Aug20 Billed-RETAIL'!$I$7:$I$155,'Mar20-Aug20 Billed-RETAIL'!$C$7:$C$155,I$4,'Mar20-Aug20 Billed-RETAIL'!$E$7:$E$155,$A20)</f>
        <v>138</v>
      </c>
      <c r="J20" s="89">
        <f>SUMIFS('Mar20-Aug20 Billed-RETAIL'!$H$7:$H$155,'Mar20-Aug20 Billed-RETAIL'!$C$7:$C$155,J$4,'Mar20-Aug20 Billed-RETAIL'!$E$7:$E$155,$A20)+SUMIFS('Mar20-Aug20 Billed-RETAIL'!$I$7:$I$155,'Mar20-Aug20 Billed-RETAIL'!$C$7:$C$155,J$4,'Mar20-Aug20 Billed-RETAIL'!$E$7:$E$155,$A20)</f>
        <v>140</v>
      </c>
      <c r="K20" s="89">
        <f>SUMIFS('Mar20-Aug20 Billed-RETAIL'!$H$7:$H$155,'Mar20-Aug20 Billed-RETAIL'!$C$7:$C$155,K$4,'Mar20-Aug20 Billed-RETAIL'!$E$7:$E$155,$A20)+SUMIFS('Mar20-Aug20 Billed-RETAIL'!$I$7:$I$155,'Mar20-Aug20 Billed-RETAIL'!$C$7:$C$155,K$4,'Mar20-Aug20 Billed-RETAIL'!$E$7:$E$155,$A20)</f>
        <v>137</v>
      </c>
      <c r="L20" s="89">
        <f>SUMIFS('Mar20-Aug20 Billed-RETAIL'!$H$7:$H$155,'Mar20-Aug20 Billed-RETAIL'!$C$7:$C$155,L$4,'Mar20-Aug20 Billed-RETAIL'!$E$7:$E$155,$A20)+SUMIFS('Mar20-Aug20 Billed-RETAIL'!$I$7:$I$155,'Mar20-Aug20 Billed-RETAIL'!$C$7:$C$155,L$4,'Mar20-Aug20 Billed-RETAIL'!$E$7:$E$155,$A20)</f>
        <v>131</v>
      </c>
      <c r="M20" s="89">
        <f>SUMIFS('Mar20-Aug20 Billed-RETAIL'!$H$7:$H$155,'Mar20-Aug20 Billed-RETAIL'!$C$7:$C$155,M$4,'Mar20-Aug20 Billed-RETAIL'!$E$7:$E$155,$A20)+SUMIFS('Mar20-Aug20 Billed-RETAIL'!$I$7:$I$155,'Mar20-Aug20 Billed-RETAIL'!$C$7:$C$155,M$4,'Mar20-Aug20 Billed-RETAIL'!$E$7:$E$155,$A20)</f>
        <v>135</v>
      </c>
      <c r="N20" s="89"/>
      <c r="O20" s="89"/>
      <c r="P20" s="89"/>
      <c r="Q20" s="89"/>
      <c r="R20" s="89"/>
      <c r="S20" s="89"/>
      <c r="T20" s="99">
        <f>SUMIFS('Mar20-Aug20 Billed-RETAIL'!P8:P156,'Mar20-Aug20 Billed-RETAIL'!E8:E156,SBR!A20,'Mar20-Aug20 Billed-RETAIL'!C8:C156,SBR!T4)+SUMIFS('Mar20-Aug20 Billed-RETAIL'!Q10:Q158,'Mar20-Aug20 Billed-RETAIL'!E10:E158,SBR!A20,'Mar20-Aug20 Billed-RETAIL'!C10:C158,SBR!T4)</f>
        <v>3805</v>
      </c>
      <c r="U20" s="99">
        <f>SUMIFS('Mar20-Aug20 Billed-RETAIL'!P8:P156,'Mar20-Aug20 Billed-RETAIL'!E8:E156,SBR!A20,'Mar20-Aug20 Billed-RETAIL'!C8:C156,SBR!U4)+SUMIFS('Mar20-Aug20 Billed-RETAIL'!Q10:Q158,'Mar20-Aug20 Billed-RETAIL'!E10:E158,SBR!A20,'Mar20-Aug20 Billed-RETAIL'!C10:C158,SBR!U4)</f>
        <v>4290</v>
      </c>
      <c r="V20" s="89">
        <f>SUMIFS('Mar20-Aug20 Billed-RETAIL'!P8:P156,'Mar20-Aug20 Billed-RETAIL'!E8:E156,SBR!A20,'Mar20-Aug20 Billed-RETAIL'!C8:C156,SBR!V4)+SUMIFS('Mar20-Aug20 Billed-RETAIL'!Q10:Q158,'Mar20-Aug20 Billed-RETAIL'!E10:E158,SBR!A20,'Mar20-Aug20 Billed-RETAIL'!C10:C158,SBR!V4)</f>
        <v>4036</v>
      </c>
      <c r="W20" s="89">
        <f>SUMIFS('Mar20-Aug20 Billed-RETAIL'!P8:P156,'Mar20-Aug20 Billed-RETAIL'!E8:E156,SBR!A20,'Mar20-Aug20 Billed-RETAIL'!C8:C156,SBR!W4)+SUMIFS('Mar20-Aug20 Billed-RETAIL'!Q10:Q158,'Mar20-Aug20 Billed-RETAIL'!E10:E158,SBR!A20,'Mar20-Aug20 Billed-RETAIL'!C10:C158,SBR!W4)</f>
        <v>4119</v>
      </c>
      <c r="X20" s="89">
        <f>SUMIFS('Mar20-Aug20 Billed-RETAIL'!P8:P156,'Mar20-Aug20 Billed-RETAIL'!E8:E156,SBR!A20,'Mar20-Aug20 Billed-RETAIL'!C8:C156,SBR!X4)+SUMIFS('Mar20-Aug20 Billed-RETAIL'!Q10:Q158,'Mar20-Aug20 Billed-RETAIL'!E10:E158,SBR!A20,'Mar20-Aug20 Billed-RETAIL'!C10:C158,SBR!X4)</f>
        <v>4045</v>
      </c>
      <c r="Y20" s="89">
        <f>SUMIFS('Mar20-Aug20 Billed-RETAIL'!P8:P156,'Mar20-Aug20 Billed-RETAIL'!E8:E156,SBR!A20,'Mar20-Aug20 Billed-RETAIL'!C8:C156,SBR!Y4)+SUMIFS('Mar20-Aug20 Billed-RETAIL'!Q10:Q158,'Mar20-Aug20 Billed-RETAIL'!E10:E158,SBR!A20,'Mar20-Aug20 Billed-RETAIL'!C10:C158,SBR!Y4)</f>
        <v>3890.9999999999995</v>
      </c>
      <c r="Z20" s="89"/>
      <c r="AA20" s="89"/>
      <c r="AB20" s="89"/>
      <c r="AC20" s="89"/>
      <c r="AD20" s="89"/>
      <c r="AE20" s="89"/>
      <c r="AF20" s="90">
        <f>(SUMIFS('Mar20-Aug20 Billed-RETAIL'!$J$5:$J$230,'Mar20-Aug20 Billed-RETAIL'!$C$5:$C$230,SBR!AF$4,'Mar20-Aug20 Billed-RETAIL'!$E$5:$E$230,SBR!$A20)+SUMIFS('Mar20-Aug20 Billed-RETAIL'!$K$5:$K$230,'Mar20-Aug20 Billed-RETAIL'!$C$5:$C$230,SBR!AF$4,'Mar20-Aug20 Billed-RETAIL'!$E$5:$E$230,SBR!$A20))*0.1</f>
        <v>67124.2</v>
      </c>
      <c r="AG20" s="90">
        <f>(SUMIFS('Mar20-Aug20 Billed-RETAIL'!$J$5:$J$230,'Mar20-Aug20 Billed-RETAIL'!$C$5:$C$230,SBR!AG$4,'Mar20-Aug20 Billed-RETAIL'!$E$5:$E$230,SBR!$A20)+SUMIFS('Mar20-Aug20 Billed-RETAIL'!$K$5:$K$230,'Mar20-Aug20 Billed-RETAIL'!$C$5:$C$230,SBR!AG$4,'Mar20-Aug20 Billed-RETAIL'!$E$5:$E$230,SBR!$A20))*0.1</f>
        <v>45753.8</v>
      </c>
      <c r="AH20" s="90">
        <f>(SUMIFS('Mar20-Aug20 Billed-RETAIL'!$J$5:$J$230,'Mar20-Aug20 Billed-RETAIL'!$C$5:$C$230,SBR!AH$4,'Mar20-Aug20 Billed-RETAIL'!$E$5:$E$230,SBR!$A20)+SUMIFS('Mar20-Aug20 Billed-RETAIL'!$K$5:$K$230,'Mar20-Aug20 Billed-RETAIL'!$C$5:$C$230,SBR!AH$4,'Mar20-Aug20 Billed-RETAIL'!$E$5:$E$230,SBR!$A20))*0.1</f>
        <v>41495.300000000003</v>
      </c>
      <c r="AI20" s="90">
        <f>(SUMIFS('Mar20-Aug20 Billed-RETAIL'!$J$5:$J$230,'Mar20-Aug20 Billed-RETAIL'!$C$5:$C$230,SBR!AI$4,'Mar20-Aug20 Billed-RETAIL'!$E$5:$E$230,SBR!$A20)+SUMIFS('Mar20-Aug20 Billed-RETAIL'!$K$5:$K$230,'Mar20-Aug20 Billed-RETAIL'!$C$5:$C$230,SBR!AI$4,'Mar20-Aug20 Billed-RETAIL'!$E$5:$E$230,SBR!$A20))*0.1</f>
        <v>42580.600000000006</v>
      </c>
      <c r="AJ20" s="90">
        <f>(SUMIFS('Mar20-Aug20 Billed-RETAIL'!$J$5:$J$230,'Mar20-Aug20 Billed-RETAIL'!$C$5:$C$230,SBR!AJ$4,'Mar20-Aug20 Billed-RETAIL'!$E$5:$E$230,SBR!$A20)+SUMIFS('Mar20-Aug20 Billed-RETAIL'!$K$5:$K$230,'Mar20-Aug20 Billed-RETAIL'!$C$5:$C$230,SBR!AJ$4,'Mar20-Aug20 Billed-RETAIL'!$E$5:$E$230,SBR!$A20))*0.1</f>
        <v>35601.5</v>
      </c>
      <c r="AK20" s="90">
        <f>(SUMIFS('Mar20-Aug20 Billed-RETAIL'!$J$5:$J$230,'Mar20-Aug20 Billed-RETAIL'!$C$5:$C$230,SBR!AK$4,'Mar20-Aug20 Billed-RETAIL'!$E$5:$E$230,SBR!$A20)+SUMIFS('Mar20-Aug20 Billed-RETAIL'!$K$5:$K$230,'Mar20-Aug20 Billed-RETAIL'!$C$5:$C$230,SBR!AK$4,'Mar20-Aug20 Billed-RETAIL'!$E$5:$E$230,SBR!$A20))*0.1</f>
        <v>38158.300000000003</v>
      </c>
      <c r="AL20" s="90"/>
      <c r="AM20" s="90"/>
      <c r="AN20" s="90"/>
      <c r="AO20" s="90"/>
      <c r="AP20" s="90"/>
      <c r="AQ20" s="90"/>
      <c r="AR20" s="91">
        <f>SUMIFS('Mar20-Aug20 Billed-RETAIL'!$BA$5:$BA$156,'Mar20-Aug20 Billed-RETAIL'!$C$5:$C$156,SBR!AR$4,'Mar20-Aug20 Billed-RETAIL'!$E$5:$E$156,SBR!$A20)</f>
        <v>448547.66</v>
      </c>
      <c r="AS20" s="91">
        <f>SUMIFS('Mar20-Aug20 Billed-RETAIL'!$BA$5:$BA$156,'Mar20-Aug20 Billed-RETAIL'!$C$5:$C$156,SBR!AS$4,'Mar20-Aug20 Billed-RETAIL'!$E$5:$E$156,SBR!$A20)</f>
        <v>308631.63</v>
      </c>
      <c r="AT20" s="91">
        <f>SUMIFS('Mar20-Aug20 Billed-RETAIL'!$BA$5:$BA$156,'Mar20-Aug20 Billed-RETAIL'!$C$5:$C$156,SBR!AT$4,'Mar20-Aug20 Billed-RETAIL'!$E$5:$E$156,SBR!$A20)</f>
        <v>268919.15000000002</v>
      </c>
      <c r="AU20" s="91">
        <f>SUMIFS('Mar20-Aug20 Billed-RETAIL'!$BA$5:$BA$156,'Mar20-Aug20 Billed-RETAIL'!$C$5:$C$156,SBR!AU$4,'Mar20-Aug20 Billed-RETAIL'!$E$5:$E$156,SBR!$A20)</f>
        <v>261280.86</v>
      </c>
      <c r="AV20" s="91">
        <f>SUMIFS('Mar20-Aug20 Billed-RETAIL'!$BA$5:$BA$156,'Mar20-Aug20 Billed-RETAIL'!$C$5:$C$156,SBR!AV$4,'Mar20-Aug20 Billed-RETAIL'!$E$5:$E$156,SBR!$A20)</f>
        <v>229051.88</v>
      </c>
      <c r="AW20" s="91">
        <f>SUMIFS('Mar20-Aug20 Billed-RETAIL'!$BA$5:$BA$156,'Mar20-Aug20 Billed-RETAIL'!$C$5:$C$156,SBR!AW$4,'Mar20-Aug20 Billed-RETAIL'!$E$5:$E$156,SBR!$A20)</f>
        <v>247286.01</v>
      </c>
      <c r="AX20" s="91"/>
      <c r="AY20" s="91"/>
      <c r="AZ20" s="91"/>
      <c r="BA20" s="91"/>
      <c r="BB20" s="91"/>
      <c r="BC20" s="91"/>
      <c r="BD20" s="92"/>
      <c r="BE20" s="92"/>
      <c r="BF20" s="251">
        <f t="shared" si="27"/>
        <v>-11.3</v>
      </c>
      <c r="BG20" s="251">
        <f t="shared" si="27"/>
        <v>84.11</v>
      </c>
      <c r="BH20" s="251">
        <f t="shared" si="27"/>
        <v>119.45</v>
      </c>
      <c r="BI20" s="251">
        <f t="shared" si="27"/>
        <v>-0.55000000000000004</v>
      </c>
      <c r="BJ20" s="251">
        <f t="shared" si="27"/>
        <v>6.88</v>
      </c>
      <c r="BK20" s="251">
        <f t="shared" si="27"/>
        <v>7.46</v>
      </c>
      <c r="BL20" s="251">
        <f>SUM(BF20:BK20)</f>
        <v>206.04999999999998</v>
      </c>
    </row>
    <row r="21" spans="1:66" x14ac:dyDescent="0.25">
      <c r="A21" s="50" t="s">
        <v>31</v>
      </c>
      <c r="B21" s="142" t="s">
        <v>488</v>
      </c>
      <c r="C21" s="112">
        <f>SUM(H21:S21)</f>
        <v>0</v>
      </c>
      <c r="D21" s="112"/>
      <c r="E21" s="123">
        <f t="shared" si="16"/>
        <v>0</v>
      </c>
      <c r="F21" s="112">
        <f t="shared" si="7"/>
        <v>5602.5199999999995</v>
      </c>
      <c r="G21" s="46"/>
      <c r="H21" s="89">
        <f>SUMIFS('Mar20-Aug20 Billed-RETAIL'!$H$7:$H$155,'Mar20-Aug20 Billed-RETAIL'!$C$7:$C$155,H$4,'Mar20-Aug20 Billed-RETAIL'!$E$7:$E$155,$A21)+SUMIFS('Mar20-Aug20 Billed-RETAIL'!$I$7:$I$155,'Mar20-Aug20 Billed-RETAIL'!$C$7:$C$155,H$4,'Mar20-Aug20 Billed-RETAIL'!$E$7:$E$155,$A21)</f>
        <v>0</v>
      </c>
      <c r="I21" s="89">
        <f>SUMIFS('Mar20-Aug20 Billed-RETAIL'!$H$7:$H$155,'Mar20-Aug20 Billed-RETAIL'!$C$7:$C$155,I$4,'Mar20-Aug20 Billed-RETAIL'!$E$7:$E$155,$A21)+SUMIFS('Mar20-Aug20 Billed-RETAIL'!$I$7:$I$155,'Mar20-Aug20 Billed-RETAIL'!$C$7:$C$155,I$4,'Mar20-Aug20 Billed-RETAIL'!$E$7:$E$155,$A21)</f>
        <v>0</v>
      </c>
      <c r="J21" s="89">
        <f>SUMIFS('Mar20-Aug20 Billed-RETAIL'!$H$7:$H$155,'Mar20-Aug20 Billed-RETAIL'!$C$7:$C$155,J$4,'Mar20-Aug20 Billed-RETAIL'!$E$7:$E$155,$A21)+SUMIFS('Mar20-Aug20 Billed-RETAIL'!$I$7:$I$155,'Mar20-Aug20 Billed-RETAIL'!$C$7:$C$155,J$4,'Mar20-Aug20 Billed-RETAIL'!$E$7:$E$155,$A21)</f>
        <v>0</v>
      </c>
      <c r="K21" s="89">
        <f>SUMIFS('Mar20-Aug20 Billed-RETAIL'!$H$7:$H$155,'Mar20-Aug20 Billed-RETAIL'!$C$7:$C$155,K$4,'Mar20-Aug20 Billed-RETAIL'!$E$7:$E$155,$A21)+SUMIFS('Mar20-Aug20 Billed-RETAIL'!$I$7:$I$155,'Mar20-Aug20 Billed-RETAIL'!$C$7:$C$155,K$4,'Mar20-Aug20 Billed-RETAIL'!$E$7:$E$155,$A21)</f>
        <v>0</v>
      </c>
      <c r="L21" s="89">
        <f>SUMIFS('Mar20-Aug20 Billed-RETAIL'!$H$7:$H$155,'Mar20-Aug20 Billed-RETAIL'!$C$7:$C$155,L$4,'Mar20-Aug20 Billed-RETAIL'!$E$7:$E$155,$A21)+SUMIFS('Mar20-Aug20 Billed-RETAIL'!$I$7:$I$155,'Mar20-Aug20 Billed-RETAIL'!$C$7:$C$155,L$4,'Mar20-Aug20 Billed-RETAIL'!$E$7:$E$155,$A21)</f>
        <v>0</v>
      </c>
      <c r="M21" s="89">
        <f>SUMIFS('Mar20-Aug20 Billed-RETAIL'!$H$7:$H$155,'Mar20-Aug20 Billed-RETAIL'!$C$7:$C$155,M$4,'Mar20-Aug20 Billed-RETAIL'!$E$7:$E$155,$A21)+SUMIFS('Mar20-Aug20 Billed-RETAIL'!$I$7:$I$155,'Mar20-Aug20 Billed-RETAIL'!$C$7:$C$155,M$4,'Mar20-Aug20 Billed-RETAIL'!$E$7:$E$155,$A21)</f>
        <v>0</v>
      </c>
      <c r="N21" s="113"/>
      <c r="O21" s="113"/>
      <c r="P21" s="113"/>
      <c r="Q21" s="113"/>
      <c r="R21" s="113"/>
      <c r="S21" s="113"/>
      <c r="T21" s="99"/>
      <c r="U21" s="99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04">
        <f>'Mar20-Aug20 Transport Actuals'!I568</f>
        <v>0</v>
      </c>
      <c r="AG21" s="104">
        <f>'Mar20-Aug20 Transport Actuals'!J568</f>
        <v>0</v>
      </c>
      <c r="AH21" s="104">
        <f>'Mar20-Aug20 Transport Actuals'!K568</f>
        <v>0</v>
      </c>
      <c r="AI21" s="104">
        <f>'Mar20-Aug20 Transport Actuals'!L568</f>
        <v>0</v>
      </c>
      <c r="AJ21" s="104">
        <f>'Mar20-Aug20 Transport Actuals'!M568</f>
        <v>0</v>
      </c>
      <c r="AK21" s="104">
        <f>'Mar20-Aug20 Transport Actuals'!N568</f>
        <v>0</v>
      </c>
      <c r="AL21" s="114"/>
      <c r="AM21" s="114"/>
      <c r="AN21" s="114"/>
      <c r="AO21" s="114"/>
      <c r="AP21" s="114"/>
      <c r="AQ21" s="114"/>
      <c r="AR21" s="91">
        <f>'Mar20-Aug20 Transport Actuals'!I580+'Mar20-Aug20 Transport Actuals'!I619</f>
        <v>107.49</v>
      </c>
      <c r="AS21" s="91">
        <f>'Mar20-Aug20 Transport Actuals'!J580+'Mar20-Aug20 Transport Actuals'!J619</f>
        <v>4839.1899999999996</v>
      </c>
      <c r="AT21" s="91">
        <f>'Mar20-Aug20 Transport Actuals'!K580+'Mar20-Aug20 Transport Actuals'!K619</f>
        <v>654.23</v>
      </c>
      <c r="AU21" s="91">
        <f>'Mar20-Aug20 Transport Actuals'!L580+'Mar20-Aug20 Transport Actuals'!L619</f>
        <v>0</v>
      </c>
      <c r="AV21" s="91">
        <f>'Mar20-Aug20 Transport Actuals'!M580+'Mar20-Aug20 Transport Actuals'!M619</f>
        <v>0</v>
      </c>
      <c r="AW21" s="91">
        <f>'Mar20-Aug20 Transport Actuals'!N580+'Mar20-Aug20 Transport Actuals'!N619</f>
        <v>0</v>
      </c>
      <c r="AX21" s="91"/>
      <c r="AY21" s="91"/>
      <c r="AZ21" s="91"/>
      <c r="BA21" s="91"/>
      <c r="BB21" s="91"/>
      <c r="BC21" s="91"/>
      <c r="BD21" s="92"/>
      <c r="BE21" s="92"/>
      <c r="BF21" s="251">
        <f t="shared" si="27"/>
        <v>0</v>
      </c>
      <c r="BG21" s="251">
        <f t="shared" si="27"/>
        <v>1.32</v>
      </c>
      <c r="BH21" s="251">
        <f t="shared" si="27"/>
        <v>0.28999999999999998</v>
      </c>
      <c r="BI21" s="251">
        <f t="shared" si="27"/>
        <v>0</v>
      </c>
      <c r="BJ21" s="251">
        <f t="shared" si="27"/>
        <v>0</v>
      </c>
      <c r="BK21" s="251">
        <f t="shared" si="27"/>
        <v>0</v>
      </c>
      <c r="BL21" s="251">
        <f t="shared" si="6"/>
        <v>1.61</v>
      </c>
    </row>
    <row r="22" spans="1:66" x14ac:dyDescent="0.25">
      <c r="A22" s="50" t="s">
        <v>36</v>
      </c>
      <c r="B22" s="106" t="s">
        <v>643</v>
      </c>
      <c r="C22" s="124">
        <f>SUM(H22:S22)</f>
        <v>0</v>
      </c>
      <c r="D22" s="124"/>
      <c r="E22" s="125">
        <f>SUM(AF22:AQ22)</f>
        <v>1375.8999999999999</v>
      </c>
      <c r="F22" s="124">
        <f>SUM(AR22:BC22)+BL22</f>
        <v>98572.391722</v>
      </c>
      <c r="G22" s="808"/>
      <c r="H22" s="95">
        <f>SUMIFS('Mar20-Aug20 Billed-RETAIL'!$H$7:$H$155,'Mar20-Aug20 Billed-RETAIL'!$C$7:$C$155,H$4,'Mar20-Aug20 Billed-RETAIL'!$E$7:$E$155,$A22)+SUMIFS('Mar20-Aug20 Billed-RETAIL'!$I$7:$I$155,'Mar20-Aug20 Billed-RETAIL'!$C$7:$C$155,H$4,'Mar20-Aug20 Billed-RETAIL'!$E$7:$E$155,$A22)</f>
        <v>0</v>
      </c>
      <c r="I22" s="95">
        <f>SUMIFS('Mar20-Aug20 Billed-RETAIL'!$H$7:$H$155,'Mar20-Aug20 Billed-RETAIL'!$C$7:$C$155,I$4,'Mar20-Aug20 Billed-RETAIL'!$E$7:$E$155,$A22)+SUMIFS('Mar20-Aug20 Billed-RETAIL'!$I$7:$I$155,'Mar20-Aug20 Billed-RETAIL'!$C$7:$C$155,I$4,'Mar20-Aug20 Billed-RETAIL'!$E$7:$E$155,$A22)</f>
        <v>0</v>
      </c>
      <c r="J22" s="95">
        <f>SUMIFS('Mar20-Aug20 Billed-RETAIL'!$H$7:$H$155,'Mar20-Aug20 Billed-RETAIL'!$C$7:$C$155,J$4,'Mar20-Aug20 Billed-RETAIL'!$E$7:$E$155,$A22)+SUMIFS('Mar20-Aug20 Billed-RETAIL'!$I$7:$I$155,'Mar20-Aug20 Billed-RETAIL'!$C$7:$C$155,J$4,'Mar20-Aug20 Billed-RETAIL'!$E$7:$E$155,$A22)</f>
        <v>0</v>
      </c>
      <c r="K22" s="95">
        <f>SUMIFS('Mar20-Aug20 Billed-RETAIL'!$H$7:$H$155,'Mar20-Aug20 Billed-RETAIL'!$C$7:$C$155,K$4,'Mar20-Aug20 Billed-RETAIL'!$E$7:$E$155,$A22)+SUMIFS('Mar20-Aug20 Billed-RETAIL'!$I$7:$I$155,'Mar20-Aug20 Billed-RETAIL'!$C$7:$C$155,K$4,'Mar20-Aug20 Billed-RETAIL'!$E$7:$E$155,$A22)</f>
        <v>0</v>
      </c>
      <c r="L22" s="95">
        <f>SUMIFS('Mar20-Aug20 Billed-RETAIL'!$H$7:$H$155,'Mar20-Aug20 Billed-RETAIL'!$C$7:$C$155,L$4,'Mar20-Aug20 Billed-RETAIL'!$E$7:$E$155,$A22)+SUMIFS('Mar20-Aug20 Billed-RETAIL'!$I$7:$I$155,'Mar20-Aug20 Billed-RETAIL'!$C$7:$C$155,L$4,'Mar20-Aug20 Billed-RETAIL'!$E$7:$E$155,$A22)</f>
        <v>0</v>
      </c>
      <c r="M22" s="95">
        <f>SUMIFS('Mar20-Aug20 Billed-RETAIL'!$H$7:$H$155,'Mar20-Aug20 Billed-RETAIL'!$C$7:$C$155,M$4,'Mar20-Aug20 Billed-RETAIL'!$E$7:$E$155,$A22)+SUMIFS('Mar20-Aug20 Billed-RETAIL'!$I$7:$I$155,'Mar20-Aug20 Billed-RETAIL'!$C$7:$C$155,M$4,'Mar20-Aug20 Billed-RETAIL'!$E$7:$E$155,$A22)</f>
        <v>0</v>
      </c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  <c r="AF22" s="96">
        <f>'Mar20-Aug20 Transport Actuals'!I409+'Mar20-Aug20 Transport Actuals'!I410</f>
        <v>29.1</v>
      </c>
      <c r="AG22" s="96">
        <f>'Mar20-Aug20 Transport Actuals'!J409+'Mar20-Aug20 Transport Actuals'!J410</f>
        <v>6.5</v>
      </c>
      <c r="AH22" s="96">
        <f>'Mar20-Aug20 Transport Actuals'!K409+'Mar20-Aug20 Transport Actuals'!K410</f>
        <v>1340.3</v>
      </c>
      <c r="AI22" s="96">
        <f>'Mar20-Aug20 Transport Actuals'!L409+'Mar20-Aug20 Transport Actuals'!L410</f>
        <v>0</v>
      </c>
      <c r="AJ22" s="96">
        <f>'Mar20-Aug20 Transport Actuals'!M409+'Mar20-Aug20 Transport Actuals'!M410</f>
        <v>0</v>
      </c>
      <c r="AK22" s="96">
        <f>'Mar20-Aug20 Transport Actuals'!N409+'Mar20-Aug20 Transport Actuals'!N410</f>
        <v>0</v>
      </c>
      <c r="AL22" s="96"/>
      <c r="AM22" s="96"/>
      <c r="AN22" s="96"/>
      <c r="AO22" s="96"/>
      <c r="AP22" s="96"/>
      <c r="AQ22" s="96"/>
      <c r="AR22" s="97">
        <f>'Mar20-Aug20 Transport Actuals'!I423+'Mar20-Aug20 Transport Actuals'!I451</f>
        <v>60299.660717999999</v>
      </c>
      <c r="AS22" s="97">
        <f>'Mar20-Aug20 Transport Actuals'!J423+'Mar20-Aug20 Transport Actuals'!J451</f>
        <v>12622.161319999999</v>
      </c>
      <c r="AT22" s="97">
        <f>'Mar20-Aug20 Transport Actuals'!K423+'Mar20-Aug20 Transport Actuals'!K451</f>
        <v>8164.399684</v>
      </c>
      <c r="AU22" s="97">
        <f>'Mar20-Aug20 Transport Actuals'!L423+'Mar20-Aug20 Transport Actuals'!L451</f>
        <v>2121.64</v>
      </c>
      <c r="AV22" s="97">
        <f>'Mar20-Aug20 Transport Actuals'!M423+'Mar20-Aug20 Transport Actuals'!M451</f>
        <v>13530.84</v>
      </c>
      <c r="AW22" s="97">
        <f>'Mar20-Aug20 Transport Actuals'!N423+'Mar20-Aug20 Transport Actuals'!N451</f>
        <v>1827.67</v>
      </c>
      <c r="AX22" s="97"/>
      <c r="AY22" s="97"/>
      <c r="AZ22" s="97"/>
      <c r="BA22" s="97"/>
      <c r="BB22" s="97"/>
      <c r="BC22" s="97"/>
      <c r="BD22" s="92"/>
      <c r="BE22" s="92"/>
      <c r="BF22" s="251">
        <f t="shared" si="27"/>
        <v>-1.52</v>
      </c>
      <c r="BG22" s="251">
        <f t="shared" si="27"/>
        <v>3.44</v>
      </c>
      <c r="BH22" s="251">
        <f t="shared" si="27"/>
        <v>3.63</v>
      </c>
      <c r="BI22" s="251">
        <f t="shared" si="27"/>
        <v>0</v>
      </c>
      <c r="BJ22" s="251">
        <f t="shared" si="27"/>
        <v>0.41</v>
      </c>
      <c r="BK22" s="251">
        <f t="shared" si="27"/>
        <v>0.06</v>
      </c>
      <c r="BL22" s="251">
        <f>SUM(BF22:BK22)</f>
        <v>6.02</v>
      </c>
    </row>
    <row r="23" spans="1:66" x14ac:dyDescent="0.25">
      <c r="B23" s="98" t="s">
        <v>231</v>
      </c>
      <c r="C23" s="112">
        <f>SUM(H23:S23)</f>
        <v>2585</v>
      </c>
      <c r="D23" s="112">
        <f>SUM(T23:AE23)</f>
        <v>77612</v>
      </c>
      <c r="E23" s="123">
        <f t="shared" si="16"/>
        <v>1005458.493769591</v>
      </c>
      <c r="F23" s="112">
        <f>SUM(AR23:BC23)+BL23</f>
        <v>7018655.691722</v>
      </c>
      <c r="G23" s="46"/>
      <c r="H23" s="99">
        <f t="shared" ref="H23:BC23" si="28">SUM(H19:H22)</f>
        <v>217</v>
      </c>
      <c r="I23" s="99">
        <f t="shared" si="28"/>
        <v>231</v>
      </c>
      <c r="J23" s="99">
        <f t="shared" si="28"/>
        <v>231</v>
      </c>
      <c r="K23" s="99">
        <f t="shared" si="28"/>
        <v>229</v>
      </c>
      <c r="L23" s="99">
        <f t="shared" si="28"/>
        <v>220</v>
      </c>
      <c r="M23" s="99">
        <f t="shared" si="28"/>
        <v>223</v>
      </c>
      <c r="N23" s="99">
        <f t="shared" si="28"/>
        <v>184</v>
      </c>
      <c r="O23" s="99">
        <f t="shared" si="28"/>
        <v>194</v>
      </c>
      <c r="P23" s="99">
        <f t="shared" si="28"/>
        <v>212</v>
      </c>
      <c r="Q23" s="99">
        <f t="shared" si="28"/>
        <v>216</v>
      </c>
      <c r="R23" s="99">
        <f t="shared" si="28"/>
        <v>216</v>
      </c>
      <c r="S23" s="99">
        <f>SUM(S19:S22)</f>
        <v>212</v>
      </c>
      <c r="T23" s="99">
        <f>SUM(T19:T22)</f>
        <v>6380</v>
      </c>
      <c r="U23" s="99">
        <f t="shared" ref="U23:AE23" si="29">SUM(U19:U22)</f>
        <v>7116</v>
      </c>
      <c r="V23" s="99">
        <f t="shared" si="29"/>
        <v>6706</v>
      </c>
      <c r="W23" s="99">
        <f t="shared" si="29"/>
        <v>6920</v>
      </c>
      <c r="X23" s="99">
        <f t="shared" si="29"/>
        <v>6818</v>
      </c>
      <c r="Y23" s="99">
        <f t="shared" si="29"/>
        <v>6450</v>
      </c>
      <c r="Z23" s="99">
        <f t="shared" si="29"/>
        <v>5519.9999999999964</v>
      </c>
      <c r="AA23" s="99">
        <f t="shared" si="29"/>
        <v>6014</v>
      </c>
      <c r="AB23" s="99">
        <f t="shared" si="29"/>
        <v>6360</v>
      </c>
      <c r="AC23" s="99">
        <f t="shared" si="29"/>
        <v>6696</v>
      </c>
      <c r="AD23" s="99">
        <f t="shared" si="29"/>
        <v>6696</v>
      </c>
      <c r="AE23" s="99">
        <f t="shared" si="29"/>
        <v>5936</v>
      </c>
      <c r="AF23" s="86">
        <f t="shared" si="28"/>
        <v>129901.40000000001</v>
      </c>
      <c r="AG23" s="86">
        <f>SUM(AG19:AG22)</f>
        <v>93568.6</v>
      </c>
      <c r="AH23" s="86">
        <f>SUM(AH19:AH22)</f>
        <v>83152.000000000015</v>
      </c>
      <c r="AI23" s="86">
        <f>SUM(AI19:AI22)</f>
        <v>75734.200000000012</v>
      </c>
      <c r="AJ23" s="86">
        <f>SUM(AJ19:AJ22)</f>
        <v>71248.5</v>
      </c>
      <c r="AK23" s="86">
        <f>SUM(AK19:AK22)</f>
        <v>60734</v>
      </c>
      <c r="AL23" s="86">
        <f t="shared" si="28"/>
        <v>30517.366002783809</v>
      </c>
      <c r="AM23" s="86">
        <f t="shared" si="28"/>
        <v>48272.42779204563</v>
      </c>
      <c r="AN23" s="86">
        <f t="shared" si="28"/>
        <v>77164.58007761465</v>
      </c>
      <c r="AO23" s="86">
        <f t="shared" si="28"/>
        <v>101696.57741216892</v>
      </c>
      <c r="AP23" s="86">
        <f t="shared" si="28"/>
        <v>129550.89783428729</v>
      </c>
      <c r="AQ23" s="86">
        <f t="shared" si="28"/>
        <v>103917.94465069064</v>
      </c>
      <c r="AR23" s="99">
        <f t="shared" si="28"/>
        <v>909170.510718</v>
      </c>
      <c r="AS23" s="99">
        <f t="shared" si="28"/>
        <v>625138.44131999998</v>
      </c>
      <c r="AT23" s="99">
        <f t="shared" si="28"/>
        <v>525357.15968399995</v>
      </c>
      <c r="AU23" s="99">
        <f t="shared" si="28"/>
        <v>464926.43</v>
      </c>
      <c r="AV23" s="99">
        <f t="shared" si="28"/>
        <v>453708.25000000006</v>
      </c>
      <c r="AW23" s="99">
        <f t="shared" si="28"/>
        <v>407589.87</v>
      </c>
      <c r="AX23" s="99">
        <f t="shared" si="28"/>
        <v>246045.26</v>
      </c>
      <c r="AY23" s="99">
        <f t="shared" si="28"/>
        <v>347619.65</v>
      </c>
      <c r="AZ23" s="99">
        <f t="shared" si="28"/>
        <v>559491.88</v>
      </c>
      <c r="BA23" s="99">
        <f t="shared" si="28"/>
        <v>744434.24</v>
      </c>
      <c r="BB23" s="99">
        <f t="shared" si="28"/>
        <v>951711.14</v>
      </c>
      <c r="BC23" s="99">
        <f t="shared" si="28"/>
        <v>783057.09</v>
      </c>
      <c r="BD23" s="92"/>
      <c r="BE23" s="92"/>
      <c r="BF23" s="255">
        <f t="shared" ref="BF23:BK23" si="30">SUM(BF19:BF22)</f>
        <v>-22.900000000000002</v>
      </c>
      <c r="BG23" s="255">
        <f t="shared" si="30"/>
        <v>170.35999999999999</v>
      </c>
      <c r="BH23" s="255">
        <f t="shared" si="30"/>
        <v>233.35999999999999</v>
      </c>
      <c r="BI23" s="255">
        <f t="shared" si="30"/>
        <v>-0.98</v>
      </c>
      <c r="BJ23" s="255">
        <f t="shared" si="30"/>
        <v>13.629999999999999</v>
      </c>
      <c r="BK23" s="255">
        <f t="shared" si="30"/>
        <v>12.3</v>
      </c>
      <c r="BL23" s="251">
        <f t="shared" si="6"/>
        <v>405.76999999999992</v>
      </c>
      <c r="BN23" s="374"/>
    </row>
    <row r="24" spans="1:66" x14ac:dyDescent="0.25">
      <c r="B24" s="98"/>
      <c r="C24" s="112"/>
      <c r="D24" s="112"/>
      <c r="E24" s="123"/>
      <c r="F24" s="112"/>
      <c r="G24" s="46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92"/>
      <c r="BE24" s="92"/>
      <c r="BF24" s="252"/>
      <c r="BG24" s="252"/>
      <c r="BH24" s="252"/>
      <c r="BI24" s="252"/>
      <c r="BJ24" s="252"/>
      <c r="BK24" s="252"/>
      <c r="BL24" s="251"/>
    </row>
    <row r="25" spans="1:66" x14ac:dyDescent="0.25">
      <c r="A25" s="50" t="s">
        <v>43</v>
      </c>
      <c r="B25" s="50" t="s">
        <v>489</v>
      </c>
      <c r="C25" s="124">
        <f>SUM(H25:S25)</f>
        <v>28</v>
      </c>
      <c r="D25" s="124"/>
      <c r="E25" s="125">
        <f>SUM(AF25:AQ25)</f>
        <v>25.799999999999997</v>
      </c>
      <c r="F25" s="124">
        <f>SUM(AR25:BC25)+BL25</f>
        <v>22901.277161015216</v>
      </c>
      <c r="G25" s="46"/>
      <c r="H25" s="95">
        <f>SUMIFS('Mar20-Aug20 Billed-RETAIL'!$H$7:$H$155,'Mar20-Aug20 Billed-RETAIL'!$C$7:$C$155,H$4,'Mar20-Aug20 Billed-RETAIL'!$E$7:$E$155,$A25)+SUMIFS('Mar20-Aug20 Billed-RETAIL'!$I$7:$I$155,'Mar20-Aug20 Billed-RETAIL'!$C$7:$C$155,H$4,'Mar20-Aug20 Billed-RETAIL'!$E$7:$E$155,$A25)</f>
        <v>2</v>
      </c>
      <c r="I25" s="95">
        <f>SUMIFS('Mar20-Aug20 Billed-RETAIL'!$H$7:$H$155,'Mar20-Aug20 Billed-RETAIL'!$C$7:$C$155,I$4,'Mar20-Aug20 Billed-RETAIL'!$E$7:$E$155,$A25)+SUMIFS('Mar20-Aug20 Billed-RETAIL'!$I$7:$I$155,'Mar20-Aug20 Billed-RETAIL'!$C$7:$C$155,I$4,'Mar20-Aug20 Billed-RETAIL'!$E$7:$E$155,$A25)</f>
        <v>2</v>
      </c>
      <c r="J25" s="95">
        <f>SUMIFS('Mar20-Aug20 Billed-RETAIL'!$H$7:$H$155,'Mar20-Aug20 Billed-RETAIL'!$C$7:$C$155,J$4,'Mar20-Aug20 Billed-RETAIL'!$E$7:$E$155,$A25)+SUMIFS('Mar20-Aug20 Billed-RETAIL'!$I$7:$I$155,'Mar20-Aug20 Billed-RETAIL'!$C$7:$C$155,J$4,'Mar20-Aug20 Billed-RETAIL'!$E$7:$E$155,$A25)</f>
        <v>3</v>
      </c>
      <c r="K25" s="95">
        <f>SUMIFS('Mar20-Aug20 Billed-RETAIL'!$H$7:$H$155,'Mar20-Aug20 Billed-RETAIL'!$C$7:$C$155,K$4,'Mar20-Aug20 Billed-RETAIL'!$E$7:$E$155,$A25)+SUMIFS('Mar20-Aug20 Billed-RETAIL'!$I$7:$I$155,'Mar20-Aug20 Billed-RETAIL'!$C$7:$C$155,K$4,'Mar20-Aug20 Billed-RETAIL'!$E$7:$E$155,$A25)</f>
        <v>3</v>
      </c>
      <c r="L25" s="95">
        <f>SUMIFS('Mar20-Aug20 Billed-RETAIL'!$H$7:$H$155,'Mar20-Aug20 Billed-RETAIL'!$C$7:$C$155,L$4,'Mar20-Aug20 Billed-RETAIL'!$E$7:$E$155,$A25)+SUMIFS('Mar20-Aug20 Billed-RETAIL'!$I$7:$I$155,'Mar20-Aug20 Billed-RETAIL'!$C$7:$C$155,L$4,'Mar20-Aug20 Billed-RETAIL'!$E$7:$E$155,$A25)</f>
        <v>3</v>
      </c>
      <c r="M25" s="95">
        <f>SUMIFS('Mar20-Aug20 Billed-RETAIL'!$H$7:$H$155,'Mar20-Aug20 Billed-RETAIL'!$C$7:$C$155,M$4,'Mar20-Aug20 Billed-RETAIL'!$E$7:$E$155,$A25)+SUMIFS('Mar20-Aug20 Billed-RETAIL'!$I$7:$I$155,'Mar20-Aug20 Billed-RETAIL'!$C$7:$C$155,M$4,'Mar20-Aug20 Billed-RETAIL'!$E$7:$E$155,$A25)</f>
        <v>3</v>
      </c>
      <c r="N25" s="95">
        <f>SUMIFS('Mar20-Aug20 Billed-RETAIL'!$H$7:$H$155,'Mar20-Aug20 Billed-RETAIL'!$C$7:$C$155,N$4,'Mar20-Aug20 Billed-RETAIL'!$E$7:$E$155,$A25)+SUMIFS('Mar20-Aug20 Billed-RETAIL'!$I$7:$I$155,'Mar20-Aug20 Billed-RETAIL'!$C$7:$C$155,N$4,'Mar20-Aug20 Billed-RETAIL'!$E$7:$E$155,$A25)</f>
        <v>2</v>
      </c>
      <c r="O25" s="95">
        <f>SUMIFS('Mar20-Aug20 Billed-RETAIL'!$H$7:$H$155,'Mar20-Aug20 Billed-RETAIL'!$C$7:$C$155,O$4,'Mar20-Aug20 Billed-RETAIL'!$E$7:$E$155,$A25)+SUMIFS('Mar20-Aug20 Billed-RETAIL'!$I$7:$I$155,'Mar20-Aug20 Billed-RETAIL'!$C$7:$C$155,O$4,'Mar20-Aug20 Billed-RETAIL'!$E$7:$E$155,$A25)</f>
        <v>2</v>
      </c>
      <c r="P25" s="95">
        <f>SUMIFS('Mar20-Aug20 Billed-RETAIL'!$H$7:$H$155,'Mar20-Aug20 Billed-RETAIL'!$C$7:$C$155,P$4,'Mar20-Aug20 Billed-RETAIL'!$E$7:$E$155,$A25)+SUMIFS('Mar20-Aug20 Billed-RETAIL'!$I$7:$I$155,'Mar20-Aug20 Billed-RETAIL'!$C$7:$C$155,P$4,'Mar20-Aug20 Billed-RETAIL'!$E$7:$E$155,$A25)</f>
        <v>2</v>
      </c>
      <c r="Q25" s="95">
        <f>SUMIFS('Mar20-Aug20 Billed-RETAIL'!$H$7:$H$155,'Mar20-Aug20 Billed-RETAIL'!$C$7:$C$155,Q$4,'Mar20-Aug20 Billed-RETAIL'!$E$7:$E$155,$A25)+SUMIFS('Mar20-Aug20 Billed-RETAIL'!$I$7:$I$155,'Mar20-Aug20 Billed-RETAIL'!$C$7:$C$155,Q$4,'Mar20-Aug20 Billed-RETAIL'!$E$7:$E$155,$A25)</f>
        <v>2</v>
      </c>
      <c r="R25" s="95">
        <f>SUMIFS('Mar20-Aug20 Billed-RETAIL'!$H$7:$H$155,'Mar20-Aug20 Billed-RETAIL'!$C$7:$C$155,R$4,'Mar20-Aug20 Billed-RETAIL'!$E$7:$E$155,$A25)+SUMIFS('Mar20-Aug20 Billed-RETAIL'!$I$7:$I$155,'Mar20-Aug20 Billed-RETAIL'!$C$7:$C$155,R$4,'Mar20-Aug20 Billed-RETAIL'!$E$7:$E$155,$A25)</f>
        <v>2</v>
      </c>
      <c r="S25" s="95">
        <f>SUMIFS('Mar20-Aug20 Billed-RETAIL'!$H$7:$H$155,'Mar20-Aug20 Billed-RETAIL'!$C$7:$C$155,S$4,'Mar20-Aug20 Billed-RETAIL'!$E$7:$E$155,$A25)+SUMIFS('Mar20-Aug20 Billed-RETAIL'!$I$7:$I$155,'Mar20-Aug20 Billed-RETAIL'!$C$7:$C$155,S$4,'Mar20-Aug20 Billed-RETAIL'!$E$7:$E$155,$A25)</f>
        <v>2</v>
      </c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6">
        <f>(SUMIFS('Mar20-Aug20 Billed-RETAIL'!$J$5:$J$230,'Mar20-Aug20 Billed-RETAIL'!$C$5:$C$230,SBR!AF$4,'Mar20-Aug20 Billed-RETAIL'!$E$5:$E$230,SBR!$A25)+SUMIFS('Mar20-Aug20 Billed-RETAIL'!$K$5:$K$230,'Mar20-Aug20 Billed-RETAIL'!$C$5:$C$230,SBR!AF$4,'Mar20-Aug20 Billed-RETAIL'!$E$5:$E$230,SBR!$A25))*0.1</f>
        <v>0.60000000000000009</v>
      </c>
      <c r="AG25" s="96">
        <f>(SUMIFS('Mar20-Aug20 Billed-RETAIL'!$J$5:$J$230,'Mar20-Aug20 Billed-RETAIL'!$C$5:$C$230,SBR!AG$4,'Mar20-Aug20 Billed-RETAIL'!$E$5:$E$230,SBR!$A25)+SUMIFS('Mar20-Aug20 Billed-RETAIL'!$K$5:$K$230,'Mar20-Aug20 Billed-RETAIL'!$C$5:$C$230,SBR!AG$4,'Mar20-Aug20 Billed-RETAIL'!$E$5:$E$230,SBR!$A25))*0.1</f>
        <v>1.1000000000000001</v>
      </c>
      <c r="AH25" s="96">
        <f>(SUMIFS('Mar20-Aug20 Billed-RETAIL'!$J$5:$J$230,'Mar20-Aug20 Billed-RETAIL'!$C$5:$C$230,SBR!AH$4,'Mar20-Aug20 Billed-RETAIL'!$E$5:$E$230,SBR!$A25)+SUMIFS('Mar20-Aug20 Billed-RETAIL'!$K$5:$K$230,'Mar20-Aug20 Billed-RETAIL'!$C$5:$C$230,SBR!AH$4,'Mar20-Aug20 Billed-RETAIL'!$E$5:$E$230,SBR!$A25))*0.1</f>
        <v>7.7</v>
      </c>
      <c r="AI25" s="96">
        <f>(SUMIFS('Mar20-Aug20 Billed-RETAIL'!$J$5:$J$230,'Mar20-Aug20 Billed-RETAIL'!$C$5:$C$230,SBR!AI$4,'Mar20-Aug20 Billed-RETAIL'!$E$5:$E$230,SBR!$A25)+SUMIFS('Mar20-Aug20 Billed-RETAIL'!$K$5:$K$230,'Mar20-Aug20 Billed-RETAIL'!$C$5:$C$230,SBR!AI$4,'Mar20-Aug20 Billed-RETAIL'!$E$5:$E$230,SBR!$A25))*0.1</f>
        <v>3.1</v>
      </c>
      <c r="AJ25" s="96">
        <f>(SUMIFS('Mar20-Aug20 Billed-RETAIL'!$J$5:$J$230,'Mar20-Aug20 Billed-RETAIL'!$C$5:$C$230,SBR!AJ$4,'Mar20-Aug20 Billed-RETAIL'!$E$5:$E$230,SBR!$A25)+SUMIFS('Mar20-Aug20 Billed-RETAIL'!$K$5:$K$230,'Mar20-Aug20 Billed-RETAIL'!$C$5:$C$230,SBR!AJ$4,'Mar20-Aug20 Billed-RETAIL'!$E$5:$E$230,SBR!$A25))*0.1</f>
        <v>2.1</v>
      </c>
      <c r="AK25" s="96">
        <f>(SUMIFS('Mar20-Aug20 Billed-RETAIL'!$J$5:$J$230,'Mar20-Aug20 Billed-RETAIL'!$C$5:$C$230,SBR!AK$4,'Mar20-Aug20 Billed-RETAIL'!$E$5:$E$230,SBR!$A25)+SUMIFS('Mar20-Aug20 Billed-RETAIL'!$K$5:$K$230,'Mar20-Aug20 Billed-RETAIL'!$C$5:$C$230,SBR!AK$4,'Mar20-Aug20 Billed-RETAIL'!$E$5:$E$230,SBR!$A25))*0.1</f>
        <v>7</v>
      </c>
      <c r="AL25" s="96">
        <f>(SUMIFS('Mar20-Aug20 Billed-RETAIL'!$J$5:$J$230,'Mar20-Aug20 Billed-RETAIL'!$C$5:$C$230,SBR!AL$4,'Mar20-Aug20 Billed-RETAIL'!$E$5:$E$230,SBR!$A25)+SUMIFS('Mar20-Aug20 Billed-RETAIL'!$K$5:$K$230,'Mar20-Aug20 Billed-RETAIL'!$C$5:$C$230,SBR!AL$4,'Mar20-Aug20 Billed-RETAIL'!$E$5:$E$230,SBR!$A25))*0.1</f>
        <v>0.70000000000000007</v>
      </c>
      <c r="AM25" s="96">
        <f>(SUMIFS('Mar20-Aug20 Billed-RETAIL'!$J$5:$J$230,'Mar20-Aug20 Billed-RETAIL'!$C$5:$C$230,SBR!AM$4,'Mar20-Aug20 Billed-RETAIL'!$E$5:$E$230,SBR!$A25)+SUMIFS('Mar20-Aug20 Billed-RETAIL'!$K$5:$K$230,'Mar20-Aug20 Billed-RETAIL'!$C$5:$C$230,SBR!AM$4,'Mar20-Aug20 Billed-RETAIL'!$E$5:$E$230,SBR!$A25))*0.1</f>
        <v>0.70000000000000007</v>
      </c>
      <c r="AN25" s="96">
        <f>(SUMIFS('Mar20-Aug20 Billed-RETAIL'!$J$5:$J$230,'Mar20-Aug20 Billed-RETAIL'!$C$5:$C$230,SBR!AN$4,'Mar20-Aug20 Billed-RETAIL'!$E$5:$E$230,SBR!$A25)+SUMIFS('Mar20-Aug20 Billed-RETAIL'!$K$5:$K$230,'Mar20-Aug20 Billed-RETAIL'!$C$5:$C$230,SBR!AN$4,'Mar20-Aug20 Billed-RETAIL'!$E$5:$E$230,SBR!$A25))*0.1</f>
        <v>0.70000000000000007</v>
      </c>
      <c r="AO25" s="96">
        <f>(SUMIFS('Mar20-Aug20 Billed-RETAIL'!$J$5:$J$230,'Mar20-Aug20 Billed-RETAIL'!$C$5:$C$230,SBR!AO$4,'Mar20-Aug20 Billed-RETAIL'!$E$5:$E$230,SBR!$A25)+SUMIFS('Mar20-Aug20 Billed-RETAIL'!$K$5:$K$230,'Mar20-Aug20 Billed-RETAIL'!$C$5:$C$230,SBR!AO$4,'Mar20-Aug20 Billed-RETAIL'!$E$5:$E$230,SBR!$A25))*0.1</f>
        <v>0.70000000000000007</v>
      </c>
      <c r="AP25" s="96">
        <f>(SUMIFS('Mar20-Aug20 Billed-RETAIL'!$J$5:$J$230,'Mar20-Aug20 Billed-RETAIL'!$C$5:$C$230,SBR!AP$4,'Mar20-Aug20 Billed-RETAIL'!$E$5:$E$230,SBR!$A25)+SUMIFS('Mar20-Aug20 Billed-RETAIL'!$K$5:$K$230,'Mar20-Aug20 Billed-RETAIL'!$C$5:$C$230,SBR!AP$4,'Mar20-Aug20 Billed-RETAIL'!$E$5:$E$230,SBR!$A25))*0.1</f>
        <v>0.70000000000000007</v>
      </c>
      <c r="AQ25" s="96">
        <f>(SUMIFS('Mar20-Aug20 Billed-RETAIL'!$J$5:$J$230,'Mar20-Aug20 Billed-RETAIL'!$C$5:$C$230,SBR!AQ$4,'Mar20-Aug20 Billed-RETAIL'!$E$5:$E$230,SBR!$A25)+SUMIFS('Mar20-Aug20 Billed-RETAIL'!$K$5:$K$230,'Mar20-Aug20 Billed-RETAIL'!$C$5:$C$230,SBR!AQ$4,'Mar20-Aug20 Billed-RETAIL'!$E$5:$E$230,SBR!$A25))*0.1</f>
        <v>0.70000000000000007</v>
      </c>
      <c r="AR25" s="97">
        <f>SUMIFS('Mar20-Aug20 Billed-RETAIL'!$BA$5:$BA$156,'Mar20-Aug20 Billed-RETAIL'!$C$5:$C$156,SBR!AR$4,'Mar20-Aug20 Billed-RETAIL'!$E$5:$E$156,SBR!$A25)</f>
        <v>1659.82</v>
      </c>
      <c r="AS25" s="97">
        <f>SUMIFS('Mar20-Aug20 Billed-RETAIL'!$BA$5:$BA$156,'Mar20-Aug20 Billed-RETAIL'!$C$5:$C$156,SBR!AS$4,'Mar20-Aug20 Billed-RETAIL'!$E$5:$E$156,SBR!$A25)</f>
        <v>1661.69</v>
      </c>
      <c r="AT25" s="97">
        <f>SUMIFS('Mar20-Aug20 Billed-RETAIL'!$BA$5:$BA$156,'Mar20-Aug20 Billed-RETAIL'!$C$5:$C$156,SBR!AT$4,'Mar20-Aug20 Billed-RETAIL'!$E$5:$E$156,SBR!$A25)</f>
        <v>2526.13</v>
      </c>
      <c r="AU25" s="97">
        <f>SUMIFS('Mar20-Aug20 Billed-RETAIL'!$BA$5:$BA$156,'Mar20-Aug20 Billed-RETAIL'!$C$5:$C$156,SBR!AU$4,'Mar20-Aug20 Billed-RETAIL'!$E$5:$E$156,SBR!$A25)</f>
        <v>2588.5500000000002</v>
      </c>
      <c r="AV25" s="97">
        <f>SUMIFS('Mar20-Aug20 Billed-RETAIL'!$BA$5:$BA$156,'Mar20-Aug20 Billed-RETAIL'!$C$5:$C$156,SBR!AV$4,'Mar20-Aug20 Billed-RETAIL'!$E$5:$E$156,SBR!$A25)</f>
        <v>2585.59</v>
      </c>
      <c r="AW25" s="97">
        <f>SUMIFS('Mar20-Aug20 Billed-RETAIL'!$BA$5:$BA$156,'Mar20-Aug20 Billed-RETAIL'!$C$5:$C$156,SBR!AW$4,'Mar20-Aug20 Billed-RETAIL'!$E$5:$E$156,SBR!$A25)</f>
        <v>2602.23</v>
      </c>
      <c r="AX25" s="97">
        <f>SUMIFS('Mar20-Aug20 Billed-RETAIL'!$BA$7:$BA$155,'Mar20-Aug20 Billed-RETAIL'!$E$7:$E$155,$A25,'Mar20-Aug20 Billed-RETAIL'!$C$7:$C$155,AX$4)</f>
        <v>1599.65</v>
      </c>
      <c r="AY25" s="97">
        <f>SUMIFS('Mar20-Aug20 Billed-RETAIL'!$BA$7:$BA$155,'Mar20-Aug20 Billed-RETAIL'!$E$7:$E$155,$A25,'Mar20-Aug20 Billed-RETAIL'!$C$7:$C$155,AY$4)</f>
        <v>1567.19</v>
      </c>
      <c r="AZ25" s="97">
        <f>SUMIFS('Mar20-Aug20 Billed-RETAIL'!$BA$7:$BA$155,'Mar20-Aug20 Billed-RETAIL'!$E$7:$E$155,$A25,'Mar20-Aug20 Billed-RETAIL'!$C$7:$C$155,AZ$4)</f>
        <v>1524.0411446153439</v>
      </c>
      <c r="BA25" s="97">
        <f>SUMIFS('Mar20-Aug20 Billed-RETAIL'!$BA$7:$BA$155,'Mar20-Aug20 Billed-RETAIL'!$E$7:$E$155,$A25,'Mar20-Aug20 Billed-RETAIL'!$C$7:$C$155,BA$4)</f>
        <v>1508.5660163998721</v>
      </c>
      <c r="BB25" s="97">
        <f>SUMIFS('Mar20-Aug20 Billed-RETAIL'!$BA$7:$BA$155,'Mar20-Aug20 Billed-RETAIL'!$E$7:$E$155,$A25,'Mar20-Aug20 Billed-RETAIL'!$C$7:$C$155,BB$4)</f>
        <v>1527.19</v>
      </c>
      <c r="BC25" s="97">
        <f>SUMIFS('Mar20-Aug20 Billed-RETAIL'!$BA$7:$BA$155,'Mar20-Aug20 Billed-RETAIL'!$E$7:$E$155,$A25,'Mar20-Aug20 Billed-RETAIL'!$C$7:$C$155,BC$4)</f>
        <v>1548.95</v>
      </c>
      <c r="BD25" s="92"/>
      <c r="BE25" s="92"/>
      <c r="BF25" s="536">
        <f t="shared" ref="BF25:BK25" si="31">ROUND((AR25/SUM(AR$9+AR$17+AR$23+AR$26+AR$29+AR$39))*BF$5,2)</f>
        <v>-0.04</v>
      </c>
      <c r="BG25" s="536">
        <f t="shared" si="31"/>
        <v>0.45</v>
      </c>
      <c r="BH25" s="536">
        <f t="shared" si="31"/>
        <v>1.1200000000000001</v>
      </c>
      <c r="BI25" s="536">
        <f t="shared" si="31"/>
        <v>-0.01</v>
      </c>
      <c r="BJ25" s="536">
        <f t="shared" si="31"/>
        <v>0.08</v>
      </c>
      <c r="BK25" s="536">
        <f t="shared" si="31"/>
        <v>0.08</v>
      </c>
      <c r="BL25" s="251">
        <f>SUM(BF25:BK25)</f>
        <v>1.6800000000000004</v>
      </c>
    </row>
    <row r="26" spans="1:66" x14ac:dyDescent="0.25">
      <c r="A26" s="50"/>
      <c r="B26" s="98" t="s">
        <v>537</v>
      </c>
      <c r="C26" s="112">
        <f>SUM(H26:S26)</f>
        <v>28</v>
      </c>
      <c r="D26" s="112"/>
      <c r="E26" s="123">
        <f>SUM(AF26:AQ26)</f>
        <v>25.799999999999997</v>
      </c>
      <c r="F26" s="112">
        <f>SUM(AR26:BC26)+BL26</f>
        <v>22901.277161015216</v>
      </c>
      <c r="G26" s="46"/>
      <c r="H26" s="89">
        <f>H25</f>
        <v>2</v>
      </c>
      <c r="I26" s="89">
        <f t="shared" ref="I26:BC26" si="32">I25</f>
        <v>2</v>
      </c>
      <c r="J26" s="89">
        <f t="shared" si="32"/>
        <v>3</v>
      </c>
      <c r="K26" s="89">
        <f t="shared" si="32"/>
        <v>3</v>
      </c>
      <c r="L26" s="89">
        <f t="shared" si="32"/>
        <v>3</v>
      </c>
      <c r="M26" s="89">
        <f t="shared" si="32"/>
        <v>3</v>
      </c>
      <c r="N26" s="89">
        <f t="shared" si="32"/>
        <v>2</v>
      </c>
      <c r="O26" s="89">
        <f t="shared" si="32"/>
        <v>2</v>
      </c>
      <c r="P26" s="89">
        <f t="shared" si="32"/>
        <v>2</v>
      </c>
      <c r="Q26" s="89">
        <f t="shared" si="32"/>
        <v>2</v>
      </c>
      <c r="R26" s="89">
        <f t="shared" si="32"/>
        <v>2</v>
      </c>
      <c r="S26" s="89">
        <f t="shared" si="32"/>
        <v>2</v>
      </c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6">
        <f t="shared" si="32"/>
        <v>0.60000000000000009</v>
      </c>
      <c r="AG26" s="86">
        <f t="shared" si="32"/>
        <v>1.1000000000000001</v>
      </c>
      <c r="AH26" s="86">
        <f t="shared" si="32"/>
        <v>7.7</v>
      </c>
      <c r="AI26" s="86">
        <f t="shared" si="32"/>
        <v>3.1</v>
      </c>
      <c r="AJ26" s="86">
        <f t="shared" si="32"/>
        <v>2.1</v>
      </c>
      <c r="AK26" s="86">
        <f t="shared" si="32"/>
        <v>7</v>
      </c>
      <c r="AL26" s="86">
        <f t="shared" si="32"/>
        <v>0.70000000000000007</v>
      </c>
      <c r="AM26" s="86">
        <f t="shared" si="32"/>
        <v>0.70000000000000007</v>
      </c>
      <c r="AN26" s="86">
        <f t="shared" si="32"/>
        <v>0.70000000000000007</v>
      </c>
      <c r="AO26" s="86">
        <f t="shared" si="32"/>
        <v>0.70000000000000007</v>
      </c>
      <c r="AP26" s="86">
        <f t="shared" si="32"/>
        <v>0.70000000000000007</v>
      </c>
      <c r="AQ26" s="86">
        <f t="shared" si="32"/>
        <v>0.70000000000000007</v>
      </c>
      <c r="AR26" s="105">
        <f t="shared" si="32"/>
        <v>1659.82</v>
      </c>
      <c r="AS26" s="105">
        <f t="shared" si="32"/>
        <v>1661.69</v>
      </c>
      <c r="AT26" s="105">
        <f t="shared" si="32"/>
        <v>2526.13</v>
      </c>
      <c r="AU26" s="105">
        <f t="shared" si="32"/>
        <v>2588.5500000000002</v>
      </c>
      <c r="AV26" s="105">
        <f t="shared" si="32"/>
        <v>2585.59</v>
      </c>
      <c r="AW26" s="105">
        <f t="shared" si="32"/>
        <v>2602.23</v>
      </c>
      <c r="AX26" s="105">
        <f t="shared" si="32"/>
        <v>1599.65</v>
      </c>
      <c r="AY26" s="105">
        <f t="shared" si="32"/>
        <v>1567.19</v>
      </c>
      <c r="AZ26" s="105">
        <f t="shared" si="32"/>
        <v>1524.0411446153439</v>
      </c>
      <c r="BA26" s="105">
        <f t="shared" si="32"/>
        <v>1508.5660163998721</v>
      </c>
      <c r="BB26" s="105">
        <f t="shared" si="32"/>
        <v>1527.19</v>
      </c>
      <c r="BC26" s="105">
        <f t="shared" si="32"/>
        <v>1548.95</v>
      </c>
      <c r="BD26" s="92"/>
      <c r="BE26" s="92"/>
      <c r="BF26" s="251">
        <f t="shared" ref="BF26:BK26" si="33">BF25</f>
        <v>-0.04</v>
      </c>
      <c r="BG26" s="251">
        <f t="shared" si="33"/>
        <v>0.45</v>
      </c>
      <c r="BH26" s="251">
        <f t="shared" si="33"/>
        <v>1.1200000000000001</v>
      </c>
      <c r="BI26" s="251">
        <f t="shared" si="33"/>
        <v>-0.01</v>
      </c>
      <c r="BJ26" s="251">
        <f t="shared" si="33"/>
        <v>0.08</v>
      </c>
      <c r="BK26" s="251">
        <f t="shared" si="33"/>
        <v>0.08</v>
      </c>
      <c r="BL26" s="251">
        <f>SUM(BF26:BK26)</f>
        <v>1.6800000000000004</v>
      </c>
      <c r="BN26" s="374"/>
    </row>
    <row r="27" spans="1:66" x14ac:dyDescent="0.25">
      <c r="B27" s="98"/>
      <c r="C27" s="112"/>
      <c r="D27" s="112"/>
      <c r="E27" s="123"/>
      <c r="F27" s="112"/>
      <c r="G27" s="46"/>
      <c r="H27" s="99"/>
      <c r="I27" s="99"/>
      <c r="J27" s="99"/>
      <c r="K27" s="99"/>
      <c r="L27" s="99"/>
      <c r="M27" s="99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03"/>
      <c r="AG27" s="103"/>
      <c r="AH27" s="103"/>
      <c r="AI27" s="103"/>
      <c r="AJ27" s="103"/>
      <c r="AK27" s="103"/>
      <c r="AL27" s="114"/>
      <c r="AM27" s="114"/>
      <c r="AN27" s="114"/>
      <c r="AO27" s="114"/>
      <c r="AP27" s="114"/>
      <c r="AQ27" s="114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92"/>
      <c r="BE27" s="92"/>
      <c r="BF27" s="250"/>
      <c r="BG27" s="250"/>
      <c r="BH27" s="250"/>
      <c r="BI27" s="250"/>
      <c r="BJ27" s="250"/>
      <c r="BK27" s="250"/>
      <c r="BL27" s="251"/>
    </row>
    <row r="28" spans="1:66" x14ac:dyDescent="0.25">
      <c r="A28" s="535" t="s">
        <v>563</v>
      </c>
      <c r="B28" s="50" t="s">
        <v>646</v>
      </c>
      <c r="C28" s="124">
        <f>SUM(H28:S28)</f>
        <v>12</v>
      </c>
      <c r="D28" s="124"/>
      <c r="E28" s="125">
        <f>SUM(AF28:AQ28)</f>
        <v>1252.5</v>
      </c>
      <c r="F28" s="124">
        <f>SUM(AR28:BC28)+BL28</f>
        <v>221490.90999999997</v>
      </c>
      <c r="G28" s="46"/>
      <c r="H28" s="95">
        <f>SUMIFS('Mar20-Aug20 Billed-RETAIL'!$H$7:$H$155,'Mar20-Aug20 Billed-RETAIL'!$C$7:$C$155,H$4,'Mar20-Aug20 Billed-RETAIL'!$E$7:$E$155,$A28)+SUMIFS('Mar20-Aug20 Billed-RETAIL'!$I$7:$I$155,'Mar20-Aug20 Billed-RETAIL'!$C$7:$C$155,H$4,'Mar20-Aug20 Billed-RETAIL'!$E$7:$E$155,$A28)</f>
        <v>1</v>
      </c>
      <c r="I28" s="95">
        <f>SUMIFS('Mar20-Aug20 Billed-RETAIL'!$H$7:$H$155,'Mar20-Aug20 Billed-RETAIL'!$C$7:$C$155,I$4,'Mar20-Aug20 Billed-RETAIL'!$E$7:$E$155,$A28)+SUMIFS('Mar20-Aug20 Billed-RETAIL'!$I$7:$I$155,'Mar20-Aug20 Billed-RETAIL'!$C$7:$C$155,I$4,'Mar20-Aug20 Billed-RETAIL'!$E$7:$E$155,$A28)</f>
        <v>0</v>
      </c>
      <c r="J28" s="95">
        <f>SUMIFS('Mar20-Aug20 Billed-RETAIL'!$H$7:$H$155,'Mar20-Aug20 Billed-RETAIL'!$C$7:$C$155,J$4,'Mar20-Aug20 Billed-RETAIL'!$E$7:$E$155,$A28)+SUMIFS('Mar20-Aug20 Billed-RETAIL'!$I$7:$I$155,'Mar20-Aug20 Billed-RETAIL'!$C$7:$C$155,J$4,'Mar20-Aug20 Billed-RETAIL'!$E$7:$E$155,$A28)</f>
        <v>2</v>
      </c>
      <c r="K28" s="95">
        <f>SUMIFS('Mar20-Aug20 Billed-RETAIL'!$H$7:$H$155,'Mar20-Aug20 Billed-RETAIL'!$C$7:$C$155,K$4,'Mar20-Aug20 Billed-RETAIL'!$E$7:$E$155,$A28)+SUMIFS('Mar20-Aug20 Billed-RETAIL'!$I$7:$I$155,'Mar20-Aug20 Billed-RETAIL'!$C$7:$C$155,K$4,'Mar20-Aug20 Billed-RETAIL'!$E$7:$E$155,$A28)</f>
        <v>1</v>
      </c>
      <c r="L28" s="95">
        <f>SUMIFS('Mar20-Aug20 Billed-RETAIL'!$H$7:$H$155,'Mar20-Aug20 Billed-RETAIL'!$C$7:$C$155,L$4,'Mar20-Aug20 Billed-RETAIL'!$E$7:$E$155,$A28)+SUMIFS('Mar20-Aug20 Billed-RETAIL'!$I$7:$I$155,'Mar20-Aug20 Billed-RETAIL'!$C$7:$C$155,L$4,'Mar20-Aug20 Billed-RETAIL'!$E$7:$E$155,$A28)</f>
        <v>1</v>
      </c>
      <c r="M28" s="95">
        <f>SUMIFS('Mar20-Aug20 Billed-RETAIL'!$H$7:$H$155,'Mar20-Aug20 Billed-RETAIL'!$C$7:$C$155,M$4,'Mar20-Aug20 Billed-RETAIL'!$E$7:$E$155,$A28)+SUMIFS('Mar20-Aug20 Billed-RETAIL'!$I$7:$I$155,'Mar20-Aug20 Billed-RETAIL'!$C$7:$C$155,M$4,'Mar20-Aug20 Billed-RETAIL'!$E$7:$E$155,$A28)</f>
        <v>1</v>
      </c>
      <c r="N28" s="95">
        <f>SUMIFS('Mar20-Aug20 Billed-RETAIL'!$H$7:$H$155,'Mar20-Aug20 Billed-RETAIL'!$C$7:$C$155,N$4,'Mar20-Aug20 Billed-RETAIL'!$E$7:$E$155,$A28)+SUMIFS('Mar20-Aug20 Billed-RETAIL'!$I$7:$I$155,'Mar20-Aug20 Billed-RETAIL'!$C$7:$C$155,N$4,'Mar20-Aug20 Billed-RETAIL'!$E$7:$E$155,$A28)</f>
        <v>1</v>
      </c>
      <c r="O28" s="95">
        <f>SUMIFS('Mar20-Aug20 Billed-RETAIL'!$H$7:$H$155,'Mar20-Aug20 Billed-RETAIL'!$C$7:$C$155,O$4,'Mar20-Aug20 Billed-RETAIL'!$E$7:$E$155,$A28)+SUMIFS('Mar20-Aug20 Billed-RETAIL'!$I$7:$I$155,'Mar20-Aug20 Billed-RETAIL'!$C$7:$C$155,O$4,'Mar20-Aug20 Billed-RETAIL'!$E$7:$E$155,$A28)</f>
        <v>1</v>
      </c>
      <c r="P28" s="95">
        <f>SUMIFS('Mar20-Aug20 Billed-RETAIL'!$H$7:$H$155,'Mar20-Aug20 Billed-RETAIL'!$C$7:$C$155,P$4,'Mar20-Aug20 Billed-RETAIL'!$E$7:$E$155,$A28)+SUMIFS('Mar20-Aug20 Billed-RETAIL'!$I$7:$I$155,'Mar20-Aug20 Billed-RETAIL'!$C$7:$C$155,P$4,'Mar20-Aug20 Billed-RETAIL'!$E$7:$E$155,$A28)</f>
        <v>1</v>
      </c>
      <c r="Q28" s="95">
        <f>SUMIFS('Mar20-Aug20 Billed-RETAIL'!$H$7:$H$155,'Mar20-Aug20 Billed-RETAIL'!$C$7:$C$155,Q$4,'Mar20-Aug20 Billed-RETAIL'!$E$7:$E$155,$A28)+SUMIFS('Mar20-Aug20 Billed-RETAIL'!$I$7:$I$155,'Mar20-Aug20 Billed-RETAIL'!$C$7:$C$155,Q$4,'Mar20-Aug20 Billed-RETAIL'!$E$7:$E$155,$A28)</f>
        <v>1</v>
      </c>
      <c r="R28" s="95">
        <f>SUMIFS('Mar20-Aug20 Billed-RETAIL'!$H$7:$H$155,'Mar20-Aug20 Billed-RETAIL'!$C$7:$C$155,R$4,'Mar20-Aug20 Billed-RETAIL'!$E$7:$E$155,$A28)+SUMIFS('Mar20-Aug20 Billed-RETAIL'!$I$7:$I$155,'Mar20-Aug20 Billed-RETAIL'!$C$7:$C$155,R$4,'Mar20-Aug20 Billed-RETAIL'!$E$7:$E$155,$A28)</f>
        <v>1</v>
      </c>
      <c r="S28" s="95">
        <f>SUMIFS('Mar20-Aug20 Billed-RETAIL'!$H$7:$H$155,'Mar20-Aug20 Billed-RETAIL'!$C$7:$C$155,S$4,'Mar20-Aug20 Billed-RETAIL'!$E$7:$E$155,$A28)+SUMIFS('Mar20-Aug20 Billed-RETAIL'!$I$7:$I$155,'Mar20-Aug20 Billed-RETAIL'!$C$7:$C$155,S$4,'Mar20-Aug20 Billed-RETAIL'!$E$7:$E$155,$A28)</f>
        <v>1</v>
      </c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6">
        <f>(SUMIFS('Mar20-Aug20 Billed-RETAIL'!$M$5:$M$230,'Mar20-Aug20 Billed-RETAIL'!$C$5:$C$230,SBR!AF$4,'Mar20-Aug20 Billed-RETAIL'!$E$5:$E$230,SBR!$A28)+SUMIFS('Mar20-Aug20 Billed-RETAIL'!$N$5:$N$230,'Mar20-Aug20 Billed-RETAIL'!$C$5:$C$230,SBR!AF$4,'Mar20-Aug20 Billed-RETAIL'!$E$5:$E$230,SBR!$A28))</f>
        <v>19.100000000000001</v>
      </c>
      <c r="AG28" s="96">
        <f>(SUMIFS('Mar20-Aug20 Billed-RETAIL'!$M$5:$M$230,'Mar20-Aug20 Billed-RETAIL'!$C$5:$C$230,SBR!AG$4,'Mar20-Aug20 Billed-RETAIL'!$E$5:$E$230,SBR!$A28)+SUMIFS('Mar20-Aug20 Billed-RETAIL'!$N$5:$N$230,'Mar20-Aug20 Billed-RETAIL'!$C$5:$C$230,SBR!AG$4,'Mar20-Aug20 Billed-RETAIL'!$E$5:$E$230,SBR!$A28))</f>
        <v>0</v>
      </c>
      <c r="AH28" s="96">
        <f>(SUMIFS('Mar20-Aug20 Billed-RETAIL'!$M$5:$M$230,'Mar20-Aug20 Billed-RETAIL'!$C$5:$C$230,SBR!AH$4,'Mar20-Aug20 Billed-RETAIL'!$E$5:$E$230,SBR!$A28)+SUMIFS('Mar20-Aug20 Billed-RETAIL'!$N$5:$N$230,'Mar20-Aug20 Billed-RETAIL'!$C$5:$C$230,SBR!AH$4,'Mar20-Aug20 Billed-RETAIL'!$E$5:$E$230,SBR!$A28))</f>
        <v>8.3000000000000007</v>
      </c>
      <c r="AI28" s="96">
        <f>(SUMIFS('Mar20-Aug20 Billed-RETAIL'!$M$5:$M$230,'Mar20-Aug20 Billed-RETAIL'!$C$5:$C$230,SBR!AI$4,'Mar20-Aug20 Billed-RETAIL'!$E$5:$E$230,SBR!$A28)+SUMIFS('Mar20-Aug20 Billed-RETAIL'!$N$5:$N$230,'Mar20-Aug20 Billed-RETAIL'!$C$5:$C$230,SBR!AI$4,'Mar20-Aug20 Billed-RETAIL'!$E$5:$E$230,SBR!$A28))</f>
        <v>8.6999999999999993</v>
      </c>
      <c r="AJ28" s="96">
        <f>(SUMIFS('Mar20-Aug20 Billed-RETAIL'!$M$5:$M$230,'Mar20-Aug20 Billed-RETAIL'!$C$5:$C$230,SBR!AJ$4,'Mar20-Aug20 Billed-RETAIL'!$E$5:$E$230,SBR!$A28)+SUMIFS('Mar20-Aug20 Billed-RETAIL'!$N$5:$N$230,'Mar20-Aug20 Billed-RETAIL'!$C$5:$C$230,SBR!AJ$4,'Mar20-Aug20 Billed-RETAIL'!$E$5:$E$230,SBR!$A28))</f>
        <v>1.2</v>
      </c>
      <c r="AK28" s="96">
        <f>(SUMIFS('Mar20-Aug20 Billed-RETAIL'!$M$5:$M$230,'Mar20-Aug20 Billed-RETAIL'!$C$5:$C$230,SBR!AK$4,'Mar20-Aug20 Billed-RETAIL'!$E$5:$E$230,SBR!$A28)+SUMIFS('Mar20-Aug20 Billed-RETAIL'!$N$5:$N$230,'Mar20-Aug20 Billed-RETAIL'!$C$5:$C$230,SBR!AK$4,'Mar20-Aug20 Billed-RETAIL'!$E$5:$E$230,SBR!$A28))</f>
        <v>15.2</v>
      </c>
      <c r="AL28" s="96">
        <f>(SUMIFS('Mar20-Aug20 Billed-RETAIL'!$M$5:$M$230,'Mar20-Aug20 Billed-RETAIL'!$C$5:$C$230,SBR!AL$4,'Mar20-Aug20 Billed-RETAIL'!$E$5:$E$230,SBR!$A28)+SUMIFS('Mar20-Aug20 Billed-RETAIL'!$N$5:$N$230,'Mar20-Aug20 Billed-RETAIL'!$C$5:$C$230,SBR!AL$4,'Mar20-Aug20 Billed-RETAIL'!$E$5:$E$230,SBR!$A28))</f>
        <v>0</v>
      </c>
      <c r="AM28" s="96">
        <f>(SUMIFS('Mar20-Aug20 Billed-RETAIL'!$M$5:$M$230,'Mar20-Aug20 Billed-RETAIL'!$C$5:$C$230,SBR!AM$4,'Mar20-Aug20 Billed-RETAIL'!$E$5:$E$230,SBR!$A28)+SUMIFS('Mar20-Aug20 Billed-RETAIL'!$N$5:$N$230,'Mar20-Aug20 Billed-RETAIL'!$C$5:$C$230,SBR!AM$4,'Mar20-Aug20 Billed-RETAIL'!$E$5:$E$230,SBR!$A28))</f>
        <v>0</v>
      </c>
      <c r="AN28" s="96">
        <f>(SUMIFS('Mar20-Aug20 Billed-RETAIL'!$M$5:$M$230,'Mar20-Aug20 Billed-RETAIL'!$C$5:$C$230,SBR!AN$4,'Mar20-Aug20 Billed-RETAIL'!$E$5:$E$230,SBR!$A28)+SUMIFS('Mar20-Aug20 Billed-RETAIL'!$N$5:$N$230,'Mar20-Aug20 Billed-RETAIL'!$C$5:$C$230,SBR!AN$4,'Mar20-Aug20 Billed-RETAIL'!$E$5:$E$230,SBR!$A28))</f>
        <v>300</v>
      </c>
      <c r="AO28" s="96">
        <f>(SUMIFS('Mar20-Aug20 Billed-RETAIL'!$M$5:$M$230,'Mar20-Aug20 Billed-RETAIL'!$C$5:$C$230,SBR!AO$4,'Mar20-Aug20 Billed-RETAIL'!$E$5:$E$230,SBR!$A28)+SUMIFS('Mar20-Aug20 Billed-RETAIL'!$N$5:$N$230,'Mar20-Aug20 Billed-RETAIL'!$C$5:$C$230,SBR!AO$4,'Mar20-Aug20 Billed-RETAIL'!$E$5:$E$230,SBR!$A28))</f>
        <v>300</v>
      </c>
      <c r="AP28" s="96">
        <f>(SUMIFS('Mar20-Aug20 Billed-RETAIL'!$M$5:$M$230,'Mar20-Aug20 Billed-RETAIL'!$C$5:$C$230,SBR!AP$4,'Mar20-Aug20 Billed-RETAIL'!$E$5:$E$230,SBR!$A28)+SUMIFS('Mar20-Aug20 Billed-RETAIL'!$N$5:$N$230,'Mar20-Aug20 Billed-RETAIL'!$C$5:$C$230,SBR!AP$4,'Mar20-Aug20 Billed-RETAIL'!$E$5:$E$230,SBR!$A28))</f>
        <v>300</v>
      </c>
      <c r="AQ28" s="96">
        <f>(SUMIFS('Mar20-Aug20 Billed-RETAIL'!$M$5:$M$230,'Mar20-Aug20 Billed-RETAIL'!$C$5:$C$230,SBR!AQ$4,'Mar20-Aug20 Billed-RETAIL'!$E$5:$E$230,SBR!$A28)+SUMIFS('Mar20-Aug20 Billed-RETAIL'!$N$5:$N$230,'Mar20-Aug20 Billed-RETAIL'!$C$5:$C$230,SBR!AQ$4,'Mar20-Aug20 Billed-RETAIL'!$E$5:$E$230,SBR!$A28))</f>
        <v>300</v>
      </c>
      <c r="AR28" s="97">
        <f>SUMIFS('Mar20-Aug20 Billed-RETAIL'!$BA$5:$BA$156,'Mar20-Aug20 Billed-RETAIL'!$C$5:$C$156,SBR!AR$4,'Mar20-Aug20 Billed-RETAIL'!$E$5:$E$156,SBR!$A28)</f>
        <v>38889.22</v>
      </c>
      <c r="AS28" s="97">
        <f>SUMIFS('Mar20-Aug20 Billed-RETAIL'!$BA$5:$BA$156,'Mar20-Aug20 Billed-RETAIL'!$C$5:$C$156,SBR!AS$4,'Mar20-Aug20 Billed-RETAIL'!$E$5:$E$156,SBR!$A28)</f>
        <v>0</v>
      </c>
      <c r="AT28" s="97">
        <f>SUMIFS('Mar20-Aug20 Billed-RETAIL'!$BA$5:$BA$156,'Mar20-Aug20 Billed-RETAIL'!$C$5:$C$156,SBR!AT$4,'Mar20-Aug20 Billed-RETAIL'!$E$5:$E$156,SBR!$A28)</f>
        <v>32337.06</v>
      </c>
      <c r="AU28" s="97">
        <f>SUMIFS('Mar20-Aug20 Billed-RETAIL'!$BA$5:$BA$156,'Mar20-Aug20 Billed-RETAIL'!$C$5:$C$156,SBR!AU$4,'Mar20-Aug20 Billed-RETAIL'!$E$5:$E$156,SBR!$A28)</f>
        <v>16183.96</v>
      </c>
      <c r="AV28" s="97">
        <f>SUMIFS('Mar20-Aug20 Billed-RETAIL'!$BA$5:$BA$156,'Mar20-Aug20 Billed-RETAIL'!$C$5:$C$156,SBR!AV$4,'Mar20-Aug20 Billed-RETAIL'!$E$5:$E$156,SBR!$A28)</f>
        <v>16160.73</v>
      </c>
      <c r="AW28" s="97">
        <f>SUMIFS('Mar20-Aug20 Billed-RETAIL'!$BA$5:$BA$156,'Mar20-Aug20 Billed-RETAIL'!$C$5:$C$156,SBR!AW$4,'Mar20-Aug20 Billed-RETAIL'!$E$5:$E$156,SBR!$A28)</f>
        <v>16211.86</v>
      </c>
      <c r="AX28" s="97">
        <f>SUMIFS('Mar20-Aug20 Billed-RETAIL'!$BA$7:$BA$155,'Mar20-Aug20 Billed-RETAIL'!$E$7:$E$155,$A28,'Mar20-Aug20 Billed-RETAIL'!$C$7:$C$155,AX$4)</f>
        <v>17848.86</v>
      </c>
      <c r="AY28" s="97">
        <f>SUMIFS('Mar20-Aug20 Billed-RETAIL'!$BA$7:$BA$155,'Mar20-Aug20 Billed-RETAIL'!$E$7:$E$155,$A28,'Mar20-Aug20 Billed-RETAIL'!$C$7:$C$155,AY$4)</f>
        <v>17372.900000000001</v>
      </c>
      <c r="AZ28" s="97">
        <f>SUMIFS('Mar20-Aug20 Billed-RETAIL'!$BA$7:$BA$155,'Mar20-Aug20 Billed-RETAIL'!$E$7:$E$155,$A28,'Mar20-Aug20 Billed-RETAIL'!$C$7:$C$155,AZ$4)</f>
        <v>18047.48</v>
      </c>
      <c r="BA28" s="97">
        <f>SUMIFS('Mar20-Aug20 Billed-RETAIL'!$BA$7:$BA$155,'Mar20-Aug20 Billed-RETAIL'!$E$7:$E$155,$A28,'Mar20-Aug20 Billed-RETAIL'!$C$7:$C$155,BA$4)</f>
        <v>17915.84</v>
      </c>
      <c r="BB28" s="97">
        <f>SUMIFS('Mar20-Aug20 Billed-RETAIL'!$BA$7:$BA$155,'Mar20-Aug20 Billed-RETAIL'!$E$7:$E$155,$A28,'Mar20-Aug20 Billed-RETAIL'!$C$7:$C$155,BB$4)</f>
        <v>15189.62</v>
      </c>
      <c r="BC28" s="97">
        <f>SUMIFS('Mar20-Aug20 Billed-RETAIL'!$BA$7:$BA$155,'Mar20-Aug20 Billed-RETAIL'!$E$7:$E$155,$A28,'Mar20-Aug20 Billed-RETAIL'!$C$7:$C$155,BC$4)</f>
        <v>15319.05</v>
      </c>
      <c r="BD28" s="92"/>
      <c r="BE28" s="92"/>
      <c r="BF28" s="536">
        <f t="shared" ref="BF28:BK28" si="34">ROUND((AR28/SUM(AR$9+AR$17+AR$23+AR$26+AR$29+AR$39))*BF$5,2)</f>
        <v>-0.98</v>
      </c>
      <c r="BG28" s="536">
        <f t="shared" si="34"/>
        <v>0</v>
      </c>
      <c r="BH28" s="536">
        <f t="shared" si="34"/>
        <v>14.36</v>
      </c>
      <c r="BI28" s="536">
        <f t="shared" si="34"/>
        <v>-0.03</v>
      </c>
      <c r="BJ28" s="536">
        <f t="shared" si="34"/>
        <v>0.49</v>
      </c>
      <c r="BK28" s="536">
        <f t="shared" si="34"/>
        <v>0.49</v>
      </c>
      <c r="BL28" s="251">
        <f>SUM(BF28:BK28)</f>
        <v>14.33</v>
      </c>
    </row>
    <row r="29" spans="1:66" x14ac:dyDescent="0.25">
      <c r="A29" s="535"/>
      <c r="B29" s="98" t="s">
        <v>743</v>
      </c>
      <c r="C29" s="112">
        <f>SUM(H29:S29)</f>
        <v>12</v>
      </c>
      <c r="D29" s="112"/>
      <c r="E29" s="123">
        <f>SUM(AF29:AQ29)</f>
        <v>1252.5</v>
      </c>
      <c r="F29" s="112">
        <f>SUM(AR29:BC29)+BL29</f>
        <v>221490.90999999997</v>
      </c>
      <c r="G29" s="46"/>
      <c r="H29" s="89">
        <f>H28</f>
        <v>1</v>
      </c>
      <c r="I29" s="89">
        <f t="shared" ref="I29:S29" si="35">I28</f>
        <v>0</v>
      </c>
      <c r="J29" s="89">
        <f t="shared" si="35"/>
        <v>2</v>
      </c>
      <c r="K29" s="89">
        <f t="shared" si="35"/>
        <v>1</v>
      </c>
      <c r="L29" s="89">
        <f t="shared" si="35"/>
        <v>1</v>
      </c>
      <c r="M29" s="89">
        <f t="shared" si="35"/>
        <v>1</v>
      </c>
      <c r="N29" s="89">
        <f t="shared" si="35"/>
        <v>1</v>
      </c>
      <c r="O29" s="89">
        <f t="shared" si="35"/>
        <v>1</v>
      </c>
      <c r="P29" s="89">
        <f t="shared" si="35"/>
        <v>1</v>
      </c>
      <c r="Q29" s="89">
        <f t="shared" si="35"/>
        <v>1</v>
      </c>
      <c r="R29" s="89">
        <f t="shared" si="35"/>
        <v>1</v>
      </c>
      <c r="S29" s="89">
        <f t="shared" si="35"/>
        <v>1</v>
      </c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6">
        <f t="shared" ref="AF29:AQ29" si="36">AF28</f>
        <v>19.100000000000001</v>
      </c>
      <c r="AG29" s="86">
        <f t="shared" si="36"/>
        <v>0</v>
      </c>
      <c r="AH29" s="86">
        <f t="shared" si="36"/>
        <v>8.3000000000000007</v>
      </c>
      <c r="AI29" s="86">
        <f t="shared" si="36"/>
        <v>8.6999999999999993</v>
      </c>
      <c r="AJ29" s="86">
        <f t="shared" si="36"/>
        <v>1.2</v>
      </c>
      <c r="AK29" s="86">
        <f t="shared" si="36"/>
        <v>15.2</v>
      </c>
      <c r="AL29" s="86">
        <f t="shared" si="36"/>
        <v>0</v>
      </c>
      <c r="AM29" s="86">
        <f t="shared" si="36"/>
        <v>0</v>
      </c>
      <c r="AN29" s="86">
        <f t="shared" si="36"/>
        <v>300</v>
      </c>
      <c r="AO29" s="86">
        <f t="shared" si="36"/>
        <v>300</v>
      </c>
      <c r="AP29" s="86">
        <f t="shared" si="36"/>
        <v>300</v>
      </c>
      <c r="AQ29" s="86">
        <f t="shared" si="36"/>
        <v>300</v>
      </c>
      <c r="AR29" s="91">
        <f>AR28</f>
        <v>38889.22</v>
      </c>
      <c r="AS29" s="91">
        <f t="shared" ref="AS29:BC29" si="37">AS28</f>
        <v>0</v>
      </c>
      <c r="AT29" s="91">
        <f t="shared" si="37"/>
        <v>32337.06</v>
      </c>
      <c r="AU29" s="91">
        <f t="shared" si="37"/>
        <v>16183.96</v>
      </c>
      <c r="AV29" s="91">
        <f t="shared" si="37"/>
        <v>16160.73</v>
      </c>
      <c r="AW29" s="91">
        <f t="shared" si="37"/>
        <v>16211.86</v>
      </c>
      <c r="AX29" s="91">
        <f t="shared" si="37"/>
        <v>17848.86</v>
      </c>
      <c r="AY29" s="91">
        <f t="shared" si="37"/>
        <v>17372.900000000001</v>
      </c>
      <c r="AZ29" s="91">
        <f t="shared" si="37"/>
        <v>18047.48</v>
      </c>
      <c r="BA29" s="91">
        <f t="shared" si="37"/>
        <v>17915.84</v>
      </c>
      <c r="BB29" s="91">
        <f t="shared" si="37"/>
        <v>15189.62</v>
      </c>
      <c r="BC29" s="91">
        <f t="shared" si="37"/>
        <v>15319.05</v>
      </c>
      <c r="BD29" s="92"/>
      <c r="BE29" s="92"/>
      <c r="BF29" s="251">
        <f t="shared" ref="BF29:BK29" si="38">BF28</f>
        <v>-0.98</v>
      </c>
      <c r="BG29" s="251">
        <f t="shared" si="38"/>
        <v>0</v>
      </c>
      <c r="BH29" s="251">
        <f t="shared" si="38"/>
        <v>14.36</v>
      </c>
      <c r="BI29" s="251">
        <f t="shared" si="38"/>
        <v>-0.03</v>
      </c>
      <c r="BJ29" s="251">
        <f t="shared" si="38"/>
        <v>0.49</v>
      </c>
      <c r="BK29" s="251">
        <f t="shared" si="38"/>
        <v>0.49</v>
      </c>
      <c r="BL29" s="251">
        <f>SUM(BF29:BK29)</f>
        <v>14.33</v>
      </c>
      <c r="BN29" s="374"/>
    </row>
    <row r="30" spans="1:66" x14ac:dyDescent="0.25">
      <c r="B30" s="98"/>
      <c r="C30" s="112"/>
      <c r="D30" s="112"/>
      <c r="E30" s="123"/>
      <c r="F30" s="112"/>
      <c r="G30" s="46"/>
      <c r="H30" s="99"/>
      <c r="I30" s="99"/>
      <c r="J30" s="99"/>
      <c r="K30" s="99"/>
      <c r="L30" s="99"/>
      <c r="M30" s="99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03"/>
      <c r="AG30" s="103"/>
      <c r="AH30" s="103"/>
      <c r="AI30" s="103"/>
      <c r="AJ30" s="103"/>
      <c r="AK30" s="103"/>
      <c r="AL30" s="114"/>
      <c r="AM30" s="114"/>
      <c r="AN30" s="114"/>
      <c r="AO30" s="114"/>
      <c r="AP30" s="114"/>
      <c r="AQ30" s="114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92"/>
      <c r="BE30" s="92"/>
      <c r="BF30" s="250"/>
      <c r="BG30" s="250"/>
      <c r="BH30" s="250"/>
      <c r="BI30" s="250"/>
      <c r="BJ30" s="250"/>
      <c r="BK30" s="250"/>
      <c r="BL30" s="251"/>
    </row>
    <row r="31" spans="1:66" x14ac:dyDescent="0.25">
      <c r="A31" s="58" t="s">
        <v>564</v>
      </c>
      <c r="B31" s="50" t="s">
        <v>665</v>
      </c>
      <c r="C31" s="124">
        <f>SUM(H31:S31)</f>
        <v>0</v>
      </c>
      <c r="D31" s="124"/>
      <c r="E31" s="125">
        <f>SUM(AF31:AQ31)</f>
        <v>0</v>
      </c>
      <c r="F31" s="124">
        <f>SUM(AR31:BC31)+BL31</f>
        <v>0</v>
      </c>
      <c r="G31" s="46"/>
      <c r="H31" s="95">
        <f>SUMIFS('Mar20-Aug20 Billed-RETAIL'!$H$7:$H$155,'Mar20-Aug20 Billed-RETAIL'!$C$7:$C$155,H$4,'Mar20-Aug20 Billed-RETAIL'!$E$7:$E$155,$A31)+SUMIFS('Mar20-Aug20 Billed-RETAIL'!$I$7:$I$155,'Mar20-Aug20 Billed-RETAIL'!$C$7:$C$155,H$4,'Mar20-Aug20 Billed-RETAIL'!$E$7:$E$155,$A31)</f>
        <v>0</v>
      </c>
      <c r="I31" s="95">
        <f>SUMIFS('Mar20-Aug20 Billed-RETAIL'!$H$7:$H$155,'Mar20-Aug20 Billed-RETAIL'!$C$7:$C$155,I$4,'Mar20-Aug20 Billed-RETAIL'!$E$7:$E$155,$A31)+SUMIFS('Mar20-Aug20 Billed-RETAIL'!$I$7:$I$155,'Mar20-Aug20 Billed-RETAIL'!$C$7:$C$155,I$4,'Mar20-Aug20 Billed-RETAIL'!$E$7:$E$155,$A31)</f>
        <v>0</v>
      </c>
      <c r="J31" s="95">
        <f>SUMIFS('Mar20-Aug20 Billed-RETAIL'!$H$7:$H$155,'Mar20-Aug20 Billed-RETAIL'!$C$7:$C$155,J$4,'Mar20-Aug20 Billed-RETAIL'!$E$7:$E$155,$A31)+SUMIFS('Mar20-Aug20 Billed-RETAIL'!$I$7:$I$155,'Mar20-Aug20 Billed-RETAIL'!$C$7:$C$155,J$4,'Mar20-Aug20 Billed-RETAIL'!$E$7:$E$155,$A31)</f>
        <v>0</v>
      </c>
      <c r="K31" s="95">
        <f>SUMIFS('Mar20-Aug20 Billed-RETAIL'!$H$7:$H$155,'Mar20-Aug20 Billed-RETAIL'!$C$7:$C$155,K$4,'Mar20-Aug20 Billed-RETAIL'!$E$7:$E$155,$A31)+SUMIFS('Mar20-Aug20 Billed-RETAIL'!$I$7:$I$155,'Mar20-Aug20 Billed-RETAIL'!$C$7:$C$155,K$4,'Mar20-Aug20 Billed-RETAIL'!$E$7:$E$155,$A31)</f>
        <v>0</v>
      </c>
      <c r="L31" s="95">
        <f>SUMIFS('Mar20-Aug20 Billed-RETAIL'!$H$7:$H$155,'Mar20-Aug20 Billed-RETAIL'!$C$7:$C$155,L$4,'Mar20-Aug20 Billed-RETAIL'!$E$7:$E$155,$A31)+SUMIFS('Mar20-Aug20 Billed-RETAIL'!$I$7:$I$155,'Mar20-Aug20 Billed-RETAIL'!$C$7:$C$155,L$4,'Mar20-Aug20 Billed-RETAIL'!$E$7:$E$155,$A31)</f>
        <v>0</v>
      </c>
      <c r="M31" s="95">
        <f>SUMIFS('Mar20-Aug20 Billed-RETAIL'!$H$7:$H$155,'Mar20-Aug20 Billed-RETAIL'!$C$7:$C$155,M$4,'Mar20-Aug20 Billed-RETAIL'!$E$7:$E$155,$A31)+SUMIFS('Mar20-Aug20 Billed-RETAIL'!$I$7:$I$155,'Mar20-Aug20 Billed-RETAIL'!$C$7:$C$155,M$4,'Mar20-Aug20 Billed-RETAIL'!$E$7:$E$155,$A31)</f>
        <v>0</v>
      </c>
      <c r="N31" s="95">
        <f>SUMIFS('Mar20-Aug20 Billed-RETAIL'!$H$7:$H$155,'Mar20-Aug20 Billed-RETAIL'!$C$7:$C$155,N$4,'Mar20-Aug20 Billed-RETAIL'!$E$7:$E$155,$A31)+SUMIFS('Mar20-Aug20 Billed-RETAIL'!$I$7:$I$155,'Mar20-Aug20 Billed-RETAIL'!$C$7:$C$155,N$4,'Mar20-Aug20 Billed-RETAIL'!$E$7:$E$155,$A31)</f>
        <v>0</v>
      </c>
      <c r="O31" s="95">
        <f>SUMIFS('Mar20-Aug20 Billed-RETAIL'!$H$7:$H$155,'Mar20-Aug20 Billed-RETAIL'!$C$7:$C$155,O$4,'Mar20-Aug20 Billed-RETAIL'!$E$7:$E$155,$A31)+SUMIFS('Mar20-Aug20 Billed-RETAIL'!$I$7:$I$155,'Mar20-Aug20 Billed-RETAIL'!$C$7:$C$155,O$4,'Mar20-Aug20 Billed-RETAIL'!$E$7:$E$155,$A31)</f>
        <v>0</v>
      </c>
      <c r="P31" s="95">
        <f>SUMIFS('Mar20-Aug20 Billed-RETAIL'!$H$7:$H$155,'Mar20-Aug20 Billed-RETAIL'!$C$7:$C$155,P$4,'Mar20-Aug20 Billed-RETAIL'!$E$7:$E$155,$A31)+SUMIFS('Mar20-Aug20 Billed-RETAIL'!$I$7:$I$155,'Mar20-Aug20 Billed-RETAIL'!$C$7:$C$155,P$4,'Mar20-Aug20 Billed-RETAIL'!$E$7:$E$155,$A31)</f>
        <v>0</v>
      </c>
      <c r="Q31" s="95">
        <f>SUMIFS('Mar20-Aug20 Billed-RETAIL'!$H$7:$H$155,'Mar20-Aug20 Billed-RETAIL'!$C$7:$C$155,Q$4,'Mar20-Aug20 Billed-RETAIL'!$E$7:$E$155,$A31)+SUMIFS('Mar20-Aug20 Billed-RETAIL'!$I$7:$I$155,'Mar20-Aug20 Billed-RETAIL'!$C$7:$C$155,Q$4,'Mar20-Aug20 Billed-RETAIL'!$E$7:$E$155,$A31)</f>
        <v>0</v>
      </c>
      <c r="R31" s="95">
        <f>SUMIFS('Mar20-Aug20 Billed-RETAIL'!$H$7:$H$155,'Mar20-Aug20 Billed-RETAIL'!$C$7:$C$155,R$4,'Mar20-Aug20 Billed-RETAIL'!$E$7:$E$155,$A31)+SUMIFS('Mar20-Aug20 Billed-RETAIL'!$I$7:$I$155,'Mar20-Aug20 Billed-RETAIL'!$C$7:$C$155,R$4,'Mar20-Aug20 Billed-RETAIL'!$E$7:$E$155,$A31)</f>
        <v>0</v>
      </c>
      <c r="S31" s="95">
        <f>SUMIFS('Mar20-Aug20 Billed-RETAIL'!$H$7:$H$155,'Mar20-Aug20 Billed-RETAIL'!$C$7:$C$155,S$4,'Mar20-Aug20 Billed-RETAIL'!$E$7:$E$155,$A31)+SUMIFS('Mar20-Aug20 Billed-RETAIL'!$I$7:$I$155,'Mar20-Aug20 Billed-RETAIL'!$C$7:$C$155,S$4,'Mar20-Aug20 Billed-RETAIL'!$E$7:$E$155,$A31)</f>
        <v>0</v>
      </c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6">
        <f>(SUMIFS('Mar20-Aug20 Billed-RETAIL'!$J$5:$J$230,'Mar20-Aug20 Billed-RETAIL'!$C$5:$C$230,SBR!AF$4,'Mar20-Aug20 Billed-RETAIL'!$E$5:$E$230,SBR!$A31)+SUMIFS('Mar20-Aug20 Billed-RETAIL'!$K$5:$K$230,'Mar20-Aug20 Billed-RETAIL'!$C$5:$C$230,SBR!AF$4,'Mar20-Aug20 Billed-RETAIL'!$E$5:$E$230,SBR!$A31))*0.1</f>
        <v>0</v>
      </c>
      <c r="AG31" s="96">
        <f>(SUMIFS('Mar20-Aug20 Billed-RETAIL'!$J$5:$J$230,'Mar20-Aug20 Billed-RETAIL'!$C$5:$C$230,SBR!AG$4,'Mar20-Aug20 Billed-RETAIL'!$E$5:$E$230,SBR!$A31)+SUMIFS('Mar20-Aug20 Billed-RETAIL'!$K$5:$K$230,'Mar20-Aug20 Billed-RETAIL'!$C$5:$C$230,SBR!AG$4,'Mar20-Aug20 Billed-RETAIL'!$E$5:$E$230,SBR!$A31))*0.1</f>
        <v>0</v>
      </c>
      <c r="AH31" s="96">
        <f>(SUMIFS('Mar20-Aug20 Billed-RETAIL'!$J$5:$J$230,'Mar20-Aug20 Billed-RETAIL'!$C$5:$C$230,SBR!AH$4,'Mar20-Aug20 Billed-RETAIL'!$E$5:$E$230,SBR!$A31)+SUMIFS('Mar20-Aug20 Billed-RETAIL'!$K$5:$K$230,'Mar20-Aug20 Billed-RETAIL'!$C$5:$C$230,SBR!AH$4,'Mar20-Aug20 Billed-RETAIL'!$E$5:$E$230,SBR!$A31))*0.1</f>
        <v>0</v>
      </c>
      <c r="AI31" s="96">
        <f>(SUMIFS('Mar20-Aug20 Billed-RETAIL'!$J$5:$J$230,'Mar20-Aug20 Billed-RETAIL'!$C$5:$C$230,SBR!AI$4,'Mar20-Aug20 Billed-RETAIL'!$E$5:$E$230,SBR!$A31)+SUMIFS('Mar20-Aug20 Billed-RETAIL'!$K$5:$K$230,'Mar20-Aug20 Billed-RETAIL'!$C$5:$C$230,SBR!AI$4,'Mar20-Aug20 Billed-RETAIL'!$E$5:$E$230,SBR!$A31))*0.1</f>
        <v>0</v>
      </c>
      <c r="AJ31" s="96">
        <f>(SUMIFS('Mar20-Aug20 Billed-RETAIL'!$J$5:$J$230,'Mar20-Aug20 Billed-RETAIL'!$C$5:$C$230,SBR!AJ$4,'Mar20-Aug20 Billed-RETAIL'!$E$5:$E$230,SBR!$A31)+SUMIFS('Mar20-Aug20 Billed-RETAIL'!$K$5:$K$230,'Mar20-Aug20 Billed-RETAIL'!$C$5:$C$230,SBR!AJ$4,'Mar20-Aug20 Billed-RETAIL'!$E$5:$E$230,SBR!$A31))*0.1</f>
        <v>0</v>
      </c>
      <c r="AK31" s="96">
        <f>(SUMIFS('Mar20-Aug20 Billed-RETAIL'!$J$5:$J$230,'Mar20-Aug20 Billed-RETAIL'!$C$5:$C$230,SBR!AK$4,'Mar20-Aug20 Billed-RETAIL'!$E$5:$E$230,SBR!$A31)+SUMIFS('Mar20-Aug20 Billed-RETAIL'!$K$5:$K$230,'Mar20-Aug20 Billed-RETAIL'!$C$5:$C$230,SBR!AK$4,'Mar20-Aug20 Billed-RETAIL'!$E$5:$E$230,SBR!$A31))*0.1</f>
        <v>0</v>
      </c>
      <c r="AL31" s="96">
        <f>(SUMIFS('Mar20-Aug20 Billed-RETAIL'!$J$5:$J$230,'Mar20-Aug20 Billed-RETAIL'!$C$5:$C$230,SBR!AL$4,'Mar20-Aug20 Billed-RETAIL'!$E$5:$E$230,SBR!$A31)+SUMIFS('Mar20-Aug20 Billed-RETAIL'!$K$5:$K$230,'Mar20-Aug20 Billed-RETAIL'!$C$5:$C$230,SBR!AL$4,'Mar20-Aug20 Billed-RETAIL'!$E$5:$E$230,SBR!$A31))*0.1</f>
        <v>0</v>
      </c>
      <c r="AM31" s="96">
        <f>(SUMIFS('Mar20-Aug20 Billed-RETAIL'!$J$5:$J$230,'Mar20-Aug20 Billed-RETAIL'!$C$5:$C$230,SBR!AM$4,'Mar20-Aug20 Billed-RETAIL'!$E$5:$E$230,SBR!$A31)+SUMIFS('Mar20-Aug20 Billed-RETAIL'!$K$5:$K$230,'Mar20-Aug20 Billed-RETAIL'!$C$5:$C$230,SBR!AM$4,'Mar20-Aug20 Billed-RETAIL'!$E$5:$E$230,SBR!$A31))*0.1</f>
        <v>0</v>
      </c>
      <c r="AN31" s="96">
        <f>(SUMIFS('Mar20-Aug20 Billed-RETAIL'!$J$5:$J$230,'Mar20-Aug20 Billed-RETAIL'!$C$5:$C$230,SBR!AN$4,'Mar20-Aug20 Billed-RETAIL'!$E$5:$E$230,SBR!$A31)+SUMIFS('Mar20-Aug20 Billed-RETAIL'!$K$5:$K$230,'Mar20-Aug20 Billed-RETAIL'!$C$5:$C$230,SBR!AN$4,'Mar20-Aug20 Billed-RETAIL'!$E$5:$E$230,SBR!$A31))*0.1</f>
        <v>0</v>
      </c>
      <c r="AO31" s="96">
        <f>(SUMIFS('Mar20-Aug20 Billed-RETAIL'!$J$5:$J$230,'Mar20-Aug20 Billed-RETAIL'!$C$5:$C$230,SBR!AO$4,'Mar20-Aug20 Billed-RETAIL'!$E$5:$E$230,SBR!$A31)+SUMIFS('Mar20-Aug20 Billed-RETAIL'!$K$5:$K$230,'Mar20-Aug20 Billed-RETAIL'!$C$5:$C$230,SBR!AO$4,'Mar20-Aug20 Billed-RETAIL'!$E$5:$E$230,SBR!$A31))*0.1</f>
        <v>0</v>
      </c>
      <c r="AP31" s="96">
        <f>(SUMIFS('Mar20-Aug20 Billed-RETAIL'!$J$5:$J$230,'Mar20-Aug20 Billed-RETAIL'!$C$5:$C$230,SBR!AP$4,'Mar20-Aug20 Billed-RETAIL'!$E$5:$E$230,SBR!$A31)+SUMIFS('Mar20-Aug20 Billed-RETAIL'!$K$5:$K$230,'Mar20-Aug20 Billed-RETAIL'!$C$5:$C$230,SBR!AP$4,'Mar20-Aug20 Billed-RETAIL'!$E$5:$E$230,SBR!$A31))*0.1</f>
        <v>0</v>
      </c>
      <c r="AQ31" s="96">
        <f>(SUMIFS('Mar20-Aug20 Billed-RETAIL'!$J$5:$J$230,'Mar20-Aug20 Billed-RETAIL'!$C$5:$C$230,SBR!AQ$4,'Mar20-Aug20 Billed-RETAIL'!$E$5:$E$230,SBR!$A31)+SUMIFS('Mar20-Aug20 Billed-RETAIL'!$K$5:$K$230,'Mar20-Aug20 Billed-RETAIL'!$C$5:$C$230,SBR!AQ$4,'Mar20-Aug20 Billed-RETAIL'!$E$5:$E$230,SBR!$A31))*0.1</f>
        <v>0</v>
      </c>
      <c r="AR31" s="97">
        <f>SUMIFS('Mar20-Aug20 Billed-RETAIL'!$BA$5:$BA$156,'Mar20-Aug20 Billed-RETAIL'!$C$5:$C$156,SBR!AR$4,'Mar20-Aug20 Billed-RETAIL'!$E$5:$E$156,SBR!$A31)</f>
        <v>0</v>
      </c>
      <c r="AS31" s="97">
        <f>SUMIFS('Mar20-Aug20 Billed-RETAIL'!$BA$5:$BA$156,'Mar20-Aug20 Billed-RETAIL'!$C$5:$C$156,SBR!AS$4,'Mar20-Aug20 Billed-RETAIL'!$E$5:$E$156,SBR!$A31)</f>
        <v>0</v>
      </c>
      <c r="AT31" s="97">
        <f>SUMIFS('Mar20-Aug20 Billed-RETAIL'!$BA$5:$BA$156,'Mar20-Aug20 Billed-RETAIL'!$C$5:$C$156,SBR!AT$4,'Mar20-Aug20 Billed-RETAIL'!$E$5:$E$156,SBR!$A31)</f>
        <v>0</v>
      </c>
      <c r="AU31" s="97">
        <f>SUMIFS('Mar20-Aug20 Billed-RETAIL'!$BA$5:$BA$156,'Mar20-Aug20 Billed-RETAIL'!$C$5:$C$156,SBR!AU$4,'Mar20-Aug20 Billed-RETAIL'!$E$5:$E$156,SBR!$A31)</f>
        <v>0</v>
      </c>
      <c r="AV31" s="97">
        <f>SUMIFS('Mar20-Aug20 Billed-RETAIL'!$BA$5:$BA$156,'Mar20-Aug20 Billed-RETAIL'!$C$5:$C$156,SBR!AV$4,'Mar20-Aug20 Billed-RETAIL'!$E$5:$E$156,SBR!$A31)</f>
        <v>0</v>
      </c>
      <c r="AW31" s="97">
        <f>SUMIFS('Mar20-Aug20 Billed-RETAIL'!$BA$5:$BA$156,'Mar20-Aug20 Billed-RETAIL'!$C$5:$C$156,SBR!AW$4,'Mar20-Aug20 Billed-RETAIL'!$E$5:$E$156,SBR!$A31)</f>
        <v>0</v>
      </c>
      <c r="AX31" s="97">
        <f>SUMIFS('Mar20-Aug20 Billed-RETAIL'!$BA$7:$BA$155,'Mar20-Aug20 Billed-RETAIL'!$E$7:$E$155,$A31,'Mar20-Aug20 Billed-RETAIL'!$C$7:$C$155,AX$4)</f>
        <v>0</v>
      </c>
      <c r="AY31" s="97">
        <f>SUMIFS('Mar20-Aug20 Billed-RETAIL'!$BA$7:$BA$155,'Mar20-Aug20 Billed-RETAIL'!$E$7:$E$155,$A31,'Mar20-Aug20 Billed-RETAIL'!$C$7:$C$155,AY$4)</f>
        <v>0</v>
      </c>
      <c r="AZ31" s="97">
        <f>SUMIFS('Mar20-Aug20 Billed-RETAIL'!$BA$7:$BA$155,'Mar20-Aug20 Billed-RETAIL'!$E$7:$E$155,$A31,'Mar20-Aug20 Billed-RETAIL'!$C$7:$C$155,AZ$4)</f>
        <v>0</v>
      </c>
      <c r="BA31" s="97">
        <f>SUMIFS('Mar20-Aug20 Billed-RETAIL'!$BA$7:$BA$155,'Mar20-Aug20 Billed-RETAIL'!$E$7:$E$155,$A31,'Mar20-Aug20 Billed-RETAIL'!$C$7:$C$155,BA$4)</f>
        <v>0</v>
      </c>
      <c r="BB31" s="97">
        <f>SUMIFS('Mar20-Aug20 Billed-RETAIL'!$BA$7:$BA$155,'Mar20-Aug20 Billed-RETAIL'!$E$7:$E$155,$A31,'Mar20-Aug20 Billed-RETAIL'!$C$7:$C$155,BB$4)</f>
        <v>0</v>
      </c>
      <c r="BC31" s="97">
        <f>SUMIFS('Mar20-Aug20 Billed-RETAIL'!$BA$7:$BA$155,'Mar20-Aug20 Billed-RETAIL'!$E$7:$E$155,$A31,'Mar20-Aug20 Billed-RETAIL'!$C$7:$C$155,BC$4)</f>
        <v>0</v>
      </c>
      <c r="BD31" s="92"/>
      <c r="BE31" s="92"/>
      <c r="BF31" s="536">
        <f t="shared" ref="BF31:BK31" si="39">ROUND((AR31/SUM(AR$9+AR$17+AR$23+AR$26+AR$29+AR$39))*BF$5,2)</f>
        <v>0</v>
      </c>
      <c r="BG31" s="536">
        <f t="shared" si="39"/>
        <v>0</v>
      </c>
      <c r="BH31" s="536">
        <f t="shared" si="39"/>
        <v>0</v>
      </c>
      <c r="BI31" s="536">
        <f t="shared" si="39"/>
        <v>0</v>
      </c>
      <c r="BJ31" s="536">
        <f t="shared" si="39"/>
        <v>0</v>
      </c>
      <c r="BK31" s="536">
        <f t="shared" si="39"/>
        <v>0</v>
      </c>
      <c r="BL31" s="251">
        <f>SUM(BF31:BK31)</f>
        <v>0</v>
      </c>
    </row>
    <row r="32" spans="1:66" x14ac:dyDescent="0.25">
      <c r="A32" s="58" t="s">
        <v>565</v>
      </c>
      <c r="B32" s="98" t="s">
        <v>744</v>
      </c>
      <c r="C32" s="112">
        <f>SUM(H32:S32)</f>
        <v>0</v>
      </c>
      <c r="D32" s="112"/>
      <c r="E32" s="123">
        <f>SUM(AF32:AQ32)</f>
        <v>0</v>
      </c>
      <c r="F32" s="112">
        <f>SUM(AR32:BC32)+BL32</f>
        <v>0</v>
      </c>
      <c r="G32" s="46"/>
      <c r="H32" s="89">
        <f>H31</f>
        <v>0</v>
      </c>
      <c r="I32" s="89">
        <f t="shared" ref="I32:AQ32" si="40">I31</f>
        <v>0</v>
      </c>
      <c r="J32" s="89">
        <f t="shared" si="40"/>
        <v>0</v>
      </c>
      <c r="K32" s="89">
        <f t="shared" si="40"/>
        <v>0</v>
      </c>
      <c r="L32" s="89">
        <f t="shared" si="40"/>
        <v>0</v>
      </c>
      <c r="M32" s="89">
        <f t="shared" si="40"/>
        <v>0</v>
      </c>
      <c r="N32" s="89">
        <f t="shared" si="40"/>
        <v>0</v>
      </c>
      <c r="O32" s="89">
        <f t="shared" si="40"/>
        <v>0</v>
      </c>
      <c r="P32" s="89">
        <f t="shared" si="40"/>
        <v>0</v>
      </c>
      <c r="Q32" s="89">
        <f t="shared" si="40"/>
        <v>0</v>
      </c>
      <c r="R32" s="89">
        <f t="shared" si="40"/>
        <v>0</v>
      </c>
      <c r="S32" s="89">
        <f t="shared" si="40"/>
        <v>0</v>
      </c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6">
        <f t="shared" si="40"/>
        <v>0</v>
      </c>
      <c r="AG32" s="86">
        <f t="shared" si="40"/>
        <v>0</v>
      </c>
      <c r="AH32" s="86">
        <f t="shared" si="40"/>
        <v>0</v>
      </c>
      <c r="AI32" s="86">
        <f t="shared" si="40"/>
        <v>0</v>
      </c>
      <c r="AJ32" s="86">
        <f t="shared" si="40"/>
        <v>0</v>
      </c>
      <c r="AK32" s="86">
        <f t="shared" si="40"/>
        <v>0</v>
      </c>
      <c r="AL32" s="86">
        <f t="shared" si="40"/>
        <v>0</v>
      </c>
      <c r="AM32" s="86">
        <f t="shared" si="40"/>
        <v>0</v>
      </c>
      <c r="AN32" s="86">
        <f t="shared" si="40"/>
        <v>0</v>
      </c>
      <c r="AO32" s="86">
        <f t="shared" si="40"/>
        <v>0</v>
      </c>
      <c r="AP32" s="86">
        <f t="shared" si="40"/>
        <v>0</v>
      </c>
      <c r="AQ32" s="86">
        <f t="shared" si="40"/>
        <v>0</v>
      </c>
      <c r="AR32" s="91">
        <f>AR31</f>
        <v>0</v>
      </c>
      <c r="AS32" s="91">
        <f t="shared" ref="AS32:BC32" si="41">AS31</f>
        <v>0</v>
      </c>
      <c r="AT32" s="91">
        <f t="shared" si="41"/>
        <v>0</v>
      </c>
      <c r="AU32" s="91">
        <f t="shared" si="41"/>
        <v>0</v>
      </c>
      <c r="AV32" s="91">
        <f t="shared" si="41"/>
        <v>0</v>
      </c>
      <c r="AW32" s="91">
        <f t="shared" si="41"/>
        <v>0</v>
      </c>
      <c r="AX32" s="91">
        <f t="shared" si="41"/>
        <v>0</v>
      </c>
      <c r="AY32" s="91">
        <f t="shared" si="41"/>
        <v>0</v>
      </c>
      <c r="AZ32" s="91">
        <f t="shared" si="41"/>
        <v>0</v>
      </c>
      <c r="BA32" s="91">
        <f t="shared" si="41"/>
        <v>0</v>
      </c>
      <c r="BB32" s="91">
        <f t="shared" si="41"/>
        <v>0</v>
      </c>
      <c r="BC32" s="91">
        <f t="shared" si="41"/>
        <v>0</v>
      </c>
      <c r="BD32" s="92"/>
      <c r="BE32" s="92"/>
      <c r="BF32" s="251">
        <f t="shared" ref="BF32:BK32" si="42">BF31</f>
        <v>0</v>
      </c>
      <c r="BG32" s="251">
        <f t="shared" si="42"/>
        <v>0</v>
      </c>
      <c r="BH32" s="251">
        <f t="shared" si="42"/>
        <v>0</v>
      </c>
      <c r="BI32" s="251">
        <f t="shared" si="42"/>
        <v>0</v>
      </c>
      <c r="BJ32" s="251">
        <f t="shared" si="42"/>
        <v>0</v>
      </c>
      <c r="BK32" s="251">
        <f t="shared" si="42"/>
        <v>0</v>
      </c>
      <c r="BL32" s="251">
        <f>SUM(BF32:BK32)</f>
        <v>0</v>
      </c>
    </row>
    <row r="33" spans="1:66" x14ac:dyDescent="0.25">
      <c r="B33" s="98"/>
      <c r="C33" s="112"/>
      <c r="D33" s="112"/>
      <c r="E33" s="123"/>
      <c r="F33" s="112"/>
      <c r="G33" s="46"/>
      <c r="H33" s="99"/>
      <c r="I33" s="99"/>
      <c r="J33" s="99"/>
      <c r="K33" s="99"/>
      <c r="L33" s="99"/>
      <c r="M33" s="99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03"/>
      <c r="AG33" s="103"/>
      <c r="AH33" s="103"/>
      <c r="AI33" s="103"/>
      <c r="AJ33" s="103"/>
      <c r="AK33" s="103"/>
      <c r="AL33" s="114"/>
      <c r="AM33" s="114"/>
      <c r="AN33" s="114"/>
      <c r="AO33" s="114"/>
      <c r="AP33" s="114"/>
      <c r="AQ33" s="114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92"/>
      <c r="BE33" s="92"/>
      <c r="BF33" s="250"/>
      <c r="BG33" s="250"/>
      <c r="BH33" s="250"/>
      <c r="BI33" s="250"/>
      <c r="BJ33" s="250"/>
      <c r="BK33" s="250"/>
      <c r="BL33" s="251"/>
    </row>
    <row r="34" spans="1:66" x14ac:dyDescent="0.25">
      <c r="A34" s="141" t="s">
        <v>13</v>
      </c>
      <c r="B34" s="108" t="s">
        <v>228</v>
      </c>
      <c r="C34" s="112">
        <f t="shared" ref="C34:C39" si="43">SUM(H34:S34)</f>
        <v>26</v>
      </c>
      <c r="D34" s="112">
        <f t="shared" ref="D34:D37" si="44">SUM(T34:AE34)</f>
        <v>0</v>
      </c>
      <c r="E34" s="123">
        <f t="shared" si="16"/>
        <v>65808.174983812816</v>
      </c>
      <c r="F34" s="112">
        <f t="shared" si="7"/>
        <v>315639.72000000003</v>
      </c>
      <c r="G34" s="46"/>
      <c r="H34" s="89">
        <f>SUMIFS('Mar20-Aug20 Billed-RETAIL'!$H$7:$H$155,'Mar20-Aug20 Billed-RETAIL'!$C$7:$C$155,H$4,'Mar20-Aug20 Billed-RETAIL'!$E$7:$E$155,$A34)+SUMIFS('Mar20-Aug20 Billed-RETAIL'!$I$7:$I$155,'Mar20-Aug20 Billed-RETAIL'!$C$7:$C$155,H$4,'Mar20-Aug20 Billed-RETAIL'!$E$7:$E$155,$A34)</f>
        <v>2</v>
      </c>
      <c r="I34" s="89">
        <f>SUMIFS('Mar20-Aug20 Billed-RETAIL'!$H$7:$H$155,'Mar20-Aug20 Billed-RETAIL'!$C$7:$C$155,I$4,'Mar20-Aug20 Billed-RETAIL'!$E$7:$E$155,$A34)+SUMIFS('Mar20-Aug20 Billed-RETAIL'!$I$7:$I$155,'Mar20-Aug20 Billed-RETAIL'!$C$7:$C$155,I$4,'Mar20-Aug20 Billed-RETAIL'!$E$7:$E$155,$A34)</f>
        <v>2</v>
      </c>
      <c r="J34" s="89">
        <f>SUMIFS('Mar20-Aug20 Billed-RETAIL'!$H$7:$H$155,'Mar20-Aug20 Billed-RETAIL'!$C$7:$C$155,J$4,'Mar20-Aug20 Billed-RETAIL'!$E$7:$E$155,$A34)+SUMIFS('Mar20-Aug20 Billed-RETAIL'!$I$7:$I$155,'Mar20-Aug20 Billed-RETAIL'!$C$7:$C$155,J$4,'Mar20-Aug20 Billed-RETAIL'!$E$7:$E$155,$A34)</f>
        <v>2</v>
      </c>
      <c r="K34" s="89">
        <f>SUMIFS('Mar20-Aug20 Billed-RETAIL'!$H$7:$H$155,'Mar20-Aug20 Billed-RETAIL'!$C$7:$C$155,K$4,'Mar20-Aug20 Billed-RETAIL'!$E$7:$E$155,$A34)+SUMIFS('Mar20-Aug20 Billed-RETAIL'!$I$7:$I$155,'Mar20-Aug20 Billed-RETAIL'!$C$7:$C$155,K$4,'Mar20-Aug20 Billed-RETAIL'!$E$7:$E$155,$A34)</f>
        <v>2</v>
      </c>
      <c r="L34" s="89">
        <f>SUMIFS('Mar20-Aug20 Billed-RETAIL'!$H$7:$H$155,'Mar20-Aug20 Billed-RETAIL'!$C$7:$C$155,L$4,'Mar20-Aug20 Billed-RETAIL'!$E$7:$E$155,$A34)+SUMIFS('Mar20-Aug20 Billed-RETAIL'!$I$7:$I$155,'Mar20-Aug20 Billed-RETAIL'!$C$7:$C$155,L$4,'Mar20-Aug20 Billed-RETAIL'!$E$7:$E$155,$A34)</f>
        <v>2</v>
      </c>
      <c r="M34" s="89">
        <f>SUMIFS('Mar20-Aug20 Billed-RETAIL'!$H$7:$H$155,'Mar20-Aug20 Billed-RETAIL'!$C$7:$C$155,M$4,'Mar20-Aug20 Billed-RETAIL'!$E$7:$E$155,$A34)+SUMIFS('Mar20-Aug20 Billed-RETAIL'!$I$7:$I$155,'Mar20-Aug20 Billed-RETAIL'!$C$7:$C$155,M$4,'Mar20-Aug20 Billed-RETAIL'!$E$7:$E$155,$A34)</f>
        <v>2</v>
      </c>
      <c r="N34" s="89">
        <f>SUMIFS('Mar20-Aug20 Billed-RETAIL'!$H$7:$H$155,'Mar20-Aug20 Billed-RETAIL'!$C$7:$C$155,N$4,'Mar20-Aug20 Billed-RETAIL'!$E$7:$E$155,$A34)+SUMIFS('Mar20-Aug20 Billed-RETAIL'!$I$7:$I$155,'Mar20-Aug20 Billed-RETAIL'!$C$7:$C$155,N$4,'Mar20-Aug20 Billed-RETAIL'!$E$7:$E$155,$A34)</f>
        <v>3</v>
      </c>
      <c r="O34" s="89">
        <f>SUMIFS('Mar20-Aug20 Billed-RETAIL'!$H$7:$H$155,'Mar20-Aug20 Billed-RETAIL'!$C$7:$C$155,O$4,'Mar20-Aug20 Billed-RETAIL'!$E$7:$E$155,$A34)+SUMIFS('Mar20-Aug20 Billed-RETAIL'!$I$7:$I$155,'Mar20-Aug20 Billed-RETAIL'!$C$7:$C$155,O$4,'Mar20-Aug20 Billed-RETAIL'!$E$7:$E$155,$A34)</f>
        <v>3</v>
      </c>
      <c r="P34" s="89">
        <f>SUMIFS('Mar20-Aug20 Billed-RETAIL'!$H$7:$H$155,'Mar20-Aug20 Billed-RETAIL'!$C$7:$C$155,P$4,'Mar20-Aug20 Billed-RETAIL'!$E$7:$E$155,$A34)+SUMIFS('Mar20-Aug20 Billed-RETAIL'!$I$7:$I$155,'Mar20-Aug20 Billed-RETAIL'!$C$7:$C$155,P$4,'Mar20-Aug20 Billed-RETAIL'!$E$7:$E$155,$A34)</f>
        <v>2</v>
      </c>
      <c r="Q34" s="89">
        <f>SUMIFS('Mar20-Aug20 Billed-RETAIL'!$H$7:$H$155,'Mar20-Aug20 Billed-RETAIL'!$C$7:$C$155,Q$4,'Mar20-Aug20 Billed-RETAIL'!$E$7:$E$155,$A34)+SUMIFS('Mar20-Aug20 Billed-RETAIL'!$I$7:$I$155,'Mar20-Aug20 Billed-RETAIL'!$C$7:$C$155,Q$4,'Mar20-Aug20 Billed-RETAIL'!$E$7:$E$155,$A34)</f>
        <v>2</v>
      </c>
      <c r="R34" s="89">
        <f>SUMIFS('Mar20-Aug20 Billed-RETAIL'!$H$7:$H$155,'Mar20-Aug20 Billed-RETAIL'!$C$7:$C$155,R$4,'Mar20-Aug20 Billed-RETAIL'!$E$7:$E$155,$A34)+SUMIFS('Mar20-Aug20 Billed-RETAIL'!$I$7:$I$155,'Mar20-Aug20 Billed-RETAIL'!$C$7:$C$155,R$4,'Mar20-Aug20 Billed-RETAIL'!$E$7:$E$155,$A34)</f>
        <v>2</v>
      </c>
      <c r="S34" s="89">
        <f>SUMIFS('Mar20-Aug20 Billed-RETAIL'!$H$7:$H$155,'Mar20-Aug20 Billed-RETAIL'!$C$7:$C$155,S$4,'Mar20-Aug20 Billed-RETAIL'!$E$7:$E$155,$A34)+SUMIFS('Mar20-Aug20 Billed-RETAIL'!$I$7:$I$155,'Mar20-Aug20 Billed-RETAIL'!$C$7:$C$155,S$4,'Mar20-Aug20 Billed-RETAIL'!$E$7:$E$155,$A34)</f>
        <v>2</v>
      </c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90">
        <f>(SUMIFS('Mar20-Aug20 Billed-RETAIL'!$M$5:$M$230,'Mar20-Aug20 Billed-RETAIL'!$C$5:$C$230,SBR!AF$4,'Mar20-Aug20 Billed-RETAIL'!$E$5:$E$230,SBR!$A34)+SUMIFS('Mar20-Aug20 Billed-RETAIL'!$N$5:$N$230,'Mar20-Aug20 Billed-RETAIL'!$C$5:$C$230,SBR!AF$4,'Mar20-Aug20 Billed-RETAIL'!$E$5:$E$230,SBR!$A34))</f>
        <v>7444.4</v>
      </c>
      <c r="AG34" s="90">
        <f>(SUMIFS('Mar20-Aug20 Billed-RETAIL'!$M$5:$M$230,'Mar20-Aug20 Billed-RETAIL'!$C$5:$C$230,SBR!AG$4,'Mar20-Aug20 Billed-RETAIL'!$E$5:$E$230,SBR!$A34)+SUMIFS('Mar20-Aug20 Billed-RETAIL'!$N$5:$N$230,'Mar20-Aug20 Billed-RETAIL'!$C$5:$C$230,SBR!AG$4,'Mar20-Aug20 Billed-RETAIL'!$E$5:$E$230,SBR!$A34))</f>
        <v>6630.5</v>
      </c>
      <c r="AH34" s="90">
        <f>(SUMIFS('Mar20-Aug20 Billed-RETAIL'!$M$5:$M$230,'Mar20-Aug20 Billed-RETAIL'!$C$5:$C$230,SBR!AH$4,'Mar20-Aug20 Billed-RETAIL'!$E$5:$E$230,SBR!$A34)+SUMIFS('Mar20-Aug20 Billed-RETAIL'!$N$5:$N$230,'Mar20-Aug20 Billed-RETAIL'!$C$5:$C$230,SBR!AH$4,'Mar20-Aug20 Billed-RETAIL'!$E$5:$E$230,SBR!$A34))</f>
        <v>5373.2</v>
      </c>
      <c r="AI34" s="90">
        <f>(SUMIFS('Mar20-Aug20 Billed-RETAIL'!$M$5:$M$230,'Mar20-Aug20 Billed-RETAIL'!$C$5:$C$230,SBR!AI$4,'Mar20-Aug20 Billed-RETAIL'!$E$5:$E$230,SBR!$A34)+SUMIFS('Mar20-Aug20 Billed-RETAIL'!$N$5:$N$230,'Mar20-Aug20 Billed-RETAIL'!$C$5:$C$230,SBR!AI$4,'Mar20-Aug20 Billed-RETAIL'!$E$5:$E$230,SBR!$A34))</f>
        <v>4901.2</v>
      </c>
      <c r="AJ34" s="90">
        <f>(SUMIFS('Mar20-Aug20 Billed-RETAIL'!$M$5:$M$230,'Mar20-Aug20 Billed-RETAIL'!$C$5:$C$230,SBR!AJ$4,'Mar20-Aug20 Billed-RETAIL'!$E$5:$E$230,SBR!$A34)+SUMIFS('Mar20-Aug20 Billed-RETAIL'!$N$5:$N$230,'Mar20-Aug20 Billed-RETAIL'!$C$5:$C$230,SBR!AJ$4,'Mar20-Aug20 Billed-RETAIL'!$E$5:$E$230,SBR!$A34))</f>
        <v>4309.3999999999996</v>
      </c>
      <c r="AK34" s="90">
        <f>(SUMIFS('Mar20-Aug20 Billed-RETAIL'!$M$5:$M$230,'Mar20-Aug20 Billed-RETAIL'!$C$5:$C$230,SBR!AK$4,'Mar20-Aug20 Billed-RETAIL'!$E$5:$E$230,SBR!$A34)+SUMIFS('Mar20-Aug20 Billed-RETAIL'!$N$5:$N$230,'Mar20-Aug20 Billed-RETAIL'!$C$5:$C$230,SBR!AK$4,'Mar20-Aug20 Billed-RETAIL'!$E$5:$E$230,SBR!$A34))</f>
        <v>4259.3</v>
      </c>
      <c r="AL34" s="90">
        <f>(SUMIFS('Mar20-Aug20 Billed-RETAIL'!$M$5:$M$230,'Mar20-Aug20 Billed-RETAIL'!$C$5:$C$230,SBR!AL$4,'Mar20-Aug20 Billed-RETAIL'!$E$5:$E$230,SBR!$A34)+SUMIFS('Mar20-Aug20 Billed-RETAIL'!$N$5:$N$230,'Mar20-Aug20 Billed-RETAIL'!$C$5:$C$230,SBR!AL$4,'Mar20-Aug20 Billed-RETAIL'!$E$5:$E$230,SBR!$A34))</f>
        <v>6664.2853831178163</v>
      </c>
      <c r="AM34" s="90">
        <f>(SUMIFS('Mar20-Aug20 Billed-RETAIL'!$M$5:$M$230,'Mar20-Aug20 Billed-RETAIL'!$C$5:$C$230,SBR!AM$4,'Mar20-Aug20 Billed-RETAIL'!$E$5:$E$230,SBR!$A34)+SUMIFS('Mar20-Aug20 Billed-RETAIL'!$N$5:$N$230,'Mar20-Aug20 Billed-RETAIL'!$C$5:$C$230,SBR!AM$4,'Mar20-Aug20 Billed-RETAIL'!$E$5:$E$230,SBR!$A34))</f>
        <v>6093.4688333038639</v>
      </c>
      <c r="AN34" s="90">
        <f>(SUMIFS('Mar20-Aug20 Billed-RETAIL'!$M$5:$M$230,'Mar20-Aug20 Billed-RETAIL'!$C$5:$C$230,SBR!AN$4,'Mar20-Aug20 Billed-RETAIL'!$E$5:$E$230,SBR!$A34)+SUMIFS('Mar20-Aug20 Billed-RETAIL'!$N$5:$N$230,'Mar20-Aug20 Billed-RETAIL'!$C$5:$C$230,SBR!AN$4,'Mar20-Aug20 Billed-RETAIL'!$E$5:$E$230,SBR!$A34))</f>
        <v>4796.5705358047389</v>
      </c>
      <c r="AO34" s="90">
        <f>(SUMIFS('Mar20-Aug20 Billed-RETAIL'!$M$5:$M$230,'Mar20-Aug20 Billed-RETAIL'!$C$5:$C$230,SBR!AO$4,'Mar20-Aug20 Billed-RETAIL'!$E$5:$E$230,SBR!$A34)+SUMIFS('Mar20-Aug20 Billed-RETAIL'!$N$5:$N$230,'Mar20-Aug20 Billed-RETAIL'!$C$5:$C$230,SBR!AO$4,'Mar20-Aug20 Billed-RETAIL'!$E$5:$E$230,SBR!$A34))</f>
        <v>5307.9632956658643</v>
      </c>
      <c r="AP34" s="90">
        <f>(SUMIFS('Mar20-Aug20 Billed-RETAIL'!$M$5:$M$230,'Mar20-Aug20 Billed-RETAIL'!$C$5:$C$230,SBR!AP$4,'Mar20-Aug20 Billed-RETAIL'!$E$5:$E$230,SBR!$A34)+SUMIFS('Mar20-Aug20 Billed-RETAIL'!$N$5:$N$230,'Mar20-Aug20 Billed-RETAIL'!$C$5:$C$230,SBR!AP$4,'Mar20-Aug20 Billed-RETAIL'!$E$5:$E$230,SBR!$A34))</f>
        <v>5385.1623989469863</v>
      </c>
      <c r="AQ34" s="90">
        <f>(SUMIFS('Mar20-Aug20 Billed-RETAIL'!$M$5:$M$230,'Mar20-Aug20 Billed-RETAIL'!$C$5:$C$230,SBR!AQ$4,'Mar20-Aug20 Billed-RETAIL'!$E$5:$E$230,SBR!$A34)+SUMIFS('Mar20-Aug20 Billed-RETAIL'!$N$5:$N$230,'Mar20-Aug20 Billed-RETAIL'!$C$5:$C$230,SBR!AQ$4,'Mar20-Aug20 Billed-RETAIL'!$E$5:$E$230,SBR!$A34))</f>
        <v>4642.7245369735338</v>
      </c>
      <c r="AR34" s="91">
        <f>SUMIFS('Mar20-Aug20 Billed-RETAIL'!$BA$5:$BA$156,'Mar20-Aug20 Billed-RETAIL'!$C$5:$C$156,SBR!AR$4,'Mar20-Aug20 Billed-RETAIL'!$E$5:$E$156,SBR!$A34)</f>
        <v>34681.440000000002</v>
      </c>
      <c r="AS34" s="91">
        <f>SUMIFS('Mar20-Aug20 Billed-RETAIL'!$BA$5:$BA$156,'Mar20-Aug20 Billed-RETAIL'!$C$5:$C$156,SBR!AS$4,'Mar20-Aug20 Billed-RETAIL'!$E$5:$E$156,SBR!$A34)</f>
        <v>31024.66</v>
      </c>
      <c r="AT34" s="91">
        <f>SUMIFS('Mar20-Aug20 Billed-RETAIL'!$BA$5:$BA$156,'Mar20-Aug20 Billed-RETAIL'!$C$5:$C$156,SBR!AT$4,'Mar20-Aug20 Billed-RETAIL'!$E$5:$E$156,SBR!$A34)</f>
        <v>22875.14</v>
      </c>
      <c r="AU34" s="91">
        <f>SUMIFS('Mar20-Aug20 Billed-RETAIL'!$BA$5:$BA$156,'Mar20-Aug20 Billed-RETAIL'!$C$5:$C$156,SBR!AU$4,'Mar20-Aug20 Billed-RETAIL'!$E$5:$E$156,SBR!$A34)</f>
        <v>19489.79</v>
      </c>
      <c r="AV34" s="91">
        <f>SUMIFS('Mar20-Aug20 Billed-RETAIL'!$BA$5:$BA$156,'Mar20-Aug20 Billed-RETAIL'!$C$5:$C$156,SBR!AV$4,'Mar20-Aug20 Billed-RETAIL'!$E$5:$E$156,SBR!$A34)</f>
        <v>17284.05</v>
      </c>
      <c r="AW34" s="91">
        <f>SUMIFS('Mar20-Aug20 Billed-RETAIL'!$BA$5:$BA$156,'Mar20-Aug20 Billed-RETAIL'!$C$5:$C$156,SBR!AW$4,'Mar20-Aug20 Billed-RETAIL'!$E$5:$E$156,SBR!$A34)</f>
        <v>18402.189999999999</v>
      </c>
      <c r="AX34" s="91">
        <f>SUMIFS('Mar20-Aug20 Billed-RETAIL'!$BA$7:$BA$155,'Mar20-Aug20 Billed-RETAIL'!$E$7:$E$155,$A34,'Mar20-Aug20 Billed-RETAIL'!$C$7:$C$155,AX$4)</f>
        <v>32846.400000000001</v>
      </c>
      <c r="AY34" s="91">
        <f>SUMIFS('Mar20-Aug20 Billed-RETAIL'!$BA$7:$BA$155,'Mar20-Aug20 Billed-RETAIL'!$E$7:$E$155,$A34,'Mar20-Aug20 Billed-RETAIL'!$C$7:$C$155,AY$4)</f>
        <v>29777.22</v>
      </c>
      <c r="AZ34" s="91">
        <f>SUMIFS('Mar20-Aug20 Billed-RETAIL'!$BA$7:$BA$155,'Mar20-Aug20 Billed-RETAIL'!$E$7:$E$155,$A34,'Mar20-Aug20 Billed-RETAIL'!$C$7:$C$155,AZ$4)</f>
        <v>24330.34</v>
      </c>
      <c r="BA34" s="91">
        <f>SUMIFS('Mar20-Aug20 Billed-RETAIL'!$BA$7:$BA$155,'Mar20-Aug20 Billed-RETAIL'!$E$7:$E$155,$A34,'Mar20-Aug20 Billed-RETAIL'!$C$7:$C$155,BA$4)</f>
        <v>28529.13</v>
      </c>
      <c r="BB34" s="91">
        <f>SUMIFS('Mar20-Aug20 Billed-RETAIL'!$BA$7:$BA$155,'Mar20-Aug20 Billed-RETAIL'!$E$7:$E$155,$A34,'Mar20-Aug20 Billed-RETAIL'!$C$7:$C$155,BB$4)</f>
        <v>29987.75</v>
      </c>
      <c r="BC34" s="91">
        <f>SUMIFS('Mar20-Aug20 Billed-RETAIL'!$BA$7:$BA$155,'Mar20-Aug20 Billed-RETAIL'!$E$7:$E$155,$A34,'Mar20-Aug20 Billed-RETAIL'!$C$7:$C$155,BC$4)</f>
        <v>26392.83</v>
      </c>
      <c r="BD34" s="92"/>
      <c r="BE34" s="92"/>
      <c r="BF34" s="251">
        <f>ROUND((AR34/SUM(AR$9+AR$17+AR$23+AR$26+AR$29+AR$39))*BF$5,2)</f>
        <v>-0.87</v>
      </c>
      <c r="BG34" s="251">
        <f t="shared" ref="BF34:BK38" si="45">ROUND((AS34/SUM(AS$9+AS$17+AS$23+AS$26+AS$29+AS$39))*BG$5,2)</f>
        <v>8.4499999999999993</v>
      </c>
      <c r="BH34" s="251">
        <f t="shared" si="45"/>
        <v>10.16</v>
      </c>
      <c r="BI34" s="251">
        <f t="shared" si="45"/>
        <v>-0.04</v>
      </c>
      <c r="BJ34" s="251">
        <f t="shared" si="45"/>
        <v>0.52</v>
      </c>
      <c r="BK34" s="251">
        <f t="shared" si="45"/>
        <v>0.56000000000000005</v>
      </c>
      <c r="BL34" s="251">
        <f t="shared" si="6"/>
        <v>18.779999999999998</v>
      </c>
    </row>
    <row r="35" spans="1:66" x14ac:dyDescent="0.25">
      <c r="A35" s="141" t="s">
        <v>17</v>
      </c>
      <c r="B35" s="108" t="s">
        <v>230</v>
      </c>
      <c r="C35" s="112">
        <f t="shared" si="43"/>
        <v>0</v>
      </c>
      <c r="D35" s="112">
        <f t="shared" si="44"/>
        <v>0</v>
      </c>
      <c r="E35" s="123">
        <f t="shared" si="16"/>
        <v>0</v>
      </c>
      <c r="F35" s="112">
        <f t="shared" si="7"/>
        <v>0</v>
      </c>
      <c r="G35" s="46"/>
      <c r="H35" s="89">
        <f>SUMIFS('Mar20-Aug20 Billed-RETAIL'!$H$7:$H$155,'Mar20-Aug20 Billed-RETAIL'!$C$7:$C$155,H$4,'Mar20-Aug20 Billed-RETAIL'!$E$7:$E$155,$A35)+SUMIFS('Mar20-Aug20 Billed-RETAIL'!$I$7:$I$155,'Mar20-Aug20 Billed-RETAIL'!$C$7:$C$155,H$4,'Mar20-Aug20 Billed-RETAIL'!$E$7:$E$155,$A35)</f>
        <v>0</v>
      </c>
      <c r="I35" s="89">
        <f>SUMIFS('Mar20-Aug20 Billed-RETAIL'!$H$7:$H$155,'Mar20-Aug20 Billed-RETAIL'!$C$7:$C$155,I$4,'Mar20-Aug20 Billed-RETAIL'!$E$7:$E$155,$A35)+SUMIFS('Mar20-Aug20 Billed-RETAIL'!$I$7:$I$155,'Mar20-Aug20 Billed-RETAIL'!$C$7:$C$155,I$4,'Mar20-Aug20 Billed-RETAIL'!$E$7:$E$155,$A35)</f>
        <v>0</v>
      </c>
      <c r="J35" s="89">
        <f>SUMIFS('Mar20-Aug20 Billed-RETAIL'!$H$7:$H$155,'Mar20-Aug20 Billed-RETAIL'!$C$7:$C$155,J$4,'Mar20-Aug20 Billed-RETAIL'!$E$7:$E$155,$A35)+SUMIFS('Mar20-Aug20 Billed-RETAIL'!$I$7:$I$155,'Mar20-Aug20 Billed-RETAIL'!$C$7:$C$155,J$4,'Mar20-Aug20 Billed-RETAIL'!$E$7:$E$155,$A35)</f>
        <v>0</v>
      </c>
      <c r="K35" s="89">
        <f>SUMIFS('Mar20-Aug20 Billed-RETAIL'!$H$7:$H$155,'Mar20-Aug20 Billed-RETAIL'!$C$7:$C$155,K$4,'Mar20-Aug20 Billed-RETAIL'!$E$7:$E$155,$A35)+SUMIFS('Mar20-Aug20 Billed-RETAIL'!$I$7:$I$155,'Mar20-Aug20 Billed-RETAIL'!$C$7:$C$155,K$4,'Mar20-Aug20 Billed-RETAIL'!$E$7:$E$155,$A35)</f>
        <v>0</v>
      </c>
      <c r="L35" s="89">
        <f>SUMIFS('Mar20-Aug20 Billed-RETAIL'!$H$7:$H$155,'Mar20-Aug20 Billed-RETAIL'!$C$7:$C$155,L$4,'Mar20-Aug20 Billed-RETAIL'!$E$7:$E$155,$A35)+SUMIFS('Mar20-Aug20 Billed-RETAIL'!$I$7:$I$155,'Mar20-Aug20 Billed-RETAIL'!$C$7:$C$155,L$4,'Mar20-Aug20 Billed-RETAIL'!$E$7:$E$155,$A35)</f>
        <v>0</v>
      </c>
      <c r="M35" s="89">
        <f>SUMIFS('Mar20-Aug20 Billed-RETAIL'!$H$7:$H$155,'Mar20-Aug20 Billed-RETAIL'!$C$7:$C$155,M$4,'Mar20-Aug20 Billed-RETAIL'!$E$7:$E$155,$A35)+SUMIFS('Mar20-Aug20 Billed-RETAIL'!$I$7:$I$155,'Mar20-Aug20 Billed-RETAIL'!$C$7:$C$155,M$4,'Mar20-Aug20 Billed-RETAIL'!$E$7:$E$155,$A35)</f>
        <v>0</v>
      </c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90">
        <f>(SUMIFS('Mar20-Aug20 Billed-RETAIL'!$J$5:$J$230,'Mar20-Aug20 Billed-RETAIL'!$C$5:$C$230,SBR!AF$4,'Mar20-Aug20 Billed-RETAIL'!$E$5:$E$230,SBR!$A35)+SUMIFS('Mar20-Aug20 Billed-RETAIL'!$K$5:$K$230,'Mar20-Aug20 Billed-RETAIL'!$C$5:$C$230,SBR!AF$4,'Mar20-Aug20 Billed-RETAIL'!$E$5:$E$230,SBR!$A35))*0.1</f>
        <v>0</v>
      </c>
      <c r="AG35" s="90">
        <f>(SUMIFS('Mar20-Aug20 Billed-RETAIL'!$J$5:$J$230,'Mar20-Aug20 Billed-RETAIL'!$C$5:$C$230,SBR!AG$4,'Mar20-Aug20 Billed-RETAIL'!$E$5:$E$230,SBR!$A35)+SUMIFS('Mar20-Aug20 Billed-RETAIL'!$K$5:$K$230,'Mar20-Aug20 Billed-RETAIL'!$C$5:$C$230,SBR!AG$4,'Mar20-Aug20 Billed-RETAIL'!$E$5:$E$230,SBR!$A35))*0.1</f>
        <v>0</v>
      </c>
      <c r="AH35" s="90">
        <f>(SUMIFS('Mar20-Aug20 Billed-RETAIL'!$J$5:$J$230,'Mar20-Aug20 Billed-RETAIL'!$C$5:$C$230,SBR!AH$4,'Mar20-Aug20 Billed-RETAIL'!$E$5:$E$230,SBR!$A35)+SUMIFS('Mar20-Aug20 Billed-RETAIL'!$K$5:$K$230,'Mar20-Aug20 Billed-RETAIL'!$C$5:$C$230,SBR!AH$4,'Mar20-Aug20 Billed-RETAIL'!$E$5:$E$230,SBR!$A35))*0.1</f>
        <v>0</v>
      </c>
      <c r="AI35" s="90">
        <f>(SUMIFS('Mar20-Aug20 Billed-RETAIL'!$J$5:$J$230,'Mar20-Aug20 Billed-RETAIL'!$C$5:$C$230,SBR!AI$4,'Mar20-Aug20 Billed-RETAIL'!$E$5:$E$230,SBR!$A35)+SUMIFS('Mar20-Aug20 Billed-RETAIL'!$K$5:$K$230,'Mar20-Aug20 Billed-RETAIL'!$C$5:$C$230,SBR!AI$4,'Mar20-Aug20 Billed-RETAIL'!$E$5:$E$230,SBR!$A35))*0.1</f>
        <v>0</v>
      </c>
      <c r="AJ35" s="90">
        <f>(SUMIFS('Mar20-Aug20 Billed-RETAIL'!$J$5:$J$230,'Mar20-Aug20 Billed-RETAIL'!$C$5:$C$230,SBR!AJ$4,'Mar20-Aug20 Billed-RETAIL'!$E$5:$E$230,SBR!$A35)+SUMIFS('Mar20-Aug20 Billed-RETAIL'!$K$5:$K$230,'Mar20-Aug20 Billed-RETAIL'!$C$5:$C$230,SBR!AJ$4,'Mar20-Aug20 Billed-RETAIL'!$E$5:$E$230,SBR!$A35))*0.1</f>
        <v>0</v>
      </c>
      <c r="AK35" s="90">
        <f>(SUMIFS('Mar20-Aug20 Billed-RETAIL'!$J$5:$J$230,'Mar20-Aug20 Billed-RETAIL'!$C$5:$C$230,SBR!AK$4,'Mar20-Aug20 Billed-RETAIL'!$E$5:$E$230,SBR!$A35)+SUMIFS('Mar20-Aug20 Billed-RETAIL'!$K$5:$K$230,'Mar20-Aug20 Billed-RETAIL'!$C$5:$C$230,SBR!AK$4,'Mar20-Aug20 Billed-RETAIL'!$E$5:$E$230,SBR!$A35))*0.1</f>
        <v>0</v>
      </c>
      <c r="AL35" s="104"/>
      <c r="AM35" s="104"/>
      <c r="AN35" s="104"/>
      <c r="AO35" s="104"/>
      <c r="AP35" s="104"/>
      <c r="AQ35" s="104"/>
      <c r="AR35" s="91">
        <f>SUMIFS('Mar20-Aug20 Billed-RETAIL'!$BA$5:$BA$156,'Mar20-Aug20 Billed-RETAIL'!$C$5:$C$156,SBR!AR$4,'Mar20-Aug20 Billed-RETAIL'!$E$5:$E$156,SBR!$A35)</f>
        <v>0</v>
      </c>
      <c r="AS35" s="91">
        <f>SUMIFS('Mar20-Aug20 Billed-RETAIL'!$BA$5:$BA$156,'Mar20-Aug20 Billed-RETAIL'!$C$5:$C$156,SBR!AS$4,'Mar20-Aug20 Billed-RETAIL'!$E$5:$E$156,SBR!$A35)</f>
        <v>0</v>
      </c>
      <c r="AT35" s="91">
        <f>SUMIFS('Mar20-Aug20 Billed-RETAIL'!$BA$5:$BA$156,'Mar20-Aug20 Billed-RETAIL'!$C$5:$C$156,SBR!AT$4,'Mar20-Aug20 Billed-RETAIL'!$E$5:$E$156,SBR!$A35)</f>
        <v>0</v>
      </c>
      <c r="AU35" s="91">
        <f>SUMIFS('Mar20-Aug20 Billed-RETAIL'!$BA$5:$BA$156,'Mar20-Aug20 Billed-RETAIL'!$C$5:$C$156,SBR!AU$4,'Mar20-Aug20 Billed-RETAIL'!$E$5:$E$156,SBR!$A35)</f>
        <v>0</v>
      </c>
      <c r="AV35" s="91">
        <f>SUMIFS('Mar20-Aug20 Billed-RETAIL'!$BA$5:$BA$156,'Mar20-Aug20 Billed-RETAIL'!$C$5:$C$156,SBR!AV$4,'Mar20-Aug20 Billed-RETAIL'!$E$5:$E$156,SBR!$A35)</f>
        <v>0</v>
      </c>
      <c r="AW35" s="91">
        <f>SUMIFS('Mar20-Aug20 Billed-RETAIL'!$BA$5:$BA$156,'Mar20-Aug20 Billed-RETAIL'!$C$5:$C$156,SBR!AW$4,'Mar20-Aug20 Billed-RETAIL'!$E$5:$E$156,SBR!$A35)</f>
        <v>0</v>
      </c>
      <c r="AX35" s="91"/>
      <c r="AY35" s="105"/>
      <c r="AZ35" s="105"/>
      <c r="BA35" s="105"/>
      <c r="BB35" s="105"/>
      <c r="BC35" s="105"/>
      <c r="BD35" s="92"/>
      <c r="BE35" s="92"/>
      <c r="BF35" s="251">
        <f t="shared" si="45"/>
        <v>0</v>
      </c>
      <c r="BG35" s="251">
        <f t="shared" si="45"/>
        <v>0</v>
      </c>
      <c r="BH35" s="251">
        <f t="shared" si="45"/>
        <v>0</v>
      </c>
      <c r="BI35" s="251">
        <f t="shared" si="45"/>
        <v>0</v>
      </c>
      <c r="BJ35" s="251">
        <f t="shared" si="45"/>
        <v>0</v>
      </c>
      <c r="BK35" s="251">
        <f t="shared" si="45"/>
        <v>0</v>
      </c>
      <c r="BL35" s="251">
        <f>SUM(BF35:BK35)</f>
        <v>0</v>
      </c>
    </row>
    <row r="36" spans="1:66" x14ac:dyDescent="0.25">
      <c r="A36" s="141" t="s">
        <v>429</v>
      </c>
      <c r="B36" s="108" t="s">
        <v>230</v>
      </c>
      <c r="C36" s="137">
        <f t="shared" si="43"/>
        <v>6</v>
      </c>
      <c r="D36" s="112">
        <f t="shared" si="44"/>
        <v>0</v>
      </c>
      <c r="E36" s="329">
        <f t="shared" si="16"/>
        <v>18474.400000000001</v>
      </c>
      <c r="F36" s="137">
        <f t="shared" si="7"/>
        <v>77614.05</v>
      </c>
      <c r="G36" s="808"/>
      <c r="H36" s="89">
        <f>SUMIFS('Mar20-Aug20 Billed-RETAIL'!$H$7:$H$155,'Mar20-Aug20 Billed-RETAIL'!$C$7:$C$155,H$4,'Mar20-Aug20 Billed-RETAIL'!$E$7:$E$155,$A36)+SUMIFS('Mar20-Aug20 Billed-RETAIL'!$I$7:$I$155,'Mar20-Aug20 Billed-RETAIL'!$C$7:$C$155,H$4,'Mar20-Aug20 Billed-RETAIL'!$E$7:$E$155,$A36)</f>
        <v>1</v>
      </c>
      <c r="I36" s="89">
        <f>SUMIFS('Mar20-Aug20 Billed-RETAIL'!$H$7:$H$155,'Mar20-Aug20 Billed-RETAIL'!$C$7:$C$155,I$4,'Mar20-Aug20 Billed-RETAIL'!$E$7:$E$155,$A36)+SUMIFS('Mar20-Aug20 Billed-RETAIL'!$I$7:$I$155,'Mar20-Aug20 Billed-RETAIL'!$C$7:$C$155,I$4,'Mar20-Aug20 Billed-RETAIL'!$E$7:$E$155,$A36)</f>
        <v>1</v>
      </c>
      <c r="J36" s="89">
        <f>SUMIFS('Mar20-Aug20 Billed-RETAIL'!$H$7:$H$155,'Mar20-Aug20 Billed-RETAIL'!$C$7:$C$155,J$4,'Mar20-Aug20 Billed-RETAIL'!$E$7:$E$155,$A36)+SUMIFS('Mar20-Aug20 Billed-RETAIL'!$I$7:$I$155,'Mar20-Aug20 Billed-RETAIL'!$C$7:$C$155,J$4,'Mar20-Aug20 Billed-RETAIL'!$E$7:$E$155,$A36)</f>
        <v>1</v>
      </c>
      <c r="K36" s="89">
        <f>SUMIFS('Mar20-Aug20 Billed-RETAIL'!$H$7:$H$155,'Mar20-Aug20 Billed-RETAIL'!$C$7:$C$155,K$4,'Mar20-Aug20 Billed-RETAIL'!$E$7:$E$155,$A36)+SUMIFS('Mar20-Aug20 Billed-RETAIL'!$I$7:$I$155,'Mar20-Aug20 Billed-RETAIL'!$C$7:$C$155,K$4,'Mar20-Aug20 Billed-RETAIL'!$E$7:$E$155,$A36)</f>
        <v>1</v>
      </c>
      <c r="L36" s="89">
        <f>SUMIFS('Mar20-Aug20 Billed-RETAIL'!$H$7:$H$155,'Mar20-Aug20 Billed-RETAIL'!$C$7:$C$155,L$4,'Mar20-Aug20 Billed-RETAIL'!$E$7:$E$155,$A36)+SUMIFS('Mar20-Aug20 Billed-RETAIL'!$I$7:$I$155,'Mar20-Aug20 Billed-RETAIL'!$C$7:$C$155,L$4,'Mar20-Aug20 Billed-RETAIL'!$E$7:$E$155,$A36)</f>
        <v>1</v>
      </c>
      <c r="M36" s="89">
        <f>SUMIFS('Mar20-Aug20 Billed-RETAIL'!$H$7:$H$155,'Mar20-Aug20 Billed-RETAIL'!$C$7:$C$155,M$4,'Mar20-Aug20 Billed-RETAIL'!$E$7:$E$155,$A36)+SUMIFS('Mar20-Aug20 Billed-RETAIL'!$I$7:$I$155,'Mar20-Aug20 Billed-RETAIL'!$C$7:$C$155,M$4,'Mar20-Aug20 Billed-RETAIL'!$E$7:$E$155,$A36)</f>
        <v>1</v>
      </c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90">
        <f>(SUMIFS('Mar20-Aug20 Billed-RETAIL'!$M$5:$M$230,'Mar20-Aug20 Billed-RETAIL'!$C$5:$C$230,SBR!AF$4,'Mar20-Aug20 Billed-RETAIL'!$E$5:$E$230,SBR!$A36)+SUMIFS('Mar20-Aug20 Billed-RETAIL'!$N$5:$N$230,'Mar20-Aug20 Billed-RETAIL'!$C$5:$C$230,SBR!AF$4,'Mar20-Aug20 Billed-RETAIL'!$E$5:$E$230,SBR!$A36))</f>
        <v>1551.1</v>
      </c>
      <c r="AG36" s="90">
        <f>(SUMIFS('Mar20-Aug20 Billed-RETAIL'!$M$5:$M$230,'Mar20-Aug20 Billed-RETAIL'!$C$5:$C$230,SBR!AG$4,'Mar20-Aug20 Billed-RETAIL'!$E$5:$E$230,SBR!$A36)+SUMIFS('Mar20-Aug20 Billed-RETAIL'!$N$5:$N$230,'Mar20-Aug20 Billed-RETAIL'!$C$5:$C$230,SBR!AG$4,'Mar20-Aug20 Billed-RETAIL'!$E$5:$E$230,SBR!$A36))</f>
        <v>2915.5</v>
      </c>
      <c r="AH36" s="90">
        <f>(SUMIFS('Mar20-Aug20 Billed-RETAIL'!$M$5:$M$230,'Mar20-Aug20 Billed-RETAIL'!$C$5:$C$230,SBR!AH$4,'Mar20-Aug20 Billed-RETAIL'!$E$5:$E$230,SBR!$A36)+SUMIFS('Mar20-Aug20 Billed-RETAIL'!$N$5:$N$230,'Mar20-Aug20 Billed-RETAIL'!$C$5:$C$230,SBR!AH$4,'Mar20-Aug20 Billed-RETAIL'!$E$5:$E$230,SBR!$A36))</f>
        <v>1874.7</v>
      </c>
      <c r="AI36" s="90">
        <f>(SUMIFS('Mar20-Aug20 Billed-RETAIL'!$M$5:$M$230,'Mar20-Aug20 Billed-RETAIL'!$C$5:$C$230,SBR!AI$4,'Mar20-Aug20 Billed-RETAIL'!$E$5:$E$230,SBR!$A36)+SUMIFS('Mar20-Aug20 Billed-RETAIL'!$N$5:$N$230,'Mar20-Aug20 Billed-RETAIL'!$C$5:$C$230,SBR!AI$4,'Mar20-Aug20 Billed-RETAIL'!$E$5:$E$230,SBR!$A36))</f>
        <v>4256.8999999999996</v>
      </c>
      <c r="AJ36" s="90">
        <f>(SUMIFS('Mar20-Aug20 Billed-RETAIL'!$M$5:$M$230,'Mar20-Aug20 Billed-RETAIL'!$C$5:$C$230,SBR!AJ$4,'Mar20-Aug20 Billed-RETAIL'!$E$5:$E$230,SBR!$A36)+SUMIFS('Mar20-Aug20 Billed-RETAIL'!$N$5:$N$230,'Mar20-Aug20 Billed-RETAIL'!$C$5:$C$230,SBR!AJ$4,'Mar20-Aug20 Billed-RETAIL'!$E$5:$E$230,SBR!$A36))</f>
        <v>4546.5</v>
      </c>
      <c r="AK36" s="90">
        <f>(SUMIFS('Mar20-Aug20 Billed-RETAIL'!$M$5:$M$230,'Mar20-Aug20 Billed-RETAIL'!$C$5:$C$230,SBR!AK$4,'Mar20-Aug20 Billed-RETAIL'!$E$5:$E$230,SBR!$A36)+SUMIFS('Mar20-Aug20 Billed-RETAIL'!$N$5:$N$230,'Mar20-Aug20 Billed-RETAIL'!$C$5:$C$230,SBR!AK$4,'Mar20-Aug20 Billed-RETAIL'!$E$5:$E$230,SBR!$A36))</f>
        <v>3329.7</v>
      </c>
      <c r="AL36" s="104"/>
      <c r="AM36" s="104"/>
      <c r="AN36" s="104"/>
      <c r="AO36" s="104"/>
      <c r="AP36" s="104"/>
      <c r="AQ36" s="104"/>
      <c r="AR36" s="91">
        <f>SUMIFS('Mar20-Aug20 Billed-RETAIL'!$BA$5:$BA$156,'Mar20-Aug20 Billed-RETAIL'!$C$5:$C$156,SBR!AR$4,'Mar20-Aug20 Billed-RETAIL'!$E$5:$E$156,SBR!$A36)</f>
        <v>7555.35</v>
      </c>
      <c r="AS36" s="91">
        <f>SUMIFS('Mar20-Aug20 Billed-RETAIL'!$BA$5:$BA$156,'Mar20-Aug20 Billed-RETAIL'!$C$5:$C$156,SBR!AS$4,'Mar20-Aug20 Billed-RETAIL'!$E$5:$E$156,SBR!$A36)</f>
        <v>13712.39</v>
      </c>
      <c r="AT36" s="91">
        <f>SUMIFS('Mar20-Aug20 Billed-RETAIL'!$BA$5:$BA$156,'Mar20-Aug20 Billed-RETAIL'!$C$5:$C$156,SBR!AT$4,'Mar20-Aug20 Billed-RETAIL'!$E$5:$E$156,SBR!$A36)</f>
        <v>7698.37</v>
      </c>
      <c r="AU36" s="91">
        <f>SUMIFS('Mar20-Aug20 Billed-RETAIL'!$BA$5:$BA$156,'Mar20-Aug20 Billed-RETAIL'!$C$5:$C$156,SBR!AU$4,'Mar20-Aug20 Billed-RETAIL'!$E$5:$E$156,SBR!$A36)</f>
        <v>16477.330000000002</v>
      </c>
      <c r="AV36" s="91">
        <f>SUMIFS('Mar20-Aug20 Billed-RETAIL'!$BA$5:$BA$156,'Mar20-Aug20 Billed-RETAIL'!$C$5:$C$156,SBR!AV$4,'Mar20-Aug20 Billed-RETAIL'!$E$5:$E$156,SBR!$A36)</f>
        <v>17556.73</v>
      </c>
      <c r="AW36" s="91">
        <f>SUMIFS('Mar20-Aug20 Billed-RETAIL'!$BA$5:$BA$156,'Mar20-Aug20 Billed-RETAIL'!$C$5:$C$156,SBR!AW$4,'Mar20-Aug20 Billed-RETAIL'!$E$5:$E$156,SBR!$A36)</f>
        <v>14605.97</v>
      </c>
      <c r="AX36" s="91"/>
      <c r="AY36" s="105"/>
      <c r="AZ36" s="105"/>
      <c r="BA36" s="105"/>
      <c r="BB36" s="105"/>
      <c r="BC36" s="105"/>
      <c r="BD36" s="92"/>
      <c r="BE36" s="92"/>
      <c r="BF36" s="251">
        <f t="shared" si="45"/>
        <v>-0.19</v>
      </c>
      <c r="BG36" s="251">
        <f t="shared" si="45"/>
        <v>3.74</v>
      </c>
      <c r="BH36" s="251">
        <f t="shared" si="45"/>
        <v>3.42</v>
      </c>
      <c r="BI36" s="251">
        <f t="shared" si="45"/>
        <v>-0.03</v>
      </c>
      <c r="BJ36" s="251">
        <f t="shared" si="45"/>
        <v>0.53</v>
      </c>
      <c r="BK36" s="251">
        <f t="shared" si="45"/>
        <v>0.44</v>
      </c>
      <c r="BL36" s="252">
        <f t="shared" si="6"/>
        <v>7.910000000000001</v>
      </c>
    </row>
    <row r="37" spans="1:66" x14ac:dyDescent="0.25">
      <c r="A37" s="50" t="s">
        <v>47</v>
      </c>
      <c r="B37" s="142" t="s">
        <v>487</v>
      </c>
      <c r="C37" s="137">
        <f t="shared" si="43"/>
        <v>0</v>
      </c>
      <c r="D37" s="112">
        <f t="shared" si="44"/>
        <v>0</v>
      </c>
      <c r="E37" s="329">
        <f>SUM(AF37:AQ37)</f>
        <v>0</v>
      </c>
      <c r="F37" s="137">
        <f>SUM(AR37:BC37)+BL37</f>
        <v>0</v>
      </c>
      <c r="G37" s="808"/>
      <c r="H37" s="89">
        <f>SUMIFS('Mar20-Aug20 Billed-RETAIL'!$H$7:$H$155,'Mar20-Aug20 Billed-RETAIL'!$C$7:$C$155,H$4,'Mar20-Aug20 Billed-RETAIL'!$E$7:$E$155,$A37)+SUMIFS('Mar20-Aug20 Billed-RETAIL'!$I$7:$I$155,'Mar20-Aug20 Billed-RETAIL'!$C$7:$C$155,H$4,'Mar20-Aug20 Billed-RETAIL'!$E$7:$E$155,$A37)</f>
        <v>0</v>
      </c>
      <c r="I37" s="89">
        <f>SUMIFS('Mar20-Aug20 Billed-RETAIL'!$H$7:$H$155,'Mar20-Aug20 Billed-RETAIL'!$C$7:$C$155,I$4,'Mar20-Aug20 Billed-RETAIL'!$E$7:$E$155,$A37)+SUMIFS('Mar20-Aug20 Billed-RETAIL'!$I$7:$I$155,'Mar20-Aug20 Billed-RETAIL'!$C$7:$C$155,I$4,'Mar20-Aug20 Billed-RETAIL'!$E$7:$E$155,$A37)</f>
        <v>0</v>
      </c>
      <c r="J37" s="89">
        <f>SUMIFS('Mar20-Aug20 Billed-RETAIL'!$H$7:$H$155,'Mar20-Aug20 Billed-RETAIL'!$C$7:$C$155,J$4,'Mar20-Aug20 Billed-RETAIL'!$E$7:$E$155,$A37)+SUMIFS('Mar20-Aug20 Billed-RETAIL'!$I$7:$I$155,'Mar20-Aug20 Billed-RETAIL'!$C$7:$C$155,J$4,'Mar20-Aug20 Billed-RETAIL'!$E$7:$E$155,$A37)</f>
        <v>0</v>
      </c>
      <c r="K37" s="89">
        <f>SUMIFS('Mar20-Aug20 Billed-RETAIL'!$H$7:$H$155,'Mar20-Aug20 Billed-RETAIL'!$C$7:$C$155,K$4,'Mar20-Aug20 Billed-RETAIL'!$E$7:$E$155,$A37)+SUMIFS('Mar20-Aug20 Billed-RETAIL'!$I$7:$I$155,'Mar20-Aug20 Billed-RETAIL'!$C$7:$C$155,K$4,'Mar20-Aug20 Billed-RETAIL'!$E$7:$E$155,$A37)</f>
        <v>0</v>
      </c>
      <c r="L37" s="89">
        <f>SUMIFS('Mar20-Aug20 Billed-RETAIL'!$H$7:$H$155,'Mar20-Aug20 Billed-RETAIL'!$C$7:$C$155,L$4,'Mar20-Aug20 Billed-RETAIL'!$E$7:$E$155,$A37)+SUMIFS('Mar20-Aug20 Billed-RETAIL'!$I$7:$I$155,'Mar20-Aug20 Billed-RETAIL'!$C$7:$C$155,L$4,'Mar20-Aug20 Billed-RETAIL'!$E$7:$E$155,$A37)</f>
        <v>0</v>
      </c>
      <c r="M37" s="89">
        <f>SUMIFS('Mar20-Aug20 Billed-RETAIL'!$H$7:$H$155,'Mar20-Aug20 Billed-RETAIL'!$C$7:$C$155,M$4,'Mar20-Aug20 Billed-RETAIL'!$E$7:$E$155,$A37)+SUMIFS('Mar20-Aug20 Billed-RETAIL'!$I$7:$I$155,'Mar20-Aug20 Billed-RETAIL'!$C$7:$C$155,M$4,'Mar20-Aug20 Billed-RETAIL'!$E$7:$E$155,$A37)</f>
        <v>0</v>
      </c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104">
        <v>0</v>
      </c>
      <c r="AG37" s="104">
        <v>0</v>
      </c>
      <c r="AH37" s="104">
        <v>0</v>
      </c>
      <c r="AI37" s="104">
        <v>0</v>
      </c>
      <c r="AJ37" s="104"/>
      <c r="AK37" s="104"/>
      <c r="AL37" s="114"/>
      <c r="AM37" s="114"/>
      <c r="AN37" s="114"/>
      <c r="AO37" s="114"/>
      <c r="AP37" s="114"/>
      <c r="AQ37" s="114"/>
      <c r="AR37" s="105">
        <v>0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  <c r="AX37" s="105"/>
      <c r="AY37" s="105"/>
      <c r="AZ37" s="105"/>
      <c r="BA37" s="105"/>
      <c r="BB37" s="105"/>
      <c r="BC37" s="105"/>
      <c r="BD37" s="92"/>
      <c r="BE37" s="92"/>
      <c r="BF37" s="251">
        <f t="shared" si="45"/>
        <v>0</v>
      </c>
      <c r="BG37" s="251">
        <f t="shared" si="45"/>
        <v>0</v>
      </c>
      <c r="BH37" s="251">
        <f t="shared" si="45"/>
        <v>0</v>
      </c>
      <c r="BI37" s="251">
        <f t="shared" si="45"/>
        <v>0</v>
      </c>
      <c r="BJ37" s="251">
        <f t="shared" si="45"/>
        <v>0</v>
      </c>
      <c r="BK37" s="251">
        <f t="shared" si="45"/>
        <v>0</v>
      </c>
      <c r="BL37" s="252">
        <f t="shared" si="6"/>
        <v>0</v>
      </c>
    </row>
    <row r="38" spans="1:66" x14ac:dyDescent="0.25">
      <c r="A38" s="50" t="s">
        <v>493</v>
      </c>
      <c r="B38" s="142" t="s">
        <v>487</v>
      </c>
      <c r="C38" s="124">
        <f t="shared" si="43"/>
        <v>0</v>
      </c>
      <c r="D38" s="124">
        <f>SUM(T38:AE38)</f>
        <v>0</v>
      </c>
      <c r="E38" s="125">
        <f>SUM(AF38:AQ38)</f>
        <v>0</v>
      </c>
      <c r="F38" s="124">
        <f>SUM(AR38:BC38)+BL38</f>
        <v>0</v>
      </c>
      <c r="G38" s="46"/>
      <c r="H38" s="95">
        <f>SUMIFS('Mar20-Aug20 Billed-RETAIL'!$H$7:$H$155,'Mar20-Aug20 Billed-RETAIL'!$C$7:$C$155,H$4,'Mar20-Aug20 Billed-RETAIL'!$E$7:$E$155,$A38)+SUMIFS('Mar20-Aug20 Billed-RETAIL'!$I$7:$I$155,'Mar20-Aug20 Billed-RETAIL'!$C$7:$C$155,H$4,'Mar20-Aug20 Billed-RETAIL'!$E$7:$E$155,$A38)</f>
        <v>0</v>
      </c>
      <c r="I38" s="95">
        <f>SUMIFS('Mar20-Aug20 Billed-RETAIL'!$H$7:$H$155,'Mar20-Aug20 Billed-RETAIL'!$C$7:$C$155,I$4,'Mar20-Aug20 Billed-RETAIL'!$E$7:$E$155,$A38)+SUMIFS('Mar20-Aug20 Billed-RETAIL'!$I$7:$I$155,'Mar20-Aug20 Billed-RETAIL'!$C$7:$C$155,I$4,'Mar20-Aug20 Billed-RETAIL'!$E$7:$E$155,$A38)</f>
        <v>0</v>
      </c>
      <c r="J38" s="95">
        <f>SUMIFS('Mar20-Aug20 Billed-RETAIL'!$H$7:$H$155,'Mar20-Aug20 Billed-RETAIL'!$C$7:$C$155,J$4,'Mar20-Aug20 Billed-RETAIL'!$E$7:$E$155,$A38)+SUMIFS('Mar20-Aug20 Billed-RETAIL'!$I$7:$I$155,'Mar20-Aug20 Billed-RETAIL'!$C$7:$C$155,J$4,'Mar20-Aug20 Billed-RETAIL'!$E$7:$E$155,$A38)</f>
        <v>0</v>
      </c>
      <c r="K38" s="95">
        <f>SUMIFS('Mar20-Aug20 Billed-RETAIL'!$H$7:$H$155,'Mar20-Aug20 Billed-RETAIL'!$C$7:$C$155,K$4,'Mar20-Aug20 Billed-RETAIL'!$E$7:$E$155,$A38)+SUMIFS('Mar20-Aug20 Billed-RETAIL'!$I$7:$I$155,'Mar20-Aug20 Billed-RETAIL'!$C$7:$C$155,K$4,'Mar20-Aug20 Billed-RETAIL'!$E$7:$E$155,$A38)</f>
        <v>0</v>
      </c>
      <c r="L38" s="95">
        <f>SUMIFS('Mar20-Aug20 Billed-RETAIL'!$H$7:$H$155,'Mar20-Aug20 Billed-RETAIL'!$C$7:$C$155,L$4,'Mar20-Aug20 Billed-RETAIL'!$E$7:$E$155,$A38)+SUMIFS('Mar20-Aug20 Billed-RETAIL'!$I$7:$I$155,'Mar20-Aug20 Billed-RETAIL'!$C$7:$C$155,L$4,'Mar20-Aug20 Billed-RETAIL'!$E$7:$E$155,$A38)</f>
        <v>0</v>
      </c>
      <c r="M38" s="95">
        <f>SUMIFS('Mar20-Aug20 Billed-RETAIL'!$H$7:$H$155,'Mar20-Aug20 Billed-RETAIL'!$C$7:$C$155,M$4,'Mar20-Aug20 Billed-RETAIL'!$E$7:$E$155,$A38)+SUMIFS('Mar20-Aug20 Billed-RETAIL'!$I$7:$I$155,'Mar20-Aug20 Billed-RETAIL'!$C$7:$C$155,M$4,'Mar20-Aug20 Billed-RETAIL'!$E$7:$E$155,$A38)</f>
        <v>0</v>
      </c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96">
        <f>'Mar20-Aug20 Transport Actuals'!I583+'Mar20-Aug20 Transport Actuals'!I606+'Mar20-Aug20 Transport Actuals'!I607</f>
        <v>0</v>
      </c>
      <c r="AG38" s="96">
        <f>'Mar20-Aug20 Transport Actuals'!J583+'Mar20-Aug20 Transport Actuals'!J606+'Mar20-Aug20 Transport Actuals'!J607</f>
        <v>0</v>
      </c>
      <c r="AH38" s="96">
        <f>'Mar20-Aug20 Transport Actuals'!K583+'Mar20-Aug20 Transport Actuals'!K606+'Mar20-Aug20 Transport Actuals'!K607</f>
        <v>0</v>
      </c>
      <c r="AI38" s="96">
        <f>'Mar20-Aug20 Transport Actuals'!L583+'Mar20-Aug20 Transport Actuals'!L606+'Mar20-Aug20 Transport Actuals'!L607</f>
        <v>0</v>
      </c>
      <c r="AJ38" s="96"/>
      <c r="AK38" s="96"/>
      <c r="AL38" s="263"/>
      <c r="AM38" s="263"/>
      <c r="AN38" s="263"/>
      <c r="AO38" s="263"/>
      <c r="AP38" s="263"/>
      <c r="AQ38" s="263"/>
      <c r="AR38" s="97">
        <f>'Mar20-Aug20 Transport Actuals'!I593+'Mar20-Aug20 Transport Actuals'!I633</f>
        <v>0</v>
      </c>
      <c r="AS38" s="97">
        <f>'Mar20-Aug20 Transport Actuals'!J593+'Mar20-Aug20 Transport Actuals'!J633</f>
        <v>0</v>
      </c>
      <c r="AT38" s="97">
        <f>'Mar20-Aug20 Transport Actuals'!K593+'Mar20-Aug20 Transport Actuals'!K633</f>
        <v>0</v>
      </c>
      <c r="AU38" s="97">
        <f>'Mar20-Aug20 Transport Actuals'!L593+'Mar20-Aug20 Transport Actuals'!L633</f>
        <v>0</v>
      </c>
      <c r="AV38" s="97">
        <f>'Mar20-Aug20 Transport Actuals'!M593+'Mar20-Aug20 Transport Actuals'!M633</f>
        <v>0</v>
      </c>
      <c r="AW38" s="97">
        <f>'Mar20-Aug20 Transport Actuals'!N593+'Mar20-Aug20 Transport Actuals'!N633</f>
        <v>0</v>
      </c>
      <c r="AX38" s="97"/>
      <c r="AY38" s="97"/>
      <c r="AZ38" s="97"/>
      <c r="BA38" s="97"/>
      <c r="BB38" s="97"/>
      <c r="BC38" s="97"/>
      <c r="BD38" s="92"/>
      <c r="BE38" s="92"/>
      <c r="BF38" s="251">
        <f t="shared" si="45"/>
        <v>0</v>
      </c>
      <c r="BG38" s="251">
        <f t="shared" si="45"/>
        <v>0</v>
      </c>
      <c r="BH38" s="251">
        <f t="shared" si="45"/>
        <v>0</v>
      </c>
      <c r="BI38" s="251">
        <f t="shared" si="45"/>
        <v>0</v>
      </c>
      <c r="BJ38" s="251">
        <f t="shared" si="45"/>
        <v>0</v>
      </c>
      <c r="BK38" s="251">
        <f t="shared" si="45"/>
        <v>0</v>
      </c>
      <c r="BL38" s="251">
        <f>SUM(BF38:BK38)</f>
        <v>0</v>
      </c>
    </row>
    <row r="39" spans="1:66" x14ac:dyDescent="0.25">
      <c r="A39" s="141"/>
      <c r="B39" s="109" t="s">
        <v>243</v>
      </c>
      <c r="C39" s="112">
        <f t="shared" si="43"/>
        <v>32</v>
      </c>
      <c r="D39" s="112">
        <f>SUM(T39:AE39)</f>
        <v>0</v>
      </c>
      <c r="E39" s="123">
        <f t="shared" si="16"/>
        <v>84282.574983812796</v>
      </c>
      <c r="F39" s="112">
        <f t="shared" si="7"/>
        <v>393253.77000000008</v>
      </c>
      <c r="G39" s="46"/>
      <c r="H39" s="99">
        <f t="shared" ref="H39:BC39" si="46">SUM(H34:H38)</f>
        <v>3</v>
      </c>
      <c r="I39" s="99">
        <f t="shared" si="46"/>
        <v>3</v>
      </c>
      <c r="J39" s="99">
        <f t="shared" si="46"/>
        <v>3</v>
      </c>
      <c r="K39" s="99">
        <f t="shared" si="46"/>
        <v>3</v>
      </c>
      <c r="L39" s="99">
        <f t="shared" si="46"/>
        <v>3</v>
      </c>
      <c r="M39" s="99">
        <f t="shared" si="46"/>
        <v>3</v>
      </c>
      <c r="N39" s="99">
        <f t="shared" si="46"/>
        <v>3</v>
      </c>
      <c r="O39" s="99">
        <f t="shared" si="46"/>
        <v>3</v>
      </c>
      <c r="P39" s="99">
        <f t="shared" si="46"/>
        <v>2</v>
      </c>
      <c r="Q39" s="99">
        <f t="shared" si="46"/>
        <v>2</v>
      </c>
      <c r="R39" s="99">
        <f t="shared" si="46"/>
        <v>2</v>
      </c>
      <c r="S39" s="99">
        <f t="shared" si="46"/>
        <v>2</v>
      </c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86">
        <f t="shared" si="46"/>
        <v>8995.5</v>
      </c>
      <c r="AG39" s="86">
        <f>SUM(AG34:AG38)</f>
        <v>9546</v>
      </c>
      <c r="AH39" s="86">
        <f>SUM(AH34:AH38)</f>
        <v>7247.9</v>
      </c>
      <c r="AI39" s="86">
        <f>SUM(AI34:AI38)</f>
        <v>9158.0999999999985</v>
      </c>
      <c r="AJ39" s="86">
        <f>SUM(AJ34:AJ38)</f>
        <v>8855.9</v>
      </c>
      <c r="AK39" s="86">
        <f>SUM(AK34:AK38)</f>
        <v>7589</v>
      </c>
      <c r="AL39" s="86">
        <f t="shared" si="46"/>
        <v>6664.2853831178163</v>
      </c>
      <c r="AM39" s="86">
        <f t="shared" si="46"/>
        <v>6093.4688333038639</v>
      </c>
      <c r="AN39" s="86">
        <f t="shared" si="46"/>
        <v>4796.5705358047389</v>
      </c>
      <c r="AO39" s="86">
        <f t="shared" si="46"/>
        <v>5307.9632956658643</v>
      </c>
      <c r="AP39" s="86">
        <f t="shared" si="46"/>
        <v>5385.1623989469863</v>
      </c>
      <c r="AQ39" s="86">
        <f t="shared" si="46"/>
        <v>4642.7245369735338</v>
      </c>
      <c r="AR39" s="100">
        <f t="shared" si="46"/>
        <v>42236.79</v>
      </c>
      <c r="AS39" s="100">
        <f t="shared" si="46"/>
        <v>44737.05</v>
      </c>
      <c r="AT39" s="100">
        <f t="shared" si="46"/>
        <v>30573.51</v>
      </c>
      <c r="AU39" s="100">
        <f t="shared" si="46"/>
        <v>35967.120000000003</v>
      </c>
      <c r="AV39" s="100">
        <f t="shared" si="46"/>
        <v>34840.78</v>
      </c>
      <c r="AW39" s="100">
        <f t="shared" si="46"/>
        <v>33008.159999999996</v>
      </c>
      <c r="AX39" s="100">
        <f t="shared" si="46"/>
        <v>32846.400000000001</v>
      </c>
      <c r="AY39" s="100">
        <f t="shared" si="46"/>
        <v>29777.22</v>
      </c>
      <c r="AZ39" s="100">
        <f t="shared" si="46"/>
        <v>24330.34</v>
      </c>
      <c r="BA39" s="100">
        <f t="shared" si="46"/>
        <v>28529.13</v>
      </c>
      <c r="BB39" s="100">
        <f t="shared" si="46"/>
        <v>29987.75</v>
      </c>
      <c r="BC39" s="100">
        <f t="shared" si="46"/>
        <v>26392.83</v>
      </c>
      <c r="BD39" s="92"/>
      <c r="BE39" s="92"/>
      <c r="BF39" s="255">
        <f t="shared" ref="BF39:BK39" si="47">SUM(BF34:BF38)</f>
        <v>-1.06</v>
      </c>
      <c r="BG39" s="255">
        <f t="shared" si="47"/>
        <v>12.19</v>
      </c>
      <c r="BH39" s="255">
        <f t="shared" si="47"/>
        <v>13.58</v>
      </c>
      <c r="BI39" s="255">
        <f t="shared" si="47"/>
        <v>-7.0000000000000007E-2</v>
      </c>
      <c r="BJ39" s="255">
        <f t="shared" si="47"/>
        <v>1.05</v>
      </c>
      <c r="BK39" s="255">
        <f t="shared" si="47"/>
        <v>1</v>
      </c>
      <c r="BL39" s="251">
        <f t="shared" si="6"/>
        <v>26.69</v>
      </c>
      <c r="BN39" s="374"/>
    </row>
    <row r="40" spans="1:66" x14ac:dyDescent="0.25">
      <c r="A40" s="141"/>
      <c r="B40" s="111"/>
      <c r="C40" s="46"/>
      <c r="D40" s="46"/>
      <c r="E40" s="46"/>
      <c r="F40" s="46"/>
      <c r="G40" s="46"/>
      <c r="H40" s="99"/>
      <c r="I40" s="99"/>
      <c r="J40" s="99"/>
      <c r="K40" s="99"/>
      <c r="L40" s="99"/>
      <c r="M40" s="99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92"/>
      <c r="BE40" s="92"/>
      <c r="BF40"/>
      <c r="BG40"/>
      <c r="BH40"/>
      <c r="BI40"/>
      <c r="BJ40"/>
      <c r="BK40"/>
      <c r="BL40"/>
    </row>
    <row r="41" spans="1:66" x14ac:dyDescent="0.25">
      <c r="A41" s="141"/>
      <c r="B41" s="111" t="s">
        <v>292</v>
      </c>
      <c r="C41" s="112"/>
      <c r="D41" s="112"/>
      <c r="E41" s="123"/>
      <c r="F41" s="112"/>
      <c r="G41" s="46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4">
        <f t="shared" ref="AF41:BC41" si="48">+AF9+AF17+AF23+AF39+AF26+AF29</f>
        <v>4101912.7</v>
      </c>
      <c r="AG41" s="114">
        <f t="shared" si="48"/>
        <v>2360501</v>
      </c>
      <c r="AH41" s="114">
        <f t="shared" si="48"/>
        <v>1661318.5</v>
      </c>
      <c r="AI41" s="114">
        <f t="shared" si="48"/>
        <v>927754.69999999972</v>
      </c>
      <c r="AJ41" s="114">
        <f>+AJ9+AJ17+AJ23+AJ39+AJ26+AJ29</f>
        <v>674550.5</v>
      </c>
      <c r="AK41" s="114">
        <f>+AK9+AK17+AK23+AK39+AK26+AK29</f>
        <v>618252.4</v>
      </c>
      <c r="AL41" s="114">
        <f>+AL9+AL17+AL23+AL39+AL26+AL29</f>
        <v>712417.07891969779</v>
      </c>
      <c r="AM41" s="114">
        <f t="shared" si="48"/>
        <v>1436097.1035364715</v>
      </c>
      <c r="AN41" s="114">
        <f t="shared" si="48"/>
        <v>3559225.9934858656</v>
      </c>
      <c r="AO41" s="114">
        <f t="shared" si="48"/>
        <v>5097700.1995138722</v>
      </c>
      <c r="AP41" s="114">
        <f t="shared" si="48"/>
        <v>6466593.5946501112</v>
      </c>
      <c r="AQ41" s="114">
        <f t="shared" si="48"/>
        <v>5047723.2038146285</v>
      </c>
      <c r="AR41" s="100">
        <f>+AR9+AR17+AR23+AR39+AR26+AR29</f>
        <v>37145289.890718006</v>
      </c>
      <c r="AS41" s="100">
        <f t="shared" si="48"/>
        <v>25541579.061319999</v>
      </c>
      <c r="AT41" s="100">
        <f t="shared" si="48"/>
        <v>19156848.429683998</v>
      </c>
      <c r="AU41" s="100">
        <f t="shared" si="48"/>
        <v>14454669.916268</v>
      </c>
      <c r="AV41" s="100">
        <f>+AV9+AV17+AV23+AV39+AV26+AV29</f>
        <v>12868443.962927999</v>
      </c>
      <c r="AW41" s="100">
        <f>+AW9+AW17+AW23+AW39+AW26+AW29</f>
        <v>12381811.989999998</v>
      </c>
      <c r="AX41" s="100">
        <f t="shared" si="48"/>
        <v>13540519.809999999</v>
      </c>
      <c r="AY41" s="100">
        <f t="shared" si="48"/>
        <v>18629543.219999999</v>
      </c>
      <c r="AZ41" s="100">
        <f t="shared" si="48"/>
        <v>33814320.651144616</v>
      </c>
      <c r="BA41" s="100">
        <f t="shared" si="48"/>
        <v>46511072.246016406</v>
      </c>
      <c r="BB41" s="100">
        <f t="shared" si="48"/>
        <v>57821581.269999988</v>
      </c>
      <c r="BC41" s="100">
        <f t="shared" si="48"/>
        <v>46592080.549999997</v>
      </c>
      <c r="BD41" s="92"/>
      <c r="BE41" s="92"/>
      <c r="BF41"/>
      <c r="BG41"/>
      <c r="BH41"/>
      <c r="BI41"/>
      <c r="BJ41"/>
      <c r="BK41"/>
      <c r="BL41"/>
      <c r="BN41" s="374"/>
    </row>
    <row r="42" spans="1:66" x14ac:dyDescent="0.25">
      <c r="A42" s="141"/>
      <c r="B42" s="224" t="s">
        <v>251</v>
      </c>
      <c r="C42" s="124"/>
      <c r="D42" s="124"/>
      <c r="E42" s="125">
        <f>SUM(AF42:AQ42)</f>
        <v>40718</v>
      </c>
      <c r="F42" s="124">
        <f>SUM(AR42:BC42)+BL42</f>
        <v>15263.539999999999</v>
      </c>
      <c r="G42" s="46"/>
      <c r="H42" s="107"/>
      <c r="I42" s="107"/>
      <c r="J42" s="107"/>
      <c r="K42" s="107"/>
      <c r="L42" s="107"/>
      <c r="M42" s="107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332">
        <f>(SUM('Mar20-Aug20 Billed-RETAIL'!AJ7:AJ21)*-1)/10</f>
        <v>41718</v>
      </c>
      <c r="AG42" s="126">
        <f>(SUM('Mar20-Aug20 Billed-RETAIL'!AJ23:AJ37)*-1)/10</f>
        <v>-142.19999999999999</v>
      </c>
      <c r="AH42" s="126">
        <f>(SUM('Mar20-Aug20 Billed-RETAIL'!AJ39:AJ53)*-1)/10</f>
        <v>-275.39999999999998</v>
      </c>
      <c r="AI42" s="126">
        <f>(SUM('Mar20-Aug20 Billed-RETAIL'!AJ55:AJ69)*-1)/10</f>
        <v>-50.8</v>
      </c>
      <c r="AJ42" s="126">
        <f>(SUM('Mar20-Aug20 Billed-RETAIL'!AJ71:AJ85)*-1)/10</f>
        <v>-389.9</v>
      </c>
      <c r="AK42" s="126">
        <f>(SUM('Mar20-Aug20 Billed-RETAIL'!AJ87:AJ101)*-1)/10</f>
        <v>-141.69999999999999</v>
      </c>
      <c r="AL42" s="263"/>
      <c r="AM42" s="263"/>
      <c r="AN42" s="263"/>
      <c r="AO42" s="263"/>
      <c r="AP42" s="263"/>
      <c r="AQ42" s="263"/>
      <c r="AR42" s="97">
        <f>-1058.52+122.86</f>
        <v>-935.66</v>
      </c>
      <c r="AS42" s="97">
        <f>7693.37-732.97</f>
        <v>6960.4</v>
      </c>
      <c r="AT42" s="97">
        <f>-40.14+8549.21</f>
        <v>8509.07</v>
      </c>
      <c r="AU42" s="97">
        <f>-30.56</f>
        <v>-30.56</v>
      </c>
      <c r="AV42" s="97">
        <f>386.56</f>
        <v>386.56</v>
      </c>
      <c r="AW42" s="97">
        <v>373.73</v>
      </c>
      <c r="AX42" s="97"/>
      <c r="AY42" s="97"/>
      <c r="AZ42" s="97"/>
      <c r="BA42" s="97"/>
      <c r="BB42" s="97"/>
      <c r="BC42" s="97"/>
      <c r="BD42" s="92"/>
      <c r="BE42" s="92"/>
      <c r="BF42"/>
      <c r="BG42"/>
      <c r="BH42"/>
      <c r="BI42"/>
      <c r="BJ42"/>
      <c r="BK42"/>
      <c r="BL42"/>
    </row>
    <row r="43" spans="1:66" x14ac:dyDescent="0.25">
      <c r="A43" s="141"/>
      <c r="B43" s="111"/>
      <c r="C43" s="112"/>
      <c r="D43" s="112"/>
      <c r="E43" s="123"/>
      <c r="F43" s="112"/>
      <c r="G43" s="46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/>
      <c r="BE43" s="92"/>
      <c r="BF43"/>
      <c r="BG43"/>
      <c r="BH43"/>
      <c r="BI43"/>
      <c r="BJ43"/>
      <c r="BK43"/>
      <c r="BL43"/>
    </row>
    <row r="44" spans="1:66" x14ac:dyDescent="0.25">
      <c r="A44" s="141"/>
      <c r="B44" s="111" t="s">
        <v>384</v>
      </c>
      <c r="C44" s="112">
        <f>SUM(H44:S44)</f>
        <v>0</v>
      </c>
      <c r="D44" s="112"/>
      <c r="E44" s="123">
        <f>SUM(AF44:AQ44)</f>
        <v>32704765.17392065</v>
      </c>
      <c r="F44" s="112">
        <f>SUM(AR44:BC44)</f>
        <v>338473025.73795819</v>
      </c>
      <c r="G44" s="46"/>
      <c r="H44" s="291"/>
      <c r="I44" s="291"/>
      <c r="J44" s="107"/>
      <c r="K44" s="107"/>
      <c r="L44" s="107"/>
      <c r="M44" s="107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143">
        <v>4143631</v>
      </c>
      <c r="AG44" s="143">
        <v>2360359</v>
      </c>
      <c r="AH44" s="143">
        <v>1661043</v>
      </c>
      <c r="AI44" s="143">
        <v>927703</v>
      </c>
      <c r="AJ44" s="143">
        <v>674161</v>
      </c>
      <c r="AK44" s="143">
        <v>618111</v>
      </c>
      <c r="AL44" s="294">
        <v>712417.07891969779</v>
      </c>
      <c r="AM44" s="294">
        <v>1436097.1035364715</v>
      </c>
      <c r="AN44" s="294">
        <v>3559225.9934858656</v>
      </c>
      <c r="AO44" s="294">
        <v>5097700.1995138722</v>
      </c>
      <c r="AP44" s="294">
        <v>6466593.5946501112</v>
      </c>
      <c r="AQ44" s="294">
        <v>5047723.2038146285</v>
      </c>
      <c r="AR44" s="97">
        <v>37144354</v>
      </c>
      <c r="AS44" s="97">
        <v>25548540</v>
      </c>
      <c r="AT44" s="97">
        <v>19165350</v>
      </c>
      <c r="AU44" s="97">
        <v>14454648</v>
      </c>
      <c r="AV44" s="97">
        <v>12868830</v>
      </c>
      <c r="AW44" s="97">
        <v>12382186</v>
      </c>
      <c r="AX44" s="296">
        <f>SUM('Mar20-Aug20 Billed-RETAIL'!BB103:BB109)</f>
        <v>13540519.807930052</v>
      </c>
      <c r="AY44" s="296">
        <f>SUM('Mar20-Aug20 Billed-RETAIL'!BB112:BB118)</f>
        <v>18629543.204298541</v>
      </c>
      <c r="AZ44" s="296">
        <f>SUM('Mar20-Aug20 Billed-RETAIL'!BB121:BB127)</f>
        <v>33814320.657136664</v>
      </c>
      <c r="BA44" s="296">
        <f>SUM('Mar20-Aug20 Billed-RETAIL'!BB130:BB136)</f>
        <v>46511072.255848356</v>
      </c>
      <c r="BB44" s="296">
        <f>SUM('Mar20-Aug20 Billed-RETAIL'!BB139:BB145)</f>
        <v>57821581.272856146</v>
      </c>
      <c r="BC44" s="296">
        <f>SUM('Mar20-Aug20 Billed-RETAIL'!BB148:BB154)</f>
        <v>46592080.539888375</v>
      </c>
      <c r="BD44"/>
      <c r="BE44" s="92"/>
      <c r="BF44"/>
      <c r="BG44"/>
      <c r="BH44"/>
      <c r="BI44"/>
      <c r="BJ44"/>
      <c r="BK44"/>
      <c r="BL44"/>
    </row>
    <row r="45" spans="1:66" x14ac:dyDescent="0.25">
      <c r="A45" s="141"/>
      <c r="B45" s="116" t="s">
        <v>284</v>
      </c>
      <c r="C45" s="112">
        <f>SUM(H45:S45)</f>
        <v>3932987</v>
      </c>
      <c r="D45" s="112"/>
      <c r="E45" s="123">
        <f>SUM(AF45:AQ45)</f>
        <v>32704764.973920647</v>
      </c>
      <c r="F45" s="112">
        <f>SUM(AR45:BC45)</f>
        <v>338473024.53807902</v>
      </c>
      <c r="G45" s="46"/>
      <c r="H45" s="117">
        <f>H9+H17+H23+H39+H26+H29</f>
        <v>327675</v>
      </c>
      <c r="I45" s="117">
        <f t="shared" ref="I45:S45" si="49">I9+I17+I23+I39+I26+I29</f>
        <v>329270</v>
      </c>
      <c r="J45" s="117">
        <f t="shared" si="49"/>
        <v>329231</v>
      </c>
      <c r="K45" s="117">
        <f t="shared" si="49"/>
        <v>329556</v>
      </c>
      <c r="L45" s="117">
        <f t="shared" si="49"/>
        <v>328669</v>
      </c>
      <c r="M45" s="117">
        <f>M9+M17+M23+M39+M26+M29</f>
        <v>328294</v>
      </c>
      <c r="N45" s="117">
        <f t="shared" si="49"/>
        <v>324770</v>
      </c>
      <c r="O45" s="117">
        <f t="shared" si="49"/>
        <v>325243</v>
      </c>
      <c r="P45" s="117">
        <f t="shared" si="49"/>
        <v>325988</v>
      </c>
      <c r="Q45" s="117">
        <f t="shared" si="49"/>
        <v>327574</v>
      </c>
      <c r="R45" s="117">
        <f t="shared" si="49"/>
        <v>328298</v>
      </c>
      <c r="S45" s="117">
        <f t="shared" si="49"/>
        <v>328419</v>
      </c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8">
        <f>AF9+AF17+AF23+AF39+AF42+AF26+AF29</f>
        <v>4143630.7</v>
      </c>
      <c r="AG45" s="118">
        <f t="shared" ref="AG45:AQ45" si="50">AG9+AG17+AG23+AG39+AG42+AG26+AG29</f>
        <v>2360358.7999999998</v>
      </c>
      <c r="AH45" s="118">
        <f t="shared" si="50"/>
        <v>1661043.1</v>
      </c>
      <c r="AI45" s="118">
        <f t="shared" si="50"/>
        <v>927703.89999999967</v>
      </c>
      <c r="AJ45" s="118">
        <f>AJ9+AJ17+AJ23+AJ39+AJ42+AJ26+AJ29</f>
        <v>674160.6</v>
      </c>
      <c r="AK45" s="118">
        <f t="shared" si="50"/>
        <v>618110.70000000007</v>
      </c>
      <c r="AL45" s="118">
        <f t="shared" si="50"/>
        <v>712417.07891969779</v>
      </c>
      <c r="AM45" s="118">
        <f t="shared" si="50"/>
        <v>1436097.1035364715</v>
      </c>
      <c r="AN45" s="118">
        <f t="shared" si="50"/>
        <v>3559225.9934858656</v>
      </c>
      <c r="AO45" s="118">
        <f t="shared" si="50"/>
        <v>5097700.1995138722</v>
      </c>
      <c r="AP45" s="118">
        <f t="shared" si="50"/>
        <v>6466593.5946501112</v>
      </c>
      <c r="AQ45" s="118">
        <f t="shared" si="50"/>
        <v>5047723.2038146285</v>
      </c>
      <c r="AR45" s="119">
        <f>AR9+AR17+AR23+AR26+AR29+AR39+AR42</f>
        <v>37144354.230718009</v>
      </c>
      <c r="AS45" s="119">
        <f t="shared" ref="AS45:BC45" si="51">AS9+AS17+AS23+AS26+AS29+AS39+AS42</f>
        <v>25548539.461319998</v>
      </c>
      <c r="AT45" s="119">
        <f t="shared" si="51"/>
        <v>19165357.499683999</v>
      </c>
      <c r="AU45" s="119">
        <f t="shared" si="51"/>
        <v>14454639.356268</v>
      </c>
      <c r="AV45" s="119">
        <f>AV9+AV17+AV23+AV26+AV29+AV39+AV42</f>
        <v>12868830.522927999</v>
      </c>
      <c r="AW45" s="119">
        <f t="shared" si="51"/>
        <v>12382185.719999999</v>
      </c>
      <c r="AX45" s="119">
        <f t="shared" si="51"/>
        <v>13540519.809999999</v>
      </c>
      <c r="AY45" s="119">
        <f t="shared" si="51"/>
        <v>18629543.219999999</v>
      </c>
      <c r="AZ45" s="119">
        <f t="shared" si="51"/>
        <v>33814320.651144616</v>
      </c>
      <c r="BA45" s="119">
        <f t="shared" si="51"/>
        <v>46511072.246016406</v>
      </c>
      <c r="BB45" s="119">
        <f t="shared" si="51"/>
        <v>57821581.269999988</v>
      </c>
      <c r="BC45" s="119">
        <f t="shared" si="51"/>
        <v>46592080.549999997</v>
      </c>
      <c r="BD45"/>
      <c r="BE45" s="92"/>
      <c r="BF45"/>
      <c r="BG45"/>
      <c r="BH45"/>
      <c r="BI45"/>
      <c r="BJ45"/>
      <c r="BK45"/>
      <c r="BL45"/>
    </row>
    <row r="46" spans="1:66" x14ac:dyDescent="0.25">
      <c r="A46" s="141"/>
      <c r="B46" s="116"/>
      <c r="C46" s="112">
        <f>+C9+C17+C23+C39+C26+C29</f>
        <v>3932987</v>
      </c>
      <c r="D46" s="112"/>
      <c r="E46" s="123">
        <f>+E9+E17+E23+E39+E42+E29+E26</f>
        <v>32704764.973920647</v>
      </c>
      <c r="F46" s="112">
        <f>SUM(AR46:BC46)</f>
        <v>0</v>
      </c>
      <c r="G46" s="46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/>
      <c r="BE46" s="92"/>
      <c r="BF46" s="92"/>
    </row>
    <row r="47" spans="1:66" x14ac:dyDescent="0.25">
      <c r="A47" s="141"/>
      <c r="C47" s="112">
        <f>SUM(H47:S47)</f>
        <v>0</v>
      </c>
      <c r="D47" s="112"/>
      <c r="E47" s="123">
        <f>SUM(AF47:AQ47)</f>
        <v>0.20000000018626451</v>
      </c>
      <c r="F47" s="112">
        <f>SUM(AR47:BC47)</f>
        <v>-1.2182848677039146</v>
      </c>
      <c r="G47" s="46"/>
      <c r="H47" s="117"/>
      <c r="I47" s="117"/>
      <c r="J47" s="117"/>
      <c r="K47" s="117"/>
      <c r="L47" s="117"/>
      <c r="M47" s="117"/>
      <c r="N47" s="292">
        <f t="shared" ref="N47:S47" si="52">N46-N44</f>
        <v>0</v>
      </c>
      <c r="O47" s="292">
        <f t="shared" si="52"/>
        <v>0</v>
      </c>
      <c r="P47" s="292">
        <f t="shared" si="52"/>
        <v>0</v>
      </c>
      <c r="Q47" s="292">
        <f t="shared" si="52"/>
        <v>0</v>
      </c>
      <c r="R47" s="292">
        <f t="shared" si="52"/>
        <v>0</v>
      </c>
      <c r="S47" s="292">
        <f t="shared" si="52"/>
        <v>0</v>
      </c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347">
        <f>+AF44-AF45</f>
        <v>0.29999999981373549</v>
      </c>
      <c r="AG47" s="347">
        <f t="shared" ref="AG47:AQ47" si="53">+AG44-AG45</f>
        <v>0.20000000018626451</v>
      </c>
      <c r="AH47" s="347">
        <f t="shared" si="53"/>
        <v>-0.10000000009313226</v>
      </c>
      <c r="AI47" s="347">
        <f t="shared" si="53"/>
        <v>-0.8999999996740371</v>
      </c>
      <c r="AJ47" s="347">
        <f>+AJ44-AJ45</f>
        <v>0.40000000002328306</v>
      </c>
      <c r="AK47" s="347">
        <f t="shared" si="53"/>
        <v>0.29999999993015081</v>
      </c>
      <c r="AL47" s="347">
        <f t="shared" si="53"/>
        <v>0</v>
      </c>
      <c r="AM47" s="347">
        <f t="shared" si="53"/>
        <v>0</v>
      </c>
      <c r="AN47" s="347">
        <f t="shared" si="53"/>
        <v>0</v>
      </c>
      <c r="AO47" s="347">
        <f t="shared" si="53"/>
        <v>0</v>
      </c>
      <c r="AP47" s="347">
        <f t="shared" si="53"/>
        <v>0</v>
      </c>
      <c r="AQ47" s="347">
        <f t="shared" si="53"/>
        <v>0</v>
      </c>
      <c r="AR47" s="334">
        <f>AR45-AR44</f>
        <v>0.23071800917387009</v>
      </c>
      <c r="AS47" s="334">
        <f t="shared" ref="AS47:AW47" si="54">AS45-AS44</f>
        <v>-0.53868000209331512</v>
      </c>
      <c r="AT47" s="334">
        <f t="shared" si="54"/>
        <v>7.4996839985251427</v>
      </c>
      <c r="AU47" s="334">
        <f t="shared" si="54"/>
        <v>-8.6437320001423359</v>
      </c>
      <c r="AV47" s="334">
        <f t="shared" si="54"/>
        <v>0.52292799949645996</v>
      </c>
      <c r="AW47" s="334">
        <f t="shared" si="54"/>
        <v>-0.2800000011920929</v>
      </c>
      <c r="AX47" s="373">
        <f t="shared" ref="AX47:BC47" si="55">+AX44-AX45</f>
        <v>-2.0699463784694672E-3</v>
      </c>
      <c r="AY47" s="373">
        <f t="shared" si="55"/>
        <v>-1.5701457858085632E-2</v>
      </c>
      <c r="AZ47" s="373">
        <f t="shared" si="55"/>
        <v>5.9920474886894226E-3</v>
      </c>
      <c r="BA47" s="373">
        <f t="shared" si="55"/>
        <v>9.8319500684738159E-3</v>
      </c>
      <c r="BB47" s="373">
        <f t="shared" si="55"/>
        <v>2.8561577200889587E-3</v>
      </c>
      <c r="BC47" s="373">
        <f t="shared" si="55"/>
        <v>-1.0111622512340546E-2</v>
      </c>
      <c r="BD47"/>
      <c r="BE47" s="92"/>
      <c r="BF47" s="92"/>
    </row>
    <row r="48" spans="1:66" customFormat="1" x14ac:dyDescent="0.25">
      <c r="G48" s="46"/>
      <c r="AS48" s="509"/>
    </row>
    <row r="49" spans="1:64" x14ac:dyDescent="0.25">
      <c r="A49" s="141"/>
      <c r="B49" s="81" t="s">
        <v>233</v>
      </c>
      <c r="C49" s="138"/>
      <c r="D49" s="138"/>
      <c r="E49" s="267"/>
      <c r="F49" s="138"/>
      <c r="G49" s="46"/>
      <c r="AX49" s="61"/>
      <c r="AY49" s="61"/>
      <c r="AZ49" s="61"/>
      <c r="BA49" s="61"/>
      <c r="BB49" s="61"/>
      <c r="BC49" s="61"/>
      <c r="BD49"/>
      <c r="BF49"/>
      <c r="BG49"/>
      <c r="BH49"/>
      <c r="BI49"/>
      <c r="BJ49"/>
      <c r="BK49"/>
      <c r="BL49"/>
    </row>
    <row r="50" spans="1:64" s="121" customFormat="1" x14ac:dyDescent="0.25">
      <c r="A50" s="141" t="s">
        <v>32</v>
      </c>
      <c r="B50" s="122" t="s">
        <v>234</v>
      </c>
      <c r="C50" s="124">
        <f>SUM(H50:S50)</f>
        <v>12</v>
      </c>
      <c r="D50" s="124"/>
      <c r="E50" s="125">
        <f t="shared" ref="E50:E78" si="56">SUM(AF50:AQ50)</f>
        <v>257652.50000000003</v>
      </c>
      <c r="F50" s="124">
        <f>SUM(AR50:BC50)+BL50</f>
        <v>3120508.4699999997</v>
      </c>
      <c r="H50" s="95">
        <f>SUMIFS('Mar20-Aug20 Billed-RETAIL'!$H$7:$H$155,'Mar20-Aug20 Billed-RETAIL'!$C$7:$C$155,H$4,'Mar20-Aug20 Billed-RETAIL'!$E$7:$E$155,$A50)+SUMIFS('Mar20-Aug20 Billed-RETAIL'!$I$7:$I$155,'Mar20-Aug20 Billed-RETAIL'!$C$7:$C$155,H$4,'Mar20-Aug20 Billed-RETAIL'!$E$7:$E$155,$A50)</f>
        <v>1</v>
      </c>
      <c r="I50" s="95">
        <f>SUMIFS('Mar20-Aug20 Billed-RETAIL'!$H$7:$H$155,'Mar20-Aug20 Billed-RETAIL'!$C$7:$C$155,I$4,'Mar20-Aug20 Billed-RETAIL'!$E$7:$E$155,$A50)+SUMIFS('Mar20-Aug20 Billed-RETAIL'!$I$7:$I$155,'Mar20-Aug20 Billed-RETAIL'!$C$7:$C$155,I$4,'Mar20-Aug20 Billed-RETAIL'!$E$7:$E$155,$A50)</f>
        <v>1</v>
      </c>
      <c r="J50" s="95">
        <f>SUMIFS('Mar20-Aug20 Billed-RETAIL'!$H$7:$H$155,'Mar20-Aug20 Billed-RETAIL'!$C$7:$C$155,J$4,'Mar20-Aug20 Billed-RETAIL'!$E$7:$E$155,$A50)+SUMIFS('Mar20-Aug20 Billed-RETAIL'!$I$7:$I$155,'Mar20-Aug20 Billed-RETAIL'!$C$7:$C$155,J$4,'Mar20-Aug20 Billed-RETAIL'!$E$7:$E$155,$A50)</f>
        <v>1</v>
      </c>
      <c r="K50" s="95">
        <f>SUMIFS('Mar20-Aug20 Billed-RETAIL'!$H$7:$H$155,'Mar20-Aug20 Billed-RETAIL'!$C$7:$C$155,K$4,'Mar20-Aug20 Billed-RETAIL'!$E$7:$E$155,$A50)+SUMIFS('Mar20-Aug20 Billed-RETAIL'!$I$7:$I$155,'Mar20-Aug20 Billed-RETAIL'!$C$7:$C$155,K$4,'Mar20-Aug20 Billed-RETAIL'!$E$7:$E$155,$A50)</f>
        <v>1</v>
      </c>
      <c r="L50" s="95">
        <f>SUMIFS('Mar20-Aug20 Billed-RETAIL'!$H$7:$H$155,'Mar20-Aug20 Billed-RETAIL'!$C$7:$C$155,L$4,'Mar20-Aug20 Billed-RETAIL'!$E$7:$E$155,$A50)+SUMIFS('Mar20-Aug20 Billed-RETAIL'!$I$7:$I$155,'Mar20-Aug20 Billed-RETAIL'!$C$7:$C$155,L$4,'Mar20-Aug20 Billed-RETAIL'!$E$7:$E$155,$A50)</f>
        <v>1</v>
      </c>
      <c r="M50" s="95">
        <f>SUMIFS('Mar20-Aug20 Billed-RETAIL'!$H$7:$H$155,'Mar20-Aug20 Billed-RETAIL'!$C$7:$C$155,M$4,'Mar20-Aug20 Billed-RETAIL'!$E$7:$E$155,$A50)+SUMIFS('Mar20-Aug20 Billed-RETAIL'!$I$7:$I$155,'Mar20-Aug20 Billed-RETAIL'!$C$7:$C$155,M$4,'Mar20-Aug20 Billed-RETAIL'!$E$7:$E$155,$A50)</f>
        <v>1</v>
      </c>
      <c r="N50" s="95">
        <f>SUMIFS('Mar20-Aug20 Billed-RETAIL'!$H$7:$H$155,'Mar20-Aug20 Billed-RETAIL'!$C$7:$C$155,N$4,'Mar20-Aug20 Billed-RETAIL'!$E$7:$E$155,$A50)+SUMIFS('Mar20-Aug20 Billed-RETAIL'!$I$7:$I$155,'Mar20-Aug20 Billed-RETAIL'!$C$7:$C$155,N$4,'Mar20-Aug20 Billed-RETAIL'!$E$7:$E$155,$A50)</f>
        <v>1</v>
      </c>
      <c r="O50" s="95">
        <f>SUMIFS('Mar20-Aug20 Billed-RETAIL'!$H$7:$H$155,'Mar20-Aug20 Billed-RETAIL'!$C$7:$C$155,O$4,'Mar20-Aug20 Billed-RETAIL'!$E$7:$E$155,$A50)+SUMIFS('Mar20-Aug20 Billed-RETAIL'!$I$7:$I$155,'Mar20-Aug20 Billed-RETAIL'!$C$7:$C$155,O$4,'Mar20-Aug20 Billed-RETAIL'!$E$7:$E$155,$A50)</f>
        <v>1</v>
      </c>
      <c r="P50" s="95">
        <f>SUMIFS('Mar20-Aug20 Billed-RETAIL'!$H$7:$H$155,'Mar20-Aug20 Billed-RETAIL'!$C$7:$C$155,P$4,'Mar20-Aug20 Billed-RETAIL'!$E$7:$E$155,$A50)+SUMIFS('Mar20-Aug20 Billed-RETAIL'!$I$7:$I$155,'Mar20-Aug20 Billed-RETAIL'!$C$7:$C$155,P$4,'Mar20-Aug20 Billed-RETAIL'!$E$7:$E$155,$A50)</f>
        <v>1</v>
      </c>
      <c r="Q50" s="95">
        <f>SUMIFS('Mar20-Aug20 Billed-RETAIL'!$H$7:$H$155,'Mar20-Aug20 Billed-RETAIL'!$C$7:$C$155,Q$4,'Mar20-Aug20 Billed-RETAIL'!$E$7:$E$155,$A50)+SUMIFS('Mar20-Aug20 Billed-RETAIL'!$I$7:$I$155,'Mar20-Aug20 Billed-RETAIL'!$C$7:$C$155,Q$4,'Mar20-Aug20 Billed-RETAIL'!$E$7:$E$155,$A50)</f>
        <v>1</v>
      </c>
      <c r="R50" s="95">
        <f>SUMIFS('Mar20-Aug20 Billed-RETAIL'!$H$7:$H$155,'Mar20-Aug20 Billed-RETAIL'!$C$7:$C$155,R$4,'Mar20-Aug20 Billed-RETAIL'!$E$7:$E$155,$A50)+SUMIFS('Mar20-Aug20 Billed-RETAIL'!$I$7:$I$155,'Mar20-Aug20 Billed-RETAIL'!$C$7:$C$155,R$4,'Mar20-Aug20 Billed-RETAIL'!$E$7:$E$155,$A50)</f>
        <v>1</v>
      </c>
      <c r="S50" s="95">
        <f>SUMIFS('Mar20-Aug20 Billed-RETAIL'!$H$7:$H$155,'Mar20-Aug20 Billed-RETAIL'!$C$7:$C$155,S$4,'Mar20-Aug20 Billed-RETAIL'!$E$7:$E$155,$A50)+SUMIFS('Mar20-Aug20 Billed-RETAIL'!$I$7:$I$155,'Mar20-Aug20 Billed-RETAIL'!$C$7:$C$155,S$4,'Mar20-Aug20 Billed-RETAIL'!$E$7:$E$155,$A50)</f>
        <v>1</v>
      </c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6">
        <f>(SUMIFS('Mar20-Aug20 Billed-RETAIL'!$J$5:$J$230,'Mar20-Aug20 Billed-RETAIL'!$C$5:$C$230,SBR!AF$4,'Mar20-Aug20 Billed-RETAIL'!$E$5:$E$230,SBR!$A50)+SUMIFS('Mar20-Aug20 Billed-RETAIL'!$K$5:$K$230,'Mar20-Aug20 Billed-RETAIL'!$C$5:$C$230,SBR!AF$4,'Mar20-Aug20 Billed-RETAIL'!$E$5:$E$230,SBR!$A50))*0.1</f>
        <v>24030.2</v>
      </c>
      <c r="AG50" s="96">
        <f>(SUMIFS('Mar20-Aug20 Billed-RETAIL'!$J$5:$J$230,'Mar20-Aug20 Billed-RETAIL'!$C$5:$C$230,SBR!AG$4,'Mar20-Aug20 Billed-RETAIL'!$E$5:$E$230,SBR!$A50)+SUMIFS('Mar20-Aug20 Billed-RETAIL'!$K$5:$K$230,'Mar20-Aug20 Billed-RETAIL'!$C$5:$C$230,SBR!AG$4,'Mar20-Aug20 Billed-RETAIL'!$E$5:$E$230,SBR!$A50))*0.1</f>
        <v>19737.400000000001</v>
      </c>
      <c r="AH50" s="96">
        <f>(SUMIFS('Mar20-Aug20 Billed-RETAIL'!$J$5:$J$230,'Mar20-Aug20 Billed-RETAIL'!$C$5:$C$230,SBR!AH$4,'Mar20-Aug20 Billed-RETAIL'!$E$5:$E$230,SBR!$A50)+SUMIFS('Mar20-Aug20 Billed-RETAIL'!$K$5:$K$230,'Mar20-Aug20 Billed-RETAIL'!$C$5:$C$230,SBR!AH$4,'Mar20-Aug20 Billed-RETAIL'!$E$5:$E$230,SBR!$A50))*0.1</f>
        <v>8754</v>
      </c>
      <c r="AI50" s="96">
        <f>(SUMIFS('Mar20-Aug20 Billed-RETAIL'!$J$5:$J$230,'Mar20-Aug20 Billed-RETAIL'!$C$5:$C$230,SBR!AI$4,'Mar20-Aug20 Billed-RETAIL'!$E$5:$E$230,SBR!$A50)+SUMIFS('Mar20-Aug20 Billed-RETAIL'!$K$5:$K$230,'Mar20-Aug20 Billed-RETAIL'!$C$5:$C$230,SBR!AI$4,'Mar20-Aug20 Billed-RETAIL'!$E$5:$E$230,SBR!$A50))*0.1</f>
        <v>9997.1</v>
      </c>
      <c r="AJ50" s="96">
        <f>(SUMIFS('Mar20-Aug20 Billed-RETAIL'!$J$5:$J$230,'Mar20-Aug20 Billed-RETAIL'!$C$5:$C$230,SBR!AJ$4,'Mar20-Aug20 Billed-RETAIL'!$E$5:$E$230,SBR!$A50)+SUMIFS('Mar20-Aug20 Billed-RETAIL'!$K$5:$K$230,'Mar20-Aug20 Billed-RETAIL'!$C$5:$C$230,SBR!AJ$4,'Mar20-Aug20 Billed-RETAIL'!$E$5:$E$230,SBR!$A50))*0.1</f>
        <v>13772.6</v>
      </c>
      <c r="AK50" s="96">
        <f>(SUMIFS('Mar20-Aug20 Billed-RETAIL'!$J$5:$J$230,'Mar20-Aug20 Billed-RETAIL'!$C$5:$C$230,SBR!AK$4,'Mar20-Aug20 Billed-RETAIL'!$E$5:$E$230,SBR!$A50)+SUMIFS('Mar20-Aug20 Billed-RETAIL'!$K$5:$K$230,'Mar20-Aug20 Billed-RETAIL'!$C$5:$C$230,SBR!AK$4,'Mar20-Aug20 Billed-RETAIL'!$E$5:$E$230,SBR!$A50))*0.1</f>
        <v>12586.6</v>
      </c>
      <c r="AL50" s="96">
        <f>(SUMIFS('Mar20-Aug20 Billed-RETAIL'!$J$5:$J$230,'Mar20-Aug20 Billed-RETAIL'!$C$5:$C$230,SBR!AL$4,'Mar20-Aug20 Billed-RETAIL'!$E$5:$E$230,SBR!$A50)+SUMIFS('Mar20-Aug20 Billed-RETAIL'!$K$5:$K$230,'Mar20-Aug20 Billed-RETAIL'!$C$5:$C$230,SBR!AL$4,'Mar20-Aug20 Billed-RETAIL'!$E$5:$E$230,SBR!$A50))*0.1</f>
        <v>28198.600000000002</v>
      </c>
      <c r="AM50" s="96">
        <f>(SUMIFS('Mar20-Aug20 Billed-RETAIL'!$J$5:$J$230,'Mar20-Aug20 Billed-RETAIL'!$C$5:$C$230,SBR!AM$4,'Mar20-Aug20 Billed-RETAIL'!$E$5:$E$230,SBR!$A50)+SUMIFS('Mar20-Aug20 Billed-RETAIL'!$K$5:$K$230,'Mar20-Aug20 Billed-RETAIL'!$C$5:$C$230,SBR!AM$4,'Mar20-Aug20 Billed-RETAIL'!$E$5:$E$230,SBR!$A50))*0.1</f>
        <v>29960.400000000001</v>
      </c>
      <c r="AN50" s="96">
        <f>(SUMIFS('Mar20-Aug20 Billed-RETAIL'!$J$5:$J$230,'Mar20-Aug20 Billed-RETAIL'!$C$5:$C$230,SBR!AN$4,'Mar20-Aug20 Billed-RETAIL'!$E$5:$E$230,SBR!$A50)+SUMIFS('Mar20-Aug20 Billed-RETAIL'!$K$5:$K$230,'Mar20-Aug20 Billed-RETAIL'!$C$5:$C$230,SBR!AN$4,'Mar20-Aug20 Billed-RETAIL'!$E$5:$E$230,SBR!$A50))*0.1</f>
        <v>20655.7</v>
      </c>
      <c r="AO50" s="96">
        <f>(SUMIFS('Mar20-Aug20 Billed-RETAIL'!$J$5:$J$230,'Mar20-Aug20 Billed-RETAIL'!$C$5:$C$230,SBR!AO$4,'Mar20-Aug20 Billed-RETAIL'!$E$5:$E$230,SBR!$A50)+SUMIFS('Mar20-Aug20 Billed-RETAIL'!$K$5:$K$230,'Mar20-Aug20 Billed-RETAIL'!$C$5:$C$230,SBR!AO$4,'Mar20-Aug20 Billed-RETAIL'!$E$5:$E$230,SBR!$A50))*0.1</f>
        <v>39362</v>
      </c>
      <c r="AP50" s="96">
        <f>(SUMIFS('Mar20-Aug20 Billed-RETAIL'!$J$5:$J$230,'Mar20-Aug20 Billed-RETAIL'!$C$5:$C$230,SBR!AP$4,'Mar20-Aug20 Billed-RETAIL'!$E$5:$E$230,SBR!$A50)+SUMIFS('Mar20-Aug20 Billed-RETAIL'!$K$5:$K$230,'Mar20-Aug20 Billed-RETAIL'!$C$5:$C$230,SBR!AP$4,'Mar20-Aug20 Billed-RETAIL'!$E$5:$E$230,SBR!$A50))*0.1</f>
        <v>24349.300000000003</v>
      </c>
      <c r="AQ50" s="96">
        <f>(SUMIFS('Mar20-Aug20 Billed-RETAIL'!$J$5:$J$230,'Mar20-Aug20 Billed-RETAIL'!$C$5:$C$230,SBR!AQ$4,'Mar20-Aug20 Billed-RETAIL'!$E$5:$E$230,SBR!$A50)+SUMIFS('Mar20-Aug20 Billed-RETAIL'!$K$5:$K$230,'Mar20-Aug20 Billed-RETAIL'!$C$5:$C$230,SBR!AQ$4,'Mar20-Aug20 Billed-RETAIL'!$E$5:$E$230,SBR!$A50))*0.1</f>
        <v>26248.600000000002</v>
      </c>
      <c r="AR50" s="97">
        <f>SUMIFS('Mar20-Aug20 Billed-RETAIL'!$BA$5:$BA$156,'Mar20-Aug20 Billed-RETAIL'!$C$5:$C$156,SBR!AR$4,'Mar20-Aug20 Billed-RETAIL'!$E$5:$E$156,SBR!$A50)</f>
        <v>271157.3</v>
      </c>
      <c r="AS50" s="97">
        <f>SUMIFS('Mar20-Aug20 Billed-RETAIL'!$BA$5:$BA$156,'Mar20-Aug20 Billed-RETAIL'!$C$5:$C$156,SBR!AS$4,'Mar20-Aug20 Billed-RETAIL'!$E$5:$E$156,SBR!$A50)</f>
        <v>255101.81</v>
      </c>
      <c r="AT50" s="97">
        <f>SUMIFS('Mar20-Aug20 Billed-RETAIL'!$BA$5:$BA$156,'Mar20-Aug20 Billed-RETAIL'!$C$5:$C$156,SBR!AT$4,'Mar20-Aug20 Billed-RETAIL'!$E$5:$E$156,SBR!$A50)</f>
        <v>569873.1</v>
      </c>
      <c r="AU50" s="97">
        <f>SUMIFS('Mar20-Aug20 Billed-RETAIL'!$BA$5:$BA$156,'Mar20-Aug20 Billed-RETAIL'!$C$5:$C$156,SBR!AU$4,'Mar20-Aug20 Billed-RETAIL'!$E$5:$E$156,SBR!$A50)</f>
        <v>-151765.17000000001</v>
      </c>
      <c r="AV50" s="97">
        <f>SUMIFS('Mar20-Aug20 Billed-RETAIL'!$BA$5:$BA$156,'Mar20-Aug20 Billed-RETAIL'!$C$5:$C$156,SBR!AV$4,'Mar20-Aug20 Billed-RETAIL'!$E$5:$E$156,SBR!$A50)</f>
        <v>222056.92</v>
      </c>
      <c r="AW50" s="97">
        <f>SUMIFS('Mar20-Aug20 Billed-RETAIL'!$BA$5:$BA$156,'Mar20-Aug20 Billed-RETAIL'!$C$5:$C$156,SBR!AW$4,'Mar20-Aug20 Billed-RETAIL'!$E$5:$E$156,SBR!$A50)</f>
        <v>224976.4</v>
      </c>
      <c r="AX50" s="97">
        <f>SUMIFS('Mar20-Aug20 Billed-RETAIL'!$BA$7:$BA$155,'Mar20-Aug20 Billed-RETAIL'!$E$7:$E$155,$A50,'Mar20-Aug20 Billed-RETAIL'!$C$7:$C$155,AX$4)</f>
        <v>271036.44</v>
      </c>
      <c r="AY50" s="97">
        <f>SUMIFS('Mar20-Aug20 Billed-RETAIL'!$BA$7:$BA$155,'Mar20-Aug20 Billed-RETAIL'!$E$7:$E$155,$A50,'Mar20-Aug20 Billed-RETAIL'!$C$7:$C$155,AY$4)</f>
        <v>280617.38</v>
      </c>
      <c r="AZ50" s="97">
        <f>SUMIFS('Mar20-Aug20 Billed-RETAIL'!$BA$7:$BA$155,'Mar20-Aug20 Billed-RETAIL'!$E$7:$E$155,$A50,'Mar20-Aug20 Billed-RETAIL'!$C$7:$C$155,AZ$4)</f>
        <v>258298.13</v>
      </c>
      <c r="BA50" s="97">
        <f>SUMIFS('Mar20-Aug20 Billed-RETAIL'!$BA$7:$BA$155,'Mar20-Aug20 Billed-RETAIL'!$E$7:$E$155,$A50,'Mar20-Aug20 Billed-RETAIL'!$C$7:$C$155,BA$4)</f>
        <v>342447.64</v>
      </c>
      <c r="BB50" s="97">
        <f>SUMIFS('Mar20-Aug20 Billed-RETAIL'!$BA$7:$BA$155,'Mar20-Aug20 Billed-RETAIL'!$E$7:$E$155,$A50,'Mar20-Aug20 Billed-RETAIL'!$C$7:$C$155,BB$4)</f>
        <v>284289.71999999997</v>
      </c>
      <c r="BC50" s="97">
        <f>SUMIFS('Mar20-Aug20 Billed-RETAIL'!$BA$7:$BA$155,'Mar20-Aug20 Billed-RETAIL'!$E$7:$E$155,$A50,'Mar20-Aug20 Billed-RETAIL'!$C$7:$C$155,BC$4)</f>
        <v>292418.8</v>
      </c>
      <c r="BD50"/>
      <c r="BE50" s="120"/>
      <c r="BF50" s="251">
        <f t="shared" ref="BF50:BK50" si="57">AR53</f>
        <v>0</v>
      </c>
      <c r="BG50" s="251">
        <f t="shared" si="57"/>
        <v>0</v>
      </c>
      <c r="BH50" s="251">
        <f t="shared" si="57"/>
        <v>0</v>
      </c>
      <c r="BI50" s="251">
        <f t="shared" si="57"/>
        <v>0</v>
      </c>
      <c r="BJ50" s="251">
        <f t="shared" si="57"/>
        <v>0</v>
      </c>
      <c r="BK50" s="251">
        <f t="shared" si="57"/>
        <v>0</v>
      </c>
      <c r="BL50" s="258">
        <f>SUM(BF50:BK50)</f>
        <v>0</v>
      </c>
    </row>
    <row r="51" spans="1:64" s="121" customFormat="1" x14ac:dyDescent="0.25">
      <c r="A51" s="141"/>
      <c r="B51" s="127" t="s">
        <v>235</v>
      </c>
      <c r="C51" s="112">
        <f>SUM(H51:S51)</f>
        <v>12</v>
      </c>
      <c r="D51" s="112"/>
      <c r="E51" s="123">
        <f t="shared" si="56"/>
        <v>257652.50000000003</v>
      </c>
      <c r="F51" s="112">
        <f>SUM(AR51:BC51)+BL51</f>
        <v>3120508.4699999997</v>
      </c>
      <c r="H51" s="89">
        <f t="shared" ref="H51:BC51" si="58">SUM(H50:H50)</f>
        <v>1</v>
      </c>
      <c r="I51" s="89">
        <f t="shared" si="58"/>
        <v>1</v>
      </c>
      <c r="J51" s="89">
        <f t="shared" si="58"/>
        <v>1</v>
      </c>
      <c r="K51" s="89">
        <f t="shared" si="58"/>
        <v>1</v>
      </c>
      <c r="L51" s="89">
        <f t="shared" si="58"/>
        <v>1</v>
      </c>
      <c r="M51" s="89">
        <f t="shared" si="58"/>
        <v>1</v>
      </c>
      <c r="N51" s="89">
        <f t="shared" si="58"/>
        <v>1</v>
      </c>
      <c r="O51" s="89">
        <f t="shared" si="58"/>
        <v>1</v>
      </c>
      <c r="P51" s="89">
        <f t="shared" si="58"/>
        <v>1</v>
      </c>
      <c r="Q51" s="89">
        <f t="shared" si="58"/>
        <v>1</v>
      </c>
      <c r="R51" s="89">
        <f t="shared" si="58"/>
        <v>1</v>
      </c>
      <c r="S51" s="89">
        <f t="shared" si="58"/>
        <v>1</v>
      </c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6">
        <f t="shared" si="58"/>
        <v>24030.2</v>
      </c>
      <c r="AG51" s="86">
        <f t="shared" si="58"/>
        <v>19737.400000000001</v>
      </c>
      <c r="AH51" s="86">
        <f t="shared" si="58"/>
        <v>8754</v>
      </c>
      <c r="AI51" s="86">
        <f t="shared" si="58"/>
        <v>9997.1</v>
      </c>
      <c r="AJ51" s="86">
        <f t="shared" si="58"/>
        <v>13772.6</v>
      </c>
      <c r="AK51" s="86">
        <f t="shared" si="58"/>
        <v>12586.6</v>
      </c>
      <c r="AL51" s="86">
        <f t="shared" si="58"/>
        <v>28198.600000000002</v>
      </c>
      <c r="AM51" s="86">
        <f t="shared" si="58"/>
        <v>29960.400000000001</v>
      </c>
      <c r="AN51" s="86">
        <f t="shared" si="58"/>
        <v>20655.7</v>
      </c>
      <c r="AO51" s="86">
        <f t="shared" si="58"/>
        <v>39362</v>
      </c>
      <c r="AP51" s="86">
        <f t="shared" si="58"/>
        <v>24349.300000000003</v>
      </c>
      <c r="AQ51" s="86">
        <f t="shared" si="58"/>
        <v>26248.600000000002</v>
      </c>
      <c r="AR51" s="119">
        <f t="shared" si="58"/>
        <v>271157.3</v>
      </c>
      <c r="AS51" s="119">
        <f t="shared" si="58"/>
        <v>255101.81</v>
      </c>
      <c r="AT51" s="119">
        <f t="shared" si="58"/>
        <v>569873.1</v>
      </c>
      <c r="AU51" s="119">
        <f t="shared" si="58"/>
        <v>-151765.17000000001</v>
      </c>
      <c r="AV51" s="119">
        <f t="shared" si="58"/>
        <v>222056.92</v>
      </c>
      <c r="AW51" s="119">
        <f t="shared" si="58"/>
        <v>224976.4</v>
      </c>
      <c r="AX51" s="119">
        <f t="shared" si="58"/>
        <v>271036.44</v>
      </c>
      <c r="AY51" s="119">
        <f t="shared" si="58"/>
        <v>280617.38</v>
      </c>
      <c r="AZ51" s="119">
        <f t="shared" si="58"/>
        <v>258298.13</v>
      </c>
      <c r="BA51" s="119">
        <f t="shared" si="58"/>
        <v>342447.64</v>
      </c>
      <c r="BB51" s="119">
        <f t="shared" si="58"/>
        <v>284289.71999999997</v>
      </c>
      <c r="BC51" s="119">
        <f t="shared" si="58"/>
        <v>292418.8</v>
      </c>
      <c r="BD51"/>
      <c r="BE51" s="120"/>
      <c r="BF51" s="259">
        <f t="shared" ref="BF51:BK51" si="59">SUM(BF50:BF50)</f>
        <v>0</v>
      </c>
      <c r="BG51" s="259">
        <f t="shared" si="59"/>
        <v>0</v>
      </c>
      <c r="BH51" s="259">
        <f t="shared" si="59"/>
        <v>0</v>
      </c>
      <c r="BI51" s="259">
        <f t="shared" si="59"/>
        <v>0</v>
      </c>
      <c r="BJ51" s="259">
        <f t="shared" si="59"/>
        <v>0</v>
      </c>
      <c r="BK51" s="259">
        <f t="shared" si="59"/>
        <v>0</v>
      </c>
      <c r="BL51" s="258">
        <f>SUM(BF51:BK51)</f>
        <v>0</v>
      </c>
    </row>
    <row r="52" spans="1:64" s="121" customFormat="1" x14ac:dyDescent="0.25">
      <c r="A52" s="141"/>
      <c r="B52" s="127"/>
      <c r="C52" s="112"/>
      <c r="D52" s="112"/>
      <c r="E52" s="123"/>
      <c r="F52" s="11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 s="120"/>
      <c r="BF52"/>
      <c r="BG52"/>
      <c r="BH52"/>
      <c r="BI52"/>
      <c r="BJ52"/>
      <c r="BK52"/>
      <c r="BL52"/>
    </row>
    <row r="53" spans="1:64" s="121" customFormat="1" x14ac:dyDescent="0.25">
      <c r="A53" s="141"/>
      <c r="B53" s="270" t="s">
        <v>232</v>
      </c>
      <c r="C53" s="124"/>
      <c r="D53" s="124"/>
      <c r="E53" s="125">
        <f t="shared" si="56"/>
        <v>0</v>
      </c>
      <c r="F53" s="124">
        <f>SUM(AR53:BC53)</f>
        <v>0</v>
      </c>
      <c r="H53" s="264"/>
      <c r="I53" s="264"/>
      <c r="J53" s="264"/>
      <c r="K53" s="264"/>
      <c r="L53" s="264"/>
      <c r="M53" s="26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6">
        <v>0</v>
      </c>
      <c r="AG53" s="126">
        <v>0</v>
      </c>
      <c r="AH53" s="126">
        <v>0</v>
      </c>
      <c r="AI53" s="126"/>
      <c r="AJ53" s="126"/>
      <c r="AK53" s="126"/>
      <c r="AL53" s="273"/>
      <c r="AM53" s="263"/>
      <c r="AN53" s="263"/>
      <c r="AO53" s="263"/>
      <c r="AP53" s="263"/>
      <c r="AQ53" s="263"/>
      <c r="AR53" s="129">
        <v>0</v>
      </c>
      <c r="AS53" s="129">
        <v>0</v>
      </c>
      <c r="AT53" s="129">
        <v>0</v>
      </c>
      <c r="AU53" s="129"/>
      <c r="AV53" s="129"/>
      <c r="AW53" s="129"/>
      <c r="AX53" s="129"/>
      <c r="AY53" s="129"/>
      <c r="AZ53" s="129"/>
      <c r="BA53" s="129"/>
      <c r="BB53" s="129"/>
      <c r="BC53" s="129"/>
      <c r="BD53"/>
      <c r="BE53" s="120"/>
      <c r="BF53" s="120"/>
    </row>
    <row r="54" spans="1:64" s="121" customFormat="1" x14ac:dyDescent="0.25">
      <c r="A54" s="141"/>
      <c r="B54" s="270"/>
      <c r="C54" s="137"/>
      <c r="D54" s="137"/>
      <c r="E54" s="329"/>
      <c r="F54" s="137"/>
      <c r="H54" s="348"/>
      <c r="I54" s="348"/>
      <c r="J54" s="348"/>
      <c r="K54" s="348"/>
      <c r="L54" s="348"/>
      <c r="M54" s="348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349"/>
      <c r="AG54" s="349"/>
      <c r="AH54" s="349"/>
      <c r="AI54" s="349"/>
      <c r="AJ54" s="349"/>
      <c r="AK54" s="349"/>
      <c r="AL54" s="350"/>
      <c r="AM54" s="114"/>
      <c r="AN54" s="114"/>
      <c r="AO54" s="114"/>
      <c r="AP54" s="114"/>
      <c r="AQ54" s="114"/>
      <c r="AR54" s="351"/>
      <c r="AS54" s="351"/>
      <c r="AT54" s="351"/>
      <c r="AU54" s="351"/>
      <c r="AV54" s="351"/>
      <c r="AW54" s="351"/>
      <c r="AX54" s="351"/>
      <c r="AY54" s="351"/>
      <c r="AZ54" s="351"/>
      <c r="BA54" s="351"/>
      <c r="BB54" s="351"/>
      <c r="BC54" s="351"/>
      <c r="BD54"/>
      <c r="BE54" s="120"/>
      <c r="BF54" s="120"/>
    </row>
    <row r="55" spans="1:64" s="121" customFormat="1" x14ac:dyDescent="0.25">
      <c r="A55" s="141"/>
      <c r="B55" s="130" t="s">
        <v>379</v>
      </c>
      <c r="C55" s="124"/>
      <c r="D55" s="124"/>
      <c r="E55" s="125">
        <f>SUM(AF55:AQ55)</f>
        <v>257652.6</v>
      </c>
      <c r="F55" s="124">
        <f>SUM(AR55:BC55)</f>
        <v>3120508.1265907823</v>
      </c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507">
        <v>24030</v>
      </c>
      <c r="AG55" s="507">
        <v>19737</v>
      </c>
      <c r="AH55" s="507">
        <v>8754</v>
      </c>
      <c r="AI55" s="507">
        <v>9997</v>
      </c>
      <c r="AJ55" s="507">
        <v>13773</v>
      </c>
      <c r="AK55" s="507">
        <v>12587</v>
      </c>
      <c r="AL55" s="508">
        <v>28199</v>
      </c>
      <c r="AM55" s="508">
        <v>29960</v>
      </c>
      <c r="AN55" s="508">
        <v>20655.7</v>
      </c>
      <c r="AO55" s="508">
        <v>39362</v>
      </c>
      <c r="AP55" s="508">
        <v>24349.300000000003</v>
      </c>
      <c r="AQ55" s="508">
        <v>26248.600000000002</v>
      </c>
      <c r="AR55" s="129">
        <v>271157</v>
      </c>
      <c r="AS55" s="129">
        <v>255102</v>
      </c>
      <c r="AT55" s="129">
        <v>569873</v>
      </c>
      <c r="AU55" s="129">
        <v>-151765</v>
      </c>
      <c r="AV55" s="129">
        <v>222057</v>
      </c>
      <c r="AW55" s="129">
        <v>224976</v>
      </c>
      <c r="AX55" s="296">
        <v>271036.44411349797</v>
      </c>
      <c r="AY55" s="296">
        <v>280617.38489630801</v>
      </c>
      <c r="AZ55" s="296">
        <v>258298.12961273501</v>
      </c>
      <c r="BA55" s="296">
        <v>342447.64256655599</v>
      </c>
      <c r="BB55" s="296">
        <v>284289.722055764</v>
      </c>
      <c r="BC55" s="296">
        <v>292418.80334592098</v>
      </c>
      <c r="BD55"/>
      <c r="BE55" s="120"/>
      <c r="BF55" s="120"/>
    </row>
    <row r="56" spans="1:64" s="121" customFormat="1" x14ac:dyDescent="0.25">
      <c r="A56" s="141"/>
      <c r="B56" s="130" t="s">
        <v>236</v>
      </c>
      <c r="C56" s="112">
        <f>SUM(C50:C50)</f>
        <v>12</v>
      </c>
      <c r="D56" s="112"/>
      <c r="E56" s="123">
        <f t="shared" si="56"/>
        <v>257652.70000000004</v>
      </c>
      <c r="F56" s="112">
        <f>SUM(AR56:BC56)</f>
        <v>3120508.4699999997</v>
      </c>
      <c r="H56" s="88">
        <f t="shared" ref="H56:M56" si="60">H51+H53</f>
        <v>1</v>
      </c>
      <c r="I56" s="88">
        <f t="shared" si="60"/>
        <v>1</v>
      </c>
      <c r="J56" s="88">
        <f t="shared" si="60"/>
        <v>1</v>
      </c>
      <c r="K56" s="88">
        <f t="shared" si="60"/>
        <v>1</v>
      </c>
      <c r="L56" s="88">
        <f t="shared" si="60"/>
        <v>1</v>
      </c>
      <c r="M56" s="88">
        <f t="shared" si="60"/>
        <v>1</v>
      </c>
      <c r="N56" s="88">
        <f t="shared" ref="N56:S56" si="61">N51+N53</f>
        <v>1</v>
      </c>
      <c r="O56" s="88">
        <f t="shared" si="61"/>
        <v>1</v>
      </c>
      <c r="P56" s="88">
        <f t="shared" si="61"/>
        <v>1</v>
      </c>
      <c r="Q56" s="88">
        <f t="shared" si="61"/>
        <v>1</v>
      </c>
      <c r="R56" s="88">
        <f t="shared" si="61"/>
        <v>1</v>
      </c>
      <c r="S56" s="88">
        <f t="shared" si="61"/>
        <v>1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103">
        <f>ROUND(AF51+AF53,0)</f>
        <v>24030</v>
      </c>
      <c r="AG56" s="103">
        <f>+AG51+AG53</f>
        <v>19737.400000000001</v>
      </c>
      <c r="AH56" s="103">
        <f>+AH51+AH53</f>
        <v>8754</v>
      </c>
      <c r="AI56" s="103">
        <f>+AI51+AI53</f>
        <v>9997.1</v>
      </c>
      <c r="AJ56" s="103">
        <f>ROUND(AJ51+AJ53,0)</f>
        <v>13773</v>
      </c>
      <c r="AK56" s="103">
        <f t="shared" ref="AK56:AQ56" si="62">+AK51+AK53</f>
        <v>12586.6</v>
      </c>
      <c r="AL56" s="103">
        <f t="shared" si="62"/>
        <v>28198.600000000002</v>
      </c>
      <c r="AM56" s="103">
        <f t="shared" si="62"/>
        <v>29960.400000000001</v>
      </c>
      <c r="AN56" s="103">
        <f t="shared" si="62"/>
        <v>20655.7</v>
      </c>
      <c r="AO56" s="103">
        <f t="shared" si="62"/>
        <v>39362</v>
      </c>
      <c r="AP56" s="103">
        <f t="shared" si="62"/>
        <v>24349.300000000003</v>
      </c>
      <c r="AQ56" s="103">
        <f t="shared" si="62"/>
        <v>26248.600000000002</v>
      </c>
      <c r="AR56" s="119">
        <f t="shared" ref="AR56:AW56" si="63">+AR51+AR53</f>
        <v>271157.3</v>
      </c>
      <c r="AS56" s="119">
        <f>+AS51+AS53</f>
        <v>255101.81</v>
      </c>
      <c r="AT56" s="119">
        <f>+AT51+AT53</f>
        <v>569873.1</v>
      </c>
      <c r="AU56" s="119">
        <f>+AU51+AU53</f>
        <v>-151765.17000000001</v>
      </c>
      <c r="AV56" s="119">
        <f t="shared" si="63"/>
        <v>222056.92</v>
      </c>
      <c r="AW56" s="119">
        <f t="shared" si="63"/>
        <v>224976.4</v>
      </c>
      <c r="AX56" s="119">
        <f t="shared" ref="AX56:BC56" si="64">+AX51+AX53</f>
        <v>271036.44</v>
      </c>
      <c r="AY56" s="119">
        <f t="shared" si="64"/>
        <v>280617.38</v>
      </c>
      <c r="AZ56" s="119">
        <f t="shared" si="64"/>
        <v>258298.13</v>
      </c>
      <c r="BA56" s="119">
        <f t="shared" si="64"/>
        <v>342447.64</v>
      </c>
      <c r="BB56" s="119">
        <f t="shared" si="64"/>
        <v>284289.71999999997</v>
      </c>
      <c r="BC56" s="119">
        <f t="shared" si="64"/>
        <v>292418.8</v>
      </c>
      <c r="BD56"/>
      <c r="BE56" s="120"/>
      <c r="BF56" s="120"/>
    </row>
    <row r="57" spans="1:64" x14ac:dyDescent="0.25">
      <c r="G57" s="46"/>
    </row>
    <row r="58" spans="1:64" x14ac:dyDescent="0.25">
      <c r="A58" s="141"/>
      <c r="C58" s="112"/>
      <c r="D58" s="112"/>
      <c r="E58" s="123">
        <f t="shared" si="56"/>
        <v>9.999999999308784E-2</v>
      </c>
      <c r="F58" s="112">
        <f>SUM(AR58:BC58)</f>
        <v>0.34340921798138879</v>
      </c>
      <c r="G58" s="46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31">
        <f>AF55-AF51</f>
        <v>-0.2000000000007276</v>
      </c>
      <c r="AG58" s="131">
        <f t="shared" ref="AG58:AQ58" si="65">+AG55-AG51</f>
        <v>-0.40000000000145519</v>
      </c>
      <c r="AH58" s="131">
        <f t="shared" si="65"/>
        <v>0</v>
      </c>
      <c r="AI58" s="131">
        <f t="shared" si="65"/>
        <v>-0.1000000000003638</v>
      </c>
      <c r="AJ58" s="131">
        <f t="shared" si="65"/>
        <v>0.3999999999996362</v>
      </c>
      <c r="AK58" s="131">
        <f t="shared" si="65"/>
        <v>0.3999999999996362</v>
      </c>
      <c r="AL58" s="131">
        <f t="shared" si="65"/>
        <v>0.39999999999781721</v>
      </c>
      <c r="AM58" s="131">
        <f t="shared" si="65"/>
        <v>-0.40000000000145519</v>
      </c>
      <c r="AN58" s="131">
        <f t="shared" si="65"/>
        <v>0</v>
      </c>
      <c r="AO58" s="131">
        <f t="shared" si="65"/>
        <v>0</v>
      </c>
      <c r="AP58" s="131">
        <f t="shared" si="65"/>
        <v>0</v>
      </c>
      <c r="AQ58" s="131">
        <f t="shared" si="65"/>
        <v>0</v>
      </c>
      <c r="AR58" s="131">
        <f t="shared" ref="AR58:AW58" si="66">AR56-AR55</f>
        <v>0.29999999998835847</v>
      </c>
      <c r="AS58" s="131">
        <f t="shared" si="66"/>
        <v>-0.19000000000232831</v>
      </c>
      <c r="AT58" s="131">
        <f t="shared" si="66"/>
        <v>9.9999999976716936E-2</v>
      </c>
      <c r="AU58" s="131">
        <f t="shared" si="66"/>
        <v>-0.17000000001280569</v>
      </c>
      <c r="AV58" s="131">
        <f t="shared" si="66"/>
        <v>-7.9999999987194315E-2</v>
      </c>
      <c r="AW58" s="131">
        <f t="shared" si="66"/>
        <v>0.39999999999417923</v>
      </c>
      <c r="AX58" s="131">
        <f t="shared" ref="AX58:BC58" si="67">AX56-AX55</f>
        <v>-4.1134979692287743E-3</v>
      </c>
      <c r="AY58" s="131">
        <f t="shared" si="67"/>
        <v>-4.8963080043904483E-3</v>
      </c>
      <c r="AZ58" s="131">
        <f t="shared" si="67"/>
        <v>3.8726499769836664E-4</v>
      </c>
      <c r="BA58" s="131">
        <f t="shared" si="67"/>
        <v>-2.5665559805929661E-3</v>
      </c>
      <c r="BB58" s="131">
        <f t="shared" si="67"/>
        <v>-2.0557640236802399E-3</v>
      </c>
      <c r="BC58" s="131">
        <f t="shared" si="67"/>
        <v>-3.3459209953434765E-3</v>
      </c>
      <c r="BD58"/>
    </row>
    <row r="59" spans="1:64" x14ac:dyDescent="0.25">
      <c r="A59" s="141"/>
      <c r="B59" s="81" t="s">
        <v>237</v>
      </c>
      <c r="C59" s="330"/>
      <c r="D59" s="330"/>
      <c r="E59" s="331"/>
      <c r="F59" s="330"/>
      <c r="G59" s="46"/>
      <c r="H59" s="132"/>
      <c r="I59" s="132"/>
      <c r="J59" s="132"/>
      <c r="K59" s="132"/>
      <c r="L59" s="132"/>
      <c r="M59" s="13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133"/>
      <c r="AG59" s="133"/>
      <c r="AH59" s="133"/>
      <c r="AI59" s="134"/>
      <c r="AJ59" s="134"/>
      <c r="AK59" s="134"/>
      <c r="AL59" s="132"/>
      <c r="AM59" s="132"/>
      <c r="AN59" s="132"/>
      <c r="AO59" s="132"/>
      <c r="AP59" s="132"/>
      <c r="AQ59" s="132"/>
      <c r="AX59" s="134"/>
      <c r="AY59" s="134"/>
      <c r="AZ59" s="134"/>
      <c r="BA59" s="134"/>
      <c r="BB59" s="134"/>
      <c r="BC59" s="134"/>
      <c r="BD59"/>
      <c r="BF59" s="257">
        <f t="shared" ref="BF59:BK59" si="68">AR87</f>
        <v>21028.420000000002</v>
      </c>
      <c r="BG59" s="257">
        <f t="shared" si="68"/>
        <v>35681.879999999997</v>
      </c>
      <c r="BH59" s="257">
        <f t="shared" si="68"/>
        <v>-17357.060000000001</v>
      </c>
      <c r="BI59" s="257">
        <f t="shared" si="68"/>
        <v>48818.29</v>
      </c>
      <c r="BJ59" s="257">
        <f>AV87</f>
        <v>21774.6</v>
      </c>
      <c r="BK59" s="257">
        <f t="shared" si="68"/>
        <v>49846.12</v>
      </c>
      <c r="BL59" s="257">
        <f t="shared" ref="BL59:BL69" si="69">SUM(BF59:BK59)</f>
        <v>159792.25</v>
      </c>
    </row>
    <row r="60" spans="1:64" x14ac:dyDescent="0.25">
      <c r="A60" s="141" t="s">
        <v>30</v>
      </c>
      <c r="B60" s="111" t="s">
        <v>475</v>
      </c>
      <c r="C60" s="112">
        <f>SUM(H60:S60)</f>
        <v>0</v>
      </c>
      <c r="D60" s="112"/>
      <c r="E60" s="123">
        <f t="shared" si="56"/>
        <v>0</v>
      </c>
      <c r="F60" s="112">
        <f t="shared" ref="F60:F66" si="70">SUM(AR60:BC60)</f>
        <v>0</v>
      </c>
      <c r="G60" s="46"/>
      <c r="H60" s="363">
        <f>'Mar20-Aug20 Transport Actuals'!I185</f>
        <v>0</v>
      </c>
      <c r="I60" s="363">
        <f>'Mar20-Aug20 Transport Actuals'!J185</f>
        <v>0</v>
      </c>
      <c r="J60" s="363">
        <f>'Mar20-Aug20 Transport Actuals'!K185</f>
        <v>0</v>
      </c>
      <c r="K60" s="363">
        <f>'Mar20-Aug20 Transport Actuals'!L185</f>
        <v>0</v>
      </c>
      <c r="L60" s="363">
        <f>'Mar20-Aug20 Transport Actuals'!M185</f>
        <v>0</v>
      </c>
      <c r="M60" s="363">
        <f>'Mar20-Aug20 Transport Actuals'!N185</f>
        <v>0</v>
      </c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517">
        <v>0</v>
      </c>
      <c r="AG60" s="517">
        <v>0</v>
      </c>
      <c r="AH60" s="517">
        <v>0</v>
      </c>
      <c r="AI60" s="517">
        <v>0</v>
      </c>
      <c r="AJ60" s="517">
        <v>0</v>
      </c>
      <c r="AK60" s="517">
        <v>0</v>
      </c>
      <c r="AL60" s="517"/>
      <c r="AM60" s="517"/>
      <c r="AN60" s="517"/>
      <c r="AO60" s="517"/>
      <c r="AP60" s="517"/>
      <c r="AQ60" s="517"/>
      <c r="AR60" s="335">
        <v>0</v>
      </c>
      <c r="AS60" s="335">
        <v>0</v>
      </c>
      <c r="AT60" s="335">
        <v>0</v>
      </c>
      <c r="AU60" s="335">
        <v>0</v>
      </c>
      <c r="AV60" s="335">
        <v>0</v>
      </c>
      <c r="AW60" s="335">
        <v>0</v>
      </c>
      <c r="AX60" s="335"/>
      <c r="AY60" s="335"/>
      <c r="AZ60" s="335"/>
      <c r="BA60" s="335"/>
      <c r="BB60" s="335"/>
      <c r="BC60" s="335"/>
      <c r="BD60"/>
      <c r="BF60" s="251">
        <f>(AR60/(AR$70+AR$78+AR$160))*BF$59</f>
        <v>0</v>
      </c>
      <c r="BG60" s="251">
        <f t="shared" ref="BG60:BG69" si="71">(AS60/(AS$70+AS$78+AS$160))*BG$59</f>
        <v>0</v>
      </c>
      <c r="BH60" s="251">
        <f t="shared" ref="BH60:BH69" si="72">(AT60/(AT$70+AT$78+AT$160))*BH$59</f>
        <v>0</v>
      </c>
      <c r="BI60" s="251">
        <f t="shared" ref="BI60:BI69" si="73">(AU60/(AU$70+AU$78+AU$160))*BI$59</f>
        <v>0</v>
      </c>
      <c r="BJ60" s="251">
        <f t="shared" ref="BJ60:BJ69" si="74">(AV60/(AV$70+AV$78+AV$160))*BJ$59</f>
        <v>0</v>
      </c>
      <c r="BK60" s="251">
        <f t="shared" ref="BK60:BK69" si="75">(AW60/(AW$70+AW$78+AW$160))*BK$59</f>
        <v>0</v>
      </c>
      <c r="BL60" s="258">
        <f t="shared" si="69"/>
        <v>0</v>
      </c>
    </row>
    <row r="61" spans="1:64" x14ac:dyDescent="0.25">
      <c r="A61" s="141" t="s">
        <v>30</v>
      </c>
      <c r="B61" s="111" t="s">
        <v>484</v>
      </c>
      <c r="C61" s="112">
        <f t="shared" ref="C61:C70" si="76">SUM(H61:S61)</f>
        <v>0</v>
      </c>
      <c r="D61" s="112"/>
      <c r="E61" s="123">
        <f t="shared" si="56"/>
        <v>0</v>
      </c>
      <c r="F61" s="112">
        <f t="shared" si="70"/>
        <v>0</v>
      </c>
      <c r="G61" s="46"/>
      <c r="H61" s="363">
        <v>0</v>
      </c>
      <c r="I61" s="363">
        <v>0</v>
      </c>
      <c r="J61" s="363">
        <v>0</v>
      </c>
      <c r="K61" s="363">
        <v>0</v>
      </c>
      <c r="L61" s="363">
        <v>0</v>
      </c>
      <c r="M61" s="363">
        <v>0</v>
      </c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517">
        <v>0</v>
      </c>
      <c r="AG61" s="517">
        <v>0</v>
      </c>
      <c r="AH61" s="517">
        <v>0</v>
      </c>
      <c r="AI61" s="517">
        <v>0</v>
      </c>
      <c r="AJ61" s="517">
        <v>0</v>
      </c>
      <c r="AK61" s="517">
        <v>0</v>
      </c>
      <c r="AL61" s="517"/>
      <c r="AM61" s="517"/>
      <c r="AN61" s="517"/>
      <c r="AO61" s="517"/>
      <c r="AP61" s="517"/>
      <c r="AQ61" s="517"/>
      <c r="AR61" s="335">
        <v>0</v>
      </c>
      <c r="AS61" s="335">
        <v>0</v>
      </c>
      <c r="AT61" s="335">
        <v>0</v>
      </c>
      <c r="AU61" s="335">
        <v>0</v>
      </c>
      <c r="AV61" s="335">
        <v>0</v>
      </c>
      <c r="AW61" s="335">
        <v>0</v>
      </c>
      <c r="AX61" s="335"/>
      <c r="AY61" s="335"/>
      <c r="AZ61" s="335"/>
      <c r="BA61" s="335"/>
      <c r="BB61" s="335"/>
      <c r="BC61" s="335"/>
      <c r="BD61"/>
      <c r="BF61" s="251">
        <f t="shared" ref="BF61:BF69" si="77">(AR61/(AR$70+AR$78+AR$160))*BF$59</f>
        <v>0</v>
      </c>
      <c r="BG61" s="251">
        <f t="shared" si="71"/>
        <v>0</v>
      </c>
      <c r="BH61" s="251">
        <f t="shared" si="72"/>
        <v>0</v>
      </c>
      <c r="BI61" s="251">
        <f t="shared" si="73"/>
        <v>0</v>
      </c>
      <c r="BJ61" s="251">
        <f t="shared" si="74"/>
        <v>0</v>
      </c>
      <c r="BK61" s="251">
        <f t="shared" si="75"/>
        <v>0</v>
      </c>
      <c r="BL61" s="258">
        <f t="shared" si="69"/>
        <v>0</v>
      </c>
    </row>
    <row r="62" spans="1:64" x14ac:dyDescent="0.25">
      <c r="A62" s="141" t="s">
        <v>31</v>
      </c>
      <c r="B62" s="111" t="s">
        <v>476</v>
      </c>
      <c r="C62" s="112">
        <f t="shared" si="76"/>
        <v>60</v>
      </c>
      <c r="D62" s="112">
        <f>SUM(T62:AE62)</f>
        <v>1812</v>
      </c>
      <c r="E62" s="123">
        <f t="shared" si="56"/>
        <v>251531.10079636989</v>
      </c>
      <c r="F62" s="112">
        <f>SUM(AR62:BC62)+BL62</f>
        <v>664379.55141398439</v>
      </c>
      <c r="G62" s="46"/>
      <c r="H62" s="364">
        <f>'Mar20-Aug20 Transport Actuals'!I243</f>
        <v>2</v>
      </c>
      <c r="I62" s="364">
        <f>'Mar20-Aug20 Transport Actuals'!J243</f>
        <v>2</v>
      </c>
      <c r="J62" s="364">
        <f>'Mar20-Aug20 Transport Actuals'!K243</f>
        <v>2</v>
      </c>
      <c r="K62" s="364">
        <f>'Mar20-Aug20 Transport Actuals'!L243</f>
        <v>2</v>
      </c>
      <c r="L62" s="364">
        <f>'Mar20-Aug20 Transport Actuals'!M243</f>
        <v>2</v>
      </c>
      <c r="M62" s="364">
        <f>'Mar20-Aug20 Transport Actuals'!N243</f>
        <v>2</v>
      </c>
      <c r="N62" s="364">
        <f>SUMIFS('Sep20-Feb21 Transport Forecast'!$G$6:$G$46,'Sep20-Feb21 Transport Forecast'!$D$6:$D$46,$A62,'Sep20-Feb21 Transport Forecast'!$C$6:$C$46,N$4)+SUMIFS('Sep20-Feb21 Transport Forecast'!$H$6:$H$46,'Sep20-Feb21 Transport Forecast'!$D$6:$D$46,$A62,'Sep20-Feb21 Transport Forecast'!$C$6:$C$46,N$4)</f>
        <v>8</v>
      </c>
      <c r="O62" s="364">
        <f>SUMIFS('Sep20-Feb21 Transport Forecast'!$G$6:$G$46,'Sep20-Feb21 Transport Forecast'!$D$6:$D$46,$A62,'Sep20-Feb21 Transport Forecast'!$C$6:$C$46,O$4)+SUMIFS('Sep20-Feb21 Transport Forecast'!$H$6:$H$46,'Sep20-Feb21 Transport Forecast'!$D$6:$D$46,$A62,'Sep20-Feb21 Transport Forecast'!$C$6:$C$46,O$4)</f>
        <v>8</v>
      </c>
      <c r="P62" s="364">
        <f>SUMIFS('Sep20-Feb21 Transport Forecast'!$G$6:$G$46,'Sep20-Feb21 Transport Forecast'!$D$6:$D$46,$A62,'Sep20-Feb21 Transport Forecast'!$C$6:$C$46,P$4)+SUMIFS('Sep20-Feb21 Transport Forecast'!$H$6:$H$46,'Sep20-Feb21 Transport Forecast'!$D$6:$D$46,$A62,'Sep20-Feb21 Transport Forecast'!$C$6:$C$46,P$4)</f>
        <v>8</v>
      </c>
      <c r="Q62" s="364">
        <f>SUMIFS('Sep20-Feb21 Transport Forecast'!$G$6:$G$46,'Sep20-Feb21 Transport Forecast'!$D$6:$D$46,$A62,'Sep20-Feb21 Transport Forecast'!$C$6:$C$46,Q$4)+SUMIFS('Sep20-Feb21 Transport Forecast'!$H$6:$H$46,'Sep20-Feb21 Transport Forecast'!$D$6:$D$46,$A62,'Sep20-Feb21 Transport Forecast'!$C$6:$C$46,Q$4)</f>
        <v>8</v>
      </c>
      <c r="R62" s="364">
        <f>SUMIFS('Sep20-Feb21 Transport Forecast'!$G$6:$G$46,'Sep20-Feb21 Transport Forecast'!$D$6:$D$46,$A62,'Sep20-Feb21 Transport Forecast'!$C$6:$C$46,R$4)+SUMIFS('Sep20-Feb21 Transport Forecast'!$H$6:$H$46,'Sep20-Feb21 Transport Forecast'!$D$6:$D$46,$A62,'Sep20-Feb21 Transport Forecast'!$C$6:$C$46,R$4)</f>
        <v>8</v>
      </c>
      <c r="S62" s="364">
        <f>SUMIFS('Sep20-Feb21 Transport Forecast'!$G$6:$G$46,'Sep20-Feb21 Transport Forecast'!$D$6:$D$46,$A62,'Sep20-Feb21 Transport Forecast'!$C$6:$C$46,S$4)+SUMIFS('Sep20-Feb21 Transport Forecast'!$H$6:$H$46,'Sep20-Feb21 Transport Forecast'!$D$6:$D$46,$A62,'Sep20-Feb21 Transport Forecast'!$C$6:$C$46,S$4)</f>
        <v>8</v>
      </c>
      <c r="T62" s="364">
        <f>'Mar20-Aug20 Transport Actuals'!I255/24.64</f>
        <v>57.999999999999993</v>
      </c>
      <c r="U62" s="364">
        <f>'Mar20-Aug20 Transport Actuals'!J255/24.64</f>
        <v>62</v>
      </c>
      <c r="V62" s="364">
        <f>'Mar20-Aug20 Transport Actuals'!K255/24.64</f>
        <v>60</v>
      </c>
      <c r="W62" s="364">
        <f>'Mar20-Aug20 Transport Actuals'!L255/24.64</f>
        <v>62</v>
      </c>
      <c r="X62" s="364">
        <f>'Mar20-Aug20 Transport Actuals'!M255/24.64</f>
        <v>60</v>
      </c>
      <c r="Y62" s="364">
        <f>'Mar20-Aug20 Transport Actuals'!N255/24.64</f>
        <v>62</v>
      </c>
      <c r="Z62" s="364">
        <f>'Sep20-Feb21 Transport Forecast'!M8</f>
        <v>240</v>
      </c>
      <c r="AA62" s="364">
        <f>'Sep20-Feb21 Transport Forecast'!M15</f>
        <v>248</v>
      </c>
      <c r="AB62" s="364">
        <f>'Sep20-Feb21 Transport Forecast'!M22</f>
        <v>240</v>
      </c>
      <c r="AC62" s="364">
        <f>'Sep20-Feb21 Transport Forecast'!M29</f>
        <v>248</v>
      </c>
      <c r="AD62" s="364">
        <f>'Sep20-Feb21 Transport Forecast'!M36</f>
        <v>248</v>
      </c>
      <c r="AE62" s="364">
        <f>'Sep20-Feb21 Transport Forecast'!M43</f>
        <v>223.99999999999997</v>
      </c>
      <c r="AF62" s="517">
        <f>'Mar20-Aug20 Transport Actuals'!J246</f>
        <v>11851.4</v>
      </c>
      <c r="AG62" s="517">
        <f>'Mar20-Aug20 Transport Actuals'!K246</f>
        <v>11159.8</v>
      </c>
      <c r="AH62" s="517">
        <f>'Mar20-Aug20 Transport Actuals'!L246</f>
        <v>9645.7000000000007</v>
      </c>
      <c r="AI62" s="517">
        <f>'Mar20-Aug20 Transport Actuals'!M246</f>
        <v>11470.7</v>
      </c>
      <c r="AJ62" s="517">
        <f>'Mar20-Aug20 Transport Actuals'!N246</f>
        <v>8231.7000000000007</v>
      </c>
      <c r="AK62" s="517">
        <f>'Mar20-Aug20 Transport Actuals'!O246</f>
        <v>7747.9</v>
      </c>
      <c r="AL62" s="517">
        <f>SUMIFS('Sep20-Feb21 Transport Forecast'!$I$6:$I$46,'Sep20-Feb21 Transport Forecast'!$D$6:$D$46,$A62,'Sep20-Feb21 Transport Forecast'!$C$6:$C$46,N$4)+SUMIFS('Sep20-Feb21 Transport Forecast'!$J$6:$J$46,'Sep20-Feb21 Transport Forecast'!$D$6:$D$46,$A62,'Sep20-Feb21 Transport Forecast'!$C$6:$C$46,AL$4)</f>
        <v>43179.483035504163</v>
      </c>
      <c r="AM62" s="517">
        <f>SUMIFS('Sep20-Feb21 Transport Forecast'!$I$6:$I$46,'Sep20-Feb21 Transport Forecast'!$D$6:$D$46,$A62,'Sep20-Feb21 Transport Forecast'!$C$6:$C$46,O$4)+SUMIFS('Sep20-Feb21 Transport Forecast'!$J$6:$J$46,'Sep20-Feb21 Transport Forecast'!$D$6:$D$46,$A62,'Sep20-Feb21 Transport Forecast'!$C$6:$C$46,AM$4)</f>
        <v>47422.702388180667</v>
      </c>
      <c r="AN62" s="517">
        <f>SUMIFS('Sep20-Feb21 Transport Forecast'!$I$6:$I$46,'Sep20-Feb21 Transport Forecast'!$D$6:$D$46,$A62,'Sep20-Feb21 Transport Forecast'!$C$6:$C$46,P$4)+SUMIFS('Sep20-Feb21 Transport Forecast'!$J$6:$J$46,'Sep20-Feb21 Transport Forecast'!$D$6:$D$46,$A62,'Sep20-Feb21 Transport Forecast'!$C$6:$C$46,AN$4)</f>
        <v>45834.603636674488</v>
      </c>
      <c r="AO62" s="517">
        <f>SUMIFS('Sep20-Feb21 Transport Forecast'!$I$6:$I$46,'Sep20-Feb21 Transport Forecast'!$D$6:$D$46,$A62,'Sep20-Feb21 Transport Forecast'!$C$6:$C$46,Q$4)+SUMIFS('Sep20-Feb21 Transport Forecast'!$J$6:$J$46,'Sep20-Feb21 Transport Forecast'!$D$6:$D$46,$A62,'Sep20-Feb21 Transport Forecast'!$C$6:$C$46,AO$4)</f>
        <v>25748.607908548438</v>
      </c>
      <c r="AP62" s="517">
        <f>SUMIFS('Sep20-Feb21 Transport Forecast'!$I$6:$I$46,'Sep20-Feb21 Transport Forecast'!$D$6:$D$46,$A62,'Sep20-Feb21 Transport Forecast'!$C$6:$C$46,R$4)+SUMIFS('Sep20-Feb21 Transport Forecast'!$J$6:$J$46,'Sep20-Feb21 Transport Forecast'!$D$6:$D$46,$A62,'Sep20-Feb21 Transport Forecast'!$C$6:$C$46,AP$4)</f>
        <v>12583.724410719073</v>
      </c>
      <c r="AQ62" s="517">
        <f>SUMIFS('Sep20-Feb21 Transport Forecast'!$I$6:$I$46,'Sep20-Feb21 Transport Forecast'!$D$6:$D$46,$A62,'Sep20-Feb21 Transport Forecast'!$C$6:$C$46,S$4)+SUMIFS('Sep20-Feb21 Transport Forecast'!$J$6:$J$46,'Sep20-Feb21 Transport Forecast'!$D$6:$D$46,$A62,'Sep20-Feb21 Transport Forecast'!$C$6:$C$46,AQ$4)</f>
        <v>16654.779416743047</v>
      </c>
      <c r="AR62" s="335">
        <f>'Mar20-Aug20 Transport Actuals'!I263</f>
        <v>19019.059999999998</v>
      </c>
      <c r="AS62" s="335">
        <f>'Mar20-Aug20 Transport Actuals'!J263</f>
        <v>42210.68</v>
      </c>
      <c r="AT62" s="335">
        <f>'Mar20-Aug20 Transport Actuals'!K263</f>
        <v>34535.769999999997</v>
      </c>
      <c r="AU62" s="335">
        <f>'Mar20-Aug20 Transport Actuals'!L263</f>
        <v>28006.030000000002</v>
      </c>
      <c r="AV62" s="335">
        <f>'Mar20-Aug20 Transport Actuals'!M263</f>
        <v>32576.890000000003</v>
      </c>
      <c r="AW62" s="335">
        <f>'Mar20-Aug20 Transport Actuals'!N263</f>
        <v>24235.9</v>
      </c>
      <c r="AX62" s="335">
        <f>SUMIFS('Sep20-Feb21 Transport Forecast'!$AU$6:$AU$46,'Sep20-Feb21 Transport Forecast'!$D$6:$D$46,$A62,'Sep20-Feb21 Transport Forecast'!$C$6:$C$46,AX$4)-AX83</f>
        <v>94366.35</v>
      </c>
      <c r="AY62" s="335">
        <f>SUMIFS('Sep20-Feb21 Transport Forecast'!$AU$6:$AU$46,'Sep20-Feb21 Transport Forecast'!$D$6:$D$46,$A62,'Sep20-Feb21 Transport Forecast'!$C$6:$C$46,AY$4)-AY83</f>
        <v>100564.99</v>
      </c>
      <c r="AZ62" s="335">
        <f>SUMIFS('Sep20-Feb21 Transport Forecast'!$AU$6:$AU$46,'Sep20-Feb21 Transport Forecast'!$D$6:$D$46,$A62,'Sep20-Feb21 Transport Forecast'!$C$6:$C$46,AZ$4)-AZ83</f>
        <v>118792.42</v>
      </c>
      <c r="BA62" s="335">
        <f>SUMIFS('Sep20-Feb21 Transport Forecast'!$AU$6:$AU$46,'Sep20-Feb21 Transport Forecast'!$D$6:$D$46,$A62,'Sep20-Feb21 Transport Forecast'!$C$6:$C$46,BA$4)-BA83</f>
        <v>71060.460000000006</v>
      </c>
      <c r="BB62" s="335">
        <f>SUMIFS('Sep20-Feb21 Transport Forecast'!$AU$6:$AU$46,'Sep20-Feb21 Transport Forecast'!$D$6:$D$46,$A62,'Sep20-Feb21 Transport Forecast'!$C$6:$C$46,BB$4)-BB83</f>
        <v>40952.5</v>
      </c>
      <c r="BC62" s="335">
        <f>SUMIFS('Sep20-Feb21 Transport Forecast'!$AU$6:$AU$46,'Sep20-Feb21 Transport Forecast'!$D$6:$D$46,$A62,'Sep20-Feb21 Transport Forecast'!$C$6:$C$46,BC$4)-BC83</f>
        <v>50621.07</v>
      </c>
      <c r="BD62"/>
      <c r="BF62" s="251">
        <f>(AR62/(AR$70+AR$78+AR$160))*BF$59</f>
        <v>655.3539169695739</v>
      </c>
      <c r="BG62" s="251">
        <f t="shared" si="71"/>
        <v>2398.036179724822</v>
      </c>
      <c r="BH62" s="251">
        <f t="shared" si="72"/>
        <v>-901.22835454049437</v>
      </c>
      <c r="BI62" s="251">
        <f t="shared" si="73"/>
        <v>2203.4980194459813</v>
      </c>
      <c r="BJ62" s="251">
        <f t="shared" si="74"/>
        <v>1096.5132603064078</v>
      </c>
      <c r="BK62" s="251">
        <f t="shared" si="75"/>
        <v>1985.258392078181</v>
      </c>
      <c r="BL62" s="258">
        <f>SUM(BF62:BK62)</f>
        <v>7437.431413984471</v>
      </c>
    </row>
    <row r="63" spans="1:64" x14ac:dyDescent="0.25">
      <c r="A63" s="141" t="s">
        <v>491</v>
      </c>
      <c r="B63" s="111" t="s">
        <v>476</v>
      </c>
      <c r="C63" s="112">
        <f>SUM(H63:S63)</f>
        <v>36</v>
      </c>
      <c r="D63" s="112">
        <f>SUM(T63:AE63)</f>
        <v>1092</v>
      </c>
      <c r="E63" s="123">
        <f>SUM(AF63:AQ63)</f>
        <v>125080.80000000002</v>
      </c>
      <c r="F63" s="112">
        <f>SUM(AR63:BC63)+BL63</f>
        <v>340210.62374585884</v>
      </c>
      <c r="G63" s="46"/>
      <c r="H63" s="364">
        <f>'Mar20-Aug20 Transport Actuals'!I265</f>
        <v>6</v>
      </c>
      <c r="I63" s="364">
        <f>'Mar20-Aug20 Transport Actuals'!J265</f>
        <v>6</v>
      </c>
      <c r="J63" s="364">
        <f>'Mar20-Aug20 Transport Actuals'!K265</f>
        <v>6</v>
      </c>
      <c r="K63" s="364">
        <f>'Mar20-Aug20 Transport Actuals'!L265</f>
        <v>6</v>
      </c>
      <c r="L63" s="364">
        <f>'Mar20-Aug20 Transport Actuals'!M265</f>
        <v>6</v>
      </c>
      <c r="M63" s="364">
        <f>'Mar20-Aug20 Transport Actuals'!N265</f>
        <v>6</v>
      </c>
      <c r="N63" s="364"/>
      <c r="O63" s="364"/>
      <c r="P63" s="364"/>
      <c r="Q63" s="364"/>
      <c r="R63" s="364"/>
      <c r="S63" s="364"/>
      <c r="T63" s="364">
        <f>'Mar20-Aug20 Transport Actuals'!I277/24.64</f>
        <v>173.99999999999997</v>
      </c>
      <c r="U63" s="364">
        <f>'Mar20-Aug20 Transport Actuals'!J277/24.64</f>
        <v>186</v>
      </c>
      <c r="V63" s="364">
        <f>'Mar20-Aug20 Transport Actuals'!K277/24.64</f>
        <v>180</v>
      </c>
      <c r="W63" s="364">
        <f>'Mar20-Aug20 Transport Actuals'!L277/24.64</f>
        <v>186</v>
      </c>
      <c r="X63" s="364">
        <f>'Mar20-Aug20 Transport Actuals'!M277/24.64</f>
        <v>180</v>
      </c>
      <c r="Y63" s="364">
        <f>'Mar20-Aug20 Transport Actuals'!N277/24.64</f>
        <v>186</v>
      </c>
      <c r="Z63" s="364"/>
      <c r="AA63" s="364"/>
      <c r="AB63" s="364"/>
      <c r="AC63" s="364"/>
      <c r="AD63" s="364"/>
      <c r="AE63" s="364"/>
      <c r="AF63" s="517">
        <f>'Mar20-Aug20 Transport Actuals'!J268</f>
        <v>9799.2000000000007</v>
      </c>
      <c r="AG63" s="517">
        <f>'Mar20-Aug20 Transport Actuals'!K268</f>
        <v>27165.4</v>
      </c>
      <c r="AH63" s="517">
        <f>'Mar20-Aug20 Transport Actuals'!L268</f>
        <v>20809.7</v>
      </c>
      <c r="AI63" s="517">
        <f>'Mar20-Aug20 Transport Actuals'!M268</f>
        <v>18979.8</v>
      </c>
      <c r="AJ63" s="517">
        <f>'Mar20-Aug20 Transport Actuals'!N268</f>
        <v>22706.6</v>
      </c>
      <c r="AK63" s="517">
        <f>'Mar20-Aug20 Transport Actuals'!O268</f>
        <v>25620.1</v>
      </c>
      <c r="AL63" s="517">
        <f>SUMIFS('Sep20-Feb21 Transport Forecast'!$I$6:$I$46,'Sep20-Feb21 Transport Forecast'!$D$6:$D$46,$A63,'Sep20-Feb21 Transport Forecast'!$C$6:$C$46,N$4)/10+SUMIFS('Sep20-Feb21 Transport Forecast'!$J$6:$J$46,'Sep20-Feb21 Transport Forecast'!$D$6:$D$46,$A63,'Sep20-Feb21 Transport Forecast'!$C$6:$C$46,AL$4)</f>
        <v>0</v>
      </c>
      <c r="AM63" s="517"/>
      <c r="AN63" s="517"/>
      <c r="AO63" s="517"/>
      <c r="AP63" s="517"/>
      <c r="AQ63" s="517"/>
      <c r="AR63" s="335">
        <f>'Mar20-Aug20 Transport Actuals'!I286</f>
        <v>15763.51</v>
      </c>
      <c r="AS63" s="335">
        <f>'Mar20-Aug20 Transport Actuals'!J286</f>
        <v>38566.549999999996</v>
      </c>
      <c r="AT63" s="335">
        <f>'Mar20-Aug20 Transport Actuals'!K286</f>
        <v>78891.010000000009</v>
      </c>
      <c r="AU63" s="335">
        <f>'Mar20-Aug20 Transport Actuals'!L286</f>
        <v>64519.29</v>
      </c>
      <c r="AV63" s="335">
        <f>'Mar20-Aug20 Transport Actuals'!M286</f>
        <v>59476.06</v>
      </c>
      <c r="AW63" s="335">
        <f>'Mar20-Aug20 Transport Actuals'!N286</f>
        <v>69543.849999999991</v>
      </c>
      <c r="AX63" s="335"/>
      <c r="AY63" s="335"/>
      <c r="AZ63" s="335"/>
      <c r="BA63" s="335"/>
      <c r="BB63" s="335"/>
      <c r="BC63" s="335"/>
      <c r="BD63"/>
      <c r="BF63" s="251">
        <f t="shared" si="77"/>
        <v>543.17500568845412</v>
      </c>
      <c r="BG63" s="251">
        <f t="shared" si="71"/>
        <v>2191.0090580669707</v>
      </c>
      <c r="BH63" s="251">
        <f t="shared" si="72"/>
        <v>-2058.7007363767393</v>
      </c>
      <c r="BI63" s="251">
        <f t="shared" si="73"/>
        <v>5076.339907193591</v>
      </c>
      <c r="BJ63" s="251">
        <f t="shared" si="74"/>
        <v>2001.9187976746559</v>
      </c>
      <c r="BK63" s="251">
        <f t="shared" si="75"/>
        <v>5696.611713611881</v>
      </c>
      <c r="BL63" s="258">
        <f t="shared" si="69"/>
        <v>13450.353745858814</v>
      </c>
    </row>
    <row r="64" spans="1:64" x14ac:dyDescent="0.25">
      <c r="A64" s="141" t="s">
        <v>31</v>
      </c>
      <c r="B64" s="111" t="s">
        <v>483</v>
      </c>
      <c r="C64" s="112">
        <f t="shared" si="76"/>
        <v>0</v>
      </c>
      <c r="D64" s="112"/>
      <c r="E64" s="123">
        <f t="shared" si="56"/>
        <v>0</v>
      </c>
      <c r="F64" s="112">
        <f>SUM(AR64:BC64)+BL64</f>
        <v>0</v>
      </c>
      <c r="G64" s="46"/>
      <c r="H64" s="364">
        <v>0</v>
      </c>
      <c r="I64" s="364">
        <v>0</v>
      </c>
      <c r="J64" s="364">
        <v>0</v>
      </c>
      <c r="K64" s="364">
        <v>0</v>
      </c>
      <c r="L64" s="364">
        <v>0</v>
      </c>
      <c r="M64" s="364">
        <v>0</v>
      </c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517">
        <f>'Mar20-Aug20 Transport Actuals'!J342</f>
        <v>0</v>
      </c>
      <c r="AG64" s="517">
        <f>'Mar20-Aug20 Transport Actuals'!K342</f>
        <v>0</v>
      </c>
      <c r="AH64" s="517">
        <f>'Mar20-Aug20 Transport Actuals'!L342</f>
        <v>0</v>
      </c>
      <c r="AI64" s="517">
        <f>'Mar20-Aug20 Transport Actuals'!M342</f>
        <v>0</v>
      </c>
      <c r="AJ64" s="517">
        <f>'Mar20-Aug20 Transport Actuals'!N342</f>
        <v>0</v>
      </c>
      <c r="AK64" s="517">
        <f>'Mar20-Aug20 Transport Actuals'!O342</f>
        <v>0</v>
      </c>
      <c r="AL64" s="517"/>
      <c r="AM64" s="517"/>
      <c r="AN64" s="517"/>
      <c r="AO64" s="517"/>
      <c r="AP64" s="517"/>
      <c r="AQ64" s="517"/>
      <c r="AR64" s="335">
        <f>'Mar20-Aug20 Transport Actuals'!I359</f>
        <v>0</v>
      </c>
      <c r="AS64" s="335">
        <f>'Mar20-Aug20 Transport Actuals'!K359</f>
        <v>0</v>
      </c>
      <c r="AT64" s="335">
        <f>'Mar20-Aug20 Transport Actuals'!L359</f>
        <v>0</v>
      </c>
      <c r="AU64" s="335">
        <f>'Mar20-Aug20 Transport Actuals'!M359</f>
        <v>0</v>
      </c>
      <c r="AV64" s="335">
        <f>'Mar20-Aug20 Transport Actuals'!N359</f>
        <v>0</v>
      </c>
      <c r="AW64" s="335">
        <f>'Mar20-Aug20 Transport Actuals'!O359</f>
        <v>0</v>
      </c>
      <c r="AX64" s="335"/>
      <c r="AY64" s="335"/>
      <c r="AZ64" s="335"/>
      <c r="BA64" s="335"/>
      <c r="BB64" s="335"/>
      <c r="BC64" s="335"/>
      <c r="BD64"/>
      <c r="BF64" s="251">
        <f t="shared" si="77"/>
        <v>0</v>
      </c>
      <c r="BG64" s="251">
        <f t="shared" si="71"/>
        <v>0</v>
      </c>
      <c r="BH64" s="251">
        <f t="shared" si="72"/>
        <v>0</v>
      </c>
      <c r="BI64" s="251">
        <f t="shared" si="73"/>
        <v>0</v>
      </c>
      <c r="BJ64" s="251">
        <f t="shared" si="74"/>
        <v>0</v>
      </c>
      <c r="BK64" s="251">
        <f t="shared" si="75"/>
        <v>0</v>
      </c>
      <c r="BL64" s="258">
        <f t="shared" si="69"/>
        <v>0</v>
      </c>
    </row>
    <row r="65" spans="1:69" x14ac:dyDescent="0.25">
      <c r="A65" s="141" t="s">
        <v>47</v>
      </c>
      <c r="B65" s="111" t="s">
        <v>477</v>
      </c>
      <c r="C65" s="112">
        <f t="shared" si="76"/>
        <v>0</v>
      </c>
      <c r="D65" s="112"/>
      <c r="E65" s="123">
        <f t="shared" si="56"/>
        <v>0</v>
      </c>
      <c r="F65" s="112">
        <f t="shared" si="70"/>
        <v>0</v>
      </c>
      <c r="G65" s="46"/>
      <c r="H65" s="363">
        <v>0</v>
      </c>
      <c r="I65" s="363">
        <v>0</v>
      </c>
      <c r="J65" s="363">
        <v>0</v>
      </c>
      <c r="K65" s="363">
        <v>0</v>
      </c>
      <c r="L65" s="363">
        <v>0</v>
      </c>
      <c r="M65" s="363">
        <v>0</v>
      </c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517">
        <f>'Mar20-Aug20 Transport Actuals'!J210</f>
        <v>0</v>
      </c>
      <c r="AG65" s="517">
        <f>'Mar20-Aug20 Transport Actuals'!K210</f>
        <v>0</v>
      </c>
      <c r="AH65" s="517">
        <f>'Mar20-Aug20 Transport Actuals'!L210</f>
        <v>0</v>
      </c>
      <c r="AI65" s="517">
        <f>'Mar20-Aug20 Transport Actuals'!M210</f>
        <v>0</v>
      </c>
      <c r="AJ65" s="517">
        <f>'Mar20-Aug20 Transport Actuals'!N210</f>
        <v>0</v>
      </c>
      <c r="AK65" s="517">
        <f>'Mar20-Aug20 Transport Actuals'!O210</f>
        <v>0</v>
      </c>
      <c r="AL65" s="517"/>
      <c r="AM65" s="517"/>
      <c r="AN65" s="517"/>
      <c r="AO65" s="517"/>
      <c r="AP65" s="517"/>
      <c r="AQ65" s="517"/>
      <c r="AR65" s="335">
        <f>'Mar20-Aug20 Transport Actuals'!I234</f>
        <v>0</v>
      </c>
      <c r="AS65" s="335">
        <f>'Mar20-Aug20 Transport Actuals'!K234</f>
        <v>0</v>
      </c>
      <c r="AT65" s="335">
        <f>'Mar20-Aug20 Transport Actuals'!L234</f>
        <v>0</v>
      </c>
      <c r="AU65" s="335">
        <f>'Mar20-Aug20 Transport Actuals'!M234</f>
        <v>0</v>
      </c>
      <c r="AV65" s="335">
        <f>'Mar20-Aug20 Transport Actuals'!N234</f>
        <v>0</v>
      </c>
      <c r="AW65" s="335">
        <f>'Mar20-Aug20 Transport Actuals'!O234</f>
        <v>0</v>
      </c>
      <c r="AX65" s="335"/>
      <c r="AY65" s="335"/>
      <c r="AZ65" s="335"/>
      <c r="BA65" s="335"/>
      <c r="BB65" s="335"/>
      <c r="BC65" s="335"/>
      <c r="BD65"/>
      <c r="BE65" s="121"/>
      <c r="BF65" s="251">
        <f t="shared" si="77"/>
        <v>0</v>
      </c>
      <c r="BG65" s="251">
        <f t="shared" si="71"/>
        <v>0</v>
      </c>
      <c r="BH65" s="251">
        <f t="shared" si="72"/>
        <v>0</v>
      </c>
      <c r="BI65" s="251">
        <f t="shared" si="73"/>
        <v>0</v>
      </c>
      <c r="BJ65" s="251">
        <f t="shared" si="74"/>
        <v>0</v>
      </c>
      <c r="BK65" s="251">
        <f t="shared" si="75"/>
        <v>0</v>
      </c>
      <c r="BL65" s="258">
        <f t="shared" si="69"/>
        <v>0</v>
      </c>
    </row>
    <row r="66" spans="1:69" x14ac:dyDescent="0.25">
      <c r="A66" s="141" t="s">
        <v>47</v>
      </c>
      <c r="B66" s="111" t="s">
        <v>485</v>
      </c>
      <c r="C66" s="112">
        <f t="shared" si="76"/>
        <v>0</v>
      </c>
      <c r="D66" s="112"/>
      <c r="E66" s="123">
        <f t="shared" si="56"/>
        <v>0</v>
      </c>
      <c r="F66" s="112">
        <f t="shared" si="70"/>
        <v>0</v>
      </c>
      <c r="G66" s="46"/>
      <c r="H66" s="363">
        <v>0</v>
      </c>
      <c r="I66" s="363">
        <v>0</v>
      </c>
      <c r="J66" s="363">
        <v>0</v>
      </c>
      <c r="K66" s="363">
        <v>0</v>
      </c>
      <c r="L66" s="363">
        <v>0</v>
      </c>
      <c r="M66" s="363">
        <v>0</v>
      </c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517">
        <v>0</v>
      </c>
      <c r="AG66" s="517">
        <v>0</v>
      </c>
      <c r="AH66" s="517">
        <v>0</v>
      </c>
      <c r="AI66" s="517">
        <v>0</v>
      </c>
      <c r="AJ66" s="517">
        <v>0</v>
      </c>
      <c r="AK66" s="517">
        <v>0</v>
      </c>
      <c r="AL66" s="517"/>
      <c r="AM66" s="517"/>
      <c r="AN66" s="517"/>
      <c r="AO66" s="517"/>
      <c r="AP66" s="517"/>
      <c r="AQ66" s="517"/>
      <c r="AR66" s="335">
        <v>0</v>
      </c>
      <c r="AS66" s="335">
        <v>0</v>
      </c>
      <c r="AT66" s="335">
        <v>0</v>
      </c>
      <c r="AU66" s="335">
        <v>0</v>
      </c>
      <c r="AV66" s="335">
        <v>0</v>
      </c>
      <c r="AW66" s="335">
        <v>0</v>
      </c>
      <c r="AX66" s="335"/>
      <c r="AY66" s="335"/>
      <c r="AZ66" s="335"/>
      <c r="BA66" s="335"/>
      <c r="BB66" s="335"/>
      <c r="BC66" s="335"/>
      <c r="BD66"/>
      <c r="BE66" s="121"/>
      <c r="BF66" s="251">
        <f t="shared" si="77"/>
        <v>0</v>
      </c>
      <c r="BG66" s="251">
        <f t="shared" si="71"/>
        <v>0</v>
      </c>
      <c r="BH66" s="251">
        <f t="shared" si="72"/>
        <v>0</v>
      </c>
      <c r="BI66" s="251">
        <f t="shared" si="73"/>
        <v>0</v>
      </c>
      <c r="BJ66" s="251">
        <f t="shared" si="74"/>
        <v>0</v>
      </c>
      <c r="BK66" s="251">
        <f t="shared" si="75"/>
        <v>0</v>
      </c>
      <c r="BL66" s="258">
        <f t="shared" si="69"/>
        <v>0</v>
      </c>
    </row>
    <row r="67" spans="1:69" x14ac:dyDescent="0.25">
      <c r="A67" s="141" t="s">
        <v>53</v>
      </c>
      <c r="B67" s="111" t="s">
        <v>478</v>
      </c>
      <c r="C67" s="112">
        <f t="shared" si="76"/>
        <v>12</v>
      </c>
      <c r="D67" s="112"/>
      <c r="E67" s="123">
        <f t="shared" si="56"/>
        <v>135652.82500000001</v>
      </c>
      <c r="F67" s="112">
        <f>SUM(AR67:BC67)+BL67</f>
        <v>230035.21299077765</v>
      </c>
      <c r="G67" s="808"/>
      <c r="H67" s="367">
        <f>'Mar20-Aug20 Transport Actuals'!I298</f>
        <v>1</v>
      </c>
      <c r="I67" s="367">
        <f>'Mar20-Aug20 Transport Actuals'!J298</f>
        <v>1</v>
      </c>
      <c r="J67" s="367">
        <f>'Mar20-Aug20 Transport Actuals'!K298</f>
        <v>1</v>
      </c>
      <c r="K67" s="367">
        <f>'Mar20-Aug20 Transport Actuals'!L298</f>
        <v>1</v>
      </c>
      <c r="L67" s="367">
        <f>'Mar20-Aug20 Transport Actuals'!M298</f>
        <v>1</v>
      </c>
      <c r="M67" s="367">
        <f>'Mar20-Aug20 Transport Actuals'!N298</f>
        <v>1</v>
      </c>
      <c r="N67" s="364">
        <f>SUMIFS('Sep20-Feb21 Transport Forecast'!$G$6:$G$46,'Sep20-Feb21 Transport Forecast'!$D$6:$D$46,$A67,'Sep20-Feb21 Transport Forecast'!$C$6:$C$46,N$4)</f>
        <v>1</v>
      </c>
      <c r="O67" s="364">
        <f>SUMIFS('Sep20-Feb21 Transport Forecast'!$G$6:$G$46,'Sep20-Feb21 Transport Forecast'!$D$6:$D$46,$A67,'Sep20-Feb21 Transport Forecast'!$C$6:$C$46,O$4)</f>
        <v>1</v>
      </c>
      <c r="P67" s="364">
        <f>SUMIFS('Sep20-Feb21 Transport Forecast'!$G$6:$G$46,'Sep20-Feb21 Transport Forecast'!$D$6:$D$46,$A67,'Sep20-Feb21 Transport Forecast'!$C$6:$C$46,P$4)</f>
        <v>1</v>
      </c>
      <c r="Q67" s="364">
        <f>SUMIFS('Sep20-Feb21 Transport Forecast'!$G$6:$G$46,'Sep20-Feb21 Transport Forecast'!$D$6:$D$46,$A67,'Sep20-Feb21 Transport Forecast'!$C$6:$C$46,Q$4)</f>
        <v>1</v>
      </c>
      <c r="R67" s="364">
        <f>SUMIFS('Sep20-Feb21 Transport Forecast'!$G$6:$G$46,'Sep20-Feb21 Transport Forecast'!$D$6:$D$46,$A67,'Sep20-Feb21 Transport Forecast'!$C$6:$C$46,R$4)</f>
        <v>1</v>
      </c>
      <c r="S67" s="364">
        <f>SUMIFS('Sep20-Feb21 Transport Forecast'!$G$6:$G$46,'Sep20-Feb21 Transport Forecast'!$D$6:$D$46,$A67,'Sep20-Feb21 Transport Forecast'!$C$6:$C$46,S$4)</f>
        <v>1</v>
      </c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518">
        <f>'Mar20-Aug20 Transport Actuals'!J299</f>
        <v>8601.5</v>
      </c>
      <c r="AG67" s="518">
        <f>'Mar20-Aug20 Transport Actuals'!K299</f>
        <v>17338.900000000001</v>
      </c>
      <c r="AH67" s="518">
        <f>'Mar20-Aug20 Transport Actuals'!L299</f>
        <v>8814.7999999999993</v>
      </c>
      <c r="AI67" s="518">
        <f>'Mar20-Aug20 Transport Actuals'!M299</f>
        <v>18966</v>
      </c>
      <c r="AJ67" s="518">
        <f>'Mar20-Aug20 Transport Actuals'!N299</f>
        <v>18.899999999999999</v>
      </c>
      <c r="AK67" s="518">
        <f>'Mar20-Aug20 Transport Actuals'!O299</f>
        <v>20677.3</v>
      </c>
      <c r="AL67" s="517">
        <f>SUMIFS('Sep20-Feb21 Transport Forecast'!$I$6:$I$46,'Sep20-Feb21 Transport Forecast'!$D$6:$D$46,$A67,'Sep20-Feb21 Transport Forecast'!$C$6:$C$46,N$4)+SUMIFS('Sep20-Feb21 Transport Forecast'!$J$6:$J$46,'Sep20-Feb21 Transport Forecast'!$D$6:$D$46,$A67,'Sep20-Feb21 Transport Forecast'!$C$6:$C$46,AL$4)</f>
        <v>12457.35</v>
      </c>
      <c r="AM67" s="517">
        <f>SUMIFS('Sep20-Feb21 Transport Forecast'!$I$6:$I$46,'Sep20-Feb21 Transport Forecast'!$D$6:$D$46,$A67,'Sep20-Feb21 Transport Forecast'!$C$6:$C$46,O$4)+SUMIFS('Sep20-Feb21 Transport Forecast'!$J$6:$J$46,'Sep20-Feb21 Transport Forecast'!$D$6:$D$46,$A67,'Sep20-Feb21 Transport Forecast'!$C$6:$C$46,AM$4)</f>
        <v>13371.75</v>
      </c>
      <c r="AN67" s="517">
        <f>SUMIFS('Sep20-Feb21 Transport Forecast'!$I$6:$I$46,'Sep20-Feb21 Transport Forecast'!$D$6:$D$46,$A67,'Sep20-Feb21 Transport Forecast'!$C$6:$C$46,P$4)+SUMIFS('Sep20-Feb21 Transport Forecast'!$J$6:$J$46,'Sep20-Feb21 Transport Forecast'!$D$6:$D$46,$A67,'Sep20-Feb21 Transport Forecast'!$C$6:$C$46,AN$4)</f>
        <v>13842.125</v>
      </c>
      <c r="AO67" s="517">
        <f>SUMIFS('Sep20-Feb21 Transport Forecast'!$I$6:$I$46,'Sep20-Feb21 Transport Forecast'!$D$6:$D$46,$A67,'Sep20-Feb21 Transport Forecast'!$C$6:$C$46,Q$4)+SUMIFS('Sep20-Feb21 Transport Forecast'!$J$6:$J$46,'Sep20-Feb21 Transport Forecast'!$D$6:$D$46,$A67,'Sep20-Feb21 Transport Forecast'!$C$6:$C$46,AO$4)</f>
        <v>8835.5</v>
      </c>
      <c r="AP67" s="517">
        <f>SUMIFS('Sep20-Feb21 Transport Forecast'!$I$6:$I$46,'Sep20-Feb21 Transport Forecast'!$D$6:$D$46,$A67,'Sep20-Feb21 Transport Forecast'!$C$6:$C$46,R$4)+SUMIFS('Sep20-Feb21 Transport Forecast'!$J$6:$J$46,'Sep20-Feb21 Transport Forecast'!$D$6:$D$46,$A67,'Sep20-Feb21 Transport Forecast'!$C$6:$C$46,AP$4)</f>
        <v>6889.6250000000018</v>
      </c>
      <c r="AQ67" s="517">
        <f>SUMIFS('Sep20-Feb21 Transport Forecast'!$I$6:$I$46,'Sep20-Feb21 Transport Forecast'!$D$6:$D$46,$A67,'Sep20-Feb21 Transport Forecast'!$C$6:$C$46,S$4)+SUMIFS('Sep20-Feb21 Transport Forecast'!$J$6:$J$46,'Sep20-Feb21 Transport Forecast'!$D$6:$D$46,$A67,'Sep20-Feb21 Transport Forecast'!$C$6:$C$46,AQ$4)</f>
        <v>5839.0749999999998</v>
      </c>
      <c r="AR67" s="336">
        <f>'Mar20-Aug20 Transport Actuals'!I313</f>
        <v>34586.796679999999</v>
      </c>
      <c r="AS67" s="336">
        <f>'Mar20-Aug20 Transport Actuals'!J313</f>
        <v>17986.226599999998</v>
      </c>
      <c r="AT67" s="336">
        <f>'Mar20-Aug20 Transport Actuals'!K313</f>
        <v>35124.64516</v>
      </c>
      <c r="AU67" s="336">
        <f>'Mar20-Aug20 Transport Actuals'!L313</f>
        <v>19159.96312</v>
      </c>
      <c r="AV67" s="336">
        <f>'Mar20-Aug20 Transport Actuals'!M313</f>
        <v>39887.690399999992</v>
      </c>
      <c r="AW67" s="336">
        <f>'Mar20-Aug20 Transport Actuals'!N313</f>
        <v>1199.60716</v>
      </c>
      <c r="AX67" s="335">
        <f>SUMIFS('Sep20-Feb21 Transport Forecast'!$AU$6:$AU$46,'Sep20-Feb21 Transport Forecast'!$D$6:$D$46,$A67,'Sep20-Feb21 Transport Forecast'!$C$6:$C$46,AX$4)</f>
        <v>16097.17</v>
      </c>
      <c r="AY67" s="335">
        <f>SUMIFS('Sep20-Feb21 Transport Forecast'!$AU$6:$AU$46,'Sep20-Feb21 Transport Forecast'!$D$6:$D$46,$A67,'Sep20-Feb21 Transport Forecast'!$C$6:$C$46,AY$4)</f>
        <v>16842.060000000001</v>
      </c>
      <c r="AZ67" s="335">
        <f>SUMIFS('Sep20-Feb21 Transport Forecast'!$AU$6:$AU$46,'Sep20-Feb21 Transport Forecast'!$D$6:$D$46,$A67,'Sep20-Feb21 Transport Forecast'!$C$6:$C$46,AZ$4)</f>
        <v>16911.5</v>
      </c>
      <c r="BA67" s="335">
        <f>SUMIFS('Sep20-Feb21 Transport Forecast'!$AU$6:$AU$46,'Sep20-Feb21 Transport Forecast'!$D$6:$D$46,$A67,'Sep20-Feb21 Transport Forecast'!$C$6:$C$46,BA$4)</f>
        <v>11085.89</v>
      </c>
      <c r="BB67" s="335">
        <f>SUMIFS('Sep20-Feb21 Transport Forecast'!$AU$6:$AU$46,'Sep20-Feb21 Transport Forecast'!$D$6:$D$46,$A67,'Sep20-Feb21 Transport Forecast'!$C$6:$C$46,BB$4)</f>
        <v>8998.75</v>
      </c>
      <c r="BC67" s="335">
        <f>SUMIFS('Sep20-Feb21 Transport Forecast'!$AU$6:$AU$46,'Sep20-Feb21 Transport Forecast'!$D$6:$D$46,$A67,'Sep20-Feb21 Transport Forecast'!$C$6:$C$46,BC$4)</f>
        <v>7909.56</v>
      </c>
      <c r="BD67"/>
      <c r="BE67" s="121"/>
      <c r="BF67" s="251">
        <f t="shared" si="77"/>
        <v>1191.7830155469439</v>
      </c>
      <c r="BG67" s="251">
        <f t="shared" si="71"/>
        <v>1021.8177514204692</v>
      </c>
      <c r="BH67" s="251">
        <f t="shared" si="72"/>
        <v>-916.59534915148959</v>
      </c>
      <c r="BI67" s="251">
        <f t="shared" si="73"/>
        <v>1507.4946640983405</v>
      </c>
      <c r="BJ67" s="251">
        <f t="shared" si="74"/>
        <v>1342.5892234217754</v>
      </c>
      <c r="BK67" s="251">
        <f t="shared" si="75"/>
        <v>98.264565441641253</v>
      </c>
      <c r="BL67" s="258">
        <f t="shared" si="69"/>
        <v>4245.3538707776806</v>
      </c>
    </row>
    <row r="68" spans="1:69" x14ac:dyDescent="0.25">
      <c r="A68" s="141" t="s">
        <v>493</v>
      </c>
      <c r="B68" s="111" t="s">
        <v>478</v>
      </c>
      <c r="C68" s="112">
        <f>SUM(H68:S68)</f>
        <v>0</v>
      </c>
      <c r="D68" s="112"/>
      <c r="E68" s="123">
        <f>SUM(AF68:AQ68)</f>
        <v>0</v>
      </c>
      <c r="F68" s="112">
        <f>SUM(AR68:BC68)+BL68</f>
        <v>0</v>
      </c>
      <c r="G68" s="808"/>
      <c r="H68" s="367">
        <f>'Mar20-Aug20 Transport Actuals'!I315</f>
        <v>0</v>
      </c>
      <c r="I68" s="367">
        <f>'Mar20-Aug20 Transport Actuals'!J315</f>
        <v>0</v>
      </c>
      <c r="J68" s="367">
        <f>'Mar20-Aug20 Transport Actuals'!K315</f>
        <v>0</v>
      </c>
      <c r="K68" s="367">
        <f>'Mar20-Aug20 Transport Actuals'!L315</f>
        <v>0</v>
      </c>
      <c r="L68" s="367">
        <f>'Mar20-Aug20 Transport Actuals'!M315</f>
        <v>0</v>
      </c>
      <c r="M68" s="367">
        <f>'Mar20-Aug20 Transport Actuals'!N315</f>
        <v>0</v>
      </c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518"/>
      <c r="AG68" s="518"/>
      <c r="AH68" s="518"/>
      <c r="AI68" s="518"/>
      <c r="AJ68" s="518"/>
      <c r="AK68" s="518"/>
      <c r="AL68" s="517"/>
      <c r="AM68" s="517"/>
      <c r="AN68" s="517"/>
      <c r="AO68" s="517"/>
      <c r="AP68" s="517"/>
      <c r="AQ68" s="517"/>
      <c r="AR68" s="336">
        <f>'Mar20-Aug20 Transport Actuals'!I330</f>
        <v>0</v>
      </c>
      <c r="AS68" s="336">
        <f>'Mar20-Aug20 Transport Actuals'!K330</f>
        <v>0</v>
      </c>
      <c r="AT68" s="336">
        <f>'Mar20-Aug20 Transport Actuals'!L330</f>
        <v>0</v>
      </c>
      <c r="AU68" s="336">
        <f>'Mar20-Aug20 Transport Actuals'!M330</f>
        <v>0</v>
      </c>
      <c r="AV68" s="336">
        <f>'Mar20-Aug20 Transport Actuals'!N330</f>
        <v>0</v>
      </c>
      <c r="AW68" s="335">
        <f>'Mar20-Aug20 Transport Actuals'!O330</f>
        <v>0</v>
      </c>
      <c r="AX68" s="335"/>
      <c r="AY68" s="335"/>
      <c r="AZ68" s="335"/>
      <c r="BA68" s="335"/>
      <c r="BB68" s="335"/>
      <c r="BC68" s="335"/>
      <c r="BD68"/>
      <c r="BE68" s="121"/>
      <c r="BF68" s="251">
        <f t="shared" si="77"/>
        <v>0</v>
      </c>
      <c r="BG68" s="251">
        <f t="shared" si="71"/>
        <v>0</v>
      </c>
      <c r="BH68" s="251">
        <f t="shared" si="72"/>
        <v>0</v>
      </c>
      <c r="BI68" s="251">
        <f t="shared" si="73"/>
        <v>0</v>
      </c>
      <c r="BJ68" s="251">
        <f t="shared" si="74"/>
        <v>0</v>
      </c>
      <c r="BK68" s="251">
        <f t="shared" si="75"/>
        <v>0</v>
      </c>
      <c r="BL68" s="258">
        <f t="shared" si="69"/>
        <v>0</v>
      </c>
    </row>
    <row r="69" spans="1:69" x14ac:dyDescent="0.25">
      <c r="A69" s="141" t="s">
        <v>481</v>
      </c>
      <c r="B69" s="111" t="s">
        <v>482</v>
      </c>
      <c r="C69" s="124">
        <f t="shared" si="76"/>
        <v>0</v>
      </c>
      <c r="D69" s="124"/>
      <c r="E69" s="125">
        <f t="shared" si="56"/>
        <v>0</v>
      </c>
      <c r="F69" s="124">
        <f>SUM(AR69:BC69)+BL69</f>
        <v>0</v>
      </c>
      <c r="G69" s="46"/>
      <c r="H69" s="365">
        <f>'Mar20-Aug20 Transport Actuals'!I362</f>
        <v>0</v>
      </c>
      <c r="I69" s="365">
        <f>'Mar20-Aug20 Transport Actuals'!J362</f>
        <v>0</v>
      </c>
      <c r="J69" s="365">
        <f>'Mar20-Aug20 Transport Actuals'!K362</f>
        <v>0</v>
      </c>
      <c r="K69" s="365">
        <f>'Mar20-Aug20 Transport Actuals'!L362</f>
        <v>0</v>
      </c>
      <c r="L69" s="365">
        <f>'Mar20-Aug20 Transport Actuals'!M362</f>
        <v>0</v>
      </c>
      <c r="M69" s="365">
        <f>'Mar20-Aug20 Transport Actuals'!N362</f>
        <v>0</v>
      </c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  <c r="AA69" s="366"/>
      <c r="AB69" s="366"/>
      <c r="AC69" s="366"/>
      <c r="AD69" s="366"/>
      <c r="AE69" s="366"/>
      <c r="AF69" s="519">
        <f>'Mar20-Aug20 Transport Actuals'!J363</f>
        <v>0</v>
      </c>
      <c r="AG69" s="519">
        <f>'Mar20-Aug20 Transport Actuals'!K363</f>
        <v>0</v>
      </c>
      <c r="AH69" s="519">
        <f>'Mar20-Aug20 Transport Actuals'!L363</f>
        <v>0</v>
      </c>
      <c r="AI69" s="519">
        <f>'Mar20-Aug20 Transport Actuals'!M363</f>
        <v>0</v>
      </c>
      <c r="AJ69" s="519">
        <f>'Mar20-Aug20 Transport Actuals'!N363</f>
        <v>0</v>
      </c>
      <c r="AK69" s="519">
        <f>'Mar20-Aug20 Transport Actuals'!O363</f>
        <v>0</v>
      </c>
      <c r="AL69" s="519"/>
      <c r="AM69" s="519"/>
      <c r="AN69" s="519"/>
      <c r="AO69" s="519"/>
      <c r="AP69" s="519"/>
      <c r="AQ69" s="519"/>
      <c r="AR69" s="338">
        <f>'Mar20-Aug20 Transport Actuals'!I376</f>
        <v>0</v>
      </c>
      <c r="AS69" s="338">
        <f>'Mar20-Aug20 Transport Actuals'!K376</f>
        <v>0</v>
      </c>
      <c r="AT69" s="338">
        <f>'Mar20-Aug20 Transport Actuals'!L376</f>
        <v>0</v>
      </c>
      <c r="AU69" s="338">
        <f>'Mar20-Aug20 Transport Actuals'!M376</f>
        <v>0</v>
      </c>
      <c r="AV69" s="338">
        <f>'Mar20-Aug20 Transport Actuals'!N376</f>
        <v>0</v>
      </c>
      <c r="AW69" s="340">
        <f>'Mar20-Aug20 Transport Actuals'!O376</f>
        <v>0</v>
      </c>
      <c r="AX69" s="340"/>
      <c r="AY69" s="340"/>
      <c r="AZ69" s="340"/>
      <c r="BA69" s="340"/>
      <c r="BB69" s="340"/>
      <c r="BC69" s="340"/>
      <c r="BD69"/>
      <c r="BE69" s="121"/>
      <c r="BF69" s="536">
        <f t="shared" si="77"/>
        <v>0</v>
      </c>
      <c r="BG69" s="536">
        <f t="shared" si="71"/>
        <v>0</v>
      </c>
      <c r="BH69" s="536">
        <f t="shared" si="72"/>
        <v>0</v>
      </c>
      <c r="BI69" s="536">
        <f t="shared" si="73"/>
        <v>0</v>
      </c>
      <c r="BJ69" s="536">
        <f t="shared" si="74"/>
        <v>0</v>
      </c>
      <c r="BK69" s="536">
        <f t="shared" si="75"/>
        <v>0</v>
      </c>
      <c r="BL69" s="258">
        <f t="shared" si="69"/>
        <v>0</v>
      </c>
    </row>
    <row r="70" spans="1:69" x14ac:dyDescent="0.25">
      <c r="A70" s="141"/>
      <c r="B70" s="111" t="s">
        <v>479</v>
      </c>
      <c r="C70" s="112">
        <f t="shared" si="76"/>
        <v>108</v>
      </c>
      <c r="D70" s="112">
        <f>SUM(T70:AE70)</f>
        <v>2904</v>
      </c>
      <c r="E70" s="123">
        <f t="shared" si="56"/>
        <v>512264.72579636984</v>
      </c>
      <c r="F70" s="112">
        <f>SUM(AR70:BC70)+BL70</f>
        <v>1234625.388150621</v>
      </c>
      <c r="G70" s="46"/>
      <c r="H70" s="363">
        <f>SUM(H60:H69)</f>
        <v>9</v>
      </c>
      <c r="I70" s="363">
        <f t="shared" ref="I70:AE70" si="78">SUM(I60:I69)</f>
        <v>9</v>
      </c>
      <c r="J70" s="363">
        <f t="shared" si="78"/>
        <v>9</v>
      </c>
      <c r="K70" s="363">
        <f t="shared" si="78"/>
        <v>9</v>
      </c>
      <c r="L70" s="363">
        <f t="shared" si="78"/>
        <v>9</v>
      </c>
      <c r="M70" s="363">
        <f t="shared" si="78"/>
        <v>9</v>
      </c>
      <c r="N70" s="363">
        <f t="shared" si="78"/>
        <v>9</v>
      </c>
      <c r="O70" s="363">
        <f t="shared" si="78"/>
        <v>9</v>
      </c>
      <c r="P70" s="363">
        <f t="shared" si="78"/>
        <v>9</v>
      </c>
      <c r="Q70" s="363">
        <f t="shared" si="78"/>
        <v>9</v>
      </c>
      <c r="R70" s="363">
        <f t="shared" si="78"/>
        <v>9</v>
      </c>
      <c r="S70" s="363">
        <f t="shared" si="78"/>
        <v>9</v>
      </c>
      <c r="T70" s="363">
        <f t="shared" si="78"/>
        <v>231.99999999999997</v>
      </c>
      <c r="U70" s="363">
        <f t="shared" si="78"/>
        <v>248</v>
      </c>
      <c r="V70" s="363">
        <f t="shared" si="78"/>
        <v>240</v>
      </c>
      <c r="W70" s="363">
        <f t="shared" si="78"/>
        <v>248</v>
      </c>
      <c r="X70" s="363">
        <f t="shared" si="78"/>
        <v>240</v>
      </c>
      <c r="Y70" s="363">
        <f t="shared" si="78"/>
        <v>248</v>
      </c>
      <c r="Z70" s="363">
        <f t="shared" si="78"/>
        <v>240</v>
      </c>
      <c r="AA70" s="363">
        <f t="shared" si="78"/>
        <v>248</v>
      </c>
      <c r="AB70" s="363">
        <f t="shared" si="78"/>
        <v>240</v>
      </c>
      <c r="AC70" s="363">
        <f t="shared" si="78"/>
        <v>248</v>
      </c>
      <c r="AD70" s="363">
        <f t="shared" si="78"/>
        <v>248</v>
      </c>
      <c r="AE70" s="363">
        <f t="shared" si="78"/>
        <v>223.99999999999997</v>
      </c>
      <c r="AF70" s="520">
        <f>SUM(AF60:AF69)</f>
        <v>30252.1</v>
      </c>
      <c r="AG70" s="520">
        <f>SUM(AG60:AG69)</f>
        <v>55664.1</v>
      </c>
      <c r="AH70" s="520">
        <f>SUM(AH60:AH69)</f>
        <v>39270.199999999997</v>
      </c>
      <c r="AI70" s="520">
        <f>SUM(AI60:AI69)</f>
        <v>49416.5</v>
      </c>
      <c r="AJ70" s="520">
        <f>SUM(AJ60:AJ69)</f>
        <v>30957.200000000001</v>
      </c>
      <c r="AK70" s="520">
        <f t="shared" ref="AK70:AQ70" si="79">SUM(AK60:AK69)</f>
        <v>54045.3</v>
      </c>
      <c r="AL70" s="520">
        <f t="shared" si="79"/>
        <v>55636.833035504162</v>
      </c>
      <c r="AM70" s="520">
        <f t="shared" si="79"/>
        <v>60794.452388180667</v>
      </c>
      <c r="AN70" s="520">
        <f t="shared" si="79"/>
        <v>59676.728636674488</v>
      </c>
      <c r="AO70" s="520">
        <f t="shared" si="79"/>
        <v>34584.107908548438</v>
      </c>
      <c r="AP70" s="520">
        <f t="shared" si="79"/>
        <v>19473.349410719075</v>
      </c>
      <c r="AQ70" s="520">
        <f t="shared" si="79"/>
        <v>22493.854416743048</v>
      </c>
      <c r="AR70" s="341">
        <f>SUM(AR60:AR69)</f>
        <v>69369.366680000006</v>
      </c>
      <c r="AS70" s="341">
        <f t="shared" ref="AS70:BC70" si="80">SUM(AS60:AS69)</f>
        <v>98763.45659999999</v>
      </c>
      <c r="AT70" s="341">
        <f t="shared" si="80"/>
        <v>148551.42515999998</v>
      </c>
      <c r="AU70" s="341">
        <f t="shared" si="80"/>
        <v>111685.28312000001</v>
      </c>
      <c r="AV70" s="341">
        <f t="shared" si="80"/>
        <v>131940.64039999997</v>
      </c>
      <c r="AW70" s="341">
        <f t="shared" si="80"/>
        <v>94979.35716</v>
      </c>
      <c r="AX70" s="341">
        <f t="shared" si="80"/>
        <v>110463.52</v>
      </c>
      <c r="AY70" s="341">
        <f t="shared" si="80"/>
        <v>117407.05</v>
      </c>
      <c r="AZ70" s="341">
        <f t="shared" si="80"/>
        <v>135703.91999999998</v>
      </c>
      <c r="BA70" s="341">
        <f t="shared" si="80"/>
        <v>82146.350000000006</v>
      </c>
      <c r="BB70" s="341">
        <f t="shared" si="80"/>
        <v>49951.25</v>
      </c>
      <c r="BC70" s="341">
        <f t="shared" si="80"/>
        <v>58530.63</v>
      </c>
      <c r="BD70"/>
      <c r="BE70" s="121"/>
      <c r="BF70" s="253">
        <f t="shared" ref="BF70:BK70" si="81">SUM(BF60:BF69)</f>
        <v>2390.3119382049717</v>
      </c>
      <c r="BG70" s="253">
        <f t="shared" si="81"/>
        <v>5610.8629892122617</v>
      </c>
      <c r="BH70" s="253">
        <f t="shared" si="81"/>
        <v>-3876.5244400687234</v>
      </c>
      <c r="BI70" s="253">
        <f t="shared" si="81"/>
        <v>8787.3325907379131</v>
      </c>
      <c r="BJ70" s="253">
        <f t="shared" si="81"/>
        <v>4441.0212814028391</v>
      </c>
      <c r="BK70" s="253">
        <f t="shared" si="81"/>
        <v>7780.1346711317028</v>
      </c>
      <c r="BL70" s="374">
        <f>SUM(BF70:BK70)</f>
        <v>25133.139030620965</v>
      </c>
      <c r="BN70" s="374"/>
    </row>
    <row r="71" spans="1:69" x14ac:dyDescent="0.25">
      <c r="A71" s="141"/>
      <c r="B71" s="111"/>
      <c r="C71" s="112"/>
      <c r="D71" s="112"/>
      <c r="E71" s="123"/>
      <c r="F71" s="112"/>
      <c r="G71" s="46"/>
      <c r="H71" s="132"/>
      <c r="I71" s="132"/>
      <c r="J71" s="132"/>
      <c r="K71" s="132"/>
      <c r="L71" s="132"/>
      <c r="M71" s="13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517"/>
      <c r="AG71" s="517"/>
      <c r="AH71" s="517"/>
      <c r="AI71" s="517"/>
      <c r="AJ71" s="517"/>
      <c r="AK71" s="517"/>
      <c r="AL71" s="520"/>
      <c r="AM71" s="520"/>
      <c r="AN71" s="520"/>
      <c r="AO71" s="520"/>
      <c r="AP71" s="520"/>
      <c r="AQ71" s="520"/>
      <c r="AR71" s="341"/>
      <c r="AS71" s="341"/>
      <c r="AT71" s="341"/>
      <c r="AU71" s="341"/>
      <c r="AV71" s="341"/>
      <c r="AW71" s="341"/>
      <c r="AX71" s="342"/>
      <c r="AY71" s="342"/>
      <c r="AZ71" s="342"/>
      <c r="BA71" s="342"/>
      <c r="BB71" s="342"/>
      <c r="BC71" s="342"/>
      <c r="BD71"/>
      <c r="BE71" s="121"/>
      <c r="BF71" s="254"/>
      <c r="BG71" s="254"/>
      <c r="BH71" s="254"/>
      <c r="BI71" s="254"/>
      <c r="BJ71" s="254"/>
      <c r="BK71" s="254"/>
    </row>
    <row r="72" spans="1:69" x14ac:dyDescent="0.25">
      <c r="A72" s="50" t="s">
        <v>34</v>
      </c>
      <c r="B72" s="111" t="s">
        <v>239</v>
      </c>
      <c r="C72" s="112">
        <f t="shared" ref="C72:C78" si="82">SUM(H72:S72)</f>
        <v>538</v>
      </c>
      <c r="D72" s="112"/>
      <c r="E72" s="123">
        <f t="shared" si="56"/>
        <v>6457328.9541153414</v>
      </c>
      <c r="F72" s="112">
        <f t="shared" ref="F72:F76" si="83">SUM(AR72:BC72)+BL72</f>
        <v>3349770.5691134236</v>
      </c>
      <c r="G72" s="46"/>
      <c r="H72" s="363">
        <f>'Mar20-Aug20 Transport Actuals'!I11</f>
        <v>7</v>
      </c>
      <c r="I72" s="363">
        <f>'Mar20-Aug20 Transport Actuals'!J11</f>
        <v>7</v>
      </c>
      <c r="J72" s="363">
        <f>'Mar20-Aug20 Transport Actuals'!K11</f>
        <v>7</v>
      </c>
      <c r="K72" s="363">
        <f>'Mar20-Aug20 Transport Actuals'!L11</f>
        <v>7</v>
      </c>
      <c r="L72" s="363">
        <f>'Mar20-Aug20 Transport Actuals'!M11</f>
        <v>7</v>
      </c>
      <c r="M72" s="363">
        <f>'Mar20-Aug20 Transport Actuals'!N11</f>
        <v>7</v>
      </c>
      <c r="N72" s="364">
        <f>SUMIFS('Sep20-Feb21 Transport Forecast'!$H$6:$H$46,'Sep20-Feb21 Transport Forecast'!$D$6:$D$46,$A72,'Sep20-Feb21 Transport Forecast'!$C$6:$C$46,N$4)</f>
        <v>84</v>
      </c>
      <c r="O72" s="364">
        <f>SUMIFS('Sep20-Feb21 Transport Forecast'!$H$6:$H$46,'Sep20-Feb21 Transport Forecast'!$D$6:$D$46,$A72,'Sep20-Feb21 Transport Forecast'!$C$6:$C$46,O$4)</f>
        <v>85</v>
      </c>
      <c r="P72" s="364">
        <f>SUMIFS('Sep20-Feb21 Transport Forecast'!$H$6:$H$46,'Sep20-Feb21 Transport Forecast'!$D$6:$D$46,$A72,'Sep20-Feb21 Transport Forecast'!$C$6:$C$46,P$4)</f>
        <v>86</v>
      </c>
      <c r="Q72" s="364">
        <f>SUMIFS('Sep20-Feb21 Transport Forecast'!$H$6:$H$46,'Sep20-Feb21 Transport Forecast'!$D$6:$D$46,$A72,'Sep20-Feb21 Transport Forecast'!$C$6:$C$46,Q$4)</f>
        <v>87</v>
      </c>
      <c r="R72" s="364">
        <f>SUMIFS('Sep20-Feb21 Transport Forecast'!$H$6:$H$46,'Sep20-Feb21 Transport Forecast'!$D$6:$D$46,$A72,'Sep20-Feb21 Transport Forecast'!$C$6:$C$46,R$4)</f>
        <v>77</v>
      </c>
      <c r="S72" s="364">
        <f>SUMIFS('Sep20-Feb21 Transport Forecast'!$H$6:$H$46,'Sep20-Feb21 Transport Forecast'!$D$6:$D$46,$A72,'Sep20-Feb21 Transport Forecast'!$C$6:$C$46,S$4)</f>
        <v>77</v>
      </c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517">
        <f>'Mar20-Aug20 Transport Actuals'!J12</f>
        <v>39709.699999999997</v>
      </c>
      <c r="AG72" s="517">
        <f>'Mar20-Aug20 Transport Actuals'!K12</f>
        <v>35146.6</v>
      </c>
      <c r="AH72" s="517">
        <f>'Mar20-Aug20 Transport Actuals'!L12</f>
        <v>31684.400000000001</v>
      </c>
      <c r="AI72" s="517">
        <f>'Mar20-Aug20 Transport Actuals'!M12</f>
        <v>26195.4</v>
      </c>
      <c r="AJ72" s="517">
        <f>'Mar20-Aug20 Transport Actuals'!N12</f>
        <v>25102.7</v>
      </c>
      <c r="AK72" s="517">
        <f>'Mar20-Aug20 Transport Actuals'!O12</f>
        <v>26590.9</v>
      </c>
      <c r="AL72" s="517">
        <f>SUMIFS('Sep20-Feb21 Transport Forecast'!$I$6:$I$46,'Sep20-Feb21 Transport Forecast'!$D$6:$D$46,$A72,'Sep20-Feb21 Transport Forecast'!$C$6:$C$46,N$4)+SUMIFS('Sep20-Feb21 Transport Forecast'!$J$6:$J$46,'Sep20-Feb21 Transport Forecast'!$D$6:$D$46,$A72,'Sep20-Feb21 Transport Forecast'!$C$6:$C$46,AL$4)</f>
        <v>662070.15272314614</v>
      </c>
      <c r="AM72" s="517">
        <f>SUMIFS('Sep20-Feb21 Transport Forecast'!$I$6:$I$46,'Sep20-Feb21 Transport Forecast'!$D$6:$D$46,$A72,'Sep20-Feb21 Transport Forecast'!$C$6:$C$46,O$4)+SUMIFS('Sep20-Feb21 Transport Forecast'!$J$6:$J$46,'Sep20-Feb21 Transport Forecast'!$D$6:$D$46,$A72,'Sep20-Feb21 Transport Forecast'!$C$6:$C$46,AM$4)</f>
        <v>819203.15673233906</v>
      </c>
      <c r="AN72" s="517">
        <f>SUMIFS('Sep20-Feb21 Transport Forecast'!$I$6:$I$46,'Sep20-Feb21 Transport Forecast'!$D$6:$D$46,$A72,'Sep20-Feb21 Transport Forecast'!$C$6:$C$46,P$4)+SUMIFS('Sep20-Feb21 Transport Forecast'!$J$6:$J$46,'Sep20-Feb21 Transport Forecast'!$D$6:$D$46,$A72,'Sep20-Feb21 Transport Forecast'!$C$6:$C$46,AN$4)</f>
        <v>1040341.5233807465</v>
      </c>
      <c r="AO72" s="517">
        <f>SUMIFS('Sep20-Feb21 Transport Forecast'!$I$6:$I$46,'Sep20-Feb21 Transport Forecast'!$D$6:$D$46,$A72,'Sep20-Feb21 Transport Forecast'!$C$6:$C$46,Q$4)+SUMIFS('Sep20-Feb21 Transport Forecast'!$J$6:$J$46,'Sep20-Feb21 Transport Forecast'!$D$6:$D$46,$A72,'Sep20-Feb21 Transport Forecast'!$C$6:$C$46,AO$4)</f>
        <v>1167817.4816420332</v>
      </c>
      <c r="AP72" s="517">
        <f>SUMIFS('Sep20-Feb21 Transport Forecast'!$I$6:$I$46,'Sep20-Feb21 Transport Forecast'!$D$6:$D$46,$A72,'Sep20-Feb21 Transport Forecast'!$C$6:$C$46,R$4)+SUMIFS('Sep20-Feb21 Transport Forecast'!$J$6:$J$46,'Sep20-Feb21 Transport Forecast'!$D$6:$D$46,$A72,'Sep20-Feb21 Transport Forecast'!$C$6:$C$46,AP$4)</f>
        <v>1374315.9820134528</v>
      </c>
      <c r="AQ72" s="517">
        <f>SUMIFS('Sep20-Feb21 Transport Forecast'!$I$6:$I$46,'Sep20-Feb21 Transport Forecast'!$D$6:$D$46,$A72,'Sep20-Feb21 Transport Forecast'!$C$6:$C$46,S$4)+SUMIFS('Sep20-Feb21 Transport Forecast'!$J$6:$J$46,'Sep20-Feb21 Transport Forecast'!$D$6:$D$46,$A72,'Sep20-Feb21 Transport Forecast'!$C$6:$C$46,AQ$4)</f>
        <v>1209150.9576236235</v>
      </c>
      <c r="AR72" s="335">
        <f>'Mar20-Aug20 Transport Actuals'!I29</f>
        <v>21210.17</v>
      </c>
      <c r="AS72" s="335">
        <f>'Mar20-Aug20 Transport Actuals'!J29</f>
        <v>20971.13</v>
      </c>
      <c r="AT72" s="335">
        <f>'Mar20-Aug20 Transport Actuals'!K29</f>
        <v>20872.949999999997</v>
      </c>
      <c r="AU72" s="335">
        <f>'Mar20-Aug20 Transport Actuals'!L29</f>
        <v>20870.649999999998</v>
      </c>
      <c r="AV72" s="335">
        <f>'Mar20-Aug20 Transport Actuals'!M29</f>
        <v>20580.560000000001</v>
      </c>
      <c r="AW72" s="335">
        <f>'Mar20-Aug20 Transport Actuals'!N29</f>
        <v>20530.870000000003</v>
      </c>
      <c r="AX72" s="335">
        <f>SUMIFS('Sep20-Feb21 Transport Forecast'!$AU$6:$AU$46,'Sep20-Feb21 Transport Forecast'!$D$6:$D$46,$A72,'Sep20-Feb21 Transport Forecast'!$C$6:$C$46,AX$4)-AX82</f>
        <v>518424.81</v>
      </c>
      <c r="AY72" s="335">
        <f>SUMIFS('Sep20-Feb21 Transport Forecast'!$AU$6:$AU$46,'Sep20-Feb21 Transport Forecast'!$D$6:$D$46,$A72,'Sep20-Feb21 Transport Forecast'!$C$6:$C$46,AY$4)-AY82</f>
        <v>526279.56999999995</v>
      </c>
      <c r="AZ72" s="335">
        <f>SUMIFS('Sep20-Feb21 Transport Forecast'!$AU$6:$AU$46,'Sep20-Feb21 Transport Forecast'!$D$6:$D$46,$A72,'Sep20-Feb21 Transport Forecast'!$C$6:$C$46,AZ$4)-AZ82</f>
        <v>543297.07999999996</v>
      </c>
      <c r="BA72" s="335">
        <f>SUMIFS('Sep20-Feb21 Transport Forecast'!$AU$6:$AU$46,'Sep20-Feb21 Transport Forecast'!$D$6:$D$46,$A72,'Sep20-Feb21 Transport Forecast'!$C$6:$C$46,BA$4)-BA82</f>
        <v>547795.64</v>
      </c>
      <c r="BB72" s="335">
        <f>SUMIFS('Sep20-Feb21 Transport Forecast'!$AU$6:$AU$46,'Sep20-Feb21 Transport Forecast'!$D$6:$D$46,$A72,'Sep20-Feb21 Transport Forecast'!$C$6:$C$46,BB$4)-BB82</f>
        <v>547701.44999999995</v>
      </c>
      <c r="BC72" s="335">
        <f>SUMIFS('Sep20-Feb21 Transport Forecast'!$AU$6:$AU$46,'Sep20-Feb21 Transport Forecast'!$D$6:$D$46,$A72,'Sep20-Feb21 Transport Forecast'!$C$6:$C$46,BC$4)-BC82</f>
        <v>535841.55000000005</v>
      </c>
      <c r="BD72"/>
      <c r="BE72" s="121"/>
      <c r="BF72" s="251">
        <f>(AR72/(AR$70+AR$78+AR$160))*BF$59</f>
        <v>730.85462631121356</v>
      </c>
      <c r="BG72" s="251">
        <f t="shared" ref="BF72:BK75" si="84">(AS72/(AS$70+AS$78+AS$160))*BG$59</f>
        <v>1191.3934688972697</v>
      </c>
      <c r="BH72" s="251">
        <f t="shared" si="84"/>
        <v>-544.69016856743053</v>
      </c>
      <c r="BI72" s="251">
        <f t="shared" si="84"/>
        <v>1642.0905047788017</v>
      </c>
      <c r="BJ72" s="251">
        <f t="shared" si="84"/>
        <v>692.72594604738651</v>
      </c>
      <c r="BK72" s="251">
        <f t="shared" si="84"/>
        <v>1681.7647359564185</v>
      </c>
      <c r="BL72" s="260">
        <f t="shared" ref="BL72:BL78" si="85">SUM(BF72:BK72)</f>
        <v>5394.1391134236592</v>
      </c>
    </row>
    <row r="73" spans="1:69" x14ac:dyDescent="0.25">
      <c r="A73" s="50" t="s">
        <v>34</v>
      </c>
      <c r="B73" s="111" t="s">
        <v>346</v>
      </c>
      <c r="C73" s="112">
        <f t="shared" si="82"/>
        <v>12</v>
      </c>
      <c r="D73" s="112"/>
      <c r="E73" s="123">
        <f>SUM(AF73:AQ73)</f>
        <v>57499.099999999991</v>
      </c>
      <c r="F73" s="112">
        <f>SUM(AR73:BC73)+BL73</f>
        <v>42345.730870547093</v>
      </c>
      <c r="G73" s="46"/>
      <c r="H73" s="363">
        <f>'Mar20-Aug20 Transport Actuals'!I115</f>
        <v>2</v>
      </c>
      <c r="I73" s="363">
        <f>'Mar20-Aug20 Transport Actuals'!J115</f>
        <v>2</v>
      </c>
      <c r="J73" s="363">
        <f>'Mar20-Aug20 Transport Actuals'!K115</f>
        <v>2</v>
      </c>
      <c r="K73" s="363">
        <f>'Mar20-Aug20 Transport Actuals'!L115</f>
        <v>2</v>
      </c>
      <c r="L73" s="363">
        <f>'Mar20-Aug20 Transport Actuals'!M115</f>
        <v>2</v>
      </c>
      <c r="M73" s="363">
        <f>'Mar20-Aug20 Transport Actuals'!N115</f>
        <v>2</v>
      </c>
      <c r="N73" s="364">
        <f>SUMIF('Forecasted Customer Cts'!$F$5:$F$33,SBR!$A73,'Forecasted Customer Cts'!$P$5:$P$33)</f>
        <v>0</v>
      </c>
      <c r="O73" s="364">
        <f>SUMIF('Forecasted Customer Cts'!$F$5:$F$33,SBR!$A73,'Forecasted Customer Cts'!$P$5:$P$33)</f>
        <v>0</v>
      </c>
      <c r="P73" s="364">
        <f>SUMIF('Forecasted Customer Cts'!$F$5:$F$33,SBR!$A73,'Forecasted Customer Cts'!$P$5:$P$33)</f>
        <v>0</v>
      </c>
      <c r="Q73" s="364">
        <f>SUMIF('Forecasted Customer Cts'!$F$5:$F$33,SBR!$A73,'Forecasted Customer Cts'!$P$5:$P$33)</f>
        <v>0</v>
      </c>
      <c r="R73" s="364">
        <f>SUMIF('Forecasted Customer Cts'!$F$5:$F$33,SBR!$A73,'Forecasted Customer Cts'!$P$5:$P$33)</f>
        <v>0</v>
      </c>
      <c r="S73" s="364">
        <f>SUMIF('Forecasted Customer Cts'!$F$5:$F$33,SBR!$A73,'Forecasted Customer Cts'!$P$5:$P$33)</f>
        <v>0</v>
      </c>
      <c r="T73" s="364"/>
      <c r="U73" s="364"/>
      <c r="V73" s="364"/>
      <c r="W73" s="364"/>
      <c r="X73" s="364"/>
      <c r="Y73" s="364"/>
      <c r="Z73" s="364"/>
      <c r="AA73" s="364"/>
      <c r="AB73" s="364"/>
      <c r="AC73" s="364"/>
      <c r="AD73" s="364"/>
      <c r="AE73" s="364"/>
      <c r="AF73" s="517">
        <f>'Mar20-Aug20 Transport Actuals'!J116</f>
        <v>14468.1</v>
      </c>
      <c r="AG73" s="517">
        <f>'Mar20-Aug20 Transport Actuals'!K116</f>
        <v>10639.7</v>
      </c>
      <c r="AH73" s="517">
        <f>'Mar20-Aug20 Transport Actuals'!L116</f>
        <v>10028.700000000001</v>
      </c>
      <c r="AI73" s="517">
        <f>'Mar20-Aug20 Transport Actuals'!M116</f>
        <v>7169.2</v>
      </c>
      <c r="AJ73" s="517">
        <f>'Mar20-Aug20 Transport Actuals'!N116</f>
        <v>7742.2</v>
      </c>
      <c r="AK73" s="517">
        <f>'Mar20-Aug20 Transport Actuals'!O116</f>
        <v>7451.2000000000007</v>
      </c>
      <c r="AL73" s="517"/>
      <c r="AM73" s="517"/>
      <c r="AN73" s="517"/>
      <c r="AO73" s="517"/>
      <c r="AP73" s="517"/>
      <c r="AQ73" s="517"/>
      <c r="AR73" s="335">
        <f>'Mar20-Aug20 Transport Actuals'!I133</f>
        <v>6973.13</v>
      </c>
      <c r="AS73" s="335">
        <f>'Mar20-Aug20 Transport Actuals'!J133</f>
        <v>6868.97</v>
      </c>
      <c r="AT73" s="335">
        <f>'Mar20-Aug20 Transport Actuals'!K133</f>
        <v>6671.2300000000005</v>
      </c>
      <c r="AU73" s="335">
        <f>'Mar20-Aug20 Transport Actuals'!L133</f>
        <v>6825.1399999999994</v>
      </c>
      <c r="AV73" s="335">
        <f>'Mar20-Aug20 Transport Actuals'!M133</f>
        <v>6647.0600000000013</v>
      </c>
      <c r="AW73" s="335">
        <f>'Mar20-Aug20 Transport Actuals'!N133</f>
        <v>6602.2300000000005</v>
      </c>
      <c r="AX73" s="335"/>
      <c r="AY73" s="335"/>
      <c r="AZ73" s="335"/>
      <c r="BA73" s="335"/>
      <c r="BB73" s="335"/>
      <c r="BC73" s="335"/>
      <c r="BD73"/>
      <c r="BE73" s="121"/>
      <c r="BF73" s="251">
        <f t="shared" si="84"/>
        <v>240.27833442021031</v>
      </c>
      <c r="BG73" s="251">
        <f t="shared" si="84"/>
        <v>390.23390709281188</v>
      </c>
      <c r="BH73" s="251">
        <f t="shared" si="84"/>
        <v>-174.08911501498832</v>
      </c>
      <c r="BI73" s="251">
        <f t="shared" si="84"/>
        <v>536.99801337217525</v>
      </c>
      <c r="BJ73" s="251">
        <f t="shared" si="84"/>
        <v>223.7349677041704</v>
      </c>
      <c r="BK73" s="251">
        <f t="shared" si="84"/>
        <v>540.81476297271115</v>
      </c>
      <c r="BL73" s="260">
        <f t="shared" si="85"/>
        <v>1757.9708705470907</v>
      </c>
    </row>
    <row r="74" spans="1:69" x14ac:dyDescent="0.25">
      <c r="A74" s="50" t="s">
        <v>36</v>
      </c>
      <c r="B74" s="111" t="s">
        <v>240</v>
      </c>
      <c r="C74" s="112">
        <f t="shared" si="82"/>
        <v>289</v>
      </c>
      <c r="D74" s="112"/>
      <c r="E74" s="123">
        <f>SUM(AF74:AQ74)</f>
        <v>4241220.5</v>
      </c>
      <c r="F74" s="112">
        <f>SUM(AR74:BC74)+BL74</f>
        <v>2627879.2777180173</v>
      </c>
      <c r="G74" s="46"/>
      <c r="H74" s="363">
        <f>'Mar20-Aug20 Transport Actuals'!I50</f>
        <v>48</v>
      </c>
      <c r="I74" s="363">
        <f>'Mar20-Aug20 Transport Actuals'!J50</f>
        <v>49</v>
      </c>
      <c r="J74" s="363">
        <f>'Mar20-Aug20 Transport Actuals'!K50</f>
        <v>49</v>
      </c>
      <c r="K74" s="363">
        <f>'Mar20-Aug20 Transport Actuals'!L50</f>
        <v>47</v>
      </c>
      <c r="L74" s="363">
        <f>'Mar20-Aug20 Transport Actuals'!M50</f>
        <v>48</v>
      </c>
      <c r="M74" s="363">
        <f>'Mar20-Aug20 Transport Actuals'!N50</f>
        <v>48</v>
      </c>
      <c r="N74" s="364"/>
      <c r="O74" s="364"/>
      <c r="P74" s="364"/>
      <c r="Q74" s="364"/>
      <c r="R74" s="364"/>
      <c r="S74" s="364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517">
        <f>'Mar20-Aug20 Transport Actuals'!J51</f>
        <v>970566.7</v>
      </c>
      <c r="AG74" s="517">
        <f>'Mar20-Aug20 Transport Actuals'!K51</f>
        <v>650727.19999999995</v>
      </c>
      <c r="AH74" s="517">
        <f>'Mar20-Aug20 Transport Actuals'!L51</f>
        <v>663513.19999999995</v>
      </c>
      <c r="AI74" s="517">
        <f>'Mar20-Aug20 Transport Actuals'!M51</f>
        <v>673858.4</v>
      </c>
      <c r="AJ74" s="517">
        <f>'Mar20-Aug20 Transport Actuals'!N51</f>
        <v>623213</v>
      </c>
      <c r="AK74" s="517">
        <f>'Mar20-Aug20 Transport Actuals'!O51</f>
        <v>659342</v>
      </c>
      <c r="AL74" s="517"/>
      <c r="AM74" s="517"/>
      <c r="AN74" s="517"/>
      <c r="AO74" s="517"/>
      <c r="AP74" s="517"/>
      <c r="AQ74" s="517"/>
      <c r="AR74" s="335">
        <f>'Mar20-Aug20 Transport Actuals'!I69</f>
        <v>438372.52</v>
      </c>
      <c r="AS74" s="335">
        <f>'Mar20-Aug20 Transport Actuals'!J69</f>
        <v>427841.71</v>
      </c>
      <c r="AT74" s="335">
        <f>'Mar20-Aug20 Transport Actuals'!K69</f>
        <v>416043.56</v>
      </c>
      <c r="AU74" s="335">
        <f>'Mar20-Aug20 Transport Actuals'!L69</f>
        <v>407858.37</v>
      </c>
      <c r="AV74" s="335">
        <f>'Mar20-Aug20 Transport Actuals'!M69</f>
        <v>415754.44999999995</v>
      </c>
      <c r="AW74" s="335">
        <f>'Mar20-Aug20 Transport Actuals'!N69</f>
        <v>413498.69</v>
      </c>
      <c r="AX74" s="335"/>
      <c r="AY74" s="335"/>
      <c r="AZ74" s="335"/>
      <c r="BA74" s="335"/>
      <c r="BB74" s="335"/>
      <c r="BC74" s="335"/>
      <c r="BD74"/>
      <c r="BE74" s="121"/>
      <c r="BF74" s="251">
        <f t="shared" si="84"/>
        <v>15105.328448084339</v>
      </c>
      <c r="BG74" s="251">
        <f t="shared" si="84"/>
        <v>24306.16848094689</v>
      </c>
      <c r="BH74" s="251">
        <f t="shared" si="84"/>
        <v>-10856.866749922456</v>
      </c>
      <c r="BI74" s="251">
        <f t="shared" si="84"/>
        <v>32090.057409403125</v>
      </c>
      <c r="BJ74" s="251">
        <f t="shared" si="84"/>
        <v>13993.97755453014</v>
      </c>
      <c r="BK74" s="251">
        <f t="shared" si="84"/>
        <v>33871.312574974902</v>
      </c>
      <c r="BL74" s="260">
        <f t="shared" si="85"/>
        <v>108509.97771801695</v>
      </c>
    </row>
    <row r="75" spans="1:69" x14ac:dyDescent="0.25">
      <c r="A75" s="50" t="s">
        <v>36</v>
      </c>
      <c r="B75" s="111" t="s">
        <v>348</v>
      </c>
      <c r="C75" s="112">
        <f t="shared" si="82"/>
        <v>12</v>
      </c>
      <c r="D75" s="112"/>
      <c r="E75" s="123">
        <f>SUM(AF75:AQ75)</f>
        <v>272084.59999999998</v>
      </c>
      <c r="F75" s="112">
        <f>SUM(AR75:BC75)+BL75</f>
        <v>147558.4539995814</v>
      </c>
      <c r="G75" s="46"/>
      <c r="H75" s="363">
        <f>'Mar20-Aug20 Transport Actuals'!I137</f>
        <v>2</v>
      </c>
      <c r="I75" s="363">
        <f>'Mar20-Aug20 Transport Actuals'!J137</f>
        <v>2</v>
      </c>
      <c r="J75" s="363">
        <f>'Mar20-Aug20 Transport Actuals'!K137</f>
        <v>2</v>
      </c>
      <c r="K75" s="363">
        <f>'Mar20-Aug20 Transport Actuals'!L137</f>
        <v>2</v>
      </c>
      <c r="L75" s="363">
        <f>'Mar20-Aug20 Transport Actuals'!M137</f>
        <v>2</v>
      </c>
      <c r="M75" s="363">
        <f>'Mar20-Aug20 Transport Actuals'!N137</f>
        <v>2</v>
      </c>
      <c r="N75" s="364"/>
      <c r="O75" s="364"/>
      <c r="P75" s="364"/>
      <c r="Q75" s="364"/>
      <c r="R75" s="364"/>
      <c r="S75" s="364"/>
      <c r="T75" s="364"/>
      <c r="U75" s="364"/>
      <c r="V75" s="364"/>
      <c r="W75" s="364"/>
      <c r="X75" s="364"/>
      <c r="Y75" s="364"/>
      <c r="Z75" s="364"/>
      <c r="AA75" s="364"/>
      <c r="AB75" s="364"/>
      <c r="AC75" s="364"/>
      <c r="AD75" s="364"/>
      <c r="AE75" s="364"/>
      <c r="AF75" s="517">
        <f>'Mar20-Aug20 Transport Actuals'!J138</f>
        <v>64563.4</v>
      </c>
      <c r="AG75" s="517">
        <f>'Mar20-Aug20 Transport Actuals'!K138</f>
        <v>67600.7</v>
      </c>
      <c r="AH75" s="517">
        <f>'Mar20-Aug20 Transport Actuals'!L138</f>
        <v>28910.3</v>
      </c>
      <c r="AI75" s="517">
        <f>'Mar20-Aug20 Transport Actuals'!M138</f>
        <v>25382.6</v>
      </c>
      <c r="AJ75" s="517">
        <f>'Mar20-Aug20 Transport Actuals'!N138</f>
        <v>36858.400000000001</v>
      </c>
      <c r="AK75" s="517">
        <f>'Mar20-Aug20 Transport Actuals'!O138</f>
        <v>48769.2</v>
      </c>
      <c r="AL75" s="517"/>
      <c r="AM75" s="517"/>
      <c r="AN75" s="517"/>
      <c r="AO75" s="517"/>
      <c r="AP75" s="517"/>
      <c r="AQ75" s="517"/>
      <c r="AR75" s="340">
        <f>'Mar20-Aug20 Transport Actuals'!I155</f>
        <v>24551.74</v>
      </c>
      <c r="AS75" s="340">
        <f>'Mar20-Aug20 Transport Actuals'!J155</f>
        <v>24151.68</v>
      </c>
      <c r="AT75" s="340">
        <f>'Mar20-Aug20 Transport Actuals'!K155</f>
        <v>24281.670000000002</v>
      </c>
      <c r="AU75" s="340">
        <f>'Mar20-Aug20 Transport Actuals'!L155</f>
        <v>22773.81</v>
      </c>
      <c r="AV75" s="340">
        <f>'Mar20-Aug20 Transport Actuals'!M155</f>
        <v>22605.93</v>
      </c>
      <c r="AW75" s="340">
        <f>'Mar20-Aug20 Transport Actuals'!N155</f>
        <v>23159.38</v>
      </c>
      <c r="AX75" s="335"/>
      <c r="AY75" s="335"/>
      <c r="AZ75" s="335"/>
      <c r="BA75" s="335"/>
      <c r="BB75" s="335"/>
      <c r="BC75" s="335"/>
      <c r="BD75"/>
      <c r="BE75" s="121"/>
      <c r="BF75" s="251">
        <f t="shared" si="84"/>
        <v>845.99759280524745</v>
      </c>
      <c r="BG75" s="251">
        <f t="shared" si="84"/>
        <v>1372.0840896459472</v>
      </c>
      <c r="BH75" s="251">
        <f t="shared" si="84"/>
        <v>-633.64243795911568</v>
      </c>
      <c r="BI75" s="251">
        <f t="shared" si="84"/>
        <v>1791.8300176868725</v>
      </c>
      <c r="BJ75" s="251">
        <f t="shared" si="84"/>
        <v>760.89835483247271</v>
      </c>
      <c r="BK75" s="251">
        <f t="shared" si="84"/>
        <v>1897.0763825699719</v>
      </c>
      <c r="BL75" s="260">
        <f t="shared" si="85"/>
        <v>6034.2439995813966</v>
      </c>
    </row>
    <row r="76" spans="1:69" x14ac:dyDescent="0.25">
      <c r="A76" s="50" t="s">
        <v>447</v>
      </c>
      <c r="B76" s="111" t="s">
        <v>240</v>
      </c>
      <c r="C76" s="112">
        <f t="shared" si="82"/>
        <v>91</v>
      </c>
      <c r="D76" s="112"/>
      <c r="E76" s="123">
        <f t="shared" si="56"/>
        <v>458875.5</v>
      </c>
      <c r="F76" s="112">
        <f t="shared" si="83"/>
        <v>310539.69344780996</v>
      </c>
      <c r="G76" s="46"/>
      <c r="H76" s="363">
        <f>'Mar20-Aug20 Transport Actuals'!I73</f>
        <v>15</v>
      </c>
      <c r="I76" s="363">
        <f>'Mar20-Aug20 Transport Actuals'!J73</f>
        <v>15</v>
      </c>
      <c r="J76" s="363">
        <f>'Mar20-Aug20 Transport Actuals'!K73</f>
        <v>15</v>
      </c>
      <c r="K76" s="363">
        <f>'Mar20-Aug20 Transport Actuals'!L73</f>
        <v>15</v>
      </c>
      <c r="L76" s="363">
        <f>'Mar20-Aug20 Transport Actuals'!M73</f>
        <v>15</v>
      </c>
      <c r="M76" s="363">
        <f>'Mar20-Aug20 Transport Actuals'!N73</f>
        <v>16</v>
      </c>
      <c r="N76" s="364">
        <f>SUMIF('Forecasted Customer Cts'!$F$5:$F$33,SBR!$A76,'Forecasted Customer Cts'!$P$5:$P$33)</f>
        <v>0</v>
      </c>
      <c r="O76" s="364">
        <f>SUMIF('Forecasted Customer Cts'!$F$5:$F$33,SBR!$A76,'Forecasted Customer Cts'!$P$5:$P$33)</f>
        <v>0</v>
      </c>
      <c r="P76" s="364">
        <f>SUMIF('Forecasted Customer Cts'!$F$5:$F$33,SBR!$A76,'Forecasted Customer Cts'!$P$5:$P$33)</f>
        <v>0</v>
      </c>
      <c r="Q76" s="364">
        <f>SUMIF('Forecasted Customer Cts'!$F$5:$F$33,SBR!$A76,'Forecasted Customer Cts'!$P$5:$P$33)</f>
        <v>0</v>
      </c>
      <c r="R76" s="364">
        <f>SUMIF('Forecasted Customer Cts'!$F$5:$F$33,SBR!$A76,'Forecasted Customer Cts'!$P$5:$P$33)</f>
        <v>0</v>
      </c>
      <c r="S76" s="364">
        <f>SUMIF('Forecasted Customer Cts'!$F$5:$F$33,SBR!$A76,'Forecasted Customer Cts'!$P$5:$P$33)</f>
        <v>0</v>
      </c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517">
        <f>'Mar20-Aug20 Transport Actuals'!J74</f>
        <v>93743.5</v>
      </c>
      <c r="AG76" s="517">
        <f>'Mar20-Aug20 Transport Actuals'!K74</f>
        <v>71552.899999999994</v>
      </c>
      <c r="AH76" s="517">
        <f>'Mar20-Aug20 Transport Actuals'!L74</f>
        <v>77042.8</v>
      </c>
      <c r="AI76" s="517">
        <f>'Mar20-Aug20 Transport Actuals'!M74</f>
        <v>68748.5</v>
      </c>
      <c r="AJ76" s="517">
        <f>'Mar20-Aug20 Transport Actuals'!N74</f>
        <v>70281.7</v>
      </c>
      <c r="AK76" s="517">
        <f>'Mar20-Aug20 Transport Actuals'!O74</f>
        <v>77506.100000000006</v>
      </c>
      <c r="AL76" s="517">
        <f>SUMIFS('Sep20-Feb21 Transport Forecast'!$I$6:$I$46,'Sep20-Feb21 Transport Forecast'!$D$6:$D$46,$A76,'Sep20-Feb21 Transport Forecast'!$C$6:$C$46,N$4)/10+SUMIFS('Sep20-Feb21 Transport Forecast'!$J$6:$J$46,'Sep20-Feb21 Transport Forecast'!$D$6:$D$46,$A76,'Sep20-Feb21 Transport Forecast'!$C$6:$C$46,AL$4)/10</f>
        <v>0</v>
      </c>
      <c r="AM76" s="517">
        <f>SUMIFS('Sep20-Feb21 Transport Forecast'!$I$6:$I$46,'Sep20-Feb21 Transport Forecast'!$D$6:$D$46,$A76,'Sep20-Feb21 Transport Forecast'!$C$6:$C$46,O$4)/10+SUMIFS('Sep20-Feb21 Transport Forecast'!$J$6:$J$46,'Sep20-Feb21 Transport Forecast'!$D$6:$D$46,$A76,'Sep20-Feb21 Transport Forecast'!$C$6:$C$46,AM$4)/10</f>
        <v>0</v>
      </c>
      <c r="AN76" s="517">
        <f>SUMIFS('Sep20-Feb21 Transport Forecast'!$I$6:$I$46,'Sep20-Feb21 Transport Forecast'!$D$6:$D$46,$A76,'Sep20-Feb21 Transport Forecast'!$C$6:$C$46,P$4)/10+SUMIFS('Sep20-Feb21 Transport Forecast'!$J$6:$J$46,'Sep20-Feb21 Transport Forecast'!$D$6:$D$46,$A76,'Sep20-Feb21 Transport Forecast'!$C$6:$C$46,AN$4)/10</f>
        <v>0</v>
      </c>
      <c r="AO76" s="517">
        <f>SUMIFS('Sep20-Feb21 Transport Forecast'!$I$6:$I$46,'Sep20-Feb21 Transport Forecast'!$D$6:$D$46,$A76,'Sep20-Feb21 Transport Forecast'!$C$6:$C$46,Q$4)/10+SUMIFS('Sep20-Feb21 Transport Forecast'!$J$6:$J$46,'Sep20-Feb21 Transport Forecast'!$D$6:$D$46,$A76,'Sep20-Feb21 Transport Forecast'!$C$6:$C$46,AO$4)/10</f>
        <v>0</v>
      </c>
      <c r="AP76" s="517">
        <f>SUMIFS('Sep20-Feb21 Transport Forecast'!$I$6:$I$46,'Sep20-Feb21 Transport Forecast'!$D$6:$D$46,$A76,'Sep20-Feb21 Transport Forecast'!$C$6:$C$46,R$4)/10+SUMIFS('Sep20-Feb21 Transport Forecast'!$J$6:$J$46,'Sep20-Feb21 Transport Forecast'!$D$6:$D$46,$A76,'Sep20-Feb21 Transport Forecast'!$C$6:$C$46,AP$4)/10</f>
        <v>0</v>
      </c>
      <c r="AQ76" s="517">
        <f>SUMIFS('Sep20-Feb21 Transport Forecast'!$I$6:$I$46,'Sep20-Feb21 Transport Forecast'!$D$6:$D$46,$A76,'Sep20-Feb21 Transport Forecast'!$C$6:$C$46,S$4)/10+SUMIFS('Sep20-Feb21 Transport Forecast'!$J$6:$J$46,'Sep20-Feb21 Transport Forecast'!$D$6:$D$46,$A76,'Sep20-Feb21 Transport Forecast'!$C$6:$C$46,AQ$4)/10</f>
        <v>0</v>
      </c>
      <c r="AR76" s="335">
        <f>'Mar20-Aug20 Transport Actuals'!I92</f>
        <v>49789.940320000009</v>
      </c>
      <c r="AS76" s="335">
        <f>'Mar20-Aug20 Transport Actuals'!J92</f>
        <v>49482.158800000005</v>
      </c>
      <c r="AT76" s="335">
        <f>'Mar20-Aug20 Transport Actuals'!K92</f>
        <v>48715.175060000001</v>
      </c>
      <c r="AU76" s="335">
        <f>'Mar20-Aug20 Transport Actuals'!L92</f>
        <v>50457.689999999995</v>
      </c>
      <c r="AV76" s="335">
        <f>'Mar20-Aug20 Transport Actuals'!M92</f>
        <v>49384.420000000006</v>
      </c>
      <c r="AW76" s="335">
        <f>'Mar20-Aug20 Transport Actuals'!N92</f>
        <v>49747.530000000006</v>
      </c>
      <c r="AX76" s="335"/>
      <c r="AY76" s="335"/>
      <c r="AZ76" s="335"/>
      <c r="BA76" s="335"/>
      <c r="BB76" s="335"/>
      <c r="BC76" s="335"/>
      <c r="BD76"/>
      <c r="BE76" s="121"/>
      <c r="BF76" s="251">
        <f t="shared" ref="BF76:BK77" si="86">(AR76/(AR$70+AR$78+AR$160))*BF$59</f>
        <v>1715.6490601740218</v>
      </c>
      <c r="BG76" s="251">
        <f t="shared" si="86"/>
        <v>2811.1370642048173</v>
      </c>
      <c r="BH76" s="251">
        <f t="shared" si="86"/>
        <v>-1271.2470884672887</v>
      </c>
      <c r="BI76" s="251">
        <f t="shared" si="86"/>
        <v>3969.9814640211152</v>
      </c>
      <c r="BJ76" s="251">
        <f t="shared" si="86"/>
        <v>1662.2418954829936</v>
      </c>
      <c r="BK76" s="251">
        <f t="shared" si="86"/>
        <v>4075.0168723943025</v>
      </c>
      <c r="BL76" s="260">
        <f t="shared" si="85"/>
        <v>12962.779267809961</v>
      </c>
    </row>
    <row r="77" spans="1:69" x14ac:dyDescent="0.25">
      <c r="A77" s="50" t="s">
        <v>447</v>
      </c>
      <c r="B77" s="111" t="s">
        <v>348</v>
      </c>
      <c r="C77" s="124">
        <f t="shared" si="82"/>
        <v>0</v>
      </c>
      <c r="D77" s="124"/>
      <c r="E77" s="125">
        <f t="shared" si="56"/>
        <v>0</v>
      </c>
      <c r="F77" s="124">
        <f>SUM(AR77:BC77)+BL77</f>
        <v>0</v>
      </c>
      <c r="G77" s="808"/>
      <c r="H77" s="365">
        <f>'Mar20-Aug20 Transport Actuals'!I157</f>
        <v>0</v>
      </c>
      <c r="I77" s="365">
        <f>'Mar20-Aug20 Transport Actuals'!J157</f>
        <v>0</v>
      </c>
      <c r="J77" s="365">
        <f>'Mar20-Aug20 Transport Actuals'!K157</f>
        <v>0</v>
      </c>
      <c r="K77" s="365">
        <f>'Mar20-Aug20 Transport Actuals'!L157</f>
        <v>0</v>
      </c>
      <c r="L77" s="365">
        <f>'Mar20-Aug20 Transport Actuals'!M157</f>
        <v>0</v>
      </c>
      <c r="M77" s="365">
        <f>'Mar20-Aug20 Transport Actuals'!N157</f>
        <v>0</v>
      </c>
      <c r="N77" s="366">
        <f>SUMIF('Forecasted Customer Cts'!$F$5:$F$33,SBR!$A77,'Forecasted Customer Cts'!$P$5:$P$33)</f>
        <v>0</v>
      </c>
      <c r="O77" s="366">
        <f>SUMIF('Forecasted Customer Cts'!$F$5:$F$33,SBR!$A77,'Forecasted Customer Cts'!$P$5:$P$33)</f>
        <v>0</v>
      </c>
      <c r="P77" s="366">
        <f>SUMIF('Forecasted Customer Cts'!$F$5:$F$33,SBR!$A77,'Forecasted Customer Cts'!$P$5:$P$33)</f>
        <v>0</v>
      </c>
      <c r="Q77" s="366">
        <f>SUMIF('Forecasted Customer Cts'!$F$5:$F$33,SBR!$A77,'Forecasted Customer Cts'!$P$5:$P$33)</f>
        <v>0</v>
      </c>
      <c r="R77" s="366">
        <f>SUMIF('Forecasted Customer Cts'!$F$5:$F$33,SBR!$A77,'Forecasted Customer Cts'!$P$5:$P$33)</f>
        <v>0</v>
      </c>
      <c r="S77" s="366">
        <f>SUMIF('Forecasted Customer Cts'!$F$5:$F$33,SBR!$A77,'Forecasted Customer Cts'!$P$5:$P$33)</f>
        <v>0</v>
      </c>
      <c r="T77" s="366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519">
        <f>'Mar20-Aug20 Transport Actuals'!J158</f>
        <v>0</v>
      </c>
      <c r="AG77" s="519">
        <f>'Mar20-Aug20 Transport Actuals'!K158</f>
        <v>0</v>
      </c>
      <c r="AH77" s="519">
        <f>'Mar20-Aug20 Transport Actuals'!L158</f>
        <v>0</v>
      </c>
      <c r="AI77" s="519">
        <f>'Mar20-Aug20 Transport Actuals'!M158</f>
        <v>0</v>
      </c>
      <c r="AJ77" s="519">
        <f>'Mar20-Aug20 Transport Actuals'!N158</f>
        <v>0</v>
      </c>
      <c r="AK77" s="519">
        <f>'Mar20-Aug20 Transport Actuals'!O158</f>
        <v>0</v>
      </c>
      <c r="AL77" s="519"/>
      <c r="AM77" s="519"/>
      <c r="AN77" s="519"/>
      <c r="AO77" s="519"/>
      <c r="AP77" s="519"/>
      <c r="AQ77" s="519"/>
      <c r="AR77" s="340">
        <f>'Mar20-Aug20 Transport Actuals'!I175</f>
        <v>0</v>
      </c>
      <c r="AS77" s="340">
        <f>'Mar20-Aug20 Transport Actuals'!J175</f>
        <v>0</v>
      </c>
      <c r="AT77" s="340">
        <f>'Mar20-Aug20 Transport Actuals'!K175</f>
        <v>0</v>
      </c>
      <c r="AU77" s="340">
        <f>'Mar20-Aug20 Transport Actuals'!L175</f>
        <v>0</v>
      </c>
      <c r="AV77" s="340">
        <f>'Mar20-Aug20 Transport Actuals'!M175</f>
        <v>0</v>
      </c>
      <c r="AW77" s="340">
        <f>'Mar20-Aug20 Transport Actuals'!N175</f>
        <v>0</v>
      </c>
      <c r="AX77" s="340"/>
      <c r="AY77" s="340"/>
      <c r="AZ77" s="340"/>
      <c r="BA77" s="340"/>
      <c r="BB77" s="340"/>
      <c r="BC77" s="340"/>
      <c r="BD77" s="35"/>
      <c r="BE77" s="136"/>
      <c r="BF77" s="536">
        <f t="shared" si="86"/>
        <v>0</v>
      </c>
      <c r="BG77" s="536">
        <f t="shared" si="86"/>
        <v>0</v>
      </c>
      <c r="BH77" s="536">
        <f t="shared" si="86"/>
        <v>0</v>
      </c>
      <c r="BI77" s="536">
        <f t="shared" si="86"/>
        <v>0</v>
      </c>
      <c r="BJ77" s="536">
        <f t="shared" si="86"/>
        <v>0</v>
      </c>
      <c r="BK77" s="536">
        <f t="shared" si="86"/>
        <v>0</v>
      </c>
      <c r="BL77" s="258">
        <f t="shared" si="85"/>
        <v>0</v>
      </c>
      <c r="BM77" s="66"/>
    </row>
    <row r="78" spans="1:69" x14ac:dyDescent="0.25">
      <c r="B78" s="111" t="s">
        <v>241</v>
      </c>
      <c r="C78" s="112">
        <f t="shared" si="82"/>
        <v>942</v>
      </c>
      <c r="D78" s="112"/>
      <c r="E78" s="123">
        <f t="shared" si="56"/>
        <v>11487008.654115342</v>
      </c>
      <c r="F78" s="112">
        <f>SUM(AR78:BC78)+BL78</f>
        <v>6478093.7251493782</v>
      </c>
      <c r="G78" s="46"/>
      <c r="H78" s="363">
        <f t="shared" ref="H78:AR78" si="87">SUM(H72:H77)</f>
        <v>74</v>
      </c>
      <c r="I78" s="363">
        <f t="shared" si="87"/>
        <v>75</v>
      </c>
      <c r="J78" s="363">
        <f t="shared" si="87"/>
        <v>75</v>
      </c>
      <c r="K78" s="363">
        <f t="shared" si="87"/>
        <v>73</v>
      </c>
      <c r="L78" s="363">
        <f t="shared" si="87"/>
        <v>74</v>
      </c>
      <c r="M78" s="363">
        <f t="shared" si="87"/>
        <v>75</v>
      </c>
      <c r="N78" s="363">
        <f t="shared" si="87"/>
        <v>84</v>
      </c>
      <c r="O78" s="363">
        <f t="shared" si="87"/>
        <v>85</v>
      </c>
      <c r="P78" s="363">
        <f t="shared" si="87"/>
        <v>86</v>
      </c>
      <c r="Q78" s="363">
        <f t="shared" si="87"/>
        <v>87</v>
      </c>
      <c r="R78" s="363">
        <f t="shared" si="87"/>
        <v>77</v>
      </c>
      <c r="S78" s="363">
        <f t="shared" si="87"/>
        <v>77</v>
      </c>
      <c r="T78" s="363"/>
      <c r="U78" s="363"/>
      <c r="V78" s="363"/>
      <c r="W78" s="363"/>
      <c r="X78" s="363"/>
      <c r="Y78" s="363"/>
      <c r="Z78" s="363"/>
      <c r="AA78" s="363"/>
      <c r="AB78" s="363"/>
      <c r="AC78" s="363"/>
      <c r="AD78" s="363"/>
      <c r="AE78" s="363"/>
      <c r="AF78" s="517">
        <f>SUM(AF72:AF77)</f>
        <v>1183051.3999999999</v>
      </c>
      <c r="AG78" s="517">
        <f t="shared" si="87"/>
        <v>835667.1</v>
      </c>
      <c r="AH78" s="517">
        <f t="shared" si="87"/>
        <v>811179.4</v>
      </c>
      <c r="AI78" s="517">
        <f t="shared" si="87"/>
        <v>801354.1</v>
      </c>
      <c r="AJ78" s="517">
        <f t="shared" si="87"/>
        <v>763198</v>
      </c>
      <c r="AK78" s="517">
        <f t="shared" si="87"/>
        <v>819659.39999999991</v>
      </c>
      <c r="AL78" s="517">
        <f t="shared" si="87"/>
        <v>662070.15272314614</v>
      </c>
      <c r="AM78" s="517">
        <f t="shared" si="87"/>
        <v>819203.15673233906</v>
      </c>
      <c r="AN78" s="517">
        <f t="shared" si="87"/>
        <v>1040341.5233807465</v>
      </c>
      <c r="AO78" s="517">
        <f t="shared" si="87"/>
        <v>1167817.4816420332</v>
      </c>
      <c r="AP78" s="517">
        <f t="shared" si="87"/>
        <v>1374315.9820134528</v>
      </c>
      <c r="AQ78" s="517">
        <f t="shared" si="87"/>
        <v>1209150.9576236235</v>
      </c>
      <c r="AR78" s="335">
        <f t="shared" si="87"/>
        <v>540897.50031999999</v>
      </c>
      <c r="AS78" s="335">
        <f t="shared" ref="AS78:BC78" si="88">SUM(AS72:AS77)</f>
        <v>529315.64879999997</v>
      </c>
      <c r="AT78" s="335">
        <f t="shared" si="88"/>
        <v>516584.58505999995</v>
      </c>
      <c r="AU78" s="335">
        <f t="shared" si="88"/>
        <v>508785.66</v>
      </c>
      <c r="AV78" s="335">
        <f t="shared" si="88"/>
        <v>514972.41999999993</v>
      </c>
      <c r="AW78" s="335">
        <f t="shared" si="88"/>
        <v>513538.7</v>
      </c>
      <c r="AX78" s="335">
        <f t="shared" si="88"/>
        <v>518424.81</v>
      </c>
      <c r="AY78" s="335">
        <f t="shared" si="88"/>
        <v>526279.56999999995</v>
      </c>
      <c r="AZ78" s="335">
        <f t="shared" si="88"/>
        <v>543297.07999999996</v>
      </c>
      <c r="BA78" s="335">
        <f t="shared" si="88"/>
        <v>547795.64</v>
      </c>
      <c r="BB78" s="335">
        <f t="shared" si="88"/>
        <v>547701.44999999995</v>
      </c>
      <c r="BC78" s="335">
        <f t="shared" si="88"/>
        <v>535841.55000000005</v>
      </c>
      <c r="BD78"/>
      <c r="BE78" s="136"/>
      <c r="BF78" s="374">
        <f t="shared" ref="BF78:BK78" si="89">SUM(BF72:BF77)</f>
        <v>18638.108061795032</v>
      </c>
      <c r="BG78" s="374">
        <f t="shared" si="89"/>
        <v>30071.017010787738</v>
      </c>
      <c r="BH78" s="374">
        <f t="shared" si="89"/>
        <v>-13480.535559931279</v>
      </c>
      <c r="BI78" s="374">
        <f t="shared" si="89"/>
        <v>40030.95740926209</v>
      </c>
      <c r="BJ78" s="374">
        <f t="shared" si="89"/>
        <v>17333.578718597164</v>
      </c>
      <c r="BK78" s="374">
        <f t="shared" si="89"/>
        <v>42065.985328868308</v>
      </c>
      <c r="BL78" s="374">
        <f t="shared" si="85"/>
        <v>134659.11096937908</v>
      </c>
      <c r="BM78" s="58">
        <v>6034</v>
      </c>
      <c r="BN78" s="374"/>
    </row>
    <row r="79" spans="1:69" x14ac:dyDescent="0.25">
      <c r="B79" s="111"/>
      <c r="C79" s="112"/>
      <c r="D79" s="112"/>
      <c r="E79" s="123"/>
      <c r="F79" s="112"/>
      <c r="G79" s="46"/>
      <c r="H79" s="132"/>
      <c r="I79" s="132"/>
      <c r="J79" s="132"/>
      <c r="K79" s="132"/>
      <c r="L79" s="132"/>
      <c r="M79" s="132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521"/>
      <c r="AG79" s="521"/>
      <c r="AH79" s="521"/>
      <c r="AI79" s="521"/>
      <c r="AJ79" s="521"/>
      <c r="AK79" s="521"/>
      <c r="AL79" s="522"/>
      <c r="AM79" s="522"/>
      <c r="AN79" s="522"/>
      <c r="AO79" s="522"/>
      <c r="AP79" s="522"/>
      <c r="AQ79" s="522"/>
      <c r="AR79" s="335"/>
      <c r="AS79" s="335"/>
      <c r="AT79" s="335"/>
      <c r="AU79" s="335"/>
      <c r="AV79" s="335"/>
      <c r="AW79" s="335"/>
      <c r="AX79" s="342"/>
      <c r="AY79" s="342"/>
      <c r="AZ79" s="342"/>
      <c r="BA79" s="342"/>
      <c r="BB79" s="342"/>
      <c r="BC79" s="342"/>
      <c r="BD79"/>
      <c r="BE79" s="136"/>
    </row>
    <row r="80" spans="1:69" x14ac:dyDescent="0.25">
      <c r="B80" s="111"/>
      <c r="C80" s="46"/>
      <c r="D80" s="46"/>
      <c r="E80" s="46"/>
      <c r="F80" s="46"/>
      <c r="G80" s="46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 s="523"/>
      <c r="AG80" s="523"/>
      <c r="AH80" s="523"/>
      <c r="AI80" s="523"/>
      <c r="AJ80" s="523"/>
      <c r="AK80" s="523"/>
      <c r="AL80" s="523"/>
      <c r="AM80" s="523"/>
      <c r="AN80" s="523"/>
      <c r="AO80" s="523"/>
      <c r="AP80" s="523"/>
      <c r="AQ80" s="523"/>
      <c r="AR80" s="343"/>
      <c r="AS80" s="343"/>
      <c r="AT80" s="343"/>
      <c r="AU80" s="343"/>
      <c r="AV80" s="343"/>
      <c r="AW80" s="343"/>
      <c r="AX80" s="343"/>
      <c r="AY80" s="343"/>
      <c r="AZ80" s="343"/>
      <c r="BA80" s="343"/>
      <c r="BB80" s="343"/>
      <c r="BC80" s="343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</row>
    <row r="81" spans="1:69" x14ac:dyDescent="0.25">
      <c r="A81" s="58" t="s">
        <v>49</v>
      </c>
      <c r="B81" s="111" t="s">
        <v>647</v>
      </c>
      <c r="C81" s="112">
        <f>SUM(H81:S81)</f>
        <v>0</v>
      </c>
      <c r="D81" s="112"/>
      <c r="E81" s="123">
        <f>SUM(AF81:AQ81)</f>
        <v>0</v>
      </c>
      <c r="F81" s="112">
        <f>SUM(AR81:BC81)</f>
        <v>0</v>
      </c>
      <c r="G81" s="46"/>
      <c r="H81" s="368">
        <f>'Mar20-Aug20 Transport Actuals'!I32</f>
        <v>0</v>
      </c>
      <c r="I81" s="368">
        <f>'Mar20-Aug20 Transport Actuals'!J32</f>
        <v>0</v>
      </c>
      <c r="J81" s="368">
        <f>'Mar20-Aug20 Transport Actuals'!K32</f>
        <v>0</v>
      </c>
      <c r="K81" s="368">
        <f>'Mar20-Aug20 Transport Actuals'!L32</f>
        <v>0</v>
      </c>
      <c r="L81" s="368">
        <f>'Mar20-Aug20 Transport Actuals'!M32</f>
        <v>0</v>
      </c>
      <c r="M81" s="368">
        <f>'Mar20-Aug20 Transport Actuals'!N32</f>
        <v>0</v>
      </c>
      <c r="N81" s="368">
        <f>'Mar20-Aug20 Transport Actuals'!O32</f>
        <v>0</v>
      </c>
      <c r="O81" s="368">
        <f>'Mar20-Aug20 Transport Actuals'!P32</f>
        <v>0</v>
      </c>
      <c r="P81" s="368">
        <f>'Mar20-Aug20 Transport Actuals'!Q32</f>
        <v>0</v>
      </c>
      <c r="Q81" s="368">
        <f>'Mar20-Aug20 Transport Actuals'!R32</f>
        <v>0</v>
      </c>
      <c r="R81" s="368">
        <f>'Mar20-Aug20 Transport Actuals'!S32</f>
        <v>0</v>
      </c>
      <c r="S81" s="368">
        <f>'Mar20-Aug20 Transport Actuals'!T32</f>
        <v>0</v>
      </c>
      <c r="T81" s="368"/>
      <c r="U81" s="368"/>
      <c r="V81" s="368"/>
      <c r="W81" s="368"/>
      <c r="X81" s="368"/>
      <c r="Y81" s="368"/>
      <c r="Z81" s="368"/>
      <c r="AA81" s="368"/>
      <c r="AB81" s="368"/>
      <c r="AC81" s="368"/>
      <c r="AD81" s="368"/>
      <c r="AE81" s="368"/>
      <c r="AF81" s="523"/>
      <c r="AG81" s="523"/>
      <c r="AH81" s="523"/>
      <c r="AI81" s="523"/>
      <c r="AJ81" s="523"/>
      <c r="AK81" s="523"/>
      <c r="AL81" s="523"/>
      <c r="AM81" s="523"/>
      <c r="AN81" s="523"/>
      <c r="AO81" s="523"/>
      <c r="AP81" s="523"/>
      <c r="AQ81" s="523"/>
      <c r="AR81" s="335">
        <f>'Mar20-Aug20 Transport Actuals'!J40</f>
        <v>0</v>
      </c>
      <c r="AS81" s="335">
        <f>'Mar20-Aug20 Transport Actuals'!K40</f>
        <v>0</v>
      </c>
      <c r="AT81" s="335">
        <f>'Mar20-Aug20 Transport Actuals'!L40</f>
        <v>0</v>
      </c>
      <c r="AU81" s="335">
        <f>'Mar20-Aug20 Transport Actuals'!M40</f>
        <v>0</v>
      </c>
      <c r="AV81" s="335">
        <f>'Mar20-Aug20 Transport Actuals'!N40</f>
        <v>0</v>
      </c>
      <c r="AW81" s="335">
        <f>'Mar20-Aug20 Transport Actuals'!O40</f>
        <v>0</v>
      </c>
      <c r="AX81" s="335"/>
      <c r="AY81" s="335"/>
      <c r="AZ81" s="335"/>
      <c r="BA81" s="335"/>
      <c r="BB81" s="335"/>
      <c r="BC81" s="335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</row>
    <row r="82" spans="1:69" x14ac:dyDescent="0.25">
      <c r="A82" s="50" t="s">
        <v>38</v>
      </c>
      <c r="B82" s="111" t="s">
        <v>647</v>
      </c>
      <c r="C82" s="112">
        <f>SUM(H82:S82)</f>
        <v>852</v>
      </c>
      <c r="D82" s="112"/>
      <c r="E82" s="123">
        <f t="shared" ref="E82:E87" si="90">SUM(AF82:AQ82)</f>
        <v>0</v>
      </c>
      <c r="F82" s="112">
        <f>SUM(AR82:BC82)</f>
        <v>216206.57</v>
      </c>
      <c r="G82" s="46"/>
      <c r="H82" s="368">
        <f>'Mar20-Aug20 Transport Actuals'!I$95</f>
        <v>71</v>
      </c>
      <c r="I82" s="368">
        <f>'Mar20-Aug20 Transport Actuals'!J$95</f>
        <v>71</v>
      </c>
      <c r="J82" s="368">
        <f>'Mar20-Aug20 Transport Actuals'!K$95</f>
        <v>71</v>
      </c>
      <c r="K82" s="368">
        <f>'Mar20-Aug20 Transport Actuals'!L$95</f>
        <v>71</v>
      </c>
      <c r="L82" s="368">
        <f>'Mar20-Aug20 Transport Actuals'!M$95</f>
        <v>71</v>
      </c>
      <c r="M82" s="368">
        <f>'Mar20-Aug20 Transport Actuals'!N$95</f>
        <v>71</v>
      </c>
      <c r="N82" s="368">
        <v>71</v>
      </c>
      <c r="O82" s="368">
        <v>71</v>
      </c>
      <c r="P82" s="368">
        <v>71</v>
      </c>
      <c r="Q82" s="368">
        <v>71</v>
      </c>
      <c r="R82" s="368">
        <v>71</v>
      </c>
      <c r="S82" s="368">
        <v>71</v>
      </c>
      <c r="T82" s="368"/>
      <c r="U82" s="368"/>
      <c r="V82" s="368"/>
      <c r="W82" s="368"/>
      <c r="X82" s="368"/>
      <c r="Y82" s="368"/>
      <c r="Z82" s="368"/>
      <c r="AA82" s="368"/>
      <c r="AB82" s="368"/>
      <c r="AC82" s="368"/>
      <c r="AD82" s="368"/>
      <c r="AE82" s="368"/>
      <c r="AF82" s="517"/>
      <c r="AG82" s="517"/>
      <c r="AH82" s="517"/>
      <c r="AI82" s="517"/>
      <c r="AJ82" s="517"/>
      <c r="AK82" s="517"/>
      <c r="AL82" s="521"/>
      <c r="AM82" s="521"/>
      <c r="AN82" s="521"/>
      <c r="AO82" s="521"/>
      <c r="AP82" s="521"/>
      <c r="AQ82" s="521"/>
      <c r="AR82" s="335">
        <f>'Mar20-Aug20 Transport Actuals'!I103</f>
        <v>36957.35</v>
      </c>
      <c r="AS82" s="335">
        <f>'Mar20-Aug20 Transport Actuals'!J103</f>
        <v>38657.69</v>
      </c>
      <c r="AT82" s="335">
        <f>'Mar20-Aug20 Transport Actuals'!K103</f>
        <v>25755.06</v>
      </c>
      <c r="AU82" s="335">
        <f>'Mar20-Aug20 Transport Actuals'!L103</f>
        <v>33106</v>
      </c>
      <c r="AV82" s="335">
        <f>'Mar20-Aug20 Transport Actuals'!M103</f>
        <v>27855.129999999997</v>
      </c>
      <c r="AW82" s="335">
        <f>'Mar20-Aug20 Transport Actuals'!N103</f>
        <v>21925.34</v>
      </c>
      <c r="AX82" s="335">
        <f>SUMIFS('Sep20-Feb21 Transport Forecast'!$AO$6:$AO$46,'Sep20-Feb21 Transport Forecast'!$D$6:$D$46,$A72,'Sep20-Feb21 Transport Forecast'!$C$6:$C$46,AX$4)</f>
        <v>5325</v>
      </c>
      <c r="AY82" s="335">
        <f>SUMIFS('Sep20-Feb21 Transport Forecast'!$AO$6:$AO$46,'Sep20-Feb21 Transport Forecast'!$D$6:$D$46,$A72,'Sep20-Feb21 Transport Forecast'!$C$6:$C$46,AY$4)</f>
        <v>5325</v>
      </c>
      <c r="AZ82" s="335">
        <f>SUMIFS('Sep20-Feb21 Transport Forecast'!$AO$6:$AO$46,'Sep20-Feb21 Transport Forecast'!$D$6:$D$46,$A72,'Sep20-Feb21 Transport Forecast'!$C$6:$C$46,AZ$4)</f>
        <v>5325</v>
      </c>
      <c r="BA82" s="335">
        <f>SUMIFS('Sep20-Feb21 Transport Forecast'!$AO$6:$AO$46,'Sep20-Feb21 Transport Forecast'!$D$6:$D$46,$A72,'Sep20-Feb21 Transport Forecast'!$C$6:$C$46,BA$4)</f>
        <v>5325</v>
      </c>
      <c r="BB82" s="335">
        <f>SUMIFS('Sep20-Feb21 Transport Forecast'!$AO$6:$AO$46,'Sep20-Feb21 Transport Forecast'!$D$6:$D$46,$A72,'Sep20-Feb21 Transport Forecast'!$C$6:$C$46,BB$4)</f>
        <v>5325</v>
      </c>
      <c r="BC82" s="335">
        <f>SUMIFS('Sep20-Feb21 Transport Forecast'!$AO$6:$AO$46,'Sep20-Feb21 Transport Forecast'!$D$6:$D$46,$A72,'Sep20-Feb21 Transport Forecast'!$C$6:$C$46,BC$4)</f>
        <v>5325</v>
      </c>
      <c r="BD82"/>
      <c r="BE82" s="136"/>
      <c r="BF82"/>
      <c r="BG82"/>
      <c r="BH82"/>
      <c r="BI82"/>
      <c r="BJ82"/>
      <c r="BK82"/>
      <c r="BL82"/>
    </row>
    <row r="83" spans="1:69" x14ac:dyDescent="0.25">
      <c r="A83" s="50" t="s">
        <v>52</v>
      </c>
      <c r="B83" s="111" t="s">
        <v>648</v>
      </c>
      <c r="C83" s="112">
        <f>SUM(H83:S83)</f>
        <v>108</v>
      </c>
      <c r="D83" s="112"/>
      <c r="E83" s="123">
        <f t="shared" si="90"/>
        <v>0</v>
      </c>
      <c r="F83" s="112">
        <f>SUM(AR83:BC83)</f>
        <v>8100</v>
      </c>
      <c r="G83" s="808"/>
      <c r="H83" s="369">
        <f>'Mar20-Aug20 Transport Actuals'!I$288</f>
        <v>9</v>
      </c>
      <c r="I83" s="369">
        <f>'Mar20-Aug20 Transport Actuals'!J$288</f>
        <v>9</v>
      </c>
      <c r="J83" s="369">
        <f>'Mar20-Aug20 Transport Actuals'!K$288</f>
        <v>9</v>
      </c>
      <c r="K83" s="369">
        <f>'Mar20-Aug20 Transport Actuals'!L$288</f>
        <v>9</v>
      </c>
      <c r="L83" s="369">
        <f>'Mar20-Aug20 Transport Actuals'!M$288</f>
        <v>9</v>
      </c>
      <c r="M83" s="369">
        <f>'Mar20-Aug20 Transport Actuals'!N$288</f>
        <v>9</v>
      </c>
      <c r="N83" s="369">
        <v>9</v>
      </c>
      <c r="O83" s="369">
        <v>9</v>
      </c>
      <c r="P83" s="369">
        <v>9</v>
      </c>
      <c r="Q83" s="369">
        <v>9</v>
      </c>
      <c r="R83" s="369">
        <v>9</v>
      </c>
      <c r="S83" s="369">
        <v>9</v>
      </c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518"/>
      <c r="AG83" s="518"/>
      <c r="AH83" s="518"/>
      <c r="AI83" s="518"/>
      <c r="AJ83" s="518"/>
      <c r="AK83" s="518"/>
      <c r="AL83" s="524"/>
      <c r="AM83" s="524"/>
      <c r="AN83" s="524"/>
      <c r="AO83" s="524"/>
      <c r="AP83" s="524"/>
      <c r="AQ83" s="524"/>
      <c r="AR83" s="335">
        <f>'Mar20-Aug20 Transport Actuals'!I294</f>
        <v>675</v>
      </c>
      <c r="AS83" s="335">
        <f>'Mar20-Aug20 Transport Actuals'!J294</f>
        <v>675</v>
      </c>
      <c r="AT83" s="335">
        <f>'Mar20-Aug20 Transport Actuals'!K294</f>
        <v>675</v>
      </c>
      <c r="AU83" s="335">
        <f>'Mar20-Aug20 Transport Actuals'!L294</f>
        <v>675</v>
      </c>
      <c r="AV83" s="335">
        <f>'Mar20-Aug20 Transport Actuals'!M294</f>
        <v>675</v>
      </c>
      <c r="AW83" s="335">
        <f>'Mar20-Aug20 Transport Actuals'!N294</f>
        <v>675</v>
      </c>
      <c r="AX83" s="335">
        <f>SUMIFS('Sep20-Feb21 Transport Forecast'!$AO$6:$AO$46,'Sep20-Feb21 Transport Forecast'!$D$6:$D$46,$A64,'Sep20-Feb21 Transport Forecast'!$C$6:$C$46,AX$4)</f>
        <v>675</v>
      </c>
      <c r="AY83" s="335">
        <f>SUMIFS('Sep20-Feb21 Transport Forecast'!$AO$6:$AO$46,'Sep20-Feb21 Transport Forecast'!$D$6:$D$46,$A64,'Sep20-Feb21 Transport Forecast'!$C$6:$C$46,AY$4)</f>
        <v>675</v>
      </c>
      <c r="AZ83" s="335">
        <f>SUMIFS('Sep20-Feb21 Transport Forecast'!$AO$6:$AO$46,'Sep20-Feb21 Transport Forecast'!$D$6:$D$46,$A64,'Sep20-Feb21 Transport Forecast'!$C$6:$C$46,AZ$4)</f>
        <v>675</v>
      </c>
      <c r="BA83" s="335">
        <f>SUMIFS('Sep20-Feb21 Transport Forecast'!$AO$6:$AO$46,'Sep20-Feb21 Transport Forecast'!$D$6:$D$46,$A64,'Sep20-Feb21 Transport Forecast'!$C$6:$C$46,BA$4)</f>
        <v>675</v>
      </c>
      <c r="BB83" s="335">
        <f>SUMIFS('Sep20-Feb21 Transport Forecast'!$AO$6:$AO$46,'Sep20-Feb21 Transport Forecast'!$D$6:$D$46,$A64,'Sep20-Feb21 Transport Forecast'!$C$6:$C$46,BB$4)</f>
        <v>675</v>
      </c>
      <c r="BC83" s="335">
        <f>SUMIFS('Sep20-Feb21 Transport Forecast'!$AO$6:$AO$46,'Sep20-Feb21 Transport Forecast'!$D$6:$D$46,$A64,'Sep20-Feb21 Transport Forecast'!$C$6:$C$46,BC$4)</f>
        <v>675</v>
      </c>
      <c r="BD83"/>
      <c r="BE83" s="136"/>
      <c r="BF83"/>
      <c r="BG83"/>
      <c r="BH83"/>
      <c r="BI83"/>
      <c r="BJ83"/>
      <c r="BK83"/>
      <c r="BL83"/>
    </row>
    <row r="84" spans="1:69" x14ac:dyDescent="0.25">
      <c r="A84" s="50" t="s">
        <v>54</v>
      </c>
      <c r="B84" s="111" t="s">
        <v>649</v>
      </c>
      <c r="C84" s="124">
        <f>SUM(H84:S84)</f>
        <v>0</v>
      </c>
      <c r="D84" s="124"/>
      <c r="E84" s="125">
        <f t="shared" si="90"/>
        <v>0</v>
      </c>
      <c r="F84" s="124">
        <f>SUM(AR84:BC84)</f>
        <v>0</v>
      </c>
      <c r="G84" s="46"/>
      <c r="H84" s="365">
        <v>0</v>
      </c>
      <c r="I84" s="365">
        <v>0</v>
      </c>
      <c r="J84" s="365">
        <v>0</v>
      </c>
      <c r="K84" s="365">
        <v>0</v>
      </c>
      <c r="L84" s="365">
        <v>0</v>
      </c>
      <c r="M84" s="365">
        <v>0</v>
      </c>
      <c r="N84" s="365"/>
      <c r="O84" s="365"/>
      <c r="P84" s="365"/>
      <c r="Q84" s="365"/>
      <c r="R84" s="365"/>
      <c r="S84" s="365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518"/>
      <c r="AG84" s="518"/>
      <c r="AH84" s="518"/>
      <c r="AI84" s="518"/>
      <c r="AJ84" s="518"/>
      <c r="AK84" s="518"/>
      <c r="AL84" s="524"/>
      <c r="AM84" s="524"/>
      <c r="AN84" s="524"/>
      <c r="AO84" s="524"/>
      <c r="AP84" s="524"/>
      <c r="AQ84" s="524"/>
      <c r="AR84" s="340">
        <v>0</v>
      </c>
      <c r="AS84" s="340">
        <v>0</v>
      </c>
      <c r="AT84" s="340">
        <v>0</v>
      </c>
      <c r="AU84" s="340">
        <v>0</v>
      </c>
      <c r="AV84" s="340">
        <v>0</v>
      </c>
      <c r="AW84" s="340">
        <v>0</v>
      </c>
      <c r="AX84" s="340"/>
      <c r="AY84" s="340"/>
      <c r="AZ84" s="340"/>
      <c r="BA84" s="340"/>
      <c r="BB84" s="340"/>
      <c r="BC84" s="340"/>
      <c r="BD84"/>
      <c r="BE84"/>
      <c r="BF84"/>
      <c r="BG84"/>
      <c r="BH84"/>
      <c r="BI84"/>
      <c r="BJ84"/>
      <c r="BK84"/>
      <c r="BL84"/>
      <c r="BM84"/>
    </row>
    <row r="85" spans="1:69" x14ac:dyDescent="0.25">
      <c r="B85" s="111" t="s">
        <v>372</v>
      </c>
      <c r="C85" s="112">
        <f>SUM(H85:S85)</f>
        <v>960</v>
      </c>
      <c r="D85" s="112"/>
      <c r="E85" s="123">
        <f t="shared" si="90"/>
        <v>0</v>
      </c>
      <c r="F85" s="112">
        <f>SUM(F82:F84)+BL85</f>
        <v>224306.57</v>
      </c>
      <c r="G85" s="46"/>
      <c r="H85" s="135">
        <f t="shared" ref="H85:S85" si="91">SUM(H81:H84)</f>
        <v>80</v>
      </c>
      <c r="I85" s="135">
        <f t="shared" si="91"/>
        <v>80</v>
      </c>
      <c r="J85" s="135">
        <f t="shared" si="91"/>
        <v>80</v>
      </c>
      <c r="K85" s="135">
        <f t="shared" si="91"/>
        <v>80</v>
      </c>
      <c r="L85" s="135">
        <f t="shared" si="91"/>
        <v>80</v>
      </c>
      <c r="M85" s="135">
        <f t="shared" si="91"/>
        <v>80</v>
      </c>
      <c r="N85" s="135">
        <f t="shared" si="91"/>
        <v>80</v>
      </c>
      <c r="O85" s="135">
        <f t="shared" si="91"/>
        <v>80</v>
      </c>
      <c r="P85" s="135">
        <f t="shared" si="91"/>
        <v>80</v>
      </c>
      <c r="Q85" s="135">
        <f t="shared" si="91"/>
        <v>80</v>
      </c>
      <c r="R85" s="135">
        <f t="shared" si="91"/>
        <v>80</v>
      </c>
      <c r="S85" s="135">
        <f t="shared" si="91"/>
        <v>80</v>
      </c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3"/>
      <c r="AG85" s="133"/>
      <c r="AH85" s="133"/>
      <c r="AI85" s="133"/>
      <c r="AJ85" s="133"/>
      <c r="AK85" s="133"/>
      <c r="AR85" s="335">
        <f t="shared" ref="AR85:AW85" si="92">SUM(AR81:AR84)</f>
        <v>37632.35</v>
      </c>
      <c r="AS85" s="335">
        <f t="shared" si="92"/>
        <v>39332.69</v>
      </c>
      <c r="AT85" s="335">
        <f t="shared" si="92"/>
        <v>26430.06</v>
      </c>
      <c r="AU85" s="335">
        <f t="shared" si="92"/>
        <v>33781</v>
      </c>
      <c r="AV85" s="335">
        <f t="shared" si="92"/>
        <v>28530.129999999997</v>
      </c>
      <c r="AW85" s="335">
        <f t="shared" si="92"/>
        <v>22600.34</v>
      </c>
      <c r="AX85" s="335">
        <f t="shared" ref="AX85:BC85" si="93">SUM(AX82:AX84)</f>
        <v>6000</v>
      </c>
      <c r="AY85" s="335">
        <f t="shared" si="93"/>
        <v>6000</v>
      </c>
      <c r="AZ85" s="335">
        <f t="shared" si="93"/>
        <v>6000</v>
      </c>
      <c r="BA85" s="335">
        <f t="shared" si="93"/>
        <v>6000</v>
      </c>
      <c r="BB85" s="335">
        <f t="shared" si="93"/>
        <v>6000</v>
      </c>
      <c r="BC85" s="335">
        <f t="shared" si="93"/>
        <v>6000</v>
      </c>
      <c r="BD85"/>
      <c r="BE85"/>
      <c r="BF85"/>
      <c r="BG85"/>
      <c r="BH85"/>
      <c r="BI85"/>
      <c r="BJ85"/>
      <c r="BK85"/>
      <c r="BL85"/>
      <c r="BM85"/>
      <c r="BN85" s="374"/>
    </row>
    <row r="86" spans="1:69" x14ac:dyDescent="0.25">
      <c r="C86" s="138"/>
      <c r="D86" s="138"/>
      <c r="E86" s="267"/>
      <c r="F86" s="138"/>
      <c r="AF86" s="58"/>
      <c r="AG86" s="58"/>
      <c r="AH86" s="58"/>
      <c r="AI86" s="58"/>
      <c r="AJ86" s="58"/>
      <c r="AK86" s="58"/>
      <c r="AR86" s="344"/>
      <c r="AS86" s="344"/>
      <c r="AT86" s="344"/>
      <c r="AU86" s="344"/>
      <c r="AV86" s="344"/>
      <c r="AW86" s="344"/>
      <c r="AX86" s="345"/>
      <c r="AY86" s="345"/>
      <c r="AZ86" s="345"/>
      <c r="BA86" s="345"/>
      <c r="BB86" s="345"/>
      <c r="BC86" s="345"/>
      <c r="BD86"/>
      <c r="BE86" s="121"/>
    </row>
    <row r="87" spans="1:69" x14ac:dyDescent="0.25">
      <c r="B87" s="271" t="s">
        <v>211</v>
      </c>
      <c r="C87" s="124"/>
      <c r="D87" s="124"/>
      <c r="E87" s="125">
        <f t="shared" si="90"/>
        <v>0</v>
      </c>
      <c r="F87" s="124">
        <f>SUM(AR87:BC87)</f>
        <v>159792.25</v>
      </c>
      <c r="H87" s="74"/>
      <c r="I87" s="74"/>
      <c r="J87" s="74"/>
      <c r="K87" s="74"/>
      <c r="L87" s="74"/>
      <c r="M87" s="74"/>
      <c r="N87" s="278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75"/>
      <c r="AG87" s="75"/>
      <c r="AH87" s="75"/>
      <c r="AI87" s="75"/>
      <c r="AJ87" s="75"/>
      <c r="AK87" s="75"/>
      <c r="AL87" s="74"/>
      <c r="AM87" s="74"/>
      <c r="AN87" s="74"/>
      <c r="AO87" s="74"/>
      <c r="AP87" s="74"/>
      <c r="AQ87" s="74"/>
      <c r="AR87" s="346">
        <f>5718.55+15309.87</f>
        <v>21028.420000000002</v>
      </c>
      <c r="AS87" s="346">
        <v>35681.879999999997</v>
      </c>
      <c r="AT87" s="346">
        <v>-17357.060000000001</v>
      </c>
      <c r="AU87" s="346">
        <v>48818.29</v>
      </c>
      <c r="AV87" s="346">
        <v>21774.6</v>
      </c>
      <c r="AW87" s="346">
        <v>49846.12</v>
      </c>
      <c r="AX87" s="339"/>
      <c r="AY87" s="339"/>
      <c r="AZ87" s="339"/>
      <c r="BA87" s="339"/>
      <c r="BB87" s="339"/>
      <c r="BC87" s="339"/>
      <c r="BD87"/>
      <c r="BE87" s="121"/>
    </row>
    <row r="88" spans="1:69" x14ac:dyDescent="0.25">
      <c r="B88" s="271"/>
      <c r="C88" s="137"/>
      <c r="D88" s="137"/>
      <c r="E88" s="329"/>
      <c r="F88" s="137"/>
      <c r="H88" s="76"/>
      <c r="I88" s="76"/>
      <c r="J88" s="76"/>
      <c r="K88" s="76"/>
      <c r="L88" s="76"/>
      <c r="M88" s="76"/>
      <c r="N88" s="67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333"/>
      <c r="AG88" s="333"/>
      <c r="AH88" s="333"/>
      <c r="AI88" s="333"/>
      <c r="AJ88" s="333"/>
      <c r="AK88" s="333"/>
      <c r="AL88" s="76"/>
      <c r="AM88" s="76"/>
      <c r="AN88" s="76"/>
      <c r="AO88" s="76"/>
      <c r="AP88" s="76"/>
      <c r="AQ88" s="76"/>
      <c r="AR88" s="344"/>
      <c r="AS88" s="344"/>
      <c r="AT88" s="344"/>
      <c r="AU88" s="344"/>
      <c r="AV88" s="344"/>
      <c r="AW88" s="344"/>
      <c r="AX88" s="337"/>
      <c r="AY88" s="337"/>
      <c r="AZ88" s="337"/>
      <c r="BA88" s="337"/>
      <c r="BB88" s="337"/>
      <c r="BC88" s="337"/>
      <c r="BD88"/>
      <c r="BE88" s="121"/>
    </row>
    <row r="89" spans="1:69" x14ac:dyDescent="0.25">
      <c r="B89" s="58" t="s">
        <v>675</v>
      </c>
      <c r="C89" s="137"/>
      <c r="D89" s="137"/>
      <c r="E89" s="123">
        <f>SUM(AF89:AQ89)</f>
        <v>11995189.59415306</v>
      </c>
      <c r="F89" s="112">
        <f>SUM(AR89:BC89)</f>
        <v>7937039.8114633569</v>
      </c>
      <c r="H89" s="76"/>
      <c r="I89" s="76"/>
      <c r="J89" s="76"/>
      <c r="K89" s="76"/>
      <c r="L89" s="76"/>
      <c r="M89" s="76"/>
      <c r="N89" s="67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76">
        <v>1212031</v>
      </c>
      <c r="AG89" s="76">
        <v>886244</v>
      </c>
      <c r="AH89" s="76">
        <v>785889</v>
      </c>
      <c r="AI89" s="76">
        <v>918310</v>
      </c>
      <c r="AJ89" s="76">
        <v>793449</v>
      </c>
      <c r="AK89" s="76">
        <v>873708</v>
      </c>
      <c r="AL89" s="76">
        <v>717707</v>
      </c>
      <c r="AM89" s="76">
        <f>(SUM('Sep20-Feb21 Transport Forecast'!I13:I16)+SUM('Sep20-Feb21 Transport Forecast'!J13:J16))</f>
        <v>879997.60912051972</v>
      </c>
      <c r="AN89" s="76">
        <f>(SUM('Sep20-Feb21 Transport Forecast'!I20:I23)+SUM('Sep20-Feb21 Transport Forecast'!J20:J23))</f>
        <v>1100018.2520174209</v>
      </c>
      <c r="AO89" s="76">
        <f>(SUM('Sep20-Feb21 Transport Forecast'!I27:I32)+SUM('Sep20-Feb21 Transport Forecast'!J27:J32))</f>
        <v>1202401.5895505818</v>
      </c>
      <c r="AP89" s="76">
        <f>(SUM('Sep20-Feb21 Transport Forecast'!I34:I39)+SUM('Sep20-Feb21 Transport Forecast'!J34:J39))</f>
        <v>1393789.3314241718</v>
      </c>
      <c r="AQ89" s="76">
        <f>(SUM('Sep20-Feb21 Transport Forecast'!I41:I46)+SUM('Sep20-Feb21 Transport Forecast'!J41:J46))</f>
        <v>1231644.8120403665</v>
      </c>
      <c r="AR89" s="335">
        <v>668928</v>
      </c>
      <c r="AS89" s="344">
        <v>703094</v>
      </c>
      <c r="AT89" s="344">
        <v>674222</v>
      </c>
      <c r="AU89" s="344">
        <v>703070</v>
      </c>
      <c r="AV89" s="344">
        <v>697218</v>
      </c>
      <c r="AW89" s="344">
        <v>680965</v>
      </c>
      <c r="AX89" s="344">
        <f>SUM('Sep20-Feb21 Transport Forecast'!AV6:AV11)</f>
        <v>634888.33303128299</v>
      </c>
      <c r="AY89" s="344">
        <f>SUM('Sep20-Feb21 Transport Forecast'!AV13:AV18)</f>
        <v>649686.61214860226</v>
      </c>
      <c r="AZ89" s="344">
        <f>SUM('Sep20-Feb21 Transport Forecast'!AV20:AV25)</f>
        <v>685000.99997508945</v>
      </c>
      <c r="BA89" s="344">
        <f>SUM('Sep20-Feb21 Transport Forecast'!AV27:AV32)</f>
        <v>635941.9919047216</v>
      </c>
      <c r="BB89" s="344">
        <f>SUM('Sep20-Feb21 Transport Forecast'!AV34:AV39)</f>
        <v>603652.69353107864</v>
      </c>
      <c r="BC89" s="344">
        <f>SUM('Sep20-Feb21 Transport Forecast'!AV41:AV46)</f>
        <v>600372.18087258295</v>
      </c>
      <c r="BD89"/>
      <c r="BE89" s="121"/>
    </row>
    <row r="90" spans="1:69" x14ac:dyDescent="0.25">
      <c r="B90" s="58" t="s">
        <v>242</v>
      </c>
      <c r="C90" s="112">
        <f>C70+C78</f>
        <v>1050</v>
      </c>
      <c r="D90" s="112"/>
      <c r="E90" s="123">
        <f>SUM(AF90:AQ90)</f>
        <v>11999273.379911711</v>
      </c>
      <c r="F90" s="112">
        <f>SUM(AR90:BC90)</f>
        <v>7937025.6832999997</v>
      </c>
      <c r="AF90" s="61">
        <f>AF70+AF78</f>
        <v>1213303.5</v>
      </c>
      <c r="AG90" s="61">
        <f>AG70+AG78</f>
        <v>891331.2</v>
      </c>
      <c r="AH90" s="61">
        <f t="shared" ref="AH90:AK90" si="94">AH70+AH78</f>
        <v>850449.6</v>
      </c>
      <c r="AI90" s="61">
        <f>AI70+AI78</f>
        <v>850770.6</v>
      </c>
      <c r="AJ90" s="61">
        <f t="shared" si="94"/>
        <v>794155.2</v>
      </c>
      <c r="AK90" s="61">
        <f t="shared" si="94"/>
        <v>873704.7</v>
      </c>
      <c r="AL90" s="61">
        <f>AL70+AL78+AL85+AL87</f>
        <v>717706.98575865035</v>
      </c>
      <c r="AM90" s="61">
        <f t="shared" ref="AM90:AW90" si="95">AM70+AM78+AM85+AM87</f>
        <v>879997.60912051972</v>
      </c>
      <c r="AN90" s="61">
        <f t="shared" si="95"/>
        <v>1100018.2520174209</v>
      </c>
      <c r="AO90" s="61">
        <f t="shared" si="95"/>
        <v>1202401.5895505818</v>
      </c>
      <c r="AP90" s="61">
        <f t="shared" si="95"/>
        <v>1393789.3314241718</v>
      </c>
      <c r="AQ90" s="61">
        <f t="shared" si="95"/>
        <v>1231644.8120403667</v>
      </c>
      <c r="AR90" s="344">
        <f>AR70+AR78+AR85+AR87</f>
        <v>668927.63699999999</v>
      </c>
      <c r="AS90" s="344">
        <f t="shared" si="95"/>
        <v>703093.67539999995</v>
      </c>
      <c r="AT90" s="344">
        <f t="shared" si="95"/>
        <v>674209.01021999994</v>
      </c>
      <c r="AU90" s="344">
        <f t="shared" si="95"/>
        <v>703070.23311999999</v>
      </c>
      <c r="AV90" s="344">
        <f>AV70+AV78+AV85+AV87</f>
        <v>697217.79039999982</v>
      </c>
      <c r="AW90" s="344">
        <f t="shared" si="95"/>
        <v>680964.51715999993</v>
      </c>
      <c r="AX90" s="344">
        <f t="shared" ref="AX90:BC90" si="96">AX70+AX78+AX85+AX87</f>
        <v>634888.32999999996</v>
      </c>
      <c r="AY90" s="344">
        <f t="shared" si="96"/>
        <v>649686.62</v>
      </c>
      <c r="AZ90" s="344">
        <f t="shared" si="96"/>
        <v>685001</v>
      </c>
      <c r="BA90" s="344">
        <f t="shared" si="96"/>
        <v>635941.99</v>
      </c>
      <c r="BB90" s="344">
        <f t="shared" si="96"/>
        <v>603652.69999999995</v>
      </c>
      <c r="BC90" s="344">
        <f t="shared" si="96"/>
        <v>600372.18000000005</v>
      </c>
      <c r="BD90"/>
      <c r="BE90" s="121"/>
    </row>
    <row r="91" spans="1:69" x14ac:dyDescent="0.25">
      <c r="C91" s="58"/>
      <c r="D91" s="58"/>
      <c r="E91" s="58"/>
      <c r="F91" s="92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110">
        <f>AF89-AF90</f>
        <v>-1272.5</v>
      </c>
      <c r="AG91" s="110">
        <f>AG89-AG90</f>
        <v>-5087.1999999999534</v>
      </c>
      <c r="AH91" s="110">
        <f t="shared" ref="AH91:AK91" si="97">AH89-AH90</f>
        <v>-64560.599999999977</v>
      </c>
      <c r="AI91" s="110">
        <f t="shared" si="97"/>
        <v>67539.400000000023</v>
      </c>
      <c r="AJ91" s="110">
        <f t="shared" si="97"/>
        <v>-706.19999999995343</v>
      </c>
      <c r="AK91" s="110">
        <f t="shared" si="97"/>
        <v>3.3000000000465661</v>
      </c>
      <c r="AL91" s="110">
        <f t="shared" ref="AL91:AQ91" si="98">AL89-AL90</f>
        <v>1.4241349650546908E-2</v>
      </c>
      <c r="AM91" s="110">
        <f t="shared" si="98"/>
        <v>0</v>
      </c>
      <c r="AN91" s="110">
        <f t="shared" si="98"/>
        <v>0</v>
      </c>
      <c r="AO91" s="110">
        <f t="shared" si="98"/>
        <v>0</v>
      </c>
      <c r="AP91" s="110">
        <f t="shared" si="98"/>
        <v>0</v>
      </c>
      <c r="AQ91" s="110">
        <f t="shared" si="98"/>
        <v>0</v>
      </c>
      <c r="AR91" s="131">
        <f t="shared" ref="AR91:AW91" si="99">AR90-AR89</f>
        <v>-0.36300000001210719</v>
      </c>
      <c r="AS91" s="131">
        <f t="shared" si="99"/>
        <v>-0.32460000005085021</v>
      </c>
      <c r="AT91" s="131">
        <f t="shared" si="99"/>
        <v>-12.989780000061728</v>
      </c>
      <c r="AU91" s="131">
        <f t="shared" si="99"/>
        <v>0.23311999998986721</v>
      </c>
      <c r="AV91" s="131">
        <f t="shared" si="99"/>
        <v>-0.20960000017657876</v>
      </c>
      <c r="AW91" s="131">
        <f t="shared" si="99"/>
        <v>-0.48284000006970018</v>
      </c>
      <c r="AX91" s="131">
        <f t="shared" ref="AX91:BC91" si="100">AX90-AX89</f>
        <v>-3.0312830349430442E-3</v>
      </c>
      <c r="AY91" s="131">
        <f t="shared" si="100"/>
        <v>7.8513977350667119E-3</v>
      </c>
      <c r="AZ91" s="131">
        <f t="shared" si="100"/>
        <v>2.4910550564527512E-5</v>
      </c>
      <c r="BA91" s="131">
        <f t="shared" si="100"/>
        <v>-1.9047216046601534E-3</v>
      </c>
      <c r="BB91" s="131">
        <f t="shared" si="100"/>
        <v>6.4689213177189231E-3</v>
      </c>
      <c r="BC91" s="131">
        <f t="shared" si="100"/>
        <v>-8.7258289568126202E-4</v>
      </c>
      <c r="BD91"/>
      <c r="BE91" s="121"/>
      <c r="BF91" s="121"/>
      <c r="BG91" s="121"/>
    </row>
    <row r="92" spans="1:69" x14ac:dyDescent="0.25">
      <c r="C92" s="138"/>
      <c r="D92" s="138"/>
      <c r="E92" s="121"/>
      <c r="F92" s="138"/>
      <c r="BD92"/>
      <c r="BE92" s="92"/>
    </row>
    <row r="93" spans="1:69" x14ac:dyDescent="0.25">
      <c r="C93" s="138"/>
      <c r="D93" s="138"/>
      <c r="E93" s="121"/>
      <c r="F93" s="138"/>
      <c r="AR93" s="139"/>
      <c r="AS93" s="140"/>
      <c r="AT93" s="140"/>
      <c r="AU93" s="140"/>
      <c r="AV93" s="140"/>
      <c r="AW93" s="140"/>
      <c r="AX93" s="139"/>
      <c r="AY93" s="139"/>
      <c r="AZ93" s="139"/>
      <c r="BA93" s="139"/>
      <c r="BB93" s="139"/>
      <c r="BC93" s="139"/>
      <c r="BD93"/>
    </row>
    <row r="94" spans="1:69" x14ac:dyDescent="0.25">
      <c r="B94" s="58" t="s">
        <v>286</v>
      </c>
      <c r="C94" s="138"/>
      <c r="D94" s="138"/>
      <c r="E94" s="138">
        <f>+E44+E55+E89</f>
        <v>44957607.368073709</v>
      </c>
      <c r="F94" s="138">
        <f>+F44+F55+F89</f>
        <v>349530573.67601234</v>
      </c>
      <c r="AF94" s="59">
        <f>+AF44+AF55+AF89</f>
        <v>5379692</v>
      </c>
      <c r="AG94" s="59">
        <f>+AG44+AG55+AG89</f>
        <v>3266340</v>
      </c>
      <c r="AH94" s="59">
        <f t="shared" ref="AH94:AQ94" si="101">+AH44+AH55+AH89</f>
        <v>2455686</v>
      </c>
      <c r="AI94" s="59">
        <f t="shared" si="101"/>
        <v>1856010</v>
      </c>
      <c r="AJ94" s="59">
        <f t="shared" si="101"/>
        <v>1481383</v>
      </c>
      <c r="AK94" s="59">
        <f>+AK44+AK55+AK89</f>
        <v>1504406</v>
      </c>
      <c r="AL94" s="59">
        <f t="shared" si="101"/>
        <v>1458323.0789196978</v>
      </c>
      <c r="AM94" s="59">
        <f t="shared" si="101"/>
        <v>2346054.7126569911</v>
      </c>
      <c r="AN94" s="59">
        <f t="shared" si="101"/>
        <v>4679899.945503287</v>
      </c>
      <c r="AO94" s="59">
        <f t="shared" si="101"/>
        <v>6339463.7890644539</v>
      </c>
      <c r="AP94" s="59">
        <f t="shared" si="101"/>
        <v>7884732.226074283</v>
      </c>
      <c r="AQ94" s="59">
        <f t="shared" si="101"/>
        <v>6305616.6158549944</v>
      </c>
      <c r="AR94" s="59">
        <f>+AR44+AR55+AR89</f>
        <v>38084439</v>
      </c>
      <c r="AS94" s="59">
        <f t="shared" ref="AS94:BC94" si="102">+AS44+AS55+AS89</f>
        <v>26506736</v>
      </c>
      <c r="AT94" s="59">
        <f t="shared" si="102"/>
        <v>20409445</v>
      </c>
      <c r="AU94" s="59">
        <f t="shared" si="102"/>
        <v>15005953</v>
      </c>
      <c r="AV94" s="59">
        <f t="shared" si="102"/>
        <v>13788105</v>
      </c>
      <c r="AW94" s="59">
        <f t="shared" si="102"/>
        <v>13288127</v>
      </c>
      <c r="AX94" s="59">
        <f>+AX44+AX55+AX89</f>
        <v>14446444.585074835</v>
      </c>
      <c r="AY94" s="59">
        <f t="shared" si="102"/>
        <v>19559847.201343451</v>
      </c>
      <c r="AZ94" s="59">
        <f t="shared" si="102"/>
        <v>34757619.786724493</v>
      </c>
      <c r="BA94" s="59">
        <f t="shared" si="102"/>
        <v>47489461.890319631</v>
      </c>
      <c r="BB94" s="59">
        <f t="shared" si="102"/>
        <v>58709523.68844299</v>
      </c>
      <c r="BC94" s="59">
        <f t="shared" si="102"/>
        <v>47484871.524106875</v>
      </c>
      <c r="BD94"/>
    </row>
    <row r="95" spans="1:69" x14ac:dyDescent="0.25">
      <c r="B95" s="58" t="s">
        <v>287</v>
      </c>
      <c r="C95" s="138">
        <f>C9+C17+C23+C26+C29+C39+C51+C70+C78</f>
        <v>3934049</v>
      </c>
      <c r="D95" s="138"/>
      <c r="E95" s="138">
        <f>+E45+E56+E90</f>
        <v>44961691.05383236</v>
      </c>
      <c r="F95" s="138">
        <f>+F45+F56+F90</f>
        <v>349530558.69137907</v>
      </c>
      <c r="AF95" s="59">
        <f>+AF45+AF56+AF90</f>
        <v>5380964.2000000002</v>
      </c>
      <c r="AG95" s="59">
        <f>+AG45+AG56+AG90</f>
        <v>3271427.3999999994</v>
      </c>
      <c r="AH95" s="59">
        <f t="shared" ref="AH95:AQ95" si="103">+AH45+AH56+AH90</f>
        <v>2520246.7000000002</v>
      </c>
      <c r="AI95" s="59">
        <f t="shared" si="103"/>
        <v>1788471.5999999996</v>
      </c>
      <c r="AJ95" s="59">
        <f t="shared" si="103"/>
        <v>1482088.7999999998</v>
      </c>
      <c r="AK95" s="59">
        <f t="shared" si="103"/>
        <v>1504402</v>
      </c>
      <c r="AL95" s="59">
        <f t="shared" si="103"/>
        <v>1458322.6646783482</v>
      </c>
      <c r="AM95" s="59">
        <f t="shared" si="103"/>
        <v>2346055.112656991</v>
      </c>
      <c r="AN95" s="59">
        <f t="shared" si="103"/>
        <v>4679899.945503287</v>
      </c>
      <c r="AO95" s="59">
        <f t="shared" si="103"/>
        <v>6339463.7890644539</v>
      </c>
      <c r="AP95" s="59">
        <f t="shared" si="103"/>
        <v>7884732.226074283</v>
      </c>
      <c r="AQ95" s="59">
        <f t="shared" si="103"/>
        <v>6305616.6158549953</v>
      </c>
      <c r="AR95" s="59">
        <f>+AR45+AR56+AR90</f>
        <v>38084439.167718008</v>
      </c>
      <c r="AS95" s="59">
        <f t="shared" ref="AS95:BC95" si="104">+AS45+AS56+AS90</f>
        <v>26506734.946719997</v>
      </c>
      <c r="AT95" s="59">
        <f t="shared" si="104"/>
        <v>20409439.609903999</v>
      </c>
      <c r="AU95" s="59">
        <f t="shared" si="104"/>
        <v>15005944.419388</v>
      </c>
      <c r="AV95" s="59">
        <f t="shared" si="104"/>
        <v>13788105.233328</v>
      </c>
      <c r="AW95" s="59">
        <f t="shared" si="104"/>
        <v>13288126.637159999</v>
      </c>
      <c r="AX95" s="59">
        <f t="shared" si="104"/>
        <v>14446444.579999998</v>
      </c>
      <c r="AY95" s="59">
        <f t="shared" si="104"/>
        <v>19559847.219999999</v>
      </c>
      <c r="AZ95" s="59">
        <f t="shared" si="104"/>
        <v>34757619.781144619</v>
      </c>
      <c r="BA95" s="59">
        <f t="shared" si="104"/>
        <v>47489461.876016408</v>
      </c>
      <c r="BB95" s="59">
        <f t="shared" si="104"/>
        <v>58709523.68999999</v>
      </c>
      <c r="BC95" s="59">
        <f t="shared" si="104"/>
        <v>47484871.529999994</v>
      </c>
      <c r="BD95"/>
    </row>
    <row r="96" spans="1:69" x14ac:dyDescent="0.25">
      <c r="E96" s="59">
        <f>+E95-E94</f>
        <v>4083.6857586503029</v>
      </c>
      <c r="F96" s="59">
        <f>+F95-F94</f>
        <v>-14.984633266925812</v>
      </c>
      <c r="AF96" s="59">
        <f>+AF95-AF94</f>
        <v>1272.2000000001863</v>
      </c>
      <c r="AG96" s="59">
        <f>+AG95-AG94</f>
        <v>5087.3999999994412</v>
      </c>
      <c r="AH96" s="59">
        <f t="shared" ref="AH96:AK96" si="105">+AH95-AH94</f>
        <v>64560.700000000186</v>
      </c>
      <c r="AI96" s="59">
        <f t="shared" si="105"/>
        <v>-67538.400000000373</v>
      </c>
      <c r="AJ96" s="59">
        <f t="shared" si="105"/>
        <v>705.79999999981374</v>
      </c>
      <c r="AK96" s="59">
        <f t="shared" si="105"/>
        <v>-4</v>
      </c>
      <c r="AL96" s="59">
        <f t="shared" ref="AL96:AQ96" si="106">+AL95-AL94</f>
        <v>-0.41424134955741465</v>
      </c>
      <c r="AM96" s="59">
        <f t="shared" si="106"/>
        <v>0.39999999990686774</v>
      </c>
      <c r="AN96" s="59">
        <f t="shared" si="106"/>
        <v>0</v>
      </c>
      <c r="AO96" s="59">
        <f t="shared" si="106"/>
        <v>0</v>
      </c>
      <c r="AP96" s="59">
        <f t="shared" si="106"/>
        <v>0</v>
      </c>
      <c r="AQ96" s="59">
        <f t="shared" si="106"/>
        <v>0</v>
      </c>
      <c r="AR96" s="59">
        <f t="shared" ref="AR96:AW96" si="107">+AR95-AR94</f>
        <v>0.16771800816059113</v>
      </c>
      <c r="AS96" s="59">
        <f t="shared" si="107"/>
        <v>-1.0532800033688545</v>
      </c>
      <c r="AT96" s="59">
        <f t="shared" si="107"/>
        <v>-5.3900960013270378</v>
      </c>
      <c r="AU96" s="59">
        <f t="shared" si="107"/>
        <v>-8.5806120000779629</v>
      </c>
      <c r="AV96" s="59">
        <f t="shared" si="107"/>
        <v>0.23332799971103668</v>
      </c>
      <c r="AW96" s="59">
        <f t="shared" si="107"/>
        <v>-0.36284000054001808</v>
      </c>
      <c r="AX96" s="59">
        <f t="shared" ref="AX96:BC96" si="108">+AX95-AX94</f>
        <v>-5.0748363137245178E-3</v>
      </c>
      <c r="AY96" s="59">
        <f t="shared" si="108"/>
        <v>1.8656548112630844E-2</v>
      </c>
      <c r="AZ96" s="59">
        <f t="shared" si="108"/>
        <v>-5.5798739194869995E-3</v>
      </c>
      <c r="BA96" s="59">
        <f t="shared" si="108"/>
        <v>-1.4303222298622131E-2</v>
      </c>
      <c r="BB96" s="59">
        <f t="shared" si="108"/>
        <v>1.5569999814033508E-3</v>
      </c>
      <c r="BC96" s="59">
        <f t="shared" si="108"/>
        <v>5.893118679523468E-3</v>
      </c>
      <c r="BD96"/>
    </row>
    <row r="97" spans="6:56" x14ac:dyDescent="0.25">
      <c r="AS97" s="61"/>
      <c r="AT97" s="61"/>
      <c r="AU97" s="61"/>
      <c r="AV97" s="61"/>
      <c r="AW97" s="61"/>
      <c r="BD97"/>
    </row>
    <row r="98" spans="6:56" x14ac:dyDescent="0.25">
      <c r="F98" s="59">
        <f>F85+F78+F67+F63+F62+F56+F39+F29+F26+F23+F17+F9</f>
        <v>349530558.71137899</v>
      </c>
      <c r="AS98" s="61"/>
      <c r="AT98" s="61"/>
      <c r="AU98" s="61"/>
      <c r="AV98" s="61"/>
      <c r="AW98" s="61"/>
      <c r="BD98"/>
    </row>
    <row r="99" spans="6:56" x14ac:dyDescent="0.25">
      <c r="AS99" s="61"/>
      <c r="AT99" s="61"/>
      <c r="AU99" s="61"/>
      <c r="AV99" s="61"/>
      <c r="AW99" s="61"/>
      <c r="BD99"/>
    </row>
    <row r="100" spans="6:56" x14ac:dyDescent="0.25">
      <c r="AS100" s="61"/>
      <c r="AT100" s="61"/>
      <c r="AU100" s="61"/>
      <c r="AV100" s="61"/>
      <c r="AW100" s="61"/>
      <c r="BD100"/>
    </row>
    <row r="101" spans="6:56" x14ac:dyDescent="0.25">
      <c r="AS101" s="61"/>
      <c r="AT101" s="61"/>
      <c r="AU101" s="61"/>
      <c r="AV101" s="61"/>
      <c r="AW101" s="61"/>
      <c r="BD101"/>
    </row>
    <row r="102" spans="6:56" x14ac:dyDescent="0.25">
      <c r="AS102" s="61"/>
      <c r="AT102" s="61"/>
      <c r="AU102" s="61"/>
      <c r="AV102" s="61"/>
      <c r="AW102" s="61"/>
      <c r="BD102"/>
    </row>
  </sheetData>
  <mergeCells count="1">
    <mergeCell ref="C4:F4"/>
  </mergeCells>
  <pageMargins left="0.75" right="0.25" top="1.25" bottom="0.59" header="0.73" footer="0.2"/>
  <pageSetup scale="29" pageOrder="overThenDown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5" tint="0.39997558519241921"/>
    <pageSetUpPr fitToPage="1"/>
  </sheetPr>
  <dimension ref="A1:BP324"/>
  <sheetViews>
    <sheetView topLeftCell="C1" workbookViewId="0">
      <pane ySplit="5" topLeftCell="A6" activePane="bottomLeft" state="frozen"/>
      <selection activeCell="Q1" sqref="Q1"/>
      <selection pane="bottomLeft" activeCell="E161" sqref="E161"/>
    </sheetView>
  </sheetViews>
  <sheetFormatPr defaultRowHeight="15" x14ac:dyDescent="0.25"/>
  <cols>
    <col min="1" max="1" width="0" style="8" hidden="1" customWidth="1"/>
    <col min="2" max="2" width="9.140625" hidden="1" customWidth="1"/>
    <col min="3" max="3" width="9.140625" style="43"/>
    <col min="4" max="4" width="14" style="43" bestFit="1" customWidth="1"/>
    <col min="5" max="6" width="14.28515625" style="8" customWidth="1"/>
    <col min="7" max="7" width="41.42578125" style="8" customWidth="1"/>
    <col min="8" max="8" width="11.85546875" style="8" customWidth="1"/>
    <col min="9" max="9" width="13.5703125" style="8" customWidth="1"/>
    <col min="10" max="10" width="13.85546875" style="8" customWidth="1"/>
    <col min="11" max="11" width="13.28515625" style="8" customWidth="1"/>
    <col min="12" max="17" width="13" style="8" customWidth="1"/>
    <col min="18" max="18" width="13.5703125" style="8" customWidth="1"/>
    <col min="19" max="19" width="10" style="8" customWidth="1"/>
    <col min="20" max="20" width="10.42578125" style="8" customWidth="1"/>
    <col min="21" max="21" width="11.5703125" style="8" customWidth="1"/>
    <col min="22" max="26" width="11.140625" style="8" customWidth="1"/>
    <col min="27" max="27" width="12.85546875" style="8" customWidth="1"/>
    <col min="28" max="28" width="14.140625" style="8" customWidth="1"/>
    <col min="29" max="29" width="14" style="8" customWidth="1"/>
    <col min="30" max="30" width="13.85546875" style="8" customWidth="1"/>
    <col min="31" max="31" width="12.42578125" style="8" customWidth="1"/>
    <col min="32" max="32" width="13" style="8" customWidth="1"/>
    <col min="33" max="33" width="10.42578125" style="8" customWidth="1"/>
    <col min="34" max="34" width="11" style="8" bestFit="1" customWidth="1"/>
    <col min="35" max="37" width="13.7109375" style="8" customWidth="1"/>
    <col min="38" max="38" width="12" style="8" bestFit="1" customWidth="1"/>
    <col min="39" max="39" width="13.140625" style="8" customWidth="1"/>
    <col min="40" max="40" width="11.28515625" style="8" customWidth="1"/>
    <col min="41" max="41" width="11.5703125" style="8" customWidth="1"/>
    <col min="42" max="42" width="14.140625" style="8" customWidth="1"/>
    <col min="43" max="43" width="16.28515625" style="8" customWidth="1"/>
    <col min="44" max="44" width="14.140625" style="8" customWidth="1"/>
    <col min="45" max="45" width="13.42578125" style="8" customWidth="1"/>
    <col min="46" max="46" width="14" style="8" customWidth="1"/>
    <col min="47" max="47" width="12.85546875" style="8" customWidth="1"/>
    <col min="48" max="48" width="14" style="8" customWidth="1"/>
    <col min="49" max="49" width="16.7109375" style="8" customWidth="1"/>
    <col min="50" max="50" width="15.140625" style="8" customWidth="1"/>
    <col min="51" max="53" width="15.28515625" style="8" customWidth="1"/>
    <col min="54" max="54" width="17.28515625" style="8" customWidth="1"/>
    <col min="55" max="55" width="16.7109375" style="8" customWidth="1"/>
    <col min="56" max="56" width="15.85546875" style="8" customWidth="1"/>
    <col min="57" max="57" width="16" style="8" customWidth="1"/>
    <col min="58" max="58" width="15.85546875" style="8" customWidth="1"/>
    <col min="59" max="59" width="13.5703125" style="8" bestFit="1" customWidth="1"/>
    <col min="60" max="60" width="15.5703125" style="8" bestFit="1" customWidth="1"/>
    <col min="61" max="61" width="17.85546875" style="8" customWidth="1"/>
    <col min="62" max="62" width="16.140625" style="8" customWidth="1"/>
    <col min="63" max="63" width="14.85546875" style="8" bestFit="1" customWidth="1"/>
    <col min="64" max="64" width="14.85546875" style="8" customWidth="1"/>
    <col min="65" max="65" width="14.140625" style="8" bestFit="1" customWidth="1"/>
    <col min="66" max="66" width="16" style="8" customWidth="1"/>
    <col min="67" max="67" width="15.28515625" style="8" bestFit="1" customWidth="1"/>
    <col min="68" max="68" width="12.42578125" style="8" bestFit="1" customWidth="1"/>
    <col min="69" max="69" width="15.5703125" style="8" customWidth="1"/>
    <col min="70" max="70" width="10.85546875" style="8" bestFit="1" customWidth="1"/>
    <col min="71" max="16384" width="9.140625" style="8"/>
  </cols>
  <sheetData>
    <row r="1" spans="1:68" x14ac:dyDescent="0.25">
      <c r="C1" s="2"/>
      <c r="D1" s="2"/>
      <c r="E1" s="2"/>
      <c r="F1" s="2"/>
      <c r="G1" s="2"/>
      <c r="H1" s="12"/>
      <c r="I1" s="12"/>
      <c r="J1" s="12"/>
      <c r="K1" s="12"/>
      <c r="L1" s="12"/>
      <c r="M1" s="12"/>
      <c r="N1" s="12"/>
      <c r="O1" s="12"/>
      <c r="P1" s="12"/>
      <c r="Q1" s="12"/>
      <c r="R1" s="15"/>
      <c r="S1" s="15"/>
      <c r="T1" s="15"/>
      <c r="U1" s="15"/>
      <c r="V1" s="15"/>
      <c r="W1" s="15"/>
      <c r="X1" s="15"/>
      <c r="Y1" s="15"/>
      <c r="Z1" s="15"/>
      <c r="AA1" s="12"/>
      <c r="AB1" s="23"/>
      <c r="AC1" s="23"/>
      <c r="AD1" s="12"/>
      <c r="AE1" s="12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2"/>
      <c r="AQ1" s="23"/>
      <c r="AR1" s="23"/>
      <c r="AS1" s="12"/>
      <c r="AT1" s="12"/>
      <c r="AU1" s="12"/>
      <c r="AV1" s="12"/>
      <c r="AW1" s="12"/>
      <c r="AX1" s="12"/>
      <c r="AY1" s="12"/>
      <c r="AZ1" s="12"/>
      <c r="BA1" s="15"/>
      <c r="BB1" s="15"/>
      <c r="BC1" s="15"/>
      <c r="BD1" s="15"/>
      <c r="BE1" s="15"/>
      <c r="BF1" s="15"/>
      <c r="BG1" s="15"/>
      <c r="BH1" s="15"/>
      <c r="BI1" s="15"/>
      <c r="BJ1" s="15"/>
    </row>
    <row r="2" spans="1:68" x14ac:dyDescent="0.25">
      <c r="C2" s="2"/>
      <c r="D2" s="2"/>
      <c r="E2" s="2"/>
      <c r="F2" s="2"/>
      <c r="G2" s="2"/>
      <c r="H2" s="12"/>
      <c r="I2" s="12"/>
      <c r="J2" s="12"/>
      <c r="K2" s="12"/>
      <c r="L2" s="12"/>
      <c r="M2" s="12"/>
      <c r="N2" s="12"/>
      <c r="O2" s="12"/>
      <c r="P2" s="12"/>
      <c r="Q2" s="12"/>
      <c r="R2" s="15"/>
      <c r="S2" s="15"/>
      <c r="T2" s="15"/>
      <c r="U2" s="15"/>
      <c r="V2" s="15"/>
      <c r="W2" s="15"/>
      <c r="X2" s="15"/>
      <c r="Y2" s="15"/>
      <c r="Z2" s="15"/>
      <c r="AA2" s="12"/>
      <c r="AB2" s="12"/>
      <c r="AC2" s="12"/>
      <c r="AD2" s="12"/>
      <c r="AE2" s="12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5"/>
      <c r="BB2" s="15"/>
      <c r="BC2" s="15"/>
      <c r="BD2" s="15"/>
      <c r="BE2" s="15"/>
      <c r="BF2" s="15"/>
      <c r="BG2" s="15"/>
      <c r="BH2" s="15"/>
      <c r="BI2" s="15"/>
      <c r="BJ2" s="15"/>
    </row>
    <row r="3" spans="1:68" x14ac:dyDescent="0.25">
      <c r="C3" s="4"/>
      <c r="D3" s="4"/>
      <c r="E3" s="4"/>
      <c r="F3" s="4"/>
      <c r="G3" s="4"/>
      <c r="H3" s="932" t="s">
        <v>597</v>
      </c>
      <c r="I3" s="932"/>
      <c r="J3" s="932"/>
      <c r="K3" s="932"/>
      <c r="L3" s="932"/>
      <c r="M3" s="932"/>
      <c r="N3" s="932"/>
      <c r="O3" s="932"/>
      <c r="P3" s="932"/>
      <c r="Q3" s="932"/>
      <c r="R3" s="934" t="s">
        <v>591</v>
      </c>
      <c r="S3" s="934"/>
      <c r="T3" s="934"/>
      <c r="U3" s="934"/>
      <c r="V3" s="934"/>
      <c r="W3" s="892"/>
      <c r="X3" s="892"/>
      <c r="Y3" s="892"/>
      <c r="Z3" s="512"/>
      <c r="AA3" s="932" t="s">
        <v>524</v>
      </c>
      <c r="AB3" s="932"/>
      <c r="AC3" s="932"/>
      <c r="AD3" s="932"/>
      <c r="AE3" s="932"/>
      <c r="AF3" s="935" t="s">
        <v>592</v>
      </c>
      <c r="AG3" s="935"/>
      <c r="AH3" s="935"/>
      <c r="AI3" s="935"/>
      <c r="AJ3" s="935"/>
      <c r="AK3" s="935"/>
      <c r="AL3" s="935"/>
      <c r="AM3" s="935"/>
      <c r="AN3" s="935"/>
      <c r="AO3" s="935"/>
      <c r="AP3" s="932" t="s">
        <v>593</v>
      </c>
      <c r="AQ3" s="932"/>
      <c r="AR3" s="932"/>
      <c r="AS3" s="932"/>
      <c r="AT3" s="932"/>
      <c r="AU3" s="511"/>
      <c r="AV3" s="936" t="s">
        <v>594</v>
      </c>
      <c r="AW3" s="936"/>
      <c r="AX3" s="936"/>
      <c r="AY3" s="936"/>
      <c r="AZ3" s="429"/>
      <c r="BA3" s="16"/>
      <c r="BB3" s="17"/>
      <c r="BC3" s="17"/>
      <c r="BD3" s="933" t="s">
        <v>595</v>
      </c>
      <c r="BE3" s="933"/>
      <c r="BF3" s="933"/>
      <c r="BG3" s="933"/>
      <c r="BH3" s="933"/>
      <c r="BI3" s="933"/>
      <c r="BJ3" s="933"/>
      <c r="BK3" s="24" t="s">
        <v>324</v>
      </c>
      <c r="BL3" s="24"/>
      <c r="BM3" s="918" t="s">
        <v>596</v>
      </c>
      <c r="BN3" s="918"/>
    </row>
    <row r="4" spans="1:68" ht="16.5" x14ac:dyDescent="0.35">
      <c r="C4" s="4"/>
      <c r="D4" s="4"/>
      <c r="E4" s="4"/>
      <c r="F4" s="4"/>
      <c r="G4" s="4"/>
      <c r="H4" s="890"/>
      <c r="I4" s="890"/>
      <c r="J4" s="931" t="s">
        <v>1079</v>
      </c>
      <c r="K4" s="931"/>
      <c r="L4" s="931"/>
      <c r="M4" s="931"/>
      <c r="N4" s="931"/>
      <c r="O4" s="931"/>
      <c r="P4" s="890"/>
      <c r="Q4" s="890"/>
      <c r="R4" s="892"/>
      <c r="S4" s="892"/>
      <c r="T4" s="892"/>
      <c r="U4" s="892"/>
      <c r="V4" s="892"/>
      <c r="W4" s="892"/>
      <c r="X4" s="892"/>
      <c r="Y4" s="892"/>
      <c r="Z4" s="892"/>
      <c r="AA4" s="890"/>
      <c r="AB4" s="890"/>
      <c r="AC4" s="890"/>
      <c r="AD4" s="890"/>
      <c r="AE4" s="890"/>
      <c r="AF4" s="893"/>
      <c r="AG4" s="893"/>
      <c r="AH4" s="893"/>
      <c r="AI4" s="893"/>
      <c r="AJ4" s="893"/>
      <c r="AK4" s="893"/>
      <c r="AL4" s="893"/>
      <c r="AM4" s="893"/>
      <c r="AN4" s="893"/>
      <c r="AO4" s="893"/>
      <c r="AP4" s="890"/>
      <c r="AQ4" s="890"/>
      <c r="AR4" s="890"/>
      <c r="AS4" s="890"/>
      <c r="AT4" s="890"/>
      <c r="AU4" s="890"/>
      <c r="AV4" s="894"/>
      <c r="AW4" s="894"/>
      <c r="AX4" s="894"/>
      <c r="AY4" s="894"/>
      <c r="AZ4" s="894"/>
      <c r="BA4" s="16"/>
      <c r="BB4" s="17"/>
      <c r="BC4" s="17"/>
      <c r="BD4" s="891"/>
      <c r="BE4" s="891"/>
      <c r="BF4" s="891"/>
      <c r="BG4" s="891"/>
      <c r="BH4" s="891"/>
      <c r="BI4" s="891"/>
      <c r="BJ4" s="891"/>
      <c r="BK4" s="24"/>
      <c r="BL4" s="24"/>
      <c r="BM4" s="889"/>
      <c r="BN4" s="889"/>
    </row>
    <row r="5" spans="1:68" ht="39" x14ac:dyDescent="0.25">
      <c r="A5" s="57"/>
      <c r="B5" s="46"/>
      <c r="C5" s="6" t="s">
        <v>84</v>
      </c>
      <c r="D5" s="6" t="s">
        <v>88</v>
      </c>
      <c r="E5" s="5" t="s">
        <v>8</v>
      </c>
      <c r="F5" s="5"/>
      <c r="G5" s="5" t="s">
        <v>578</v>
      </c>
      <c r="H5" s="10" t="s">
        <v>122</v>
      </c>
      <c r="I5" s="10" t="s">
        <v>123</v>
      </c>
      <c r="J5" s="11" t="s">
        <v>95</v>
      </c>
      <c r="K5" s="11" t="s">
        <v>96</v>
      </c>
      <c r="L5" s="11" t="s">
        <v>1075</v>
      </c>
      <c r="M5" s="11" t="s">
        <v>1076</v>
      </c>
      <c r="N5" s="11" t="s">
        <v>1077</v>
      </c>
      <c r="O5" s="11" t="s">
        <v>1078</v>
      </c>
      <c r="P5" s="11" t="s">
        <v>964</v>
      </c>
      <c r="Q5" s="11" t="s">
        <v>965</v>
      </c>
      <c r="R5" s="18" t="s">
        <v>93</v>
      </c>
      <c r="S5" s="18" t="s">
        <v>97</v>
      </c>
      <c r="T5" s="18" t="s">
        <v>98</v>
      </c>
      <c r="U5" s="18" t="s">
        <v>99</v>
      </c>
      <c r="V5" s="18" t="s">
        <v>590</v>
      </c>
      <c r="W5" s="18" t="s">
        <v>1080</v>
      </c>
      <c r="X5" s="18" t="s">
        <v>1081</v>
      </c>
      <c r="Y5" s="18" t="s">
        <v>1082</v>
      </c>
      <c r="Z5" s="18" t="s">
        <v>650</v>
      </c>
      <c r="AA5" s="11" t="s">
        <v>126</v>
      </c>
      <c r="AB5" s="11" t="s">
        <v>100</v>
      </c>
      <c r="AC5" s="11" t="s">
        <v>1083</v>
      </c>
      <c r="AD5" s="11" t="s">
        <v>1084</v>
      </c>
      <c r="AE5" s="11" t="s">
        <v>1085</v>
      </c>
      <c r="AF5" s="38" t="s">
        <v>124</v>
      </c>
      <c r="AG5" s="38" t="s">
        <v>125</v>
      </c>
      <c r="AH5" s="32" t="s">
        <v>126</v>
      </c>
      <c r="AI5" s="32" t="s">
        <v>100</v>
      </c>
      <c r="AJ5" s="32" t="s">
        <v>1087</v>
      </c>
      <c r="AK5" s="32" t="s">
        <v>1088</v>
      </c>
      <c r="AL5" s="32" t="s">
        <v>1089</v>
      </c>
      <c r="AM5" s="38" t="s">
        <v>1090</v>
      </c>
      <c r="AN5" s="38" t="s">
        <v>154</v>
      </c>
      <c r="AO5" s="32" t="s">
        <v>92</v>
      </c>
      <c r="AP5" s="11" t="s">
        <v>126</v>
      </c>
      <c r="AQ5" s="11" t="s">
        <v>100</v>
      </c>
      <c r="AR5" s="11" t="s">
        <v>1083</v>
      </c>
      <c r="AS5" s="11" t="s">
        <v>1084</v>
      </c>
      <c r="AT5" s="11" t="s">
        <v>1085</v>
      </c>
      <c r="AU5" s="11" t="s">
        <v>651</v>
      </c>
      <c r="AV5" s="11" t="s">
        <v>109</v>
      </c>
      <c r="AW5" s="11" t="s">
        <v>107</v>
      </c>
      <c r="AX5" s="11" t="s">
        <v>171</v>
      </c>
      <c r="AY5" s="11" t="s">
        <v>614</v>
      </c>
      <c r="AZ5" s="11" t="s">
        <v>615</v>
      </c>
      <c r="BA5" s="19" t="s">
        <v>101</v>
      </c>
      <c r="BB5" s="19" t="s">
        <v>395</v>
      </c>
      <c r="BC5" s="18" t="s">
        <v>103</v>
      </c>
      <c r="BD5" s="26" t="s">
        <v>89</v>
      </c>
      <c r="BE5" s="27" t="s">
        <v>374</v>
      </c>
      <c r="BF5" s="27" t="s">
        <v>1086</v>
      </c>
      <c r="BG5" s="19" t="s">
        <v>109</v>
      </c>
      <c r="BH5" s="19" t="s">
        <v>107</v>
      </c>
      <c r="BI5" s="19" t="s">
        <v>171</v>
      </c>
      <c r="BJ5" s="27" t="s">
        <v>614</v>
      </c>
      <c r="BK5" s="27" t="s">
        <v>615</v>
      </c>
      <c r="BL5" s="27" t="s">
        <v>652</v>
      </c>
      <c r="BM5" s="43" t="s">
        <v>105</v>
      </c>
      <c r="BN5" s="43" t="s">
        <v>127</v>
      </c>
      <c r="BO5" s="43" t="s">
        <v>154</v>
      </c>
    </row>
    <row r="6" spans="1:68" s="299" customFormat="1" x14ac:dyDescent="0.25">
      <c r="A6" s="57"/>
      <c r="B6" s="46"/>
      <c r="C6" s="301"/>
      <c r="D6" s="301"/>
      <c r="E6" s="300"/>
      <c r="F6" s="300"/>
      <c r="G6" s="300"/>
      <c r="H6" s="302"/>
      <c r="I6" s="302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2"/>
      <c r="AG6" s="302"/>
      <c r="AH6" s="303"/>
      <c r="AI6" s="303"/>
      <c r="AJ6" s="303"/>
      <c r="AK6" s="303"/>
      <c r="AL6" s="303"/>
      <c r="AM6" s="302"/>
      <c r="AN6" s="302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2"/>
      <c r="BB6" s="302"/>
      <c r="BC6" s="303"/>
      <c r="BD6" s="304"/>
      <c r="BE6" s="305"/>
      <c r="BF6" s="305"/>
      <c r="BG6" s="302"/>
      <c r="BH6" s="302"/>
      <c r="BI6" s="302"/>
      <c r="BJ6" s="305"/>
      <c r="BK6" s="305"/>
      <c r="BL6" s="305"/>
      <c r="BM6" s="306"/>
      <c r="BN6" s="306"/>
    </row>
    <row r="7" spans="1:68" ht="15" customHeight="1" x14ac:dyDescent="0.25">
      <c r="A7" s="57"/>
      <c r="B7" s="46"/>
      <c r="C7" s="307">
        <v>43891</v>
      </c>
      <c r="D7" s="408" t="str">
        <f>MID(E7,6,3)</f>
        <v>811</v>
      </c>
      <c r="E7" s="405" t="str">
        <f>'Retail Rates'!$B$7</f>
        <v>LGRSG811</v>
      </c>
      <c r="F7" s="405"/>
      <c r="G7" s="405" t="str">
        <f>VLOOKUP(E7,'Retail Rates'!$B$7:$D$40,3,FALSE)</f>
        <v>Residential Gas Service</v>
      </c>
      <c r="H7" s="20">
        <f>SUMIFS('Data-Retail'!$F$2:$F$244,'Data-Retail'!$A$2:$A$244,'Mar20-Aug20 Billed-RETAIL'!$C7,'Data-Retail'!$B$2:$B$244,'Mar20-Aug20 Billed-RETAIL'!$E7)+AF7</f>
        <v>301473</v>
      </c>
      <c r="I7" s="20">
        <v>0</v>
      </c>
      <c r="J7" s="20">
        <f>SUMIFS('Data-Retail'!$G$2:$G$244,'Data-Retail'!$A$2:$A$244,'Mar20-Aug20 Billed-RETAIL'!$C7,'Data-Retail'!$B$2:$B$244,'Mar20-Aug20 Billed-RETAIL'!$E7)+AJ7</f>
        <v>26589921</v>
      </c>
      <c r="K7" s="20">
        <f>SUMIFS('Data-Retail'!$H$2:$H$244,'Data-Retail'!$A$2:$A$244,'Mar20-Aug20 Billed-RETAIL'!$C7,'Data-Retail'!$B$2:$B$244,'Mar20-Aug20 Billed-RETAIL'!$E7)</f>
        <v>0</v>
      </c>
      <c r="L7" s="20">
        <v>0</v>
      </c>
      <c r="M7" s="20">
        <v>0</v>
      </c>
      <c r="N7" s="20">
        <v>0</v>
      </c>
      <c r="O7" s="20">
        <v>0</v>
      </c>
      <c r="P7" s="20">
        <v>8781551</v>
      </c>
      <c r="Q7" s="20">
        <v>0</v>
      </c>
      <c r="R7" s="21">
        <f>VLOOKUP($E7,'Retail Rates'!$B$7:$P$40,4,FALSE)</f>
        <v>0.65</v>
      </c>
      <c r="S7" s="21">
        <f>VLOOKUP($E7,'Retail Rates'!$B$7:$P$40,5,FALSE)</f>
        <v>0</v>
      </c>
      <c r="T7" s="22">
        <f>VLOOKUP($E7,'Retail Rates'!$B$7:$P$40,8,FALSE)</f>
        <v>0.36781999999999998</v>
      </c>
      <c r="U7" s="22">
        <f>VLOOKUP($E7,'Retail Rates'!$B$7:$P$40,9,FALSE)</f>
        <v>0</v>
      </c>
      <c r="V7" s="22">
        <f>VLOOKUP($E7,'Retail Rates'!$B$7:$P$40,14,FALSE)</f>
        <v>0</v>
      </c>
      <c r="W7" s="22">
        <f>VLOOKUP($E7,'Retail Rates'!$B$7:$P$40,10,FALSE)</f>
        <v>3.6781999999999999</v>
      </c>
      <c r="X7" s="22">
        <f>VLOOKUP($E7,'Retail Rates'!$B$7:$P$40,11,FALSE)</f>
        <v>0</v>
      </c>
      <c r="Y7" s="22">
        <f>VLOOKUP($E7,'Retail Rates'!$B$7:$P$40,15,FALSE)</f>
        <v>0</v>
      </c>
      <c r="Z7" s="22">
        <v>0</v>
      </c>
      <c r="AA7" s="411">
        <f>(+P7*R7)</f>
        <v>5708008.1500000004</v>
      </c>
      <c r="AB7" s="411">
        <f t="shared" ref="AB7:AD8" si="0">+I7*S7</f>
        <v>0</v>
      </c>
      <c r="AC7" s="411">
        <f t="shared" si="0"/>
        <v>9780304.7422199994</v>
      </c>
      <c r="AD7" s="411">
        <f t="shared" si="0"/>
        <v>0</v>
      </c>
      <c r="AE7" s="23">
        <f t="shared" ref="AE7:AE16" si="1">L7*V7</f>
        <v>0</v>
      </c>
      <c r="AF7" s="41">
        <v>-1951</v>
      </c>
      <c r="AG7" s="41">
        <v>0</v>
      </c>
      <c r="AH7" s="33">
        <v>3377.91</v>
      </c>
      <c r="AI7" s="33">
        <v>0</v>
      </c>
      <c r="AJ7" s="41">
        <v>64320</v>
      </c>
      <c r="AK7" s="41">
        <v>0</v>
      </c>
      <c r="AL7" s="33">
        <v>-23669.79</v>
      </c>
      <c r="AM7" s="33">
        <v>0</v>
      </c>
      <c r="AN7" s="41">
        <v>0</v>
      </c>
      <c r="AO7" s="33">
        <v>0</v>
      </c>
      <c r="AP7" s="411">
        <f>AA7+AH7</f>
        <v>5711386.0600000005</v>
      </c>
      <c r="AQ7" s="411">
        <f>AB7+AI7</f>
        <v>0</v>
      </c>
      <c r="AR7" s="411">
        <f>AC7+AL7</f>
        <v>9756634.9522200003</v>
      </c>
      <c r="AS7" s="411">
        <f>AD7+AM7</f>
        <v>0</v>
      </c>
      <c r="AT7" s="411">
        <f t="shared" ref="AT7:AT21" si="2">AE7+AO7</f>
        <v>0</v>
      </c>
      <c r="AU7" s="411">
        <f t="shared" ref="AU7:AU21" si="3">BL7</f>
        <v>-77.489999999999995</v>
      </c>
      <c r="AV7" s="28">
        <f>BG7</f>
        <v>-60988.9</v>
      </c>
      <c r="AW7" s="28">
        <f>BH7</f>
        <v>9018585.9700000007</v>
      </c>
      <c r="AX7" s="28">
        <f>BI7</f>
        <v>344331.43</v>
      </c>
      <c r="AY7" s="28">
        <f>BJ7</f>
        <v>306737.03000000003</v>
      </c>
      <c r="AZ7" s="28">
        <f>BK7</f>
        <v>222558.05</v>
      </c>
      <c r="BA7" s="28">
        <f>ROUND(SUM(AP7:AZ7),2)</f>
        <v>25299167.100000001</v>
      </c>
      <c r="BB7" s="28">
        <f>SUM(BD7:BL7)</f>
        <v>25299167.100000001</v>
      </c>
      <c r="BC7" s="29">
        <f>IF(BB7=0,0,ROUND(BB7/BA7,6))</f>
        <v>1</v>
      </c>
      <c r="BD7" s="28">
        <f>SUMIFS('SBR Mar20 - Aug20'!$F$3:$F$961,'SBR Mar20 - Aug20'!$A$3:$A$961,'Mar20-Aug20 Billed-RETAIL'!$C7,'SBR Mar20 - Aug20'!$B$3:$B$961,'Mar20-Aug20 Billed-RETAIL'!$E7)</f>
        <v>5711386.0599999996</v>
      </c>
      <c r="BE7" s="28">
        <f>SUMIFS('SBR Mar20 - Aug20'!$H$3:$H$961,'SBR Mar20 - Aug20'!$A$3:$A$961,'Mar20-Aug20 Billed-RETAIL'!$C7,'SBR Mar20 - Aug20'!$B$3:$B$961,'Mar20-Aug20 Billed-RETAIL'!$E7)</f>
        <v>9756634.9499999993</v>
      </c>
      <c r="BF7" s="28">
        <f>SUMIFS('SBR Mar20 - Aug20'!$G$3:$G$961,'SBR Mar20 - Aug20'!$A$3:$A$961,'Mar20-Aug20 Billed-RETAIL'!$C7,'SBR Mar20 - Aug20'!$B$3:$B$961,'Mar20-Aug20 Billed-RETAIL'!$E7)</f>
        <v>0</v>
      </c>
      <c r="BG7" s="28">
        <f>SUMIFS('SBR Mar20 - Aug20'!$M$3:$M$961,'SBR Mar20 - Aug20'!$A$3:$A$961,'Mar20-Aug20 Billed-RETAIL'!$C7,'SBR Mar20 - Aug20'!$B$3:$B$961,'Mar20-Aug20 Billed-RETAIL'!$E7)</f>
        <v>-60988.9</v>
      </c>
      <c r="BH7" s="28">
        <f>SUMIFS('SBR Mar20 - Aug20'!$N$3:$N$961,'SBR Mar20 - Aug20'!$A$3:$A$961,'Mar20-Aug20 Billed-RETAIL'!$C7,'SBR Mar20 - Aug20'!$B$3:$B$961,'Mar20-Aug20 Billed-RETAIL'!$E7)</f>
        <v>9018585.9700000007</v>
      </c>
      <c r="BI7" s="28">
        <f>SUMIFS('SBR Mar20 - Aug20'!$Y$3:$Y$961,'SBR Mar20 - Aug20'!$A$3:$A$961,'Mar20-Aug20 Billed-RETAIL'!$C7,'SBR Mar20 - Aug20'!$B$3:$B$961,'Mar20-Aug20 Billed-RETAIL'!$E7)</f>
        <v>344331.43</v>
      </c>
      <c r="BJ7" s="28">
        <f>SUMIFS('SBR Mar20 - Aug20'!$W$3:$W$961,'SBR Mar20 - Aug20'!$A$3:$A$961,'Mar20-Aug20 Billed-RETAIL'!$C7,'SBR Mar20 - Aug20'!$B$3:$B$961,'Mar20-Aug20 Billed-RETAIL'!$E7)</f>
        <v>306737.03000000003</v>
      </c>
      <c r="BK7" s="28">
        <f>SUMIFS('SBR Mar20 - Aug20'!$X$3:$X$961,'SBR Mar20 - Aug20'!$A$3:$A$961,'Mar20-Aug20 Billed-RETAIL'!$C7,'SBR Mar20 - Aug20'!$B$3:$B$961,'Mar20-Aug20 Billed-RETAIL'!$E7)</f>
        <v>222558.05</v>
      </c>
      <c r="BL7" s="28">
        <f>SUMIFS('SBR Mar20 - Aug20'!$Z$3:$Z$961,'SBR Mar20 - Aug20'!$A$3:$A$961,'Mar20-Aug20 Billed-RETAIL'!$C7,'SBR Mar20 - Aug20'!$B$3:$B$961,'Mar20-Aug20 Billed-RETAIL'!$E7)</f>
        <v>-77.489999999999995</v>
      </c>
      <c r="BM7" s="42">
        <f>+AP7+AQ7-BD7</f>
        <v>0</v>
      </c>
      <c r="BN7" s="42">
        <f>+AR7+AS7-BE7</f>
        <v>2.2200010716915131E-3</v>
      </c>
      <c r="BO7" s="42"/>
      <c r="BP7" s="42"/>
    </row>
    <row r="8" spans="1:68" ht="15" customHeight="1" x14ac:dyDescent="0.25">
      <c r="A8" s="57"/>
      <c r="B8" s="46"/>
      <c r="C8" s="307">
        <f>$C$7</f>
        <v>43891</v>
      </c>
      <c r="D8" s="408" t="str">
        <f t="shared" ref="D8:D20" si="4">MID(E8,6,3)</f>
        <v>840</v>
      </c>
      <c r="E8" s="405" t="str">
        <f>'Retail Rates'!$B$8</f>
        <v>LGRSG840</v>
      </c>
      <c r="F8" s="405"/>
      <c r="G8" s="405" t="str">
        <f>VLOOKUP(E8,'Retail Rates'!$B$7:$D$40,3,FALSE)</f>
        <v>Volunteer Fire Department Gas</v>
      </c>
      <c r="H8" s="20">
        <f>SUMIFS('Data-Retail'!$F$2:$F$244,'Data-Retail'!$A$2:$A$244,'Mar20-Aug20 Billed-RETAIL'!$C8,'Data-Retail'!$B$2:$B$244,'Mar20-Aug20 Billed-RETAIL'!$E8)</f>
        <v>3</v>
      </c>
      <c r="I8" s="20">
        <v>0</v>
      </c>
      <c r="J8" s="20">
        <f>SUMIFS('Data-Retail'!$G$2:$G$244,'Data-Retail'!$A$2:$A$244,'Mar20-Aug20 Billed-RETAIL'!$C8,'Data-Retail'!$B$2:$B$244,'Mar20-Aug20 Billed-RETAIL'!$E8)</f>
        <v>1933</v>
      </c>
      <c r="K8" s="20">
        <f>SUMIFS('Data-Retail'!$H$2:$H$244,'Data-Retail'!$A$2:$A$244,'Mar20-Aug20 Billed-RETAIL'!$C8,'Data-Retail'!$B$2:$B$244,'Mar20-Aug20 Billed-RETAIL'!$E8)</f>
        <v>0</v>
      </c>
      <c r="L8" s="20">
        <v>0</v>
      </c>
      <c r="M8" s="20">
        <v>0</v>
      </c>
      <c r="N8" s="20">
        <v>0</v>
      </c>
      <c r="O8" s="20">
        <v>0</v>
      </c>
      <c r="P8" s="20">
        <v>88</v>
      </c>
      <c r="Q8" s="20">
        <v>0</v>
      </c>
      <c r="R8" s="21">
        <f>VLOOKUP($E8,'Retail Rates'!$B$7:$P$40,4,FALSE)</f>
        <v>0.65</v>
      </c>
      <c r="S8" s="21">
        <f>VLOOKUP($E8,'Retail Rates'!$B$7:$P$40,5,FALSE)</f>
        <v>0</v>
      </c>
      <c r="T8" s="22">
        <f>VLOOKUP($E8,'Retail Rates'!$B$7:$P$40,8,FALSE)</f>
        <v>0.36781999999999998</v>
      </c>
      <c r="U8" s="22">
        <f>VLOOKUP($E8,'Retail Rates'!$B$7:$P$40,9,FALSE)</f>
        <v>0</v>
      </c>
      <c r="V8" s="22">
        <f>VLOOKUP($E8,'Retail Rates'!$B$7:$P$40,14,FALSE)</f>
        <v>0</v>
      </c>
      <c r="W8" s="22">
        <f>VLOOKUP($E8,'Retail Rates'!$B$7:$P$40,10,FALSE)</f>
        <v>3.6781999999999999</v>
      </c>
      <c r="X8" s="22">
        <f>VLOOKUP($E8,'Retail Rates'!$B$7:$P$40,11,FALSE)</f>
        <v>0</v>
      </c>
      <c r="Y8" s="22">
        <f>VLOOKUP($E8,'Retail Rates'!$B$7:$P$40,15,FALSE)</f>
        <v>0</v>
      </c>
      <c r="Z8" s="22">
        <v>0</v>
      </c>
      <c r="AA8" s="411">
        <f>(+P8*R8)</f>
        <v>57.2</v>
      </c>
      <c r="AB8" s="411">
        <f t="shared" si="0"/>
        <v>0</v>
      </c>
      <c r="AC8" s="411">
        <f t="shared" si="0"/>
        <v>710.99605999999994</v>
      </c>
      <c r="AD8" s="411">
        <f t="shared" si="0"/>
        <v>0</v>
      </c>
      <c r="AE8" s="411">
        <f t="shared" si="1"/>
        <v>0</v>
      </c>
      <c r="AF8" s="41">
        <v>0</v>
      </c>
      <c r="AG8" s="41">
        <v>0</v>
      </c>
      <c r="AH8" s="33"/>
      <c r="AI8" s="33">
        <v>0</v>
      </c>
      <c r="AJ8" s="41">
        <v>0</v>
      </c>
      <c r="AK8" s="41">
        <v>0</v>
      </c>
      <c r="AL8" s="33">
        <v>-3.8E-3</v>
      </c>
      <c r="AM8" s="33">
        <v>0</v>
      </c>
      <c r="AN8" s="41">
        <v>0</v>
      </c>
      <c r="AO8" s="33">
        <v>0</v>
      </c>
      <c r="AP8" s="23">
        <f t="shared" ref="AP8:AP19" si="5">AA8+AH8</f>
        <v>57.2</v>
      </c>
      <c r="AQ8" s="411">
        <f t="shared" ref="AQ8:AQ19" si="6">AB8+AI8</f>
        <v>0</v>
      </c>
      <c r="AR8" s="411">
        <f t="shared" ref="AR8:AR20" si="7">AC8+AL8</f>
        <v>710.99225999999999</v>
      </c>
      <c r="AS8" s="411">
        <f t="shared" ref="AS8:AS20" si="8">AD8+AM8</f>
        <v>0</v>
      </c>
      <c r="AT8" s="411">
        <f t="shared" si="2"/>
        <v>0</v>
      </c>
      <c r="AU8" s="411">
        <f t="shared" si="3"/>
        <v>0</v>
      </c>
      <c r="AV8" s="28">
        <f t="shared" ref="AV8:AV20" si="9">BG8</f>
        <v>-4.45</v>
      </c>
      <c r="AW8" s="28">
        <f t="shared" ref="AW8:AW20" si="10">BH8</f>
        <v>657.24</v>
      </c>
      <c r="AX8" s="28">
        <f t="shared" ref="AX8:AX20" si="11">BI8</f>
        <v>34.270000000000003</v>
      </c>
      <c r="AY8" s="28">
        <f t="shared" ref="AY8:AY20" si="12">BJ8</f>
        <v>3.06</v>
      </c>
      <c r="AZ8" s="28">
        <f t="shared" ref="AZ8:AZ20" si="13">BK8</f>
        <v>16.22</v>
      </c>
      <c r="BA8" s="28">
        <f>ROUND(SUM(AP8:AZ8),2)</f>
        <v>1474.53</v>
      </c>
      <c r="BB8" s="28">
        <f>SUM(BD8:BK8)</f>
        <v>1474.53</v>
      </c>
      <c r="BC8" s="29">
        <f>ROUND(IF(BB8=0,0,ROUND(BB8/BA8,6)),0)</f>
        <v>1</v>
      </c>
      <c r="BD8" s="28">
        <f>SUMIFS('SBR Mar20 - Aug20'!$F$3:$F$961,'SBR Mar20 - Aug20'!$A$3:$A$961,'Mar20-Aug20 Billed-RETAIL'!$C8,'SBR Mar20 - Aug20'!$B$3:$B$961,'Mar20-Aug20 Billed-RETAIL'!$E8)</f>
        <v>57.2</v>
      </c>
      <c r="BE8" s="863">
        <f>SUMIFS('SBR Mar20 - Aug20'!$H$3:$H$961,'SBR Mar20 - Aug20'!$A$3:$A$961,'Mar20-Aug20 Billed-RETAIL'!$C8,'SBR Mar20 - Aug20'!$B$3:$B$961,'Mar20-Aug20 Billed-RETAIL'!$E8)</f>
        <v>710.99</v>
      </c>
      <c r="BF8" s="28">
        <f>SUMIFS('SBR Mar20 - Aug20'!$G$3:$G$961,'SBR Mar20 - Aug20'!$A$3:$A$961,'Mar20-Aug20 Billed-RETAIL'!$C8,'SBR Mar20 - Aug20'!$B$3:$B$961,'Mar20-Aug20 Billed-RETAIL'!$E8)</f>
        <v>0</v>
      </c>
      <c r="BG8" s="28">
        <f>SUMIFS('SBR Mar20 - Aug20'!$M$3:$M$961,'SBR Mar20 - Aug20'!$A$3:$A$961,'Mar20-Aug20 Billed-RETAIL'!$C8,'SBR Mar20 - Aug20'!$B$3:$B$961,'Mar20-Aug20 Billed-RETAIL'!$E8)</f>
        <v>-4.45</v>
      </c>
      <c r="BH8" s="28">
        <f>SUMIFS('SBR Mar20 - Aug20'!$N$3:$N$961,'SBR Mar20 - Aug20'!$A$3:$A$961,'Mar20-Aug20 Billed-RETAIL'!$C8,'SBR Mar20 - Aug20'!$B$3:$B$961,'Mar20-Aug20 Billed-RETAIL'!$E8)</f>
        <v>657.24</v>
      </c>
      <c r="BI8" s="28">
        <f>SUMIFS('SBR Mar20 - Aug20'!$Y$3:$Y$961,'SBR Mar20 - Aug20'!$A$3:$A$961,'Mar20-Aug20 Billed-RETAIL'!$C8,'SBR Mar20 - Aug20'!$B$3:$B$961,'Mar20-Aug20 Billed-RETAIL'!$E8)</f>
        <v>34.270000000000003</v>
      </c>
      <c r="BJ8" s="28">
        <f>SUMIFS('SBR Mar20 - Aug20'!$W$3:$W$961,'SBR Mar20 - Aug20'!$A$3:$A$961,'Mar20-Aug20 Billed-RETAIL'!$C8,'SBR Mar20 - Aug20'!$B$3:$B$961,'Mar20-Aug20 Billed-RETAIL'!$E8)</f>
        <v>3.06</v>
      </c>
      <c r="BK8" s="28">
        <f>SUMIFS('SBR Mar20 - Aug20'!$X$3:$X$961,'SBR Mar20 - Aug20'!$A$3:$A$961,'Mar20-Aug20 Billed-RETAIL'!$C8,'SBR Mar20 - Aug20'!$B$3:$B$961,'Mar20-Aug20 Billed-RETAIL'!$E8)</f>
        <v>16.22</v>
      </c>
      <c r="BL8" s="28">
        <f>SUMIFS('SBR Mar20 - Aug20'!$Z$3:$Z$961,'SBR Mar20 - Aug20'!$A$3:$A$961,'Mar20-Aug20 Billed-RETAIL'!$C8,'SBR Mar20 - Aug20'!$B$3:$B$961,'Mar20-Aug20 Billed-RETAIL'!$E8)</f>
        <v>0</v>
      </c>
      <c r="BM8" s="42">
        <f t="shared" ref="BM8:BM20" si="14">+AP8+AQ8-BD8</f>
        <v>0</v>
      </c>
      <c r="BN8" s="42">
        <f t="shared" ref="BN8:BN20" si="15">+AR8+AS8-BE8</f>
        <v>2.2599999999783904E-3</v>
      </c>
    </row>
    <row r="9" spans="1:68" x14ac:dyDescent="0.25">
      <c r="C9" s="307">
        <f t="shared" ref="C9:C21" si="16">$C$7</f>
        <v>43891</v>
      </c>
      <c r="D9" s="408" t="str">
        <f t="shared" si="4"/>
        <v>851</v>
      </c>
      <c r="E9" s="405" t="str">
        <f>'Retail Rates'!$B$9</f>
        <v>LGCMG851</v>
      </c>
      <c r="F9" s="405"/>
      <c r="G9" s="405" t="str">
        <f>VLOOKUP(E9,'Retail Rates'!$B$7:$D$40,3,FALSE)</f>
        <v>Firm Commercial Gas Service</v>
      </c>
      <c r="H9" s="20">
        <f>(SUMIFS('Data-Retail'!$F$2:$F$244,'Data-Retail'!$A$2:$A$244,'Mar20-Aug20 Billed-RETAIL'!$C9,'Data-Retail'!$B$2:$B$244,'Mar20-Aug20 Billed-RETAIL'!$E9)-I9)+(AF9+AG9)</f>
        <v>24239</v>
      </c>
      <c r="I9" s="20">
        <f>1157+AG9</f>
        <v>1128</v>
      </c>
      <c r="J9" s="20">
        <f>SUMIFS('Data-Retail'!$G$2:$G$244,'Data-Retail'!$A$2:$A$244,'Mar20-Aug20 Billed-RETAIL'!$C9,'Data-Retail'!$B$2:$B$244,'Mar20-Aug20 Billed-RETAIL'!$E9)+AJ9</f>
        <v>13037258</v>
      </c>
      <c r="K9" s="20">
        <f>SUMIFS('Data-Retail'!$H$2:$H$244,'Data-Retail'!$A$2:$A$244,'Mar20-Aug20 Billed-RETAIL'!$C9,'Data-Retail'!$B$2:$B$244,'Mar20-Aug20 Billed-RETAIL'!$E9)</f>
        <v>0</v>
      </c>
      <c r="L9" s="20">
        <v>0</v>
      </c>
      <c r="M9" s="20">
        <v>0</v>
      </c>
      <c r="N9" s="20">
        <v>0</v>
      </c>
      <c r="O9" s="20">
        <v>0</v>
      </c>
      <c r="P9" s="20">
        <v>703798</v>
      </c>
      <c r="Q9" s="20">
        <v>32990</v>
      </c>
      <c r="R9" s="21">
        <f>VLOOKUP($E9,'Retail Rates'!$B$7:$P$40,4,FALSE)</f>
        <v>1.97</v>
      </c>
      <c r="S9" s="21">
        <f>VLOOKUP($E9,'Retail Rates'!$B$7:$P$40,5,FALSE)</f>
        <v>9.3699999999999992</v>
      </c>
      <c r="T9" s="22">
        <f>VLOOKUP($E9,'Retail Rates'!$B$7:$P$40,8,FALSE)</f>
        <v>0.30669999999999997</v>
      </c>
      <c r="U9" s="22">
        <f>VLOOKUP($E9,'Retail Rates'!$B$7:$P$40,9,FALSE)</f>
        <v>0.25669999999999998</v>
      </c>
      <c r="V9" s="22">
        <f>VLOOKUP($E9,'Retail Rates'!$B$7:$P$40,14,FALSE)</f>
        <v>0</v>
      </c>
      <c r="W9" s="22">
        <f>VLOOKUP($E9,'Retail Rates'!$B$7:$P$40,10,FALSE)</f>
        <v>3.0669999999999997</v>
      </c>
      <c r="X9" s="22">
        <f>VLOOKUP($E9,'Retail Rates'!$B$7:$P$40,11,FALSE)</f>
        <v>2.5669999999999997</v>
      </c>
      <c r="Y9" s="22">
        <f>VLOOKUP($E9,'Retail Rates'!$B$7:$P$40,15,FALSE)</f>
        <v>0</v>
      </c>
      <c r="Z9" s="22">
        <v>0</v>
      </c>
      <c r="AA9" s="411">
        <f>P9*R9</f>
        <v>1386482.06</v>
      </c>
      <c r="AB9" s="411">
        <f>Q9*S9</f>
        <v>309116.3</v>
      </c>
      <c r="AC9" s="411">
        <f t="shared" ref="AC9:AD12" si="17">+J9*T9</f>
        <v>3998527.0285999998</v>
      </c>
      <c r="AD9" s="411">
        <f t="shared" si="17"/>
        <v>0</v>
      </c>
      <c r="AE9" s="411">
        <f t="shared" si="1"/>
        <v>0</v>
      </c>
      <c r="AF9" s="41">
        <v>-558</v>
      </c>
      <c r="AG9" s="41">
        <v>-29</v>
      </c>
      <c r="AH9" s="33">
        <v>13737.25</v>
      </c>
      <c r="AI9" s="33">
        <v>6877.58</v>
      </c>
      <c r="AJ9" s="41">
        <v>-453306</v>
      </c>
      <c r="AK9" s="41">
        <v>0</v>
      </c>
      <c r="AL9" s="33">
        <v>139029.29999999999</v>
      </c>
      <c r="AM9" s="33">
        <v>0</v>
      </c>
      <c r="AN9" s="41">
        <v>0</v>
      </c>
      <c r="AO9" s="33">
        <v>0</v>
      </c>
      <c r="AP9" s="411">
        <f>AA9+AH9</f>
        <v>1400219.31</v>
      </c>
      <c r="AQ9" s="411">
        <f>AB9+AI9</f>
        <v>315993.88</v>
      </c>
      <c r="AR9" s="411">
        <f t="shared" si="7"/>
        <v>4137556.3285999997</v>
      </c>
      <c r="AS9" s="411">
        <f t="shared" si="8"/>
        <v>0</v>
      </c>
      <c r="AT9" s="411">
        <f t="shared" si="2"/>
        <v>0</v>
      </c>
      <c r="AU9" s="411">
        <f t="shared" si="3"/>
        <v>0</v>
      </c>
      <c r="AV9" s="28">
        <f t="shared" si="9"/>
        <v>2425.9699999999998</v>
      </c>
      <c r="AW9" s="28">
        <f t="shared" si="10"/>
        <v>4590475.96</v>
      </c>
      <c r="AX9" s="28">
        <f t="shared" si="11"/>
        <v>143791.07999999999</v>
      </c>
      <c r="AY9" s="28">
        <f t="shared" si="12"/>
        <v>130993.59</v>
      </c>
      <c r="AZ9" s="28">
        <f t="shared" si="13"/>
        <v>91870.58</v>
      </c>
      <c r="BA9" s="28">
        <f>ROUND(SUM(AP9:AZ9),2)</f>
        <v>10813326.699999999</v>
      </c>
      <c r="BB9" s="28">
        <f>SUM(BD9:BK9)</f>
        <v>10813326.439999999</v>
      </c>
      <c r="BC9" s="29">
        <f t="shared" ref="BC9:BC21" si="18">IF(BB9=0,0,ROUND(BB9/BA9,6))</f>
        <v>1</v>
      </c>
      <c r="BD9" s="28">
        <f>SUMIFS('SBR Mar20 - Aug20'!$F$3:$F$961,'SBR Mar20 - Aug20'!$A$3:$A$961,'Mar20-Aug20 Billed-RETAIL'!$C9,'SBR Mar20 - Aug20'!$B$3:$B$961,'Mar20-Aug20 Billed-RETAIL'!$E9)</f>
        <v>1716212.93</v>
      </c>
      <c r="BE9" s="28">
        <f>SUMIFS('SBR Mar20 - Aug20'!$H$3:$H$961,'SBR Mar20 - Aug20'!$A$3:$A$961,'Mar20-Aug20 Billed-RETAIL'!$C9,'SBR Mar20 - Aug20'!$B$3:$B$961,'Mar20-Aug20 Billed-RETAIL'!$E9)</f>
        <v>4137556.33</v>
      </c>
      <c r="BF9" s="28">
        <f>SUMIFS('SBR Mar20 - Aug20'!$G$3:$G$961,'SBR Mar20 - Aug20'!$A$3:$A$961,'Mar20-Aug20 Billed-RETAIL'!$C9,'SBR Mar20 - Aug20'!$B$3:$B$961,'Mar20-Aug20 Billed-RETAIL'!$E9)</f>
        <v>0</v>
      </c>
      <c r="BG9" s="28">
        <f>SUMIFS('SBR Mar20 - Aug20'!$M$3:$M$961,'SBR Mar20 - Aug20'!$A$3:$A$961,'Mar20-Aug20 Billed-RETAIL'!$C9,'SBR Mar20 - Aug20'!$B$3:$B$961,'Mar20-Aug20 Billed-RETAIL'!$E9)</f>
        <v>2425.9699999999998</v>
      </c>
      <c r="BH9" s="28">
        <f>SUMIFS('SBR Mar20 - Aug20'!$N$3:$N$961,'SBR Mar20 - Aug20'!$A$3:$A$961,'Mar20-Aug20 Billed-RETAIL'!$C9,'SBR Mar20 - Aug20'!$B$3:$B$961,'Mar20-Aug20 Billed-RETAIL'!$E9)</f>
        <v>4590475.96</v>
      </c>
      <c r="BI9" s="28">
        <f>SUMIFS('SBR Mar20 - Aug20'!$Y$3:$Y$961,'SBR Mar20 - Aug20'!$A$3:$A$961,'Mar20-Aug20 Billed-RETAIL'!$C9,'SBR Mar20 - Aug20'!$B$3:$B$961,'Mar20-Aug20 Billed-RETAIL'!$E9)</f>
        <v>143791.07999999999</v>
      </c>
      <c r="BJ9" s="28">
        <f>SUMIFS('SBR Mar20 - Aug20'!$W$3:$W$961,'SBR Mar20 - Aug20'!$A$3:$A$961,'Mar20-Aug20 Billed-RETAIL'!$C9,'SBR Mar20 - Aug20'!$B$3:$B$961,'Mar20-Aug20 Billed-RETAIL'!$E9)</f>
        <v>130993.59</v>
      </c>
      <c r="BK9" s="28">
        <f>SUMIFS('SBR Mar20 - Aug20'!$X$3:$X$961,'SBR Mar20 - Aug20'!$A$3:$A$961,'Mar20-Aug20 Billed-RETAIL'!$C9,'SBR Mar20 - Aug20'!$B$3:$B$961,'Mar20-Aug20 Billed-RETAIL'!$E9)</f>
        <v>91870.58</v>
      </c>
      <c r="BL9" s="28">
        <f>SUMIFS('SBR Mar20 - Aug20'!$Z$3:$Z$961,'SBR Mar20 - Aug20'!$A$3:$A$961,'Mar20-Aug20 Billed-RETAIL'!$C9,'SBR Mar20 - Aug20'!$B$3:$B$961,'Mar20-Aug20 Billed-RETAIL'!$E9)</f>
        <v>0</v>
      </c>
      <c r="BM9" s="42">
        <f t="shared" si="14"/>
        <v>0.26000000000931323</v>
      </c>
      <c r="BN9" s="42">
        <f t="shared" si="15"/>
        <v>-1.4000004157423973E-3</v>
      </c>
    </row>
    <row r="10" spans="1:68" x14ac:dyDescent="0.25">
      <c r="A10" s="57"/>
      <c r="B10" s="46"/>
      <c r="C10" s="307">
        <f t="shared" si="16"/>
        <v>43891</v>
      </c>
      <c r="D10" s="408" t="str">
        <f t="shared" si="4"/>
        <v>851</v>
      </c>
      <c r="E10" s="405" t="str">
        <f>'Retail Rates'!$B$10</f>
        <v>LGCMG851LT</v>
      </c>
      <c r="F10" s="405"/>
      <c r="G10" s="405" t="str">
        <f>VLOOKUP(E10,'Retail Rates'!$B$7:$D$40,3,FALSE)</f>
        <v>Commercial Gas Service (Lights)</v>
      </c>
      <c r="H10" s="20">
        <f>SUMIFS('Data-Retail'!$F$2:$F$244,'Data-Retail'!$A$2:$A$244,'Mar20-Aug20 Billed-RETAIL'!$C10,'Data-Retail'!$B$2:$B$244,'Mar20-Aug20 Billed-RETAIL'!$E10)</f>
        <v>1</v>
      </c>
      <c r="I10" s="20">
        <v>0</v>
      </c>
      <c r="J10" s="20">
        <f>SUMIFS('Data-Retail'!$G$2:$G$244,'Data-Retail'!$A$2:$A$244,'Mar20-Aug20 Billed-RETAIL'!$C10,'Data-Retail'!$B$2:$B$244,'Mar20-Aug20 Billed-RETAIL'!$E10)</f>
        <v>248</v>
      </c>
      <c r="K10" s="20">
        <f>SUMIFS('Data-Retail'!$H$2:$H$244,'Data-Retail'!$A$2:$A$244,'Mar20-Aug20 Billed-RETAIL'!$C10,'Data-Retail'!$B$2:$B$244,'Mar20-Aug20 Billed-RETAIL'!$E10)</f>
        <v>0</v>
      </c>
      <c r="L10" s="20">
        <v>0</v>
      </c>
      <c r="M10" s="20">
        <v>0</v>
      </c>
      <c r="N10" s="20">
        <v>0</v>
      </c>
      <c r="O10" s="20">
        <v>0</v>
      </c>
      <c r="P10" s="20">
        <v>28</v>
      </c>
      <c r="Q10" s="20">
        <v>0</v>
      </c>
      <c r="R10" s="21">
        <f>VLOOKUP($E10,'Retail Rates'!$B$7:$P$40,4,FALSE)</f>
        <v>1.97</v>
      </c>
      <c r="S10" s="21">
        <f>VLOOKUP($E10,'Retail Rates'!$B$7:$P$40,5,FALSE)</f>
        <v>9.3699999999999992</v>
      </c>
      <c r="T10" s="22">
        <f>VLOOKUP($E10,'Retail Rates'!$B$7:$P$40,8,FALSE)</f>
        <v>0.30669999999999997</v>
      </c>
      <c r="U10" s="22">
        <f>VLOOKUP($E10,'Retail Rates'!$B$7:$P$40,9,FALSE)</f>
        <v>0.25669999999999998</v>
      </c>
      <c r="V10" s="22">
        <f>VLOOKUP($E10,'Retail Rates'!$B$7:$P$40,14,FALSE)</f>
        <v>0</v>
      </c>
      <c r="W10" s="22">
        <f>VLOOKUP($E10,'Retail Rates'!$B$7:$P$40,10,FALSE)</f>
        <v>3.0669999999999997</v>
      </c>
      <c r="X10" s="22">
        <f>VLOOKUP($E10,'Retail Rates'!$B$7:$P$40,11,FALSE)</f>
        <v>2.5669999999999997</v>
      </c>
      <c r="Y10" s="22">
        <f>VLOOKUP($E10,'Retail Rates'!$B$7:$P$40,15,FALSE)</f>
        <v>0</v>
      </c>
      <c r="Z10" s="22">
        <v>0</v>
      </c>
      <c r="AA10" s="411">
        <f>(+P10*R10)</f>
        <v>55.16</v>
      </c>
      <c r="AB10" s="411">
        <f>+I10*S10</f>
        <v>0</v>
      </c>
      <c r="AC10" s="411">
        <f t="shared" si="17"/>
        <v>76.061599999999999</v>
      </c>
      <c r="AD10" s="411">
        <f t="shared" si="17"/>
        <v>0</v>
      </c>
      <c r="AE10" s="411">
        <f t="shared" si="1"/>
        <v>0</v>
      </c>
      <c r="AF10" s="41">
        <v>0</v>
      </c>
      <c r="AG10" s="41">
        <v>0</v>
      </c>
      <c r="AH10" s="33">
        <v>0</v>
      </c>
      <c r="AI10" s="33">
        <v>0</v>
      </c>
      <c r="AJ10" s="41">
        <v>0</v>
      </c>
      <c r="AK10" s="41">
        <v>0</v>
      </c>
      <c r="AL10" s="33"/>
      <c r="AM10" s="33">
        <v>0</v>
      </c>
      <c r="AN10" s="41">
        <v>0</v>
      </c>
      <c r="AO10" s="33">
        <v>0</v>
      </c>
      <c r="AP10" s="411">
        <f t="shared" si="5"/>
        <v>55.16</v>
      </c>
      <c r="AQ10" s="411">
        <f t="shared" si="6"/>
        <v>0</v>
      </c>
      <c r="AR10" s="411">
        <f t="shared" si="7"/>
        <v>76.061599999999999</v>
      </c>
      <c r="AS10" s="411">
        <f t="shared" si="8"/>
        <v>0</v>
      </c>
      <c r="AT10" s="411">
        <f t="shared" si="2"/>
        <v>0</v>
      </c>
      <c r="AU10" s="411">
        <f t="shared" si="3"/>
        <v>0</v>
      </c>
      <c r="AV10" s="28">
        <f t="shared" si="9"/>
        <v>0.04</v>
      </c>
      <c r="AW10" s="28">
        <f t="shared" si="10"/>
        <v>84.32</v>
      </c>
      <c r="AX10" s="28">
        <f t="shared" si="11"/>
        <v>-0.15</v>
      </c>
      <c r="AY10" s="28">
        <f t="shared" si="12"/>
        <v>5.12</v>
      </c>
      <c r="AZ10" s="28">
        <f t="shared" si="13"/>
        <v>1.69</v>
      </c>
      <c r="BA10" s="28">
        <f t="shared" ref="BA10:BA19" si="19">ROUND(SUM(AP10:AZ10),2)</f>
        <v>222.24</v>
      </c>
      <c r="BB10" s="28">
        <f t="shared" ref="BB10:BB19" si="20">SUM(BD10:BK10)</f>
        <v>222.23999999999998</v>
      </c>
      <c r="BC10" s="29">
        <f t="shared" si="18"/>
        <v>1</v>
      </c>
      <c r="BD10" s="28">
        <f>SUMIFS('SBR Mar20 - Aug20'!$F$3:$F$961,'SBR Mar20 - Aug20'!$A$3:$A$961,'Mar20-Aug20 Billed-RETAIL'!$C10,'SBR Mar20 - Aug20'!$B$3:$B$961,'Mar20-Aug20 Billed-RETAIL'!$E10)</f>
        <v>55.16</v>
      </c>
      <c r="BE10" s="28">
        <f>SUMIFS('SBR Mar20 - Aug20'!$H$3:$H$961,'SBR Mar20 - Aug20'!$A$3:$A$961,'Mar20-Aug20 Billed-RETAIL'!$C10,'SBR Mar20 - Aug20'!$B$3:$B$961,'Mar20-Aug20 Billed-RETAIL'!$E10)</f>
        <v>76.06</v>
      </c>
      <c r="BF10" s="28">
        <f>SUMIFS('SBR Mar20 - Aug20'!$G$3:$G$961,'SBR Mar20 - Aug20'!$A$3:$A$961,'Mar20-Aug20 Billed-RETAIL'!$C10,'SBR Mar20 - Aug20'!$B$3:$B$961,'Mar20-Aug20 Billed-RETAIL'!$E10)</f>
        <v>0</v>
      </c>
      <c r="BG10" s="28">
        <f>SUMIFS('SBR Mar20 - Aug20'!$M$3:$M$961,'SBR Mar20 - Aug20'!$A$3:$A$961,'Mar20-Aug20 Billed-RETAIL'!$C10,'SBR Mar20 - Aug20'!$B$3:$B$961,'Mar20-Aug20 Billed-RETAIL'!$E10)</f>
        <v>0.04</v>
      </c>
      <c r="BH10" s="28">
        <f>SUMIFS('SBR Mar20 - Aug20'!$N$3:$N$961,'SBR Mar20 - Aug20'!$A$3:$A$961,'Mar20-Aug20 Billed-RETAIL'!$C10,'SBR Mar20 - Aug20'!$B$3:$B$961,'Mar20-Aug20 Billed-RETAIL'!$E10)</f>
        <v>84.32</v>
      </c>
      <c r="BI10" s="28">
        <f>SUMIFS('SBR Mar20 - Aug20'!$Y$3:$Y$961,'SBR Mar20 - Aug20'!$A$3:$A$961,'Mar20-Aug20 Billed-RETAIL'!$C10,'SBR Mar20 - Aug20'!$B$3:$B$961,'Mar20-Aug20 Billed-RETAIL'!$E10)</f>
        <v>-0.15</v>
      </c>
      <c r="BJ10" s="28">
        <f>SUMIFS('SBR Mar20 - Aug20'!$W$3:$W$961,'SBR Mar20 - Aug20'!$A$3:$A$961,'Mar20-Aug20 Billed-RETAIL'!$C10,'SBR Mar20 - Aug20'!$B$3:$B$961,'Mar20-Aug20 Billed-RETAIL'!$E10)</f>
        <v>5.12</v>
      </c>
      <c r="BK10" s="28">
        <f>SUMIFS('SBR Mar20 - Aug20'!$X$3:$X$961,'SBR Mar20 - Aug20'!$A$3:$A$961,'Mar20-Aug20 Billed-RETAIL'!$C10,'SBR Mar20 - Aug20'!$B$3:$B$961,'Mar20-Aug20 Billed-RETAIL'!$E10)</f>
        <v>1.69</v>
      </c>
      <c r="BL10" s="28">
        <f>SUMIFS('SBR Mar20 - Aug20'!$Z$3:$Z$961,'SBR Mar20 - Aug20'!$A$3:$A$961,'Mar20-Aug20 Billed-RETAIL'!$C10,'SBR Mar20 - Aug20'!$B$3:$B$961,'Mar20-Aug20 Billed-RETAIL'!$E10)</f>
        <v>0</v>
      </c>
      <c r="BM10" s="42">
        <f t="shared" si="14"/>
        <v>0</v>
      </c>
      <c r="BN10" s="42">
        <f t="shared" si="15"/>
        <v>1.5999999999962711E-3</v>
      </c>
    </row>
    <row r="11" spans="1:68" ht="15" customHeight="1" x14ac:dyDescent="0.25">
      <c r="A11" s="57"/>
      <c r="B11" s="46"/>
      <c r="C11" s="307">
        <f t="shared" si="16"/>
        <v>43891</v>
      </c>
      <c r="D11" s="408" t="str">
        <f t="shared" si="4"/>
        <v>855</v>
      </c>
      <c r="E11" s="405" t="str">
        <f>'Retail Rates'!$B$11</f>
        <v>LGING855</v>
      </c>
      <c r="F11" s="405"/>
      <c r="G11" s="405" t="str">
        <f>VLOOKUP(E11,'Retail Rates'!$B$7:$D$40,3,FALSE)</f>
        <v>Firm Industrial Gas Service-DSM Opt-Out</v>
      </c>
      <c r="H11" s="20">
        <f>(SUMIFS('Data-Retail'!$F$2:$F$244,'Data-Retail'!$A$2:$A$244,'Mar20-Aug20 Billed-RETAIL'!$C11,'Data-Retail'!$B$2:$B$244,'Mar20-Aug20 Billed-RETAIL'!$E11)-I11)+(AF11+AG11)</f>
        <v>39</v>
      </c>
      <c r="I11" s="20">
        <v>48</v>
      </c>
      <c r="J11" s="20">
        <f>SUMIFS('Data-Retail'!$G$2:$G$244,'Data-Retail'!$A$2:$A$244,'Mar20-Aug20 Billed-RETAIL'!$C11,'Data-Retail'!$B$2:$B$244,'Mar20-Aug20 Billed-RETAIL'!$E11)</f>
        <v>627481</v>
      </c>
      <c r="K11" s="20">
        <f>SUMIFS('Data-Retail'!$H$2:$H$244,'Data-Retail'!$A$2:$A$244,'Mar20-Aug20 Billed-RETAIL'!$C11,'Data-Retail'!$B$2:$B$244,'Mar20-Aug20 Billed-RETAIL'!$E11)</f>
        <v>0</v>
      </c>
      <c r="L11" s="20">
        <v>0</v>
      </c>
      <c r="M11" s="20">
        <v>0</v>
      </c>
      <c r="N11" s="20">
        <v>0</v>
      </c>
      <c r="O11" s="20">
        <v>0</v>
      </c>
      <c r="P11" s="20">
        <v>1163</v>
      </c>
      <c r="Q11" s="20">
        <v>1412</v>
      </c>
      <c r="R11" s="21">
        <f>VLOOKUP($E11,'Retail Rates'!$B$7:$P$40,4,FALSE)</f>
        <v>5.42</v>
      </c>
      <c r="S11" s="21">
        <f>VLOOKUP($E11,'Retail Rates'!$B$7:$P$40,5,FALSE)</f>
        <v>24.64</v>
      </c>
      <c r="T11" s="22">
        <f>VLOOKUP($E11,'Retail Rates'!$B$7:$P$40,8,FALSE)</f>
        <v>0.21929000000000001</v>
      </c>
      <c r="U11" s="22">
        <f>VLOOKUP($E11,'Retail Rates'!$B$7:$P$40,9,FALSE)</f>
        <v>0.16929</v>
      </c>
      <c r="V11" s="22">
        <f>VLOOKUP($E11,'Retail Rates'!$B$7:$P$40,14,FALSE)</f>
        <v>0</v>
      </c>
      <c r="W11" s="22">
        <f>VLOOKUP($E11,'Retail Rates'!$B$7:$P$40,10,FALSE)</f>
        <v>2.1929000000000003</v>
      </c>
      <c r="X11" s="22">
        <f>VLOOKUP($E11,'Retail Rates'!$B$7:$P$40,11,FALSE)</f>
        <v>1.6928999999999998</v>
      </c>
      <c r="Y11" s="22">
        <f>VLOOKUP($E11,'Retail Rates'!$B$7:$P$40,15,FALSE)</f>
        <v>0</v>
      </c>
      <c r="Z11" s="22">
        <v>0</v>
      </c>
      <c r="AA11" s="411">
        <f>(+P11*R11)</f>
        <v>6303.46</v>
      </c>
      <c r="AB11" s="411">
        <f>+Q11*S11</f>
        <v>34791.68</v>
      </c>
      <c r="AC11" s="411">
        <f t="shared" si="17"/>
        <v>137600.30849</v>
      </c>
      <c r="AD11" s="411">
        <f t="shared" si="17"/>
        <v>0</v>
      </c>
      <c r="AE11" s="411">
        <f t="shared" si="1"/>
        <v>0</v>
      </c>
      <c r="AF11" s="41">
        <v>-1</v>
      </c>
      <c r="AG11" s="41">
        <v>0</v>
      </c>
      <c r="AH11" s="33">
        <v>-97.56</v>
      </c>
      <c r="AI11" s="33">
        <v>0</v>
      </c>
      <c r="AJ11" s="41">
        <v>0</v>
      </c>
      <c r="AK11" s="41">
        <v>0</v>
      </c>
      <c r="AL11" s="33">
        <v>-0.03</v>
      </c>
      <c r="AM11" s="33">
        <v>0</v>
      </c>
      <c r="AN11" s="41">
        <v>0</v>
      </c>
      <c r="AO11" s="33">
        <v>0</v>
      </c>
      <c r="AP11" s="23">
        <f t="shared" si="5"/>
        <v>6205.9</v>
      </c>
      <c r="AQ11" s="23">
        <f t="shared" si="6"/>
        <v>34791.68</v>
      </c>
      <c r="AR11" s="411">
        <f>AC11+AL11</f>
        <v>137600.27849</v>
      </c>
      <c r="AS11" s="411">
        <f t="shared" si="8"/>
        <v>0</v>
      </c>
      <c r="AT11" s="411">
        <f t="shared" si="2"/>
        <v>0</v>
      </c>
      <c r="AU11" s="411">
        <f t="shared" si="3"/>
        <v>0</v>
      </c>
      <c r="AV11" s="28">
        <f t="shared" si="9"/>
        <v>0</v>
      </c>
      <c r="AW11" s="28">
        <f t="shared" si="10"/>
        <v>213481.58</v>
      </c>
      <c r="AX11" s="28">
        <f t="shared" si="11"/>
        <v>0</v>
      </c>
      <c r="AY11" s="28">
        <f t="shared" si="12"/>
        <v>5576.17</v>
      </c>
      <c r="AZ11" s="28">
        <f t="shared" si="13"/>
        <v>2560.09</v>
      </c>
      <c r="BA11" s="28">
        <f t="shared" si="19"/>
        <v>400215.7</v>
      </c>
      <c r="BB11" s="28">
        <f t="shared" si="20"/>
        <v>400215.69999999995</v>
      </c>
      <c r="BC11" s="29">
        <f t="shared" si="18"/>
        <v>1</v>
      </c>
      <c r="BD11" s="28">
        <f>SUMIFS('SBR Mar20 - Aug20'!$F$3:$F$961,'SBR Mar20 - Aug20'!$A$3:$A$961,'Mar20-Aug20 Billed-RETAIL'!$C11,'SBR Mar20 - Aug20'!$B$3:$B$961,'Mar20-Aug20 Billed-RETAIL'!$E11)</f>
        <v>40997.58</v>
      </c>
      <c r="BE11" s="28">
        <f>SUMIFS('SBR Mar20 - Aug20'!$H$3:$H$961,'SBR Mar20 - Aug20'!$A$3:$A$961,'Mar20-Aug20 Billed-RETAIL'!$C11,'SBR Mar20 - Aug20'!$B$3:$B$961,'Mar20-Aug20 Billed-RETAIL'!$E11)</f>
        <v>137600.28</v>
      </c>
      <c r="BF11" s="28">
        <f>SUMIFS('SBR Mar20 - Aug20'!$G$3:$G$961,'SBR Mar20 - Aug20'!$A$3:$A$961,'Mar20-Aug20 Billed-RETAIL'!$C11,'SBR Mar20 - Aug20'!$B$3:$B$961,'Mar20-Aug20 Billed-RETAIL'!$E11)</f>
        <v>0</v>
      </c>
      <c r="BG11" s="28">
        <f>SUMIFS('SBR Mar20 - Aug20'!$M$3:$M$961,'SBR Mar20 - Aug20'!$A$3:$A$961,'Mar20-Aug20 Billed-RETAIL'!$C11,'SBR Mar20 - Aug20'!$B$3:$B$961,'Mar20-Aug20 Billed-RETAIL'!$E11)</f>
        <v>0</v>
      </c>
      <c r="BH11" s="28">
        <f>SUMIFS('SBR Mar20 - Aug20'!$N$3:$N$961,'SBR Mar20 - Aug20'!$A$3:$A$961,'Mar20-Aug20 Billed-RETAIL'!$C11,'SBR Mar20 - Aug20'!$B$3:$B$961,'Mar20-Aug20 Billed-RETAIL'!$E11)</f>
        <v>213481.58</v>
      </c>
      <c r="BI11" s="28">
        <f>SUMIFS('SBR Mar20 - Aug20'!$Y$3:$Y$961,'SBR Mar20 - Aug20'!$A$3:$A$961,'Mar20-Aug20 Billed-RETAIL'!$C11,'SBR Mar20 - Aug20'!$B$3:$B$961,'Mar20-Aug20 Billed-RETAIL'!$E11)</f>
        <v>0</v>
      </c>
      <c r="BJ11" s="28">
        <f>SUMIFS('SBR Mar20 - Aug20'!$W$3:$W$961,'SBR Mar20 - Aug20'!$A$3:$A$961,'Mar20-Aug20 Billed-RETAIL'!$C11,'SBR Mar20 - Aug20'!$B$3:$B$961,'Mar20-Aug20 Billed-RETAIL'!$E11)</f>
        <v>5576.17</v>
      </c>
      <c r="BK11" s="28">
        <f>SUMIFS('SBR Mar20 - Aug20'!$X$3:$X$961,'SBR Mar20 - Aug20'!$A$3:$A$961,'Mar20-Aug20 Billed-RETAIL'!$C11,'SBR Mar20 - Aug20'!$B$3:$B$961,'Mar20-Aug20 Billed-RETAIL'!$E11)</f>
        <v>2560.09</v>
      </c>
      <c r="BL11" s="28">
        <f>SUMIFS('SBR Mar20 - Aug20'!$Z$3:$Z$961,'SBR Mar20 - Aug20'!$A$3:$A$961,'Mar20-Aug20 Billed-RETAIL'!$C11,'SBR Mar20 - Aug20'!$B$3:$B$961,'Mar20-Aug20 Billed-RETAIL'!$E11)</f>
        <v>0</v>
      </c>
      <c r="BM11" s="42">
        <f t="shared" si="14"/>
        <v>0</v>
      </c>
      <c r="BN11" s="42">
        <f t="shared" si="15"/>
        <v>-1.5100000018719584E-3</v>
      </c>
    </row>
    <row r="12" spans="1:68" ht="15" customHeight="1" x14ac:dyDescent="0.25">
      <c r="A12" s="57"/>
      <c r="B12" s="46"/>
      <c r="C12" s="307">
        <f t="shared" si="16"/>
        <v>43891</v>
      </c>
      <c r="D12" s="408" t="str">
        <f t="shared" si="4"/>
        <v>855</v>
      </c>
      <c r="E12" s="405" t="str">
        <f>'Retail Rates'!$B$12</f>
        <v>LGING855DS</v>
      </c>
      <c r="F12" s="405"/>
      <c r="G12" s="405" t="str">
        <f>VLOOKUP(E12,'Retail Rates'!$B$7:$D$40,3,FALSE)</f>
        <v>Firm Industrial Gas Service-DSM Opt-In</v>
      </c>
      <c r="H12" s="20">
        <f>(SUMIFS('Data-Retail'!$F$2:$F$244,'Data-Retail'!$A$2:$A$244,'Mar20-Aug20 Billed-RETAIL'!$C12,'Data-Retail'!$B$2:$B$244,'Mar20-Aug20 Billed-RETAIL'!$E12)-I12)+(AF12+AG12)</f>
        <v>70</v>
      </c>
      <c r="I12" s="20">
        <f>62+AG12</f>
        <v>60</v>
      </c>
      <c r="J12" s="20">
        <f>SUMIFS('Data-Retail'!$G$2:$G$244,'Data-Retail'!$A$2:$A$244,'Mar20-Aug20 Billed-RETAIL'!$C12,'Data-Retail'!$B$2:$B$244,'Mar20-Aug20 Billed-RETAIL'!$E12)+AJ12</f>
        <v>671242</v>
      </c>
      <c r="K12" s="20">
        <f>SUMIFS('Data-Retail'!$H$2:$H$244,'Data-Retail'!$A$2:$A$244,'Mar20-Aug20 Billed-RETAIL'!$C12,'Data-Retail'!$B$2:$B$244,'Mar20-Aug20 Billed-RETAIL'!$E12)</f>
        <v>0</v>
      </c>
      <c r="L12" s="20">
        <v>0</v>
      </c>
      <c r="M12" s="20">
        <v>0</v>
      </c>
      <c r="N12" s="20">
        <v>0</v>
      </c>
      <c r="O12" s="20">
        <v>0</v>
      </c>
      <c r="P12" s="20">
        <v>2046</v>
      </c>
      <c r="Q12" s="20">
        <v>1759</v>
      </c>
      <c r="R12" s="21">
        <f>VLOOKUP($E12,'Retail Rates'!$B$7:$P$40,4,FALSE)</f>
        <v>5.42</v>
      </c>
      <c r="S12" s="21">
        <f>VLOOKUP($E12,'Retail Rates'!$B$7:$P$40,5,FALSE)</f>
        <v>24.64</v>
      </c>
      <c r="T12" s="22">
        <f>VLOOKUP($E12,'Retail Rates'!$B$7:$P$40,8,FALSE)</f>
        <v>0.21929000000000001</v>
      </c>
      <c r="U12" s="22">
        <f>VLOOKUP($E12,'Retail Rates'!$B$7:$P$40,9,FALSE)</f>
        <v>0.16929</v>
      </c>
      <c r="V12" s="22">
        <f>VLOOKUP($E12,'Retail Rates'!$B$7:$P$40,14,FALSE)</f>
        <v>0</v>
      </c>
      <c r="W12" s="22">
        <f>VLOOKUP($E12,'Retail Rates'!$B$7:$P$40,10,FALSE)</f>
        <v>2.1929000000000003</v>
      </c>
      <c r="X12" s="22">
        <f>VLOOKUP($E12,'Retail Rates'!$B$7:$P$40,11,FALSE)</f>
        <v>1.6928999999999998</v>
      </c>
      <c r="Y12" s="22">
        <f>VLOOKUP($E12,'Retail Rates'!$B$7:$P$40,15,FALSE)</f>
        <v>0</v>
      </c>
      <c r="Z12" s="22">
        <v>0</v>
      </c>
      <c r="AA12" s="411">
        <f>(+P12*R12)</f>
        <v>11089.32</v>
      </c>
      <c r="AB12" s="411">
        <f>+Q12*S12</f>
        <v>43341.760000000002</v>
      </c>
      <c r="AC12" s="411">
        <f t="shared" si="17"/>
        <v>147196.65818</v>
      </c>
      <c r="AD12" s="411">
        <f t="shared" si="17"/>
        <v>0</v>
      </c>
      <c r="AE12" s="411">
        <f t="shared" si="1"/>
        <v>0</v>
      </c>
      <c r="AF12" s="41">
        <v>0</v>
      </c>
      <c r="AG12" s="41">
        <v>-2</v>
      </c>
      <c r="AH12" s="33">
        <v>0</v>
      </c>
      <c r="AI12" s="33">
        <v>887.04</v>
      </c>
      <c r="AJ12" s="41">
        <v>-11197</v>
      </c>
      <c r="AK12" s="41">
        <v>0</v>
      </c>
      <c r="AL12" s="33">
        <v>2455.39</v>
      </c>
      <c r="AM12" s="33">
        <v>0</v>
      </c>
      <c r="AN12" s="41">
        <v>0</v>
      </c>
      <c r="AO12" s="33">
        <v>0</v>
      </c>
      <c r="AP12" s="23">
        <f t="shared" si="5"/>
        <v>11089.32</v>
      </c>
      <c r="AQ12" s="23">
        <f t="shared" si="6"/>
        <v>44228.800000000003</v>
      </c>
      <c r="AR12" s="23">
        <f>AC12+AL12</f>
        <v>149652.04818000001</v>
      </c>
      <c r="AS12" s="411">
        <f t="shared" si="8"/>
        <v>0</v>
      </c>
      <c r="AT12" s="411">
        <f t="shared" si="2"/>
        <v>0</v>
      </c>
      <c r="AU12" s="411">
        <f t="shared" si="3"/>
        <v>0</v>
      </c>
      <c r="AV12" s="28">
        <f t="shared" si="9"/>
        <v>122.82</v>
      </c>
      <c r="AW12" s="28">
        <f t="shared" si="10"/>
        <v>232200.86</v>
      </c>
      <c r="AX12" s="28">
        <f t="shared" si="11"/>
        <v>0</v>
      </c>
      <c r="AY12" s="28">
        <f t="shared" si="12"/>
        <v>8469.43</v>
      </c>
      <c r="AZ12" s="28">
        <f t="shared" si="13"/>
        <v>2784.38</v>
      </c>
      <c r="BA12" s="28">
        <f>ROUND(SUM(AP12:AZ12),2)</f>
        <v>448547.66</v>
      </c>
      <c r="BB12" s="28">
        <f t="shared" si="20"/>
        <v>448547.66</v>
      </c>
      <c r="BC12" s="29">
        <f>IF(BB12=0,0,ROUND(BB12/BA12,6))</f>
        <v>1</v>
      </c>
      <c r="BD12" s="28">
        <f>SUMIFS('SBR Mar20 - Aug20'!$F$3:$F$961,'SBR Mar20 - Aug20'!$A$3:$A$961,'Mar20-Aug20 Billed-RETAIL'!$C12,'SBR Mar20 - Aug20'!$B$3:$B$961,'Mar20-Aug20 Billed-RETAIL'!$E12)</f>
        <v>55318.12</v>
      </c>
      <c r="BE12" s="28">
        <f>SUMIFS('SBR Mar20 - Aug20'!$H$3:$H$961,'SBR Mar20 - Aug20'!$A$3:$A$961,'Mar20-Aug20 Billed-RETAIL'!$C12,'SBR Mar20 - Aug20'!$B$3:$B$961,'Mar20-Aug20 Billed-RETAIL'!$E12)</f>
        <v>149652.04999999999</v>
      </c>
      <c r="BF12" s="28">
        <f>SUMIFS('SBR Mar20 - Aug20'!$G$3:$G$961,'SBR Mar20 - Aug20'!$A$3:$A$961,'Mar20-Aug20 Billed-RETAIL'!$C12,'SBR Mar20 - Aug20'!$B$3:$B$961,'Mar20-Aug20 Billed-RETAIL'!$E12)</f>
        <v>0</v>
      </c>
      <c r="BG12" s="28">
        <f>SUMIFS('SBR Mar20 - Aug20'!$M$3:$M$961,'SBR Mar20 - Aug20'!$A$3:$A$961,'Mar20-Aug20 Billed-RETAIL'!$C12,'SBR Mar20 - Aug20'!$B$3:$B$961,'Mar20-Aug20 Billed-RETAIL'!$E12)</f>
        <v>122.82</v>
      </c>
      <c r="BH12" s="28">
        <f>SUMIFS('SBR Mar20 - Aug20'!$N$3:$N$961,'SBR Mar20 - Aug20'!$A$3:$A$961,'Mar20-Aug20 Billed-RETAIL'!$C12,'SBR Mar20 - Aug20'!$B$3:$B$961,'Mar20-Aug20 Billed-RETAIL'!$E12)</f>
        <v>232200.86</v>
      </c>
      <c r="BI12" s="28">
        <f>SUMIFS('SBR Mar20 - Aug20'!$Y$3:$Y$961,'SBR Mar20 - Aug20'!$A$3:$A$961,'Mar20-Aug20 Billed-RETAIL'!$C12,'SBR Mar20 - Aug20'!$B$3:$B$961,'Mar20-Aug20 Billed-RETAIL'!$E12)</f>
        <v>0</v>
      </c>
      <c r="BJ12" s="28">
        <f>SUMIFS('SBR Mar20 - Aug20'!$W$3:$W$961,'SBR Mar20 - Aug20'!$A$3:$A$961,'Mar20-Aug20 Billed-RETAIL'!$C12,'SBR Mar20 - Aug20'!$B$3:$B$961,'Mar20-Aug20 Billed-RETAIL'!$E12)</f>
        <v>8469.43</v>
      </c>
      <c r="BK12" s="28">
        <f>SUMIFS('SBR Mar20 - Aug20'!$X$3:$X$961,'SBR Mar20 - Aug20'!$A$3:$A$961,'Mar20-Aug20 Billed-RETAIL'!$C12,'SBR Mar20 - Aug20'!$B$3:$B$961,'Mar20-Aug20 Billed-RETAIL'!$E12)</f>
        <v>2784.38</v>
      </c>
      <c r="BL12" s="28">
        <f>SUMIFS('SBR Mar20 - Aug20'!$Z$3:$Z$961,'SBR Mar20 - Aug20'!$A$3:$A$961,'Mar20-Aug20 Billed-RETAIL'!$C12,'SBR Mar20 - Aug20'!$B$3:$B$961,'Mar20-Aug20 Billed-RETAIL'!$E12)</f>
        <v>0</v>
      </c>
      <c r="BM12" s="42">
        <f t="shared" si="14"/>
        <v>0</v>
      </c>
      <c r="BN12" s="42">
        <f t="shared" si="15"/>
        <v>-1.8199999758508056E-3</v>
      </c>
    </row>
    <row r="13" spans="1:68" ht="15" customHeight="1" x14ac:dyDescent="0.25">
      <c r="A13" s="57"/>
      <c r="B13" s="46"/>
      <c r="C13" s="307">
        <f t="shared" si="16"/>
        <v>43891</v>
      </c>
      <c r="D13" s="408" t="str">
        <f t="shared" si="4"/>
        <v>863</v>
      </c>
      <c r="E13" s="405" t="str">
        <f>'Retail Rates'!$B$13</f>
        <v>LGCMG863</v>
      </c>
      <c r="F13" s="405"/>
      <c r="G13" s="405" t="str">
        <f>VLOOKUP(E13,'Retail Rates'!$B$7:$D$40,3,FALSE)</f>
        <v>Unmetered Insight Gas Generators</v>
      </c>
      <c r="H13" s="20">
        <f>SUMIFS('Data-Retail'!$F$2:$F$244,'Data-Retail'!$A$2:$A$244,'Mar20-Aug20 Billed-RETAIL'!$C13,'Data-Retail'!$B$2:$B$244,'Mar20-Aug20 Billed-RETAIL'!$E13)</f>
        <v>608</v>
      </c>
      <c r="I13" s="20">
        <v>0</v>
      </c>
      <c r="J13" s="20">
        <f>SUMIFS('Data-Retail'!$G$2:$G$244,'Data-Retail'!$A$2:$A$244,'Mar20-Aug20 Billed-RETAIL'!$C13,'Data-Retail'!$B$2:$B$244,'Mar20-Aug20 Billed-RETAIL'!$E13)</f>
        <v>601</v>
      </c>
      <c r="K13" s="20">
        <f>SUMIFS('Data-Retail'!$H$2:$H$244,'Data-Retail'!$A$2:$A$244,'Mar20-Aug20 Billed-RETAIL'!$C13,'Data-Retail'!$B$2:$B$244,'Mar20-Aug20 Billed-RETAIL'!$E13)</f>
        <v>0</v>
      </c>
      <c r="L13" s="20">
        <v>0</v>
      </c>
      <c r="M13" s="20">
        <v>0</v>
      </c>
      <c r="N13" s="20">
        <v>0</v>
      </c>
      <c r="O13" s="20">
        <v>0</v>
      </c>
      <c r="P13" s="20">
        <v>18088</v>
      </c>
      <c r="Q13" s="20">
        <v>0</v>
      </c>
      <c r="R13" s="21">
        <f>VLOOKUP($E13,'Retail Rates'!$B$7:$P$40,4,FALSE)</f>
        <v>1.97</v>
      </c>
      <c r="S13" s="21">
        <f>VLOOKUP($E13,'Retail Rates'!$B$7:$P$40,5,FALSE)</f>
        <v>9.3699999999999992</v>
      </c>
      <c r="T13" s="22">
        <f>VLOOKUP($E13,'Retail Rates'!$B$7:$P$40,8,FALSE)</f>
        <v>0.30669999999999997</v>
      </c>
      <c r="U13" s="22">
        <f>VLOOKUP($E13,'Retail Rates'!$B$7:$P$40,9,FALSE)</f>
        <v>0.25669999999999998</v>
      </c>
      <c r="V13" s="22">
        <f>VLOOKUP($E13,'Retail Rates'!$B$7:$P$40,14,FALSE)</f>
        <v>0</v>
      </c>
      <c r="W13" s="22">
        <f>VLOOKUP($E13,'Retail Rates'!$B$7:$P$40,10,FALSE)</f>
        <v>3.0669999999999997</v>
      </c>
      <c r="X13" s="22">
        <f>VLOOKUP($E13,'Retail Rates'!$B$7:$P$40,11,FALSE)</f>
        <v>2.5669999999999997</v>
      </c>
      <c r="Y13" s="22">
        <f>VLOOKUP($E13,'Retail Rates'!$B$7:$P$40,15,FALSE)</f>
        <v>0</v>
      </c>
      <c r="Z13" s="22">
        <v>0</v>
      </c>
      <c r="AA13" s="411">
        <f>(+P13*R13)</f>
        <v>35633.360000000001</v>
      </c>
      <c r="AB13" s="411">
        <f t="shared" ref="AB13:AB21" si="21">+I13*S13</f>
        <v>0</v>
      </c>
      <c r="AC13" s="411">
        <f>ROUND(T13,2)*J13</f>
        <v>186.31</v>
      </c>
      <c r="AD13" s="411">
        <f t="shared" ref="AD13:AD21" si="22">+K13*U13</f>
        <v>0</v>
      </c>
      <c r="AE13" s="411">
        <f t="shared" si="1"/>
        <v>0</v>
      </c>
      <c r="AF13" s="41">
        <v>0</v>
      </c>
      <c r="AG13" s="41">
        <v>0</v>
      </c>
      <c r="AH13" s="33">
        <v>0</v>
      </c>
      <c r="AI13" s="33">
        <v>0</v>
      </c>
      <c r="AJ13" s="41">
        <v>0</v>
      </c>
      <c r="AK13" s="41">
        <v>0</v>
      </c>
      <c r="AL13" s="33"/>
      <c r="AM13" s="33">
        <v>0</v>
      </c>
      <c r="AN13" s="41">
        <v>0</v>
      </c>
      <c r="AO13" s="33">
        <v>0</v>
      </c>
      <c r="AP13" s="411">
        <f t="shared" si="5"/>
        <v>35633.360000000001</v>
      </c>
      <c r="AQ13" s="411">
        <f t="shared" si="6"/>
        <v>0</v>
      </c>
      <c r="AR13" s="411">
        <f t="shared" si="7"/>
        <v>186.31</v>
      </c>
      <c r="AS13" s="411">
        <f t="shared" si="8"/>
        <v>0</v>
      </c>
      <c r="AT13" s="411">
        <f t="shared" si="2"/>
        <v>0</v>
      </c>
      <c r="AU13" s="411">
        <f t="shared" si="3"/>
        <v>0</v>
      </c>
      <c r="AV13" s="28">
        <f t="shared" si="9"/>
        <v>0</v>
      </c>
      <c r="AW13" s="28">
        <f t="shared" si="10"/>
        <v>204.34</v>
      </c>
      <c r="AX13" s="28">
        <f t="shared" si="11"/>
        <v>0</v>
      </c>
      <c r="AY13" s="28">
        <f t="shared" si="12"/>
        <v>3112.96</v>
      </c>
      <c r="AZ13" s="28">
        <f t="shared" si="13"/>
        <v>6.01</v>
      </c>
      <c r="BA13" s="28">
        <f t="shared" si="19"/>
        <v>39142.980000000003</v>
      </c>
      <c r="BB13" s="28">
        <f t="shared" si="20"/>
        <v>39142.979999999996</v>
      </c>
      <c r="BC13" s="29">
        <f t="shared" si="18"/>
        <v>1</v>
      </c>
      <c r="BD13" s="28">
        <f>SUMIFS('SBR Mar20 - Aug20'!$F$3:$F$961,'SBR Mar20 - Aug20'!$A$3:$A$961,'Mar20-Aug20 Billed-RETAIL'!$C13,'SBR Mar20 - Aug20'!$B$3:$B$961,'Mar20-Aug20 Billed-RETAIL'!$E13)</f>
        <v>35633.360000000001</v>
      </c>
      <c r="BE13" s="28">
        <f>SUMIFS('SBR Mar20 - Aug20'!$H$3:$H$961,'SBR Mar20 - Aug20'!$A$3:$A$961,'Mar20-Aug20 Billed-RETAIL'!$C13,'SBR Mar20 - Aug20'!$B$3:$B$961,'Mar20-Aug20 Billed-RETAIL'!$E13)</f>
        <v>186.31</v>
      </c>
      <c r="BF13" s="28">
        <f>SUMIFS('SBR Mar20 - Aug20'!$G$3:$G$961,'SBR Mar20 - Aug20'!$A$3:$A$961,'Mar20-Aug20 Billed-RETAIL'!$C13,'SBR Mar20 - Aug20'!$B$3:$B$961,'Mar20-Aug20 Billed-RETAIL'!$E13)</f>
        <v>0</v>
      </c>
      <c r="BG13" s="28">
        <f>SUMIFS('SBR Mar20 - Aug20'!$M$3:$M$961,'SBR Mar20 - Aug20'!$A$3:$A$961,'Mar20-Aug20 Billed-RETAIL'!$C13,'SBR Mar20 - Aug20'!$B$3:$B$961,'Mar20-Aug20 Billed-RETAIL'!$E13)</f>
        <v>0</v>
      </c>
      <c r="BH13" s="28">
        <f>SUMIFS('SBR Mar20 - Aug20'!$N$3:$N$961,'SBR Mar20 - Aug20'!$A$3:$A$961,'Mar20-Aug20 Billed-RETAIL'!$C13,'SBR Mar20 - Aug20'!$B$3:$B$961,'Mar20-Aug20 Billed-RETAIL'!$E13)</f>
        <v>204.34</v>
      </c>
      <c r="BI13" s="28">
        <f>SUMIFS('SBR Mar20 - Aug20'!$Y$3:$Y$961,'SBR Mar20 - Aug20'!$A$3:$A$961,'Mar20-Aug20 Billed-RETAIL'!$C13,'SBR Mar20 - Aug20'!$B$3:$B$961,'Mar20-Aug20 Billed-RETAIL'!$E13)</f>
        <v>0</v>
      </c>
      <c r="BJ13" s="28">
        <f>SUMIFS('SBR Mar20 - Aug20'!$W$3:$W$961,'SBR Mar20 - Aug20'!$A$3:$A$961,'Mar20-Aug20 Billed-RETAIL'!$C13,'SBR Mar20 - Aug20'!$B$3:$B$961,'Mar20-Aug20 Billed-RETAIL'!$E13)</f>
        <v>3112.96</v>
      </c>
      <c r="BK13" s="28">
        <f>SUMIFS('SBR Mar20 - Aug20'!$X$3:$X$961,'SBR Mar20 - Aug20'!$A$3:$A$961,'Mar20-Aug20 Billed-RETAIL'!$C13,'SBR Mar20 - Aug20'!$B$3:$B$961,'Mar20-Aug20 Billed-RETAIL'!$E13)</f>
        <v>6.01</v>
      </c>
      <c r="BL13" s="28">
        <f>SUMIFS('SBR Mar20 - Aug20'!$Z$3:$Z$961,'SBR Mar20 - Aug20'!$A$3:$A$961,'Mar20-Aug20 Billed-RETAIL'!$C13,'SBR Mar20 - Aug20'!$B$3:$B$961,'Mar20-Aug20 Billed-RETAIL'!$E13)</f>
        <v>0</v>
      </c>
      <c r="BM13" s="42">
        <f>+AP13+AQ13-BD13</f>
        <v>0</v>
      </c>
      <c r="BN13" s="42">
        <f t="shared" si="15"/>
        <v>0</v>
      </c>
    </row>
    <row r="14" spans="1:68" x14ac:dyDescent="0.25">
      <c r="A14" s="57"/>
      <c r="B14" s="46"/>
      <c r="C14" s="307">
        <f t="shared" si="16"/>
        <v>43891</v>
      </c>
      <c r="D14" s="408" t="str">
        <f t="shared" si="4"/>
        <v>865</v>
      </c>
      <c r="E14" s="405" t="str">
        <f>'Retail Rates'!$B$14</f>
        <v>LGCMG865</v>
      </c>
      <c r="F14" s="405"/>
      <c r="G14" s="405" t="str">
        <f>VLOOKUP(E14,'Retail Rates'!$B$7:$D$40,3,FALSE)</f>
        <v>As-Available Gas Service, Commercial</v>
      </c>
      <c r="H14" s="20">
        <f>SUMIFS('Data-Retail'!$F$2:$F$244,'Data-Retail'!$A$2:$A$244,'Mar20-Aug20 Billed-RETAIL'!$C14,'Data-Retail'!$B$2:$B$244,'Mar20-Aug20 Billed-RETAIL'!$E14)</f>
        <v>2</v>
      </c>
      <c r="I14" s="20">
        <v>0</v>
      </c>
      <c r="J14" s="20">
        <v>0</v>
      </c>
      <c r="K14" s="20">
        <f>SUMIFS('Data-Retail'!$H$2:$H$244,'Data-Retail'!$A$2:$A$244,'Mar20-Aug20 Billed-RETAIL'!$C14,'Data-Retail'!$B$2:$B$244,'Mar20-Aug20 Billed-RETAIL'!$E14)</f>
        <v>0</v>
      </c>
      <c r="L14" s="20">
        <v>0</v>
      </c>
      <c r="M14" s="20">
        <f>SUMIFS('Data-Retail'!$G$2:$G$244,'Data-Retail'!$A$2:$A$244,'Mar20-Aug20 Billed-RETAIL'!$C14,'Data-Retail'!$B$2:$B$244,'Mar20-Aug20 Billed-RETAIL'!$E14)/10</f>
        <v>7444.4</v>
      </c>
      <c r="N14" s="20">
        <v>0</v>
      </c>
      <c r="O14" s="20">
        <v>0</v>
      </c>
      <c r="P14" s="20">
        <v>0</v>
      </c>
      <c r="Q14" s="20">
        <v>0</v>
      </c>
      <c r="R14" s="21">
        <f>VLOOKUP($E14,'Retail Rates'!$B$7:$P$40,4,FALSE)</f>
        <v>500</v>
      </c>
      <c r="S14" s="21">
        <f>VLOOKUP($E14,'Retail Rates'!$B$7:$P$40,5,FALSE)</f>
        <v>0</v>
      </c>
      <c r="T14" s="22">
        <f>VLOOKUP($E14,'Retail Rates'!$B$7:$P$40,8,FALSE)</f>
        <v>0.10644000000000001</v>
      </c>
      <c r="U14" s="22">
        <f>VLOOKUP($E14,'Retail Rates'!$B$7:$P$40,9,FALSE)</f>
        <v>0</v>
      </c>
      <c r="V14" s="22">
        <f>VLOOKUP($E14,'Retail Rates'!$B$7:$P$40,14,FALSE)</f>
        <v>0</v>
      </c>
      <c r="W14" s="22">
        <f>VLOOKUP($E14,'Retail Rates'!$B$7:$P$40,10,FALSE)</f>
        <v>1.0644</v>
      </c>
      <c r="X14" s="22">
        <f>VLOOKUP($E14,'Retail Rates'!$B$7:$P$40,11,FALSE)</f>
        <v>0</v>
      </c>
      <c r="Y14" s="22">
        <f>VLOOKUP($E14,'Retail Rates'!$B$7:$P$40,15,FALSE)</f>
        <v>0</v>
      </c>
      <c r="Z14" s="22">
        <v>0</v>
      </c>
      <c r="AA14" s="411">
        <f t="shared" ref="AA14:AA21" si="23">(+H14*R14)</f>
        <v>1000</v>
      </c>
      <c r="AB14" s="411">
        <f t="shared" si="21"/>
        <v>0</v>
      </c>
      <c r="AC14" s="411">
        <f>+M14*W14</f>
        <v>7923.8193599999995</v>
      </c>
      <c r="AD14" s="411">
        <f t="shared" si="22"/>
        <v>0</v>
      </c>
      <c r="AE14" s="411">
        <f t="shared" si="1"/>
        <v>0</v>
      </c>
      <c r="AF14" s="41">
        <v>0</v>
      </c>
      <c r="AG14" s="41">
        <v>0</v>
      </c>
      <c r="AH14" s="33">
        <v>0</v>
      </c>
      <c r="AI14" s="33">
        <v>0</v>
      </c>
      <c r="AJ14" s="41">
        <v>0</v>
      </c>
      <c r="AK14" s="41">
        <v>0</v>
      </c>
      <c r="AL14" s="33"/>
      <c r="AM14" s="33">
        <v>0</v>
      </c>
      <c r="AN14" s="41">
        <v>0</v>
      </c>
      <c r="AO14" s="33">
        <v>0</v>
      </c>
      <c r="AP14" s="411">
        <f t="shared" si="5"/>
        <v>1000</v>
      </c>
      <c r="AQ14" s="411">
        <f t="shared" si="6"/>
        <v>0</v>
      </c>
      <c r="AR14" s="411">
        <f t="shared" si="7"/>
        <v>7923.8193599999995</v>
      </c>
      <c r="AS14" s="411">
        <f t="shared" si="8"/>
        <v>0</v>
      </c>
      <c r="AT14" s="411">
        <f t="shared" si="2"/>
        <v>0</v>
      </c>
      <c r="AU14" s="411">
        <f t="shared" si="3"/>
        <v>0</v>
      </c>
      <c r="AV14" s="28">
        <f t="shared" si="9"/>
        <v>13.4</v>
      </c>
      <c r="AW14" s="28">
        <f t="shared" si="10"/>
        <v>25311.71</v>
      </c>
      <c r="AX14" s="28">
        <f t="shared" si="11"/>
        <v>0</v>
      </c>
      <c r="AY14" s="28">
        <f t="shared" si="12"/>
        <v>128.78</v>
      </c>
      <c r="AZ14" s="28">
        <f t="shared" si="13"/>
        <v>303.73</v>
      </c>
      <c r="BA14" s="28">
        <f t="shared" si="19"/>
        <v>34681.440000000002</v>
      </c>
      <c r="BB14" s="28">
        <f t="shared" si="20"/>
        <v>34681.440000000002</v>
      </c>
      <c r="BC14" s="29">
        <f t="shared" si="18"/>
        <v>1</v>
      </c>
      <c r="BD14" s="28">
        <f>SUMIFS('SBR Mar20 - Aug20'!$F$3:$F$961,'SBR Mar20 - Aug20'!$A$3:$A$961,'Mar20-Aug20 Billed-RETAIL'!$C14,'SBR Mar20 - Aug20'!$B$3:$B$961,'Mar20-Aug20 Billed-RETAIL'!$E14)</f>
        <v>1000</v>
      </c>
      <c r="BE14" s="28">
        <f>SUMIFS('SBR Mar20 - Aug20'!$H$3:$H$961,'SBR Mar20 - Aug20'!$A$3:$A$961,'Mar20-Aug20 Billed-RETAIL'!$C14,'SBR Mar20 - Aug20'!$B$3:$B$961,'Mar20-Aug20 Billed-RETAIL'!$E14)</f>
        <v>7923.82</v>
      </c>
      <c r="BF14" s="28">
        <f>SUMIFS('SBR Mar20 - Aug20'!$G$3:$G$961,'SBR Mar20 - Aug20'!$A$3:$A$961,'Mar20-Aug20 Billed-RETAIL'!$C14,'SBR Mar20 - Aug20'!$B$3:$B$961,'Mar20-Aug20 Billed-RETAIL'!$E14)</f>
        <v>0</v>
      </c>
      <c r="BG14" s="28">
        <f>SUMIFS('SBR Mar20 - Aug20'!$M$3:$M$961,'SBR Mar20 - Aug20'!$A$3:$A$961,'Mar20-Aug20 Billed-RETAIL'!$C14,'SBR Mar20 - Aug20'!$B$3:$B$961,'Mar20-Aug20 Billed-RETAIL'!$E14)</f>
        <v>13.4</v>
      </c>
      <c r="BH14" s="28">
        <f>SUMIFS('SBR Mar20 - Aug20'!$N$3:$N$961,'SBR Mar20 - Aug20'!$A$3:$A$961,'Mar20-Aug20 Billed-RETAIL'!$C14,'SBR Mar20 - Aug20'!$B$3:$B$961,'Mar20-Aug20 Billed-RETAIL'!$E14)</f>
        <v>25311.71</v>
      </c>
      <c r="BI14" s="28">
        <f>SUMIFS('SBR Mar20 - Aug20'!$Y$3:$Y$961,'SBR Mar20 - Aug20'!$A$3:$A$961,'Mar20-Aug20 Billed-RETAIL'!$C14,'SBR Mar20 - Aug20'!$B$3:$B$961,'Mar20-Aug20 Billed-RETAIL'!$E14)</f>
        <v>0</v>
      </c>
      <c r="BJ14" s="28">
        <f>SUMIFS('SBR Mar20 - Aug20'!$W$3:$W$961,'SBR Mar20 - Aug20'!$A$3:$A$961,'Mar20-Aug20 Billed-RETAIL'!$C14,'SBR Mar20 - Aug20'!$B$3:$B$961,'Mar20-Aug20 Billed-RETAIL'!$E14)</f>
        <v>128.78</v>
      </c>
      <c r="BK14" s="28">
        <f>SUMIFS('SBR Mar20 - Aug20'!$X$3:$X$961,'SBR Mar20 - Aug20'!$A$3:$A$961,'Mar20-Aug20 Billed-RETAIL'!$C14,'SBR Mar20 - Aug20'!$B$3:$B$961,'Mar20-Aug20 Billed-RETAIL'!$E14)</f>
        <v>303.73</v>
      </c>
      <c r="BL14" s="28">
        <f>SUMIFS('SBR Mar20 - Aug20'!$Z$3:$Z$961,'SBR Mar20 - Aug20'!$A$3:$A$961,'Mar20-Aug20 Billed-RETAIL'!$C14,'SBR Mar20 - Aug20'!$B$3:$B$961,'Mar20-Aug20 Billed-RETAIL'!$E14)</f>
        <v>0</v>
      </c>
      <c r="BM14" s="42">
        <f t="shared" si="14"/>
        <v>0</v>
      </c>
      <c r="BN14" s="42">
        <f t="shared" si="15"/>
        <v>-6.4000000020314474E-4</v>
      </c>
    </row>
    <row r="15" spans="1:68" x14ac:dyDescent="0.25">
      <c r="A15" s="57"/>
      <c r="B15" s="46"/>
      <c r="C15" s="307">
        <f t="shared" si="16"/>
        <v>43891</v>
      </c>
      <c r="D15" s="408" t="str">
        <f t="shared" si="4"/>
        <v>866</v>
      </c>
      <c r="E15" s="405" t="str">
        <f>'Retail Rates'!$B$15</f>
        <v>LGING866</v>
      </c>
      <c r="F15" s="405"/>
      <c r="G15" s="405" t="str">
        <f>VLOOKUP(E15,'Retail Rates'!$B$7:$D$40,3,FALSE)</f>
        <v>As-Available Gas Service, Industrial Opt Out</v>
      </c>
      <c r="H15" s="20">
        <f>SUMIFS('Data-Retail'!$F$2:$F$244,'Data-Retail'!$A$2:$A$244,'Mar20-Aug20 Billed-RETAIL'!$C15,'Data-Retail'!$B$2:$B$244,'Mar20-Aug20 Billed-RETAIL'!$E15)</f>
        <v>0</v>
      </c>
      <c r="I15" s="20">
        <v>0</v>
      </c>
      <c r="J15" s="20">
        <f>SUMIFS('Data-Retail'!$G$2:$G$244,'Data-Retail'!$A$2:$A$244,'Mar20-Aug20 Billed-RETAIL'!$C15,'Data-Retail'!$B$2:$B$244,'Mar20-Aug20 Billed-RETAIL'!$E15)</f>
        <v>0</v>
      </c>
      <c r="K15" s="20">
        <f>SUMIFS('Data-Retail'!$H$2:$H$244,'Data-Retail'!$A$2:$A$244,'Mar20-Aug20 Billed-RETAIL'!$C15,'Data-Retail'!$B$2:$B$244,'Mar20-Aug20 Billed-RETAIL'!$E15)</f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1">
        <f>VLOOKUP($E15,'Retail Rates'!$B$7:$P$40,4,FALSE)</f>
        <v>500</v>
      </c>
      <c r="S15" s="21">
        <f>VLOOKUP($E15,'Retail Rates'!$B$7:$P$40,5,FALSE)</f>
        <v>0</v>
      </c>
      <c r="T15" s="22">
        <f>VLOOKUP($E15,'Retail Rates'!$B$7:$P$40,8,FALSE)</f>
        <v>0.10644000000000001</v>
      </c>
      <c r="U15" s="22">
        <f>VLOOKUP($E15,'Retail Rates'!$B$7:$P$40,9,FALSE)</f>
        <v>0</v>
      </c>
      <c r="V15" s="22">
        <f>VLOOKUP($E15,'Retail Rates'!$B$7:$P$40,14,FALSE)</f>
        <v>0</v>
      </c>
      <c r="W15" s="22">
        <f>VLOOKUP($E15,'Retail Rates'!$B$7:$P$40,10,FALSE)</f>
        <v>1.0644</v>
      </c>
      <c r="X15" s="22">
        <f>VLOOKUP($E15,'Retail Rates'!$B$7:$P$40,11,FALSE)</f>
        <v>0</v>
      </c>
      <c r="Y15" s="22">
        <f>VLOOKUP($E15,'Retail Rates'!$B$7:$P$40,15,FALSE)</f>
        <v>0</v>
      </c>
      <c r="Z15" s="22">
        <v>0</v>
      </c>
      <c r="AA15" s="411">
        <f t="shared" si="23"/>
        <v>0</v>
      </c>
      <c r="AB15" s="411">
        <f t="shared" si="21"/>
        <v>0</v>
      </c>
      <c r="AC15" s="411">
        <f>+J15*T15</f>
        <v>0</v>
      </c>
      <c r="AD15" s="411">
        <f t="shared" si="22"/>
        <v>0</v>
      </c>
      <c r="AE15" s="411">
        <f t="shared" si="1"/>
        <v>0</v>
      </c>
      <c r="AF15" s="41">
        <v>0</v>
      </c>
      <c r="AG15" s="41">
        <v>0</v>
      </c>
      <c r="AH15" s="33">
        <v>0</v>
      </c>
      <c r="AI15" s="33">
        <v>0</v>
      </c>
      <c r="AJ15" s="41">
        <v>0</v>
      </c>
      <c r="AK15" s="41">
        <v>0</v>
      </c>
      <c r="AL15" s="33"/>
      <c r="AM15" s="33">
        <v>0</v>
      </c>
      <c r="AN15" s="41">
        <v>0</v>
      </c>
      <c r="AO15" s="33">
        <v>0</v>
      </c>
      <c r="AP15" s="411">
        <f t="shared" si="5"/>
        <v>0</v>
      </c>
      <c r="AQ15" s="411">
        <f t="shared" si="6"/>
        <v>0</v>
      </c>
      <c r="AR15" s="411">
        <f t="shared" si="7"/>
        <v>0</v>
      </c>
      <c r="AS15" s="411">
        <f t="shared" si="8"/>
        <v>0</v>
      </c>
      <c r="AT15" s="411">
        <f t="shared" si="2"/>
        <v>0</v>
      </c>
      <c r="AU15" s="411">
        <f t="shared" si="3"/>
        <v>0</v>
      </c>
      <c r="AV15" s="28">
        <f t="shared" si="9"/>
        <v>0</v>
      </c>
      <c r="AW15" s="28">
        <f t="shared" si="10"/>
        <v>0</v>
      </c>
      <c r="AX15" s="28">
        <f t="shared" si="11"/>
        <v>0</v>
      </c>
      <c r="AY15" s="28">
        <f t="shared" si="12"/>
        <v>0</v>
      </c>
      <c r="AZ15" s="28">
        <f t="shared" si="13"/>
        <v>0</v>
      </c>
      <c r="BA15" s="28">
        <f t="shared" si="19"/>
        <v>0</v>
      </c>
      <c r="BB15" s="28">
        <f t="shared" si="20"/>
        <v>0</v>
      </c>
      <c r="BC15" s="29">
        <f t="shared" si="18"/>
        <v>0</v>
      </c>
      <c r="BD15" s="28">
        <f>SUMIFS('SBR Mar20 - Aug20'!$F$3:$F$961,'SBR Mar20 - Aug20'!$A$3:$A$961,'Mar20-Aug20 Billed-RETAIL'!$C15,'SBR Mar20 - Aug20'!$B$3:$B$961,'Mar20-Aug20 Billed-RETAIL'!$E15)</f>
        <v>0</v>
      </c>
      <c r="BE15" s="28">
        <f>SUMIFS('SBR Mar20 - Aug20'!$H$3:$H$961,'SBR Mar20 - Aug20'!$A$3:$A$961,'Mar20-Aug20 Billed-RETAIL'!$C15,'SBR Mar20 - Aug20'!$B$3:$B$961,'Mar20-Aug20 Billed-RETAIL'!$E15)</f>
        <v>0</v>
      </c>
      <c r="BF15" s="28">
        <f>SUMIFS('SBR Mar20 - Aug20'!$G$3:$G$961,'SBR Mar20 - Aug20'!$A$3:$A$961,'Mar20-Aug20 Billed-RETAIL'!$C15,'SBR Mar20 - Aug20'!$B$3:$B$961,'Mar20-Aug20 Billed-RETAIL'!$E15)</f>
        <v>0</v>
      </c>
      <c r="BG15" s="28">
        <f>SUMIFS('SBR Mar20 - Aug20'!$M$3:$M$961,'SBR Mar20 - Aug20'!$A$3:$A$961,'Mar20-Aug20 Billed-RETAIL'!$C15,'SBR Mar20 - Aug20'!$B$3:$B$961,'Mar20-Aug20 Billed-RETAIL'!$E15)</f>
        <v>0</v>
      </c>
      <c r="BH15" s="28">
        <f>SUMIFS('SBR Mar20 - Aug20'!$N$3:$N$961,'SBR Mar20 - Aug20'!$A$3:$A$961,'Mar20-Aug20 Billed-RETAIL'!$C15,'SBR Mar20 - Aug20'!$B$3:$B$961,'Mar20-Aug20 Billed-RETAIL'!$E15)</f>
        <v>0</v>
      </c>
      <c r="BI15" s="28">
        <f>SUMIFS('SBR Mar20 - Aug20'!$Y$3:$Y$961,'SBR Mar20 - Aug20'!$A$3:$A$961,'Mar20-Aug20 Billed-RETAIL'!$C15,'SBR Mar20 - Aug20'!$B$3:$B$961,'Mar20-Aug20 Billed-RETAIL'!$E15)</f>
        <v>0</v>
      </c>
      <c r="BJ15" s="28">
        <f>SUMIFS('SBR Mar20 - Aug20'!$W$3:$W$961,'SBR Mar20 - Aug20'!$A$3:$A$961,'Mar20-Aug20 Billed-RETAIL'!$C15,'SBR Mar20 - Aug20'!$B$3:$B$961,'Mar20-Aug20 Billed-RETAIL'!$E15)</f>
        <v>0</v>
      </c>
      <c r="BK15" s="28">
        <f>SUMIFS('SBR Mar20 - Aug20'!$X$3:$X$961,'SBR Mar20 - Aug20'!$A$3:$A$961,'Mar20-Aug20 Billed-RETAIL'!$C15,'SBR Mar20 - Aug20'!$B$3:$B$961,'Mar20-Aug20 Billed-RETAIL'!$E15)</f>
        <v>0</v>
      </c>
      <c r="BL15" s="28">
        <f>SUMIFS('SBR Mar20 - Aug20'!$Z$3:$Z$961,'SBR Mar20 - Aug20'!$A$3:$A$961,'Mar20-Aug20 Billed-RETAIL'!$C15,'SBR Mar20 - Aug20'!$B$3:$B$961,'Mar20-Aug20 Billed-RETAIL'!$E15)</f>
        <v>0</v>
      </c>
      <c r="BM15" s="42">
        <f t="shared" si="14"/>
        <v>0</v>
      </c>
      <c r="BN15" s="42">
        <f t="shared" si="15"/>
        <v>0</v>
      </c>
    </row>
    <row r="16" spans="1:68" x14ac:dyDescent="0.25">
      <c r="A16" s="57"/>
      <c r="B16" s="46"/>
      <c r="C16" s="307">
        <f t="shared" si="16"/>
        <v>43891</v>
      </c>
      <c r="D16" s="408" t="str">
        <f t="shared" si="4"/>
        <v>866</v>
      </c>
      <c r="E16" s="405" t="str">
        <f>'Retail Rates'!$B$16</f>
        <v>LGING866DS</v>
      </c>
      <c r="F16" s="405"/>
      <c r="G16" s="405" t="str">
        <f>VLOOKUP(E16,'Retail Rates'!$B$7:$D$40,3,FALSE)</f>
        <v>As-Available Gas Service, Industrial Opt In</v>
      </c>
      <c r="H16" s="20">
        <f>SUMIFS('Data-Retail'!$F$2:$F$244,'Data-Retail'!$A$2:$A$244,'Mar20-Aug20 Billed-RETAIL'!$C16,'Data-Retail'!$B$2:$B$244,'Mar20-Aug20 Billed-RETAIL'!$E16)</f>
        <v>1</v>
      </c>
      <c r="I16" s="20">
        <v>0</v>
      </c>
      <c r="J16" s="20">
        <v>0</v>
      </c>
      <c r="K16" s="20">
        <f>SUMIFS('Data-Retail'!$H$2:$H$244,'Data-Retail'!$A$2:$A$244,'Mar20-Aug20 Billed-RETAIL'!$C16,'Data-Retail'!$B$2:$B$244,'Mar20-Aug20 Billed-RETAIL'!$E16)</f>
        <v>0</v>
      </c>
      <c r="L16" s="20">
        <v>0</v>
      </c>
      <c r="M16" s="20">
        <f>SUMIFS('Data-Retail'!$G$2:$G$244,'Data-Retail'!$A$2:$A$244,'Mar20-Aug20 Billed-RETAIL'!$C16,'Data-Retail'!$B$2:$B$244,'Mar20-Aug20 Billed-RETAIL'!$E16)/10</f>
        <v>1551.1</v>
      </c>
      <c r="N16" s="20">
        <v>0</v>
      </c>
      <c r="O16" s="20">
        <v>0</v>
      </c>
      <c r="P16" s="20">
        <v>0</v>
      </c>
      <c r="Q16" s="20">
        <v>0</v>
      </c>
      <c r="R16" s="21">
        <f>VLOOKUP($E16,'Retail Rates'!$B$7:$P$40,4,FALSE)</f>
        <v>500</v>
      </c>
      <c r="S16" s="21">
        <f>VLOOKUP($E16,'Retail Rates'!$B$7:$P$40,5,FALSE)</f>
        <v>0</v>
      </c>
      <c r="T16" s="22">
        <f>VLOOKUP($E16,'Retail Rates'!$B$7:$P$40,8,FALSE)</f>
        <v>0.10644000000000001</v>
      </c>
      <c r="U16" s="22">
        <f>VLOOKUP($E16,'Retail Rates'!$B$7:$P$40,9,FALSE)</f>
        <v>0</v>
      </c>
      <c r="V16" s="22">
        <f>VLOOKUP($E16,'Retail Rates'!$B$7:$P$40,14,FALSE)</f>
        <v>0</v>
      </c>
      <c r="W16" s="22">
        <f>VLOOKUP($E16,'Retail Rates'!$B$7:$P$40,10,FALSE)</f>
        <v>1.0644</v>
      </c>
      <c r="X16" s="22">
        <f>VLOOKUP($E16,'Retail Rates'!$B$7:$P$40,11,FALSE)</f>
        <v>0</v>
      </c>
      <c r="Y16" s="22">
        <f>VLOOKUP($E16,'Retail Rates'!$B$7:$P$40,15,FALSE)</f>
        <v>0</v>
      </c>
      <c r="Z16" s="22">
        <v>0</v>
      </c>
      <c r="AA16" s="411">
        <f t="shared" si="23"/>
        <v>500</v>
      </c>
      <c r="AB16" s="411">
        <f t="shared" si="21"/>
        <v>0</v>
      </c>
      <c r="AC16" s="411">
        <f>+M16*W16</f>
        <v>1650.9908399999999</v>
      </c>
      <c r="AD16" s="411">
        <f t="shared" si="22"/>
        <v>0</v>
      </c>
      <c r="AE16" s="411">
        <f t="shared" si="1"/>
        <v>0</v>
      </c>
      <c r="AF16" s="41">
        <v>0</v>
      </c>
      <c r="AG16" s="41">
        <v>0</v>
      </c>
      <c r="AH16" s="33">
        <v>0</v>
      </c>
      <c r="AI16" s="33">
        <v>0</v>
      </c>
      <c r="AJ16" s="41">
        <v>0</v>
      </c>
      <c r="AK16" s="41">
        <v>0</v>
      </c>
      <c r="AL16" s="33"/>
      <c r="AM16" s="33">
        <v>0</v>
      </c>
      <c r="AN16" s="41">
        <v>0</v>
      </c>
      <c r="AO16" s="33">
        <v>0</v>
      </c>
      <c r="AP16" s="411">
        <f t="shared" si="5"/>
        <v>500</v>
      </c>
      <c r="AQ16" s="411">
        <f t="shared" si="6"/>
        <v>0</v>
      </c>
      <c r="AR16" s="411">
        <f t="shared" si="7"/>
        <v>1650.9908399999999</v>
      </c>
      <c r="AS16" s="411">
        <f t="shared" si="8"/>
        <v>0</v>
      </c>
      <c r="AT16" s="411">
        <f t="shared" si="2"/>
        <v>0</v>
      </c>
      <c r="AU16" s="411">
        <f t="shared" si="3"/>
        <v>0</v>
      </c>
      <c r="AV16" s="28">
        <f t="shared" si="9"/>
        <v>2.79</v>
      </c>
      <c r="AW16" s="28">
        <f t="shared" si="10"/>
        <v>5273.9</v>
      </c>
      <c r="AX16" s="28">
        <f t="shared" si="11"/>
        <v>0</v>
      </c>
      <c r="AY16" s="28">
        <f t="shared" si="12"/>
        <v>64.39</v>
      </c>
      <c r="AZ16" s="28">
        <f t="shared" si="13"/>
        <v>63.28</v>
      </c>
      <c r="BA16" s="28">
        <f t="shared" si="19"/>
        <v>7555.35</v>
      </c>
      <c r="BB16" s="28">
        <f t="shared" si="20"/>
        <v>7555.3499999999995</v>
      </c>
      <c r="BC16" s="29">
        <f t="shared" si="18"/>
        <v>1</v>
      </c>
      <c r="BD16" s="28">
        <f>SUMIFS('SBR Mar20 - Aug20'!$F$3:$F$961,'SBR Mar20 - Aug20'!$A$3:$A$961,'Mar20-Aug20 Billed-RETAIL'!$C16,'SBR Mar20 - Aug20'!$B$3:$B$961,'Mar20-Aug20 Billed-RETAIL'!$E16)</f>
        <v>500</v>
      </c>
      <c r="BE16" s="28">
        <f>SUMIFS('SBR Mar20 - Aug20'!$H$3:$H$961,'SBR Mar20 - Aug20'!$A$3:$A$961,'Mar20-Aug20 Billed-RETAIL'!$C16,'SBR Mar20 - Aug20'!$B$3:$B$961,'Mar20-Aug20 Billed-RETAIL'!$E16)</f>
        <v>1650.99</v>
      </c>
      <c r="BF16" s="28">
        <f>SUMIFS('SBR Mar20 - Aug20'!$G$3:$G$961,'SBR Mar20 - Aug20'!$A$3:$A$961,'Mar20-Aug20 Billed-RETAIL'!$C16,'SBR Mar20 - Aug20'!$B$3:$B$961,'Mar20-Aug20 Billed-RETAIL'!$E16)</f>
        <v>0</v>
      </c>
      <c r="BG16" s="28">
        <f>SUMIFS('SBR Mar20 - Aug20'!$M$3:$M$961,'SBR Mar20 - Aug20'!$A$3:$A$961,'Mar20-Aug20 Billed-RETAIL'!$C16,'SBR Mar20 - Aug20'!$B$3:$B$961,'Mar20-Aug20 Billed-RETAIL'!$E16)</f>
        <v>2.79</v>
      </c>
      <c r="BH16" s="28">
        <f>SUMIFS('SBR Mar20 - Aug20'!$N$3:$N$961,'SBR Mar20 - Aug20'!$A$3:$A$961,'Mar20-Aug20 Billed-RETAIL'!$C16,'SBR Mar20 - Aug20'!$B$3:$B$961,'Mar20-Aug20 Billed-RETAIL'!$E16)</f>
        <v>5273.9</v>
      </c>
      <c r="BI16" s="28">
        <f>SUMIFS('SBR Mar20 - Aug20'!$Y$3:$Y$961,'SBR Mar20 - Aug20'!$A$3:$A$961,'Mar20-Aug20 Billed-RETAIL'!$C16,'SBR Mar20 - Aug20'!$B$3:$B$961,'Mar20-Aug20 Billed-RETAIL'!$E16)</f>
        <v>0</v>
      </c>
      <c r="BJ16" s="28">
        <f>SUMIFS('SBR Mar20 - Aug20'!$W$3:$W$961,'SBR Mar20 - Aug20'!$A$3:$A$961,'Mar20-Aug20 Billed-RETAIL'!$C16,'SBR Mar20 - Aug20'!$B$3:$B$961,'Mar20-Aug20 Billed-RETAIL'!$E16)</f>
        <v>64.39</v>
      </c>
      <c r="BK16" s="28">
        <f>SUMIFS('SBR Mar20 - Aug20'!$X$3:$X$961,'SBR Mar20 - Aug20'!$A$3:$A$961,'Mar20-Aug20 Billed-RETAIL'!$C16,'SBR Mar20 - Aug20'!$B$3:$B$961,'Mar20-Aug20 Billed-RETAIL'!$E16)</f>
        <v>63.28</v>
      </c>
      <c r="BL16" s="28">
        <f>SUMIFS('SBR Mar20 - Aug20'!$Z$3:$Z$961,'SBR Mar20 - Aug20'!$A$3:$A$961,'Mar20-Aug20 Billed-RETAIL'!$C16,'SBR Mar20 - Aug20'!$B$3:$B$961,'Mar20-Aug20 Billed-RETAIL'!$E16)</f>
        <v>0</v>
      </c>
      <c r="BM16" s="42">
        <f t="shared" si="14"/>
        <v>0</v>
      </c>
      <c r="BN16" s="42">
        <f t="shared" si="15"/>
        <v>8.3999999992556695E-4</v>
      </c>
    </row>
    <row r="17" spans="1:66" x14ac:dyDescent="0.25">
      <c r="A17" s="57"/>
      <c r="B17" s="46"/>
      <c r="C17" s="307">
        <f t="shared" si="16"/>
        <v>43891</v>
      </c>
      <c r="D17" s="408" t="str">
        <f t="shared" si="4"/>
        <v>870</v>
      </c>
      <c r="E17" s="405" t="str">
        <f>'Retail Rates'!$B$17</f>
        <v>LGCMG870</v>
      </c>
      <c r="F17" s="405"/>
      <c r="G17" s="405" t="str">
        <f>VLOOKUP(E17,'Retail Rates'!$B$7:$D$40,3,FALSE)</f>
        <v>Substitute Gas Sales Service-Commercial</v>
      </c>
      <c r="H17" s="20">
        <f>SUMIFS('Data-Retail'!$F$2:$F$244,'Data-Retail'!$A$2:$A$244,'Mar20-Aug20 Billed-RETAIL'!$C17,'Data-Retail'!$B$2:$B$244,'Mar20-Aug20 Billed-RETAIL'!$E17)+AF17</f>
        <v>1</v>
      </c>
      <c r="I17" s="20">
        <v>0</v>
      </c>
      <c r="J17" s="20">
        <v>0</v>
      </c>
      <c r="K17" s="20">
        <f>SUMIFS('Data-Retail'!$H$2:$H$244,'Data-Retail'!$A$2:$A$244,'Mar20-Aug20 Billed-RETAIL'!$C17,'Data-Retail'!$B$2:$B$244,'Mar20-Aug20 Billed-RETAIL'!$E17)</f>
        <v>0</v>
      </c>
      <c r="L17" s="20">
        <v>0</v>
      </c>
      <c r="M17" s="20">
        <f>(SUMIFS('Data-Retail'!$G$2:$G$244,'Data-Retail'!$A$2:$A$244,'Mar20-Aug20 Billed-RETAIL'!$C17,'Data-Retail'!$B$2:$B$244,'Mar20-Aug20 Billed-RETAIL'!$E17)+AJ17)/10</f>
        <v>19.100000000000001</v>
      </c>
      <c r="N17" s="20">
        <v>0</v>
      </c>
      <c r="O17" s="20">
        <f>(SUMIFS('Data-Retail'!$P$2:$P$244,'Data-Retail'!$A$2:$A$244,'Mar20-Aug20 Billed-RETAIL'!$C17,'Data-Retail'!$B$2:$B$244,'Mar20-Aug20 Billed-RETAIL'!$E17)/Y17)+(AN17)</f>
        <v>2418.1012195121953</v>
      </c>
      <c r="P17" s="20">
        <v>0</v>
      </c>
      <c r="Q17" s="20">
        <v>0</v>
      </c>
      <c r="R17" s="21">
        <f>VLOOKUP($E17,'Retail Rates'!$B$7:$P$40,4,FALSE)</f>
        <v>285</v>
      </c>
      <c r="S17" s="21">
        <f>VLOOKUP($E17,'Retail Rates'!$B$7:$P$40,5,FALSE)</f>
        <v>0</v>
      </c>
      <c r="T17" s="22">
        <f>VLOOKUP($E17,'Retail Rates'!$B$7:$P$40,8,FALSE)</f>
        <v>3.603E-2</v>
      </c>
      <c r="U17" s="22">
        <f>VLOOKUP($E17,'Retail Rates'!$B$7:$P$40,9,FALSE)</f>
        <v>0</v>
      </c>
      <c r="V17" s="22">
        <f>VLOOKUP($E17,'Retail Rates'!$B$7:$P$40,14,FALSE)</f>
        <v>0.65599999999999992</v>
      </c>
      <c r="W17" s="22">
        <f>VLOOKUP($E17,'Retail Rates'!$B$7:$P$40,10,FALSE)</f>
        <v>0.36030000000000001</v>
      </c>
      <c r="X17" s="22">
        <f>VLOOKUP($E17,'Retail Rates'!$B$7:$P$40,11,FALSE)</f>
        <v>0</v>
      </c>
      <c r="Y17" s="22">
        <f>VLOOKUP($E17,'Retail Rates'!$B$7:$P$40,15,FALSE)</f>
        <v>6.56</v>
      </c>
      <c r="Z17" s="22">
        <v>0</v>
      </c>
      <c r="AA17" s="411">
        <f t="shared" si="23"/>
        <v>285</v>
      </c>
      <c r="AB17" s="411">
        <f t="shared" si="21"/>
        <v>0</v>
      </c>
      <c r="AC17" s="411">
        <f>+M17*W17</f>
        <v>6.881730000000001</v>
      </c>
      <c r="AD17" s="411">
        <f t="shared" si="22"/>
        <v>0</v>
      </c>
      <c r="AE17" s="411">
        <f>O17*Y17</f>
        <v>15862.744000000001</v>
      </c>
      <c r="AF17" s="41">
        <v>-1</v>
      </c>
      <c r="AG17" s="41">
        <v>0</v>
      </c>
      <c r="AH17" s="33">
        <v>285</v>
      </c>
      <c r="AI17" s="33">
        <v>0</v>
      </c>
      <c r="AJ17" s="41">
        <v>-16997</v>
      </c>
      <c r="AK17" s="41">
        <v>0</v>
      </c>
      <c r="AL17" s="33">
        <v>612.4</v>
      </c>
      <c r="AM17" s="33">
        <v>0</v>
      </c>
      <c r="AN17" s="41">
        <v>-2418.1</v>
      </c>
      <c r="AO17" s="33">
        <v>15862.72</v>
      </c>
      <c r="AP17" s="411">
        <f t="shared" si="5"/>
        <v>570</v>
      </c>
      <c r="AQ17" s="411">
        <f t="shared" si="6"/>
        <v>0</v>
      </c>
      <c r="AR17" s="411">
        <f t="shared" si="7"/>
        <v>619.28172999999992</v>
      </c>
      <c r="AS17" s="411">
        <f t="shared" si="8"/>
        <v>0</v>
      </c>
      <c r="AT17" s="411">
        <f t="shared" si="2"/>
        <v>31725.464</v>
      </c>
      <c r="AU17" s="411">
        <f t="shared" si="3"/>
        <v>0</v>
      </c>
      <c r="AV17" s="28">
        <f t="shared" si="9"/>
        <v>3.09</v>
      </c>
      <c r="AW17" s="28">
        <f t="shared" si="10"/>
        <v>5844.09</v>
      </c>
      <c r="AX17" s="28">
        <f t="shared" si="11"/>
        <v>0</v>
      </c>
      <c r="AY17" s="28">
        <f t="shared" si="12"/>
        <v>10.24</v>
      </c>
      <c r="AZ17" s="28">
        <f t="shared" si="13"/>
        <v>117.05</v>
      </c>
      <c r="BA17" s="28">
        <f t="shared" si="19"/>
        <v>38889.22</v>
      </c>
      <c r="BB17" s="28">
        <f t="shared" si="20"/>
        <v>38889.230000000003</v>
      </c>
      <c r="BC17" s="29">
        <f t="shared" si="18"/>
        <v>1</v>
      </c>
      <c r="BD17" s="28">
        <f>SUMIFS('SBR Mar20 - Aug20'!$F$3:$F$961,'SBR Mar20 - Aug20'!$A$3:$A$961,'Mar20-Aug20 Billed-RETAIL'!$C17,'SBR Mar20 - Aug20'!$B$3:$B$961,'Mar20-Aug20 Billed-RETAIL'!$E17)</f>
        <v>570</v>
      </c>
      <c r="BE17" s="28">
        <f>SUMIFS('SBR Mar20 - Aug20'!$H$3:$H$961,'SBR Mar20 - Aug20'!$A$3:$A$961,'Mar20-Aug20 Billed-RETAIL'!$C17,'SBR Mar20 - Aug20'!$B$3:$B$961,'Mar20-Aug20 Billed-RETAIL'!$E17)</f>
        <v>619.28</v>
      </c>
      <c r="BF17" s="28">
        <f>SUMIFS('SBR Mar20 - Aug20'!$G$3:$G$961,'SBR Mar20 - Aug20'!$A$3:$A$961,'Mar20-Aug20 Billed-RETAIL'!$C17,'SBR Mar20 - Aug20'!$B$3:$B$961,'Mar20-Aug20 Billed-RETAIL'!$E17)</f>
        <v>31725.48</v>
      </c>
      <c r="BG17" s="28">
        <f>SUMIFS('SBR Mar20 - Aug20'!$M$3:$M$961,'SBR Mar20 - Aug20'!$A$3:$A$961,'Mar20-Aug20 Billed-RETAIL'!$C17,'SBR Mar20 - Aug20'!$B$3:$B$961,'Mar20-Aug20 Billed-RETAIL'!$E17)</f>
        <v>3.09</v>
      </c>
      <c r="BH17" s="28">
        <f>SUMIFS('SBR Mar20 - Aug20'!$N$3:$N$961,'SBR Mar20 - Aug20'!$A$3:$A$961,'Mar20-Aug20 Billed-RETAIL'!$C17,'SBR Mar20 - Aug20'!$B$3:$B$961,'Mar20-Aug20 Billed-RETAIL'!$E17)</f>
        <v>5844.09</v>
      </c>
      <c r="BI17" s="28">
        <f>SUMIFS('SBR Mar20 - Aug20'!$Y$3:$Y$961,'SBR Mar20 - Aug20'!$A$3:$A$961,'Mar20-Aug20 Billed-RETAIL'!$C17,'SBR Mar20 - Aug20'!$B$3:$B$961,'Mar20-Aug20 Billed-RETAIL'!$E17)</f>
        <v>0</v>
      </c>
      <c r="BJ17" s="28">
        <f>SUMIFS('SBR Mar20 - Aug20'!$W$3:$W$961,'SBR Mar20 - Aug20'!$A$3:$A$961,'Mar20-Aug20 Billed-RETAIL'!$C17,'SBR Mar20 - Aug20'!$B$3:$B$961,'Mar20-Aug20 Billed-RETAIL'!$E17)</f>
        <v>10.24</v>
      </c>
      <c r="BK17" s="28">
        <f>SUMIFS('SBR Mar20 - Aug20'!$X$3:$X$961,'SBR Mar20 - Aug20'!$A$3:$A$961,'Mar20-Aug20 Billed-RETAIL'!$C17,'SBR Mar20 - Aug20'!$B$3:$B$961,'Mar20-Aug20 Billed-RETAIL'!$E17)</f>
        <v>117.05</v>
      </c>
      <c r="BL17" s="28">
        <f>SUMIFS('SBR Mar20 - Aug20'!$Z$3:$Z$961,'SBR Mar20 - Aug20'!$A$3:$A$961,'Mar20-Aug20 Billed-RETAIL'!$C17,'SBR Mar20 - Aug20'!$B$3:$B$961,'Mar20-Aug20 Billed-RETAIL'!$E17)</f>
        <v>0</v>
      </c>
      <c r="BM17" s="42">
        <f t="shared" si="14"/>
        <v>0</v>
      </c>
      <c r="BN17" s="42">
        <f t="shared" si="15"/>
        <v>1.7299999999522697E-3</v>
      </c>
    </row>
    <row r="18" spans="1:66" ht="15" customHeight="1" x14ac:dyDescent="0.25">
      <c r="A18" s="57"/>
      <c r="B18" s="46"/>
      <c r="C18" s="307">
        <f t="shared" si="16"/>
        <v>43891</v>
      </c>
      <c r="D18" s="408" t="str">
        <f t="shared" si="4"/>
        <v>871</v>
      </c>
      <c r="E18" s="405" t="str">
        <f>'Retail Rates'!$B$18</f>
        <v>LGING871DO</v>
      </c>
      <c r="F18" s="405"/>
      <c r="G18" s="405" t="str">
        <f>VLOOKUP(E18,'Retail Rates'!$B$7:$D$40,3,FALSE)</f>
        <v>Substitute Gas Sales Service-Industrial Opt Out</v>
      </c>
      <c r="H18" s="20">
        <f>SUMIFS('Data-Retail'!$F$2:$F$244,'Data-Retail'!$A$2:$A$244,'Mar20-Aug20 Billed-RETAIL'!$C18,'Data-Retail'!$B$2:$B$244,'Mar20-Aug20 Billed-RETAIL'!$E18)</f>
        <v>0</v>
      </c>
      <c r="I18" s="20">
        <v>0</v>
      </c>
      <c r="J18" s="20">
        <f>SUMIFS('Data-Retail'!$G$2:$G$244,'Data-Retail'!$A$2:$A$244,'Mar20-Aug20 Billed-RETAIL'!$C18,'Data-Retail'!$B$2:$B$244,'Mar20-Aug20 Billed-RETAIL'!$E18)</f>
        <v>0</v>
      </c>
      <c r="K18" s="20">
        <f>SUMIFS('Data-Retail'!$H$2:$H$244,'Data-Retail'!$A$2:$A$244,'Mar20-Aug20 Billed-RETAIL'!$C18,'Data-Retail'!$B$2:$B$244,'Mar20-Aug20 Billed-RETAIL'!$E18)</f>
        <v>0</v>
      </c>
      <c r="L18" s="20">
        <f>SUMIFS('Data-Retail'!$P$2:$P$244,'Data-Retail'!$A$2:$A$244,'Mar20-Aug20 Billed-RETAIL'!$C18,'Data-Retail'!$B$2:$B$244,'Mar20-Aug20 Billed-RETAIL'!$E18)</f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1">
        <f>VLOOKUP($E18,'Retail Rates'!$B$7:$P$40,4,FALSE)</f>
        <v>750</v>
      </c>
      <c r="S18" s="21">
        <f>VLOOKUP($E18,'Retail Rates'!$B$7:$P$40,5,FALSE)</f>
        <v>0</v>
      </c>
      <c r="T18" s="22">
        <f>VLOOKUP($E18,'Retail Rates'!$B$7:$P$40,8,FALSE)</f>
        <v>2.9919999999999995E-2</v>
      </c>
      <c r="U18" s="22">
        <f>VLOOKUP($E18,'Retail Rates'!$B$7:$P$40,9,FALSE)</f>
        <v>0</v>
      </c>
      <c r="V18" s="22">
        <f>VLOOKUP($E18,'Retail Rates'!$B$7:$P$40,14,FALSE)</f>
        <v>1.0900000000000001</v>
      </c>
      <c r="W18" s="22">
        <f>VLOOKUP($E18,'Retail Rates'!$B$7:$P$40,10,FALSE)</f>
        <v>0.29919999999999997</v>
      </c>
      <c r="X18" s="22">
        <f>VLOOKUP($E18,'Retail Rates'!$B$7:$P$40,11,FALSE)</f>
        <v>0</v>
      </c>
      <c r="Y18" s="22">
        <f>VLOOKUP($E18,'Retail Rates'!$B$7:$P$40,15,FALSE)</f>
        <v>10.9</v>
      </c>
      <c r="Z18" s="22">
        <v>0</v>
      </c>
      <c r="AA18" s="411">
        <f t="shared" si="23"/>
        <v>0</v>
      </c>
      <c r="AB18" s="411">
        <f t="shared" si="21"/>
        <v>0</v>
      </c>
      <c r="AC18" s="411">
        <f>+J18*T18</f>
        <v>0</v>
      </c>
      <c r="AD18" s="411">
        <f t="shared" si="22"/>
        <v>0</v>
      </c>
      <c r="AE18" s="411">
        <f>L18*V18</f>
        <v>0</v>
      </c>
      <c r="AF18" s="41">
        <v>0</v>
      </c>
      <c r="AG18" s="41">
        <v>0</v>
      </c>
      <c r="AH18" s="33">
        <v>0</v>
      </c>
      <c r="AI18" s="33">
        <v>0</v>
      </c>
      <c r="AJ18" s="41">
        <v>0</v>
      </c>
      <c r="AK18" s="41">
        <v>0</v>
      </c>
      <c r="AL18" s="33"/>
      <c r="AM18" s="33">
        <v>0</v>
      </c>
      <c r="AN18" s="41">
        <v>0</v>
      </c>
      <c r="AO18" s="33">
        <v>0</v>
      </c>
      <c r="AP18" s="411">
        <f t="shared" si="5"/>
        <v>0</v>
      </c>
      <c r="AQ18" s="411">
        <f t="shared" si="6"/>
        <v>0</v>
      </c>
      <c r="AR18" s="411">
        <f t="shared" si="7"/>
        <v>0</v>
      </c>
      <c r="AS18" s="411">
        <f t="shared" si="8"/>
        <v>0</v>
      </c>
      <c r="AT18" s="411">
        <f t="shared" si="2"/>
        <v>0</v>
      </c>
      <c r="AU18" s="411">
        <f t="shared" si="3"/>
        <v>0</v>
      </c>
      <c r="AV18" s="28">
        <f t="shared" si="9"/>
        <v>0</v>
      </c>
      <c r="AW18" s="28">
        <f t="shared" si="10"/>
        <v>0</v>
      </c>
      <c r="AX18" s="28">
        <f t="shared" si="11"/>
        <v>0</v>
      </c>
      <c r="AY18" s="28">
        <f t="shared" si="12"/>
        <v>0</v>
      </c>
      <c r="AZ18" s="28">
        <f t="shared" si="13"/>
        <v>0</v>
      </c>
      <c r="BA18" s="28">
        <f t="shared" si="19"/>
        <v>0</v>
      </c>
      <c r="BB18" s="28">
        <f t="shared" si="20"/>
        <v>0</v>
      </c>
      <c r="BC18" s="29">
        <f t="shared" si="18"/>
        <v>0</v>
      </c>
      <c r="BD18" s="28">
        <f>SUMIFS('SBR Mar20 - Aug20'!$F$3:$F$961,'SBR Mar20 - Aug20'!$A$3:$A$961,'Mar20-Aug20 Billed-RETAIL'!$C18,'SBR Mar20 - Aug20'!$B$3:$B$961,'Mar20-Aug20 Billed-RETAIL'!$E18)</f>
        <v>0</v>
      </c>
      <c r="BE18" s="28">
        <f>SUMIFS('SBR Mar20 - Aug20'!$H$3:$H$961,'SBR Mar20 - Aug20'!$A$3:$A$961,'Mar20-Aug20 Billed-RETAIL'!$C18,'SBR Mar20 - Aug20'!$B$3:$B$961,'Mar20-Aug20 Billed-RETAIL'!$E18)</f>
        <v>0</v>
      </c>
      <c r="BF18" s="28">
        <f>SUMIFS('SBR Mar20 - Aug20'!$G$3:$G$961,'SBR Mar20 - Aug20'!$A$3:$A$961,'Mar20-Aug20 Billed-RETAIL'!$C18,'SBR Mar20 - Aug20'!$B$3:$B$961,'Mar20-Aug20 Billed-RETAIL'!$E18)</f>
        <v>0</v>
      </c>
      <c r="BG18" s="28">
        <f>SUMIFS('SBR Mar20 - Aug20'!$M$3:$M$961,'SBR Mar20 - Aug20'!$A$3:$A$961,'Mar20-Aug20 Billed-RETAIL'!$C18,'SBR Mar20 - Aug20'!$B$3:$B$961,'Mar20-Aug20 Billed-RETAIL'!$E18)</f>
        <v>0</v>
      </c>
      <c r="BH18" s="28">
        <f>SUMIFS('SBR Mar20 - Aug20'!$N$3:$N$961,'SBR Mar20 - Aug20'!$A$3:$A$961,'Mar20-Aug20 Billed-RETAIL'!$C18,'SBR Mar20 - Aug20'!$B$3:$B$961,'Mar20-Aug20 Billed-RETAIL'!$E18)</f>
        <v>0</v>
      </c>
      <c r="BI18" s="28">
        <f>SUMIFS('SBR Mar20 - Aug20'!$Y$3:$Y$961,'SBR Mar20 - Aug20'!$A$3:$A$961,'Mar20-Aug20 Billed-RETAIL'!$C18,'SBR Mar20 - Aug20'!$B$3:$B$961,'Mar20-Aug20 Billed-RETAIL'!$E18)</f>
        <v>0</v>
      </c>
      <c r="BJ18" s="28">
        <f>SUMIFS('SBR Mar20 - Aug20'!$W$3:$W$961,'SBR Mar20 - Aug20'!$A$3:$A$961,'Mar20-Aug20 Billed-RETAIL'!$C18,'SBR Mar20 - Aug20'!$B$3:$B$961,'Mar20-Aug20 Billed-RETAIL'!$E18)</f>
        <v>0</v>
      </c>
      <c r="BK18" s="28">
        <f>SUMIFS('SBR Mar20 - Aug20'!$X$3:$X$961,'SBR Mar20 - Aug20'!$A$3:$A$961,'Mar20-Aug20 Billed-RETAIL'!$C18,'SBR Mar20 - Aug20'!$B$3:$B$961,'Mar20-Aug20 Billed-RETAIL'!$E18)</f>
        <v>0</v>
      </c>
      <c r="BL18" s="28">
        <f>SUMIFS('SBR Mar20 - Aug20'!$Z$3:$Z$961,'SBR Mar20 - Aug20'!$A$3:$A$961,'Mar20-Aug20 Billed-RETAIL'!$C18,'SBR Mar20 - Aug20'!$B$3:$B$961,'Mar20-Aug20 Billed-RETAIL'!$E18)</f>
        <v>0</v>
      </c>
      <c r="BM18" s="42">
        <f t="shared" si="14"/>
        <v>0</v>
      </c>
      <c r="BN18" s="42">
        <f t="shared" si="15"/>
        <v>0</v>
      </c>
    </row>
    <row r="19" spans="1:66" ht="13.5" customHeight="1" x14ac:dyDescent="0.25">
      <c r="A19" s="57"/>
      <c r="B19" s="46"/>
      <c r="C19" s="307">
        <f t="shared" si="16"/>
        <v>43891</v>
      </c>
      <c r="D19" s="408" t="str">
        <f t="shared" si="4"/>
        <v>871</v>
      </c>
      <c r="E19" s="405" t="str">
        <f>'Retail Rates'!$B$19</f>
        <v>LGING871DS</v>
      </c>
      <c r="F19" s="405"/>
      <c r="G19" s="405" t="str">
        <f>VLOOKUP(E19,'Retail Rates'!$B$7:$D$40,3,FALSE)</f>
        <v>Substitute Gas Sales Service-Industrial Opt In</v>
      </c>
      <c r="H19" s="20">
        <f>SUMIFS('Data-Retail'!$F$2:$F$244,'Data-Retail'!$A$2:$A$244,'Mar20-Aug20 Billed-RETAIL'!$C19,'Data-Retail'!$B$2:$B$244,'Mar20-Aug20 Billed-RETAIL'!$E19)</f>
        <v>0</v>
      </c>
      <c r="I19" s="20">
        <v>0</v>
      </c>
      <c r="J19" s="20">
        <f>SUMIFS('Data-Retail'!$G$2:$G$244,'Data-Retail'!$A$2:$A$244,'Mar20-Aug20 Billed-RETAIL'!$C19,'Data-Retail'!$B$2:$B$244,'Mar20-Aug20 Billed-RETAIL'!$E19)</f>
        <v>0</v>
      </c>
      <c r="K19" s="20">
        <f>SUMIFS('Data-Retail'!$H$2:$H$244,'Data-Retail'!$A$2:$A$244,'Mar20-Aug20 Billed-RETAIL'!$C19,'Data-Retail'!$B$2:$B$244,'Mar20-Aug20 Billed-RETAIL'!$E19)</f>
        <v>0</v>
      </c>
      <c r="L19" s="20">
        <f>SUMIFS('Data-Retail'!$P$2:$P$244,'Data-Retail'!$A$2:$A$244,'Mar20-Aug20 Billed-RETAIL'!$C19,'Data-Retail'!$B$2:$B$244,'Mar20-Aug20 Billed-RETAIL'!$E19)</f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1">
        <f>VLOOKUP($E19,'Retail Rates'!$B$7:$P$40,4,FALSE)</f>
        <v>750</v>
      </c>
      <c r="S19" s="21">
        <f>VLOOKUP($E19,'Retail Rates'!$B$7:$P$40,5,FALSE)</f>
        <v>0</v>
      </c>
      <c r="T19" s="22">
        <f>VLOOKUP($E19,'Retail Rates'!$B$7:$P$40,8,FALSE)</f>
        <v>2.9919999999999995E-2</v>
      </c>
      <c r="U19" s="22">
        <f>VLOOKUP($E19,'Retail Rates'!$B$7:$P$40,9,FALSE)</f>
        <v>0</v>
      </c>
      <c r="V19" s="22">
        <f>VLOOKUP($E19,'Retail Rates'!$B$7:$P$40,14,FALSE)</f>
        <v>1.0900000000000001</v>
      </c>
      <c r="W19" s="22">
        <f>VLOOKUP($E19,'Retail Rates'!$B$7:$P$40,10,FALSE)</f>
        <v>0.29919999999999997</v>
      </c>
      <c r="X19" s="22">
        <f>VLOOKUP($E19,'Retail Rates'!$B$7:$P$40,11,FALSE)</f>
        <v>0</v>
      </c>
      <c r="Y19" s="22">
        <f>VLOOKUP($E19,'Retail Rates'!$B$7:$P$40,15,FALSE)</f>
        <v>10.9</v>
      </c>
      <c r="Z19" s="22">
        <v>0</v>
      </c>
      <c r="AA19" s="411">
        <f t="shared" si="23"/>
        <v>0</v>
      </c>
      <c r="AB19" s="411">
        <f t="shared" si="21"/>
        <v>0</v>
      </c>
      <c r="AC19" s="411">
        <f>+J19*T19</f>
        <v>0</v>
      </c>
      <c r="AD19" s="411">
        <f t="shared" si="22"/>
        <v>0</v>
      </c>
      <c r="AE19" s="411">
        <f>L19*V19</f>
        <v>0</v>
      </c>
      <c r="AF19" s="41">
        <v>0</v>
      </c>
      <c r="AG19" s="41">
        <v>0</v>
      </c>
      <c r="AH19" s="33">
        <v>0</v>
      </c>
      <c r="AI19" s="33">
        <v>0</v>
      </c>
      <c r="AJ19" s="41">
        <v>0</v>
      </c>
      <c r="AK19" s="41">
        <v>0</v>
      </c>
      <c r="AL19" s="33"/>
      <c r="AM19" s="33">
        <v>0</v>
      </c>
      <c r="AN19" s="41">
        <v>0</v>
      </c>
      <c r="AO19" s="33">
        <v>0</v>
      </c>
      <c r="AP19" s="411">
        <f t="shared" si="5"/>
        <v>0</v>
      </c>
      <c r="AQ19" s="411">
        <f t="shared" si="6"/>
        <v>0</v>
      </c>
      <c r="AR19" s="411">
        <f t="shared" si="7"/>
        <v>0</v>
      </c>
      <c r="AS19" s="411">
        <f t="shared" si="8"/>
        <v>0</v>
      </c>
      <c r="AT19" s="411">
        <f t="shared" si="2"/>
        <v>0</v>
      </c>
      <c r="AU19" s="411">
        <f t="shared" si="3"/>
        <v>0</v>
      </c>
      <c r="AV19" s="28">
        <f t="shared" si="9"/>
        <v>0</v>
      </c>
      <c r="AW19" s="28">
        <f t="shared" si="10"/>
        <v>0</v>
      </c>
      <c r="AX19" s="28">
        <f t="shared" si="11"/>
        <v>0</v>
      </c>
      <c r="AY19" s="28">
        <f t="shared" si="12"/>
        <v>0</v>
      </c>
      <c r="AZ19" s="28">
        <f t="shared" si="13"/>
        <v>0</v>
      </c>
      <c r="BA19" s="28">
        <f t="shared" si="19"/>
        <v>0</v>
      </c>
      <c r="BB19" s="28">
        <f t="shared" si="20"/>
        <v>0</v>
      </c>
      <c r="BC19" s="29">
        <f t="shared" si="18"/>
        <v>0</v>
      </c>
      <c r="BD19" s="28">
        <f>SUMIFS('SBR Mar20 - Aug20'!$F$3:$F$961,'SBR Mar20 - Aug20'!$A$3:$A$961,'Mar20-Aug20 Billed-RETAIL'!$C19,'SBR Mar20 - Aug20'!$B$3:$B$961,'Mar20-Aug20 Billed-RETAIL'!$E19)</f>
        <v>0</v>
      </c>
      <c r="BE19" s="28">
        <f>SUMIFS('SBR Mar20 - Aug20'!$H$3:$H$961,'SBR Mar20 - Aug20'!$A$3:$A$961,'Mar20-Aug20 Billed-RETAIL'!$C19,'SBR Mar20 - Aug20'!$B$3:$B$961,'Mar20-Aug20 Billed-RETAIL'!$E19)</f>
        <v>0</v>
      </c>
      <c r="BF19" s="28">
        <f>SUMIFS('SBR Mar20 - Aug20'!$G$3:$G$961,'SBR Mar20 - Aug20'!$A$3:$A$961,'Mar20-Aug20 Billed-RETAIL'!$C19,'SBR Mar20 - Aug20'!$B$3:$B$961,'Mar20-Aug20 Billed-RETAIL'!$E19)</f>
        <v>0</v>
      </c>
      <c r="BG19" s="28">
        <f>SUMIFS('SBR Mar20 - Aug20'!$M$3:$M$961,'SBR Mar20 - Aug20'!$A$3:$A$961,'Mar20-Aug20 Billed-RETAIL'!$C19,'SBR Mar20 - Aug20'!$B$3:$B$961,'Mar20-Aug20 Billed-RETAIL'!$E19)</f>
        <v>0</v>
      </c>
      <c r="BH19" s="28">
        <f>SUMIFS('SBR Mar20 - Aug20'!$N$3:$N$961,'SBR Mar20 - Aug20'!$A$3:$A$961,'Mar20-Aug20 Billed-RETAIL'!$C19,'SBR Mar20 - Aug20'!$B$3:$B$961,'Mar20-Aug20 Billed-RETAIL'!$E19)</f>
        <v>0</v>
      </c>
      <c r="BI19" s="28">
        <f>SUMIFS('SBR Mar20 - Aug20'!$Y$3:$Y$961,'SBR Mar20 - Aug20'!$A$3:$A$961,'Mar20-Aug20 Billed-RETAIL'!$C19,'SBR Mar20 - Aug20'!$B$3:$B$961,'Mar20-Aug20 Billed-RETAIL'!$E19)</f>
        <v>0</v>
      </c>
      <c r="BJ19" s="28">
        <f>SUMIFS('SBR Mar20 - Aug20'!$W$3:$W$961,'SBR Mar20 - Aug20'!$A$3:$A$961,'Mar20-Aug20 Billed-RETAIL'!$C19,'SBR Mar20 - Aug20'!$B$3:$B$961,'Mar20-Aug20 Billed-RETAIL'!$E19)</f>
        <v>0</v>
      </c>
      <c r="BK19" s="28">
        <f>SUMIFS('SBR Mar20 - Aug20'!$X$3:$X$961,'SBR Mar20 - Aug20'!$A$3:$A$961,'Mar20-Aug20 Billed-RETAIL'!$C19,'SBR Mar20 - Aug20'!$B$3:$B$961,'Mar20-Aug20 Billed-RETAIL'!$E19)</f>
        <v>0</v>
      </c>
      <c r="BL19" s="28">
        <f>SUMIFS('SBR Mar20 - Aug20'!$Z$3:$Z$961,'SBR Mar20 - Aug20'!$A$3:$A$961,'Mar20-Aug20 Billed-RETAIL'!$C19,'SBR Mar20 - Aug20'!$B$3:$B$961,'Mar20-Aug20 Billed-RETAIL'!$E19)</f>
        <v>0</v>
      </c>
      <c r="BM19" s="42">
        <f t="shared" si="14"/>
        <v>0</v>
      </c>
      <c r="BN19" s="42">
        <f t="shared" si="15"/>
        <v>0</v>
      </c>
    </row>
    <row r="20" spans="1:66" x14ac:dyDescent="0.25">
      <c r="A20" s="57"/>
      <c r="B20" s="46"/>
      <c r="C20" s="307">
        <f t="shared" si="16"/>
        <v>43891</v>
      </c>
      <c r="D20" s="408" t="str">
        <f t="shared" si="4"/>
        <v>875</v>
      </c>
      <c r="E20" s="405" t="str">
        <f>'Retail Rates'!$B$21</f>
        <v>LGCMG875</v>
      </c>
      <c r="F20" s="405"/>
      <c r="G20" s="405" t="str">
        <f>VLOOKUP(E20,'Retail Rates'!$B$7:$D$40,3,FALSE)</f>
        <v>Distributed Generation Gas Service, Commercial</v>
      </c>
      <c r="H20" s="20">
        <f>SUMIFS('Data-Retail'!$F$2:$F$244,'Data-Retail'!$A$2:$A$244,'Mar20-Aug20 Billed-RETAIL'!$C20,'Data-Retail'!$B$2:$B$244,'Mar20-Aug20 Billed-RETAIL'!$E20)</f>
        <v>2</v>
      </c>
      <c r="I20" s="20">
        <v>0</v>
      </c>
      <c r="J20" s="20">
        <f>SUMIFS('Data-Retail'!$G$2:$G$244,'Data-Retail'!$A$2:$A$244,'Mar20-Aug20 Billed-RETAIL'!$C20,'Data-Retail'!$B$2:$B$244,'Mar20-Aug20 Billed-RETAIL'!$E20)</f>
        <v>6</v>
      </c>
      <c r="K20" s="20">
        <f>SUMIFS('Data-Retail'!$H$2:$H$244,'Data-Retail'!$A$2:$A$244,'Mar20-Aug20 Billed-RETAIL'!$C20,'Data-Retail'!$B$2:$B$244,'Mar20-Aug20 Billed-RETAIL'!$E20)</f>
        <v>0</v>
      </c>
      <c r="L20" s="20">
        <f>SUMIFS('Data-Retail'!$P$2:$P$244,'Data-Retail'!$A$2:$A$244,'Mar20-Aug20 Billed-RETAIL'!$C20,'Data-Retail'!$B$2:$B$244,'Mar20-Aug20 Billed-RETAIL'!$E20)/V20</f>
        <v>1100.0385398887852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1">
        <f>VLOOKUP($E20,'Retail Rates'!$B$7:$P$40,4,FALSE)</f>
        <v>165</v>
      </c>
      <c r="S20" s="21">
        <f>VLOOKUP($E20,'Retail Rates'!$B$7:$P$40,5,FALSE)</f>
        <v>750</v>
      </c>
      <c r="T20" s="22">
        <f>VLOOKUP($E20,'Retail Rates'!$B$7:$P$40,8,FALSE)</f>
        <v>2.9919999999999999E-2</v>
      </c>
      <c r="U20" s="22">
        <f>VLOOKUP($E20,'Retail Rates'!$B$7:$P$40,9,FALSE)</f>
        <v>0</v>
      </c>
      <c r="V20" s="22">
        <f>VLOOKUP($E20,'Retail Rates'!$B$7:$P$40,14,FALSE)</f>
        <v>1.08978</v>
      </c>
      <c r="W20" s="22">
        <f>VLOOKUP($E20,'Retail Rates'!$B$7:$P$40,10,FALSE)</f>
        <v>0.29919999999999997</v>
      </c>
      <c r="X20" s="22">
        <f>VLOOKUP($E20,'Retail Rates'!$B$7:$P$40,11,FALSE)</f>
        <v>0</v>
      </c>
      <c r="Y20" s="22">
        <f>VLOOKUP($E20,'Retail Rates'!$B$7:$P$40,15,FALSE)</f>
        <v>10.8978</v>
      </c>
      <c r="Z20" s="22">
        <v>0</v>
      </c>
      <c r="AA20" s="411">
        <f t="shared" si="23"/>
        <v>330</v>
      </c>
      <c r="AB20" s="411">
        <f t="shared" si="21"/>
        <v>0</v>
      </c>
      <c r="AC20" s="840">
        <f>+J20*T20</f>
        <v>0.17951999999999999</v>
      </c>
      <c r="AD20" s="411">
        <f t="shared" si="22"/>
        <v>0</v>
      </c>
      <c r="AE20" s="411">
        <f>L20*V20</f>
        <v>1198.8000000000002</v>
      </c>
      <c r="AF20" s="41">
        <v>0</v>
      </c>
      <c r="AG20" s="41">
        <v>0</v>
      </c>
      <c r="AH20" s="33">
        <v>0</v>
      </c>
      <c r="AI20" s="33">
        <v>0</v>
      </c>
      <c r="AJ20" s="41">
        <v>0</v>
      </c>
      <c r="AK20" s="41">
        <v>0</v>
      </c>
      <c r="AL20" s="33"/>
      <c r="AM20" s="33">
        <v>0</v>
      </c>
      <c r="AN20" s="41">
        <v>0</v>
      </c>
      <c r="AO20" s="33">
        <v>0</v>
      </c>
      <c r="AP20" s="411">
        <f>AA20+AH20</f>
        <v>330</v>
      </c>
      <c r="AQ20" s="411">
        <f>AB20+AI20</f>
        <v>0</v>
      </c>
      <c r="AR20" s="840">
        <f t="shared" si="7"/>
        <v>0.17951999999999999</v>
      </c>
      <c r="AS20" s="411">
        <f t="shared" si="8"/>
        <v>0</v>
      </c>
      <c r="AT20" s="411">
        <f t="shared" si="2"/>
        <v>1198.8000000000002</v>
      </c>
      <c r="AU20" s="411">
        <f t="shared" si="3"/>
        <v>0</v>
      </c>
      <c r="AV20" s="28">
        <f t="shared" si="9"/>
        <v>0</v>
      </c>
      <c r="AW20" s="28">
        <f t="shared" si="10"/>
        <v>2.04</v>
      </c>
      <c r="AX20" s="28">
        <f t="shared" si="11"/>
        <v>0</v>
      </c>
      <c r="AY20" s="28">
        <f t="shared" si="12"/>
        <v>128.78</v>
      </c>
      <c r="AZ20" s="28">
        <f t="shared" si="13"/>
        <v>0.02</v>
      </c>
      <c r="BA20" s="28">
        <f>ROUND(SUM(AP20:AZ20),2)</f>
        <v>1659.82</v>
      </c>
      <c r="BB20" s="28">
        <f>SUM(BD20:BK20)</f>
        <v>1659.82</v>
      </c>
      <c r="BC20" s="29">
        <f>IF(BB20=0,0,ROUND(BB20/BA20,6))</f>
        <v>1</v>
      </c>
      <c r="BD20" s="28">
        <f>SUMIFS('SBR Mar20 - Aug20'!$F$3:$F$961,'SBR Mar20 - Aug20'!$A$3:$A$961,'Mar20-Aug20 Billed-RETAIL'!$C20,'SBR Mar20 - Aug20'!$B$3:$B$961,'Mar20-Aug20 Billed-RETAIL'!$E20)</f>
        <v>330</v>
      </c>
      <c r="BE20" s="28">
        <f>SUMIFS('SBR Mar20 - Aug20'!$H$3:$H$961,'SBR Mar20 - Aug20'!$A$3:$A$961,'Mar20-Aug20 Billed-RETAIL'!$C20,'SBR Mar20 - Aug20'!$B$3:$B$961,'Mar20-Aug20 Billed-RETAIL'!$E20)</f>
        <v>0.18</v>
      </c>
      <c r="BF20" s="28">
        <f>SUMIFS('SBR Mar20 - Aug20'!$G$3:$G$961,'SBR Mar20 - Aug20'!$A$3:$A$961,'Mar20-Aug20 Billed-RETAIL'!$C20,'SBR Mar20 - Aug20'!$B$3:$B$961,'Mar20-Aug20 Billed-RETAIL'!$E20)</f>
        <v>1198.8</v>
      </c>
      <c r="BG20" s="28">
        <f>SUMIFS('SBR Mar20 - Aug20'!$M$3:$M$961,'SBR Mar20 - Aug20'!$A$3:$A$961,'Mar20-Aug20 Billed-RETAIL'!$C20,'SBR Mar20 - Aug20'!$B$3:$B$961,'Mar20-Aug20 Billed-RETAIL'!$E20)</f>
        <v>0</v>
      </c>
      <c r="BH20" s="28">
        <f>SUMIFS('SBR Mar20 - Aug20'!$N$3:$N$961,'SBR Mar20 - Aug20'!$A$3:$A$961,'Mar20-Aug20 Billed-RETAIL'!$C20,'SBR Mar20 - Aug20'!$B$3:$B$961,'Mar20-Aug20 Billed-RETAIL'!$E20)</f>
        <v>2.04</v>
      </c>
      <c r="BI20" s="28">
        <f>SUMIFS('SBR Mar20 - Aug20'!$Y$3:$Y$961,'SBR Mar20 - Aug20'!$A$3:$A$961,'Mar20-Aug20 Billed-RETAIL'!$C20,'SBR Mar20 - Aug20'!$B$3:$B$961,'Mar20-Aug20 Billed-RETAIL'!$E20)</f>
        <v>0</v>
      </c>
      <c r="BJ20" s="28">
        <f>SUMIFS('SBR Mar20 - Aug20'!$W$3:$W$961,'SBR Mar20 - Aug20'!$A$3:$A$961,'Mar20-Aug20 Billed-RETAIL'!$C20,'SBR Mar20 - Aug20'!$B$3:$B$961,'Mar20-Aug20 Billed-RETAIL'!$E20)</f>
        <v>128.78</v>
      </c>
      <c r="BK20" s="28">
        <f>SUMIFS('SBR Mar20 - Aug20'!$X$3:$X$961,'SBR Mar20 - Aug20'!$A$3:$A$961,'Mar20-Aug20 Billed-RETAIL'!$C20,'SBR Mar20 - Aug20'!$B$3:$B$961,'Mar20-Aug20 Billed-RETAIL'!$E20)</f>
        <v>0.02</v>
      </c>
      <c r="BL20" s="28">
        <f>SUMIFS('SBR Mar20 - Aug20'!$Z$3:$Z$961,'SBR Mar20 - Aug20'!$A$3:$A$961,'Mar20-Aug20 Billed-RETAIL'!$C20,'SBR Mar20 - Aug20'!$B$3:$B$961,'Mar20-Aug20 Billed-RETAIL'!$E20)</f>
        <v>0</v>
      </c>
      <c r="BM20" s="42">
        <f t="shared" si="14"/>
        <v>0</v>
      </c>
      <c r="BN20" s="42">
        <f t="shared" si="15"/>
        <v>-4.800000000000082E-4</v>
      </c>
    </row>
    <row r="21" spans="1:66" x14ac:dyDescent="0.25">
      <c r="A21" s="57"/>
      <c r="B21" s="46"/>
      <c r="C21" s="307">
        <f t="shared" si="16"/>
        <v>43891</v>
      </c>
      <c r="D21" s="408">
        <v>996</v>
      </c>
      <c r="E21" s="405" t="s">
        <v>32</v>
      </c>
      <c r="F21" s="405"/>
      <c r="G21" s="405" t="s">
        <v>624</v>
      </c>
      <c r="H21" s="20">
        <f>SUMIFS('Data-Retail'!$F$2:$F$244,'Data-Retail'!$A$2:$A$244,'Mar20-Aug20 Billed-RETAIL'!$C21,'Data-Retail'!$B$2:$B$244,'Mar20-Aug20 Billed-RETAIL'!$E21)</f>
        <v>1</v>
      </c>
      <c r="I21" s="20">
        <v>0</v>
      </c>
      <c r="J21" s="20">
        <f>SUMIFS('Data-Retail'!$G$2:$G$244,'Data-Retail'!$A$2:$A$244,'Mar20-Aug20 Billed-RETAIL'!$C21,'Data-Retail'!$B$2:$B$244,'Mar20-Aug20 Billed-RETAIL'!$E21)</f>
        <v>240302</v>
      </c>
      <c r="K21" s="20">
        <v>0</v>
      </c>
      <c r="L21" s="20">
        <v>165600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1">
        <f>VLOOKUP($E21,'Retail Rates'!$B$7:$P$40,4,FALSE)</f>
        <v>750</v>
      </c>
      <c r="S21" s="21">
        <f>VLOOKUP($E21,'Retail Rates'!$B$7:$P$40,5,FALSE)</f>
        <v>0</v>
      </c>
      <c r="T21" s="22">
        <f>VLOOKUP($E21,'Retail Rates'!$B$7:$P$40,8,FALSE)</f>
        <v>2.9920000000000002E-2</v>
      </c>
      <c r="U21" s="22">
        <f>VLOOKUP($E21,'Retail Rates'!$B$7:$P$40,9,FALSE)</f>
        <v>0</v>
      </c>
      <c r="V21" s="22">
        <f>VLOOKUP($E21,'Retail Rates'!$B$7:$P$40,14,FALSE)</f>
        <v>1.08978</v>
      </c>
      <c r="W21" s="22">
        <f>VLOOKUP($E21,'Retail Rates'!$B$7:$P$40,10,FALSE)</f>
        <v>0.29920000000000002</v>
      </c>
      <c r="X21" s="22">
        <f>VLOOKUP($E21,'Retail Rates'!$B$7:$P$40,11,FALSE)</f>
        <v>0</v>
      </c>
      <c r="Y21" s="22">
        <f>VLOOKUP($E21,'Retail Rates'!$B$7:$P$40,15,FALSE)</f>
        <v>10.8978</v>
      </c>
      <c r="Z21" s="22">
        <v>0</v>
      </c>
      <c r="AA21" s="411">
        <f t="shared" si="23"/>
        <v>750</v>
      </c>
      <c r="AB21" s="411">
        <f t="shared" si="21"/>
        <v>0</v>
      </c>
      <c r="AC21" s="411">
        <f>+J21*T21</f>
        <v>7189.8358400000006</v>
      </c>
      <c r="AD21" s="411">
        <f t="shared" si="22"/>
        <v>0</v>
      </c>
      <c r="AE21" s="411">
        <f>L21*V21</f>
        <v>180467.568</v>
      </c>
      <c r="AF21" s="41">
        <v>0</v>
      </c>
      <c r="AG21" s="41">
        <v>0</v>
      </c>
      <c r="AH21" s="33">
        <v>0</v>
      </c>
      <c r="AI21" s="33">
        <v>0</v>
      </c>
      <c r="AJ21" s="41">
        <v>0</v>
      </c>
      <c r="AK21" s="41">
        <v>0</v>
      </c>
      <c r="AL21" s="33"/>
      <c r="AM21" s="33">
        <v>0</v>
      </c>
      <c r="AN21" s="41">
        <v>0</v>
      </c>
      <c r="AO21" s="33">
        <v>0</v>
      </c>
      <c r="AP21" s="411">
        <f>AA21+AH21</f>
        <v>750</v>
      </c>
      <c r="AQ21" s="411">
        <f>AB21+AI21</f>
        <v>0</v>
      </c>
      <c r="AR21" s="411">
        <f>AC21+AL21</f>
        <v>7189.8358400000006</v>
      </c>
      <c r="AS21" s="411">
        <f>AD21+AM21</f>
        <v>0</v>
      </c>
      <c r="AT21" s="411">
        <f t="shared" si="2"/>
        <v>180467.568</v>
      </c>
      <c r="AU21" s="411">
        <f t="shared" si="3"/>
        <v>0</v>
      </c>
      <c r="AV21" s="28">
        <f>BG21</f>
        <v>0</v>
      </c>
      <c r="AW21" s="28">
        <f>BH21</f>
        <v>81705.08</v>
      </c>
      <c r="AX21" s="28">
        <f>BI21</f>
        <v>0</v>
      </c>
      <c r="AY21" s="28">
        <f>BJ21</f>
        <v>64.39</v>
      </c>
      <c r="AZ21" s="28">
        <f>BK21</f>
        <v>980.43</v>
      </c>
      <c r="BA21" s="28">
        <f t="shared" ref="BA21:BA37" si="24">ROUND(SUM(AP21:AZ21),2)</f>
        <v>271157.3</v>
      </c>
      <c r="BB21" s="28">
        <f t="shared" ref="BB21:BB37" si="25">SUM(BD21:BK21)</f>
        <v>271157.31</v>
      </c>
      <c r="BC21" s="29">
        <f t="shared" si="18"/>
        <v>1</v>
      </c>
      <c r="BD21" s="28">
        <f>SUMIFS('SBR Mar20 - Aug20'!$F$3:$F$961,'SBR Mar20 - Aug20'!$A$3:$A$961,'Mar20-Aug20 Billed-RETAIL'!$C21,'SBR Mar20 - Aug20'!$B$3:$B$961,'Mar20-Aug20 Billed-RETAIL'!$E21)</f>
        <v>750</v>
      </c>
      <c r="BE21" s="28">
        <f>SUMIFS('SBR Mar20 - Aug20'!$H$3:$H$961,'SBR Mar20 - Aug20'!$A$3:$A$961,'Mar20-Aug20 Billed-RETAIL'!$C21,'SBR Mar20 - Aug20'!$B$3:$B$961,'Mar20-Aug20 Billed-RETAIL'!$E21)</f>
        <v>7189.84</v>
      </c>
      <c r="BF21" s="28">
        <f>SUMIFS('SBR Mar20 - Aug20'!$G$3:$G$961,'SBR Mar20 - Aug20'!$A$3:$A$961,'Mar20-Aug20 Billed-RETAIL'!$C21,'SBR Mar20 - Aug20'!$B$3:$B$961,'Mar20-Aug20 Billed-RETAIL'!$E21)</f>
        <v>180467.57</v>
      </c>
      <c r="BG21" s="28">
        <f>SUMIFS('SBR Mar20 - Aug20'!$M$3:$M$961,'SBR Mar20 - Aug20'!$A$3:$A$961,'Mar20-Aug20 Billed-RETAIL'!$C21,'SBR Mar20 - Aug20'!$B$3:$B$961,'Mar20-Aug20 Billed-RETAIL'!$E21)</f>
        <v>0</v>
      </c>
      <c r="BH21" s="28">
        <f>SUMIFS('SBR Mar20 - Aug20'!$N$3:$N$961,'SBR Mar20 - Aug20'!$A$3:$A$961,'Mar20-Aug20 Billed-RETAIL'!$C21,'SBR Mar20 - Aug20'!$B$3:$B$961,'Mar20-Aug20 Billed-RETAIL'!$E21)</f>
        <v>81705.08</v>
      </c>
      <c r="BI21" s="28">
        <f>SUMIFS('SBR Mar20 - Aug20'!$Y$3:$Y$961,'SBR Mar20 - Aug20'!$A$3:$A$961,'Mar20-Aug20 Billed-RETAIL'!$C21,'SBR Mar20 - Aug20'!$B$3:$B$961,'Mar20-Aug20 Billed-RETAIL'!$E21)</f>
        <v>0</v>
      </c>
      <c r="BJ21" s="28">
        <f>SUMIFS('SBR Mar20 - Aug20'!$W$3:$W$961,'SBR Mar20 - Aug20'!$A$3:$A$961,'Mar20-Aug20 Billed-RETAIL'!$C21,'SBR Mar20 - Aug20'!$B$3:$B$961,'Mar20-Aug20 Billed-RETAIL'!$E21)</f>
        <v>64.39</v>
      </c>
      <c r="BK21" s="28">
        <f>SUMIFS('SBR Mar20 - Aug20'!$X$3:$X$961,'SBR Mar20 - Aug20'!$A$3:$A$961,'Mar20-Aug20 Billed-RETAIL'!$C21,'SBR Mar20 - Aug20'!$B$3:$B$961,'Mar20-Aug20 Billed-RETAIL'!$E21)</f>
        <v>980.43</v>
      </c>
      <c r="BL21" s="28">
        <f>SUMIFS('SBR Mar20 - Aug20'!$Z$3:$Z$961,'SBR Mar20 - Aug20'!$A$3:$A$961,'Mar20-Aug20 Billed-RETAIL'!$C21,'SBR Mar20 - Aug20'!$B$3:$B$961,'Mar20-Aug20 Billed-RETAIL'!$E21)</f>
        <v>0</v>
      </c>
      <c r="BM21" s="42">
        <f>+AP21+AQ21-BD21</f>
        <v>0</v>
      </c>
      <c r="BN21" s="42">
        <f>+AR21+AS21-BE21</f>
        <v>-4.1599999995014514E-3</v>
      </c>
    </row>
    <row r="22" spans="1:66" s="279" customFormat="1" ht="15" customHeight="1" x14ac:dyDescent="0.25">
      <c r="A22" s="57"/>
      <c r="B22" s="46"/>
      <c r="C22" s="308"/>
      <c r="D22" s="308"/>
      <c r="E22" s="280"/>
      <c r="F22" s="280"/>
      <c r="G22" s="280"/>
      <c r="H22" s="281"/>
      <c r="I22" s="281"/>
      <c r="J22" s="281"/>
      <c r="K22" s="510" t="s">
        <v>950</v>
      </c>
      <c r="L22" s="281"/>
      <c r="M22" s="281"/>
      <c r="N22" s="281"/>
      <c r="O22" s="281"/>
      <c r="P22" s="281"/>
      <c r="Q22" s="281"/>
      <c r="R22" s="282"/>
      <c r="S22" s="282"/>
      <c r="T22" s="283"/>
      <c r="U22" s="283"/>
      <c r="V22" s="282"/>
      <c r="W22" s="282"/>
      <c r="X22" s="282"/>
      <c r="Y22" s="282"/>
      <c r="Z22" s="282"/>
      <c r="AA22" s="284"/>
      <c r="AB22" s="284"/>
      <c r="AC22" s="284"/>
      <c r="AD22" s="284"/>
      <c r="AE22" s="284"/>
      <c r="AF22" s="285"/>
      <c r="AG22" s="285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  <c r="BE22" s="284"/>
      <c r="BF22" s="284"/>
      <c r="BG22" s="284"/>
      <c r="BH22" s="284"/>
      <c r="BI22" s="284"/>
      <c r="BJ22" s="284"/>
      <c r="BM22" s="284"/>
      <c r="BN22" s="284"/>
    </row>
    <row r="23" spans="1:66" ht="15" customHeight="1" x14ac:dyDescent="0.25">
      <c r="A23" s="57"/>
      <c r="B23" s="46"/>
      <c r="C23" s="307">
        <f>EDATE(C11,1)</f>
        <v>43922</v>
      </c>
      <c r="D23" s="408" t="str">
        <f>MID(E23,6,3)</f>
        <v>811</v>
      </c>
      <c r="E23" s="405" t="str">
        <f>'Retail Rates'!$B$7</f>
        <v>LGRSG811</v>
      </c>
      <c r="F23" s="405"/>
      <c r="G23" s="405" t="str">
        <f>VLOOKUP(E23,'Retail Rates'!$B$7:$D$40,3,FALSE)</f>
        <v>Residential Gas Service</v>
      </c>
      <c r="H23" s="20">
        <f>SUMIFS('Data-Retail'!$F$2:$F$244,'Data-Retail'!$A$2:$A$244,'Mar20-Aug20 Billed-RETAIL'!$C23,'Data-Retail'!$B$2:$B$244,'Mar20-Aug20 Billed-RETAIL'!$E23)+AF23</f>
        <v>302662</v>
      </c>
      <c r="I23" s="20">
        <v>0</v>
      </c>
      <c r="J23" s="20">
        <f>SUMIFS('Data-Retail'!$G$2:$G$244,'Data-Retail'!$A$2:$A$244,'Mar20-Aug20 Billed-RETAIL'!$C23,'Data-Retail'!$B$2:$B$244,'Mar20-Aug20 Billed-RETAIL'!$E23)+AJ23</f>
        <v>14937676</v>
      </c>
      <c r="K23" s="20">
        <f>SUMIFS('Data-Retail'!$H$2:$H$244,'Data-Retail'!$A$2:$A$244,'Mar20-Aug20 Billed-RETAIL'!$C23,'Data-Retail'!$B$2:$B$244,'Mar20-Aug20 Billed-RETAIL'!$E23)</f>
        <v>0</v>
      </c>
      <c r="L23" s="20">
        <v>0</v>
      </c>
      <c r="M23" s="20">
        <v>0</v>
      </c>
      <c r="N23" s="20">
        <v>0</v>
      </c>
      <c r="O23" s="20">
        <v>0</v>
      </c>
      <c r="P23" s="20">
        <v>9287521</v>
      </c>
      <c r="Q23" s="20">
        <v>0</v>
      </c>
      <c r="R23" s="21">
        <f>VLOOKUP($E23,'Retail Rates'!$B$7:$P$40,4,FALSE)</f>
        <v>0.65</v>
      </c>
      <c r="S23" s="21">
        <f>VLOOKUP($E23,'Retail Rates'!$B$7:$P$40,5,FALSE)</f>
        <v>0</v>
      </c>
      <c r="T23" s="22">
        <f>VLOOKUP($E23,'Retail Rates'!$B$7:$P$40,8,FALSE)</f>
        <v>0.36781999999999998</v>
      </c>
      <c r="U23" s="22">
        <f>VLOOKUP($E23,'Retail Rates'!$B$7:$P$40,9,FALSE)</f>
        <v>0</v>
      </c>
      <c r="V23" s="22">
        <f>VLOOKUP($E23,'Retail Rates'!$B$7:$P$40,14,FALSE)</f>
        <v>0</v>
      </c>
      <c r="W23" s="22">
        <f>VLOOKUP($E23,'Retail Rates'!$B$7:$P$40,10,FALSE)</f>
        <v>3.6781999999999999</v>
      </c>
      <c r="X23" s="22">
        <f>VLOOKUP($E23,'Retail Rates'!$B$7:$P$40,11,FALSE)</f>
        <v>0</v>
      </c>
      <c r="Y23" s="22">
        <f>VLOOKUP($E23,'Retail Rates'!$B$7:$P$40,15,FALSE)</f>
        <v>0</v>
      </c>
      <c r="Z23" s="22">
        <v>0</v>
      </c>
      <c r="AA23" s="411">
        <f t="shared" ref="AA23:AA29" si="26">(+P23*R23)</f>
        <v>6036888.6500000004</v>
      </c>
      <c r="AB23" s="411">
        <f t="shared" ref="AB23:AD24" si="27">+I23*S23</f>
        <v>0</v>
      </c>
      <c r="AC23" s="411">
        <f t="shared" si="27"/>
        <v>5494375.9863200001</v>
      </c>
      <c r="AD23" s="411">
        <f t="shared" si="27"/>
        <v>0</v>
      </c>
      <c r="AE23" s="23">
        <f t="shared" ref="AE23:AE37" si="28">L23*V23</f>
        <v>0</v>
      </c>
      <c r="AF23" s="41">
        <v>-390</v>
      </c>
      <c r="AG23" s="41">
        <v>0</v>
      </c>
      <c r="AH23" s="33">
        <v>-88.31</v>
      </c>
      <c r="AI23" s="33">
        <v>0</v>
      </c>
      <c r="AJ23" s="41">
        <v>1222</v>
      </c>
      <c r="AK23" s="41">
        <v>0</v>
      </c>
      <c r="AL23" s="33">
        <v>-468.8</v>
      </c>
      <c r="AM23" s="33">
        <v>0</v>
      </c>
      <c r="AN23" s="41">
        <v>0</v>
      </c>
      <c r="AO23" s="33">
        <v>0</v>
      </c>
      <c r="AP23" s="411">
        <f>AA23+AH23</f>
        <v>6036800.3400000008</v>
      </c>
      <c r="AQ23" s="411">
        <f>AB23+AI23</f>
        <v>0</v>
      </c>
      <c r="AR23" s="411">
        <f>AC23+AL23</f>
        <v>5493907.1863200003</v>
      </c>
      <c r="AS23" s="411">
        <f>AD23+AM23</f>
        <v>0</v>
      </c>
      <c r="AT23" s="411">
        <f>AE23+AO23</f>
        <v>0</v>
      </c>
      <c r="AU23" s="411">
        <f t="shared" ref="AU23:AU37" si="29">BL23</f>
        <v>-34.01</v>
      </c>
      <c r="AV23" s="28">
        <f>BG23</f>
        <v>-29571.51</v>
      </c>
      <c r="AW23" s="28">
        <f>BH23</f>
        <v>5078571.57</v>
      </c>
      <c r="AX23" s="28">
        <f>BI23</f>
        <v>723517.73</v>
      </c>
      <c r="AY23" s="28">
        <f>BJ23</f>
        <v>306454.65999999997</v>
      </c>
      <c r="AZ23" s="28">
        <f t="shared" ref="AZ23:AZ36" si="30">BK23</f>
        <v>125332.73</v>
      </c>
      <c r="BA23" s="28">
        <f>ROUND(SUM(AP23:AZ23),2)</f>
        <v>17734978.699999999</v>
      </c>
      <c r="BB23" s="28">
        <f>SUM(BD23:BL23)</f>
        <v>17734978.879999999</v>
      </c>
      <c r="BC23" s="29">
        <f>IF(BB23=0,0,ROUND(BB23/BA23,6))</f>
        <v>1</v>
      </c>
      <c r="BD23" s="28">
        <f>SUMIFS('SBR Mar20 - Aug20'!$F$3:$F$961,'SBR Mar20 - Aug20'!$A$3:$A$961,'Mar20-Aug20 Billed-RETAIL'!$C23,'SBR Mar20 - Aug20'!$B$3:$B$961,'Mar20-Aug20 Billed-RETAIL'!$E23)</f>
        <v>6036800.5199999996</v>
      </c>
      <c r="BE23" s="28">
        <f>SUMIFS('SBR Mar20 - Aug20'!$H$3:$H$961,'SBR Mar20 - Aug20'!$A$3:$A$961,'Mar20-Aug20 Billed-RETAIL'!$C23,'SBR Mar20 - Aug20'!$B$3:$B$961,'Mar20-Aug20 Billed-RETAIL'!$E23)</f>
        <v>5493907.1900000004</v>
      </c>
      <c r="BF23" s="28">
        <f>SUMIFS('SBR Mar20 - Aug20'!$G$3:$G$961,'SBR Mar20 - Aug20'!$A$3:$A$961,'Mar20-Aug20 Billed-RETAIL'!$C23,'SBR Mar20 - Aug20'!$B$3:$B$961,'Mar20-Aug20 Billed-RETAIL'!$E23)</f>
        <v>0</v>
      </c>
      <c r="BG23" s="28">
        <f>SUMIFS('SBR Mar20 - Aug20'!$M$3:$M$961,'SBR Mar20 - Aug20'!$A$3:$A$961,'Mar20-Aug20 Billed-RETAIL'!$C23,'SBR Mar20 - Aug20'!$B$3:$B$961,'Mar20-Aug20 Billed-RETAIL'!$E23)</f>
        <v>-29571.51</v>
      </c>
      <c r="BH23" s="28">
        <f>SUMIFS('SBR Mar20 - Aug20'!$N$3:$N$961,'SBR Mar20 - Aug20'!$A$3:$A$961,'Mar20-Aug20 Billed-RETAIL'!$C23,'SBR Mar20 - Aug20'!$B$3:$B$961,'Mar20-Aug20 Billed-RETAIL'!$E23)</f>
        <v>5078571.57</v>
      </c>
      <c r="BI23" s="28">
        <f>SUMIFS('SBR Mar20 - Aug20'!$Y$3:$Y$961,'SBR Mar20 - Aug20'!$A$3:$A$961,'Mar20-Aug20 Billed-RETAIL'!$C23,'SBR Mar20 - Aug20'!$B$3:$B$961,'Mar20-Aug20 Billed-RETAIL'!$E23)</f>
        <v>723517.73</v>
      </c>
      <c r="BJ23" s="28">
        <f>SUMIFS('SBR Mar20 - Aug20'!$W$3:$W$961,'SBR Mar20 - Aug20'!$A$3:$A$961,'Mar20-Aug20 Billed-RETAIL'!$C23,'SBR Mar20 - Aug20'!$B$3:$B$961,'Mar20-Aug20 Billed-RETAIL'!$E23)</f>
        <v>306454.65999999997</v>
      </c>
      <c r="BK23" s="28">
        <f>SUMIFS('SBR Mar20 - Aug20'!$X$3:$X$961,'SBR Mar20 - Aug20'!$A$3:$A$961,'Mar20-Aug20 Billed-RETAIL'!$C23,'SBR Mar20 - Aug20'!$B$3:$B$961,'Mar20-Aug20 Billed-RETAIL'!$E23)</f>
        <v>125332.73</v>
      </c>
      <c r="BL23" s="28">
        <f>SUMIFS('SBR Mar20 - Aug20'!$Z$3:$Z$961,'SBR Mar20 - Aug20'!$A$3:$A$961,'Mar20-Aug20 Billed-RETAIL'!$C23,'SBR Mar20 - Aug20'!$B$3:$B$961,'Mar20-Aug20 Billed-RETAIL'!$E23)</f>
        <v>-34.01</v>
      </c>
      <c r="BM23" s="42">
        <f>+AP23+AQ23-BD23</f>
        <v>-0.1799999987706542</v>
      </c>
      <c r="BN23" s="42">
        <f>+AR23+AS23-BE23</f>
        <v>-3.6800000816583633E-3</v>
      </c>
    </row>
    <row r="24" spans="1:66" ht="15" customHeight="1" x14ac:dyDescent="0.25">
      <c r="A24" s="57"/>
      <c r="B24" s="46"/>
      <c r="C24" s="307">
        <f>$C$23</f>
        <v>43922</v>
      </c>
      <c r="D24" s="408" t="str">
        <f t="shared" ref="D24:D36" si="31">MID(E24,6,3)</f>
        <v>840</v>
      </c>
      <c r="E24" s="405" t="str">
        <f>'Retail Rates'!$B$8</f>
        <v>LGRSG840</v>
      </c>
      <c r="F24" s="405"/>
      <c r="G24" s="405" t="str">
        <f>VLOOKUP(E24,'Retail Rates'!$B$7:$D$40,3,FALSE)</f>
        <v>Volunteer Fire Department Gas</v>
      </c>
      <c r="H24" s="20">
        <f>SUMIFS('Data-Retail'!$F$2:$F$244,'Data-Retail'!$A$2:$A$244,'Mar20-Aug20 Billed-RETAIL'!$C24,'Data-Retail'!$B$2:$B$244,'Mar20-Aug20 Billed-RETAIL'!$E24)</f>
        <v>3</v>
      </c>
      <c r="I24" s="20">
        <v>0</v>
      </c>
      <c r="J24" s="20">
        <f>SUMIFS('Data-Retail'!$G$2:$G$244,'Data-Retail'!$A$2:$A$244,'Mar20-Aug20 Billed-RETAIL'!$C24,'Data-Retail'!$B$2:$B$244,'Mar20-Aug20 Billed-RETAIL'!$E24)</f>
        <v>840</v>
      </c>
      <c r="K24" s="20">
        <f>SUMIFS('Data-Retail'!$H$2:$H$244,'Data-Retail'!$A$2:$A$244,'Mar20-Aug20 Billed-RETAIL'!$C24,'Data-Retail'!$B$2:$B$244,'Mar20-Aug20 Billed-RETAIL'!$E24)</f>
        <v>0</v>
      </c>
      <c r="L24" s="20">
        <v>0</v>
      </c>
      <c r="M24" s="20">
        <v>0</v>
      </c>
      <c r="N24" s="20">
        <v>0</v>
      </c>
      <c r="O24" s="20">
        <v>0</v>
      </c>
      <c r="P24" s="20">
        <v>90</v>
      </c>
      <c r="Q24" s="20">
        <v>0</v>
      </c>
      <c r="R24" s="21">
        <f>VLOOKUP($E24,'Retail Rates'!$B$7:$P$40,4,FALSE)</f>
        <v>0.65</v>
      </c>
      <c r="S24" s="21">
        <f>VLOOKUP($E24,'Retail Rates'!$B$7:$P$40,5,FALSE)</f>
        <v>0</v>
      </c>
      <c r="T24" s="22">
        <f>VLOOKUP($E24,'Retail Rates'!$B$7:$P$40,8,FALSE)</f>
        <v>0.36781999999999998</v>
      </c>
      <c r="U24" s="22">
        <f>VLOOKUP($E24,'Retail Rates'!$B$7:$P$40,9,FALSE)</f>
        <v>0</v>
      </c>
      <c r="V24" s="22">
        <f>VLOOKUP($E24,'Retail Rates'!$B$7:$P$40,14,FALSE)</f>
        <v>0</v>
      </c>
      <c r="W24" s="22">
        <f>VLOOKUP($E24,'Retail Rates'!$B$7:$P$40,10,FALSE)</f>
        <v>3.6781999999999999</v>
      </c>
      <c r="X24" s="22">
        <f>VLOOKUP($E24,'Retail Rates'!$B$7:$P$40,11,FALSE)</f>
        <v>0</v>
      </c>
      <c r="Y24" s="22">
        <f>VLOOKUP($E24,'Retail Rates'!$B$7:$P$40,15,FALSE)</f>
        <v>0</v>
      </c>
      <c r="Z24" s="22">
        <v>0</v>
      </c>
      <c r="AA24" s="411">
        <f t="shared" si="26"/>
        <v>58.5</v>
      </c>
      <c r="AB24" s="411">
        <f t="shared" si="27"/>
        <v>0</v>
      </c>
      <c r="AC24" s="411">
        <f t="shared" si="27"/>
        <v>308.96879999999999</v>
      </c>
      <c r="AD24" s="411">
        <f t="shared" si="27"/>
        <v>0</v>
      </c>
      <c r="AE24" s="411">
        <f t="shared" si="28"/>
        <v>0</v>
      </c>
      <c r="AF24" s="41">
        <v>0</v>
      </c>
      <c r="AG24" s="41">
        <v>0</v>
      </c>
      <c r="AH24" s="33">
        <v>0</v>
      </c>
      <c r="AI24" s="33">
        <v>0</v>
      </c>
      <c r="AJ24" s="41">
        <v>0</v>
      </c>
      <c r="AK24" s="41">
        <v>0</v>
      </c>
      <c r="AL24" s="33"/>
      <c r="AM24" s="33">
        <v>0</v>
      </c>
      <c r="AN24" s="41">
        <v>0</v>
      </c>
      <c r="AO24" s="33">
        <v>0</v>
      </c>
      <c r="AP24" s="411">
        <f t="shared" ref="AP24:AP37" si="32">AA24+AH24</f>
        <v>58.5</v>
      </c>
      <c r="AQ24" s="411">
        <f t="shared" ref="AQ24:AQ37" si="33">AB24+AI24</f>
        <v>0</v>
      </c>
      <c r="AR24" s="411">
        <f t="shared" ref="AR24:AR37" si="34">AC24+AL24</f>
        <v>308.96879999999999</v>
      </c>
      <c r="AS24" s="411">
        <f t="shared" ref="AS24:AS37" si="35">AD24+AM24</f>
        <v>0</v>
      </c>
      <c r="AT24" s="411">
        <f t="shared" ref="AT24:AT37" si="36">AE24+AO24</f>
        <v>0</v>
      </c>
      <c r="AU24" s="411">
        <f t="shared" si="29"/>
        <v>0</v>
      </c>
      <c r="AV24" s="28">
        <f t="shared" ref="AV24:AV37" si="37">BG24</f>
        <v>-1.6</v>
      </c>
      <c r="AW24" s="28">
        <f t="shared" ref="AW24:AW37" si="38">BH24</f>
        <v>285.60000000000002</v>
      </c>
      <c r="AX24" s="28">
        <f t="shared" ref="AX24:AX37" si="39">BI24</f>
        <v>47.97</v>
      </c>
      <c r="AY24" s="28">
        <f t="shared" ref="AY24:AY37" si="40">BJ24</f>
        <v>3.06</v>
      </c>
      <c r="AZ24" s="28">
        <f t="shared" si="30"/>
        <v>7.04</v>
      </c>
      <c r="BA24" s="28">
        <f t="shared" si="24"/>
        <v>709.54</v>
      </c>
      <c r="BB24" s="28">
        <f t="shared" si="25"/>
        <v>709.54</v>
      </c>
      <c r="BC24" s="29">
        <f t="shared" ref="BC24:BC37" si="41">IF(BB24=0,0,ROUND(BB24/BA24,6))</f>
        <v>1</v>
      </c>
      <c r="BD24" s="28">
        <f>SUMIFS('SBR Mar20 - Aug20'!$F$3:$F$961,'SBR Mar20 - Aug20'!$A$3:$A$961,'Mar20-Aug20 Billed-RETAIL'!$C24,'SBR Mar20 - Aug20'!$B$3:$B$961,'Mar20-Aug20 Billed-RETAIL'!$E24)</f>
        <v>58.5</v>
      </c>
      <c r="BE24" s="863">
        <f>SUMIFS('SBR Mar20 - Aug20'!$H$3:$H$961,'SBR Mar20 - Aug20'!$A$3:$A$961,'Mar20-Aug20 Billed-RETAIL'!$C24,'SBR Mar20 - Aug20'!$B$3:$B$961,'Mar20-Aug20 Billed-RETAIL'!$E24)</f>
        <v>308.97000000000003</v>
      </c>
      <c r="BF24" s="28">
        <f>SUMIFS('SBR Mar20 - Aug20'!$G$3:$G$961,'SBR Mar20 - Aug20'!$A$3:$A$961,'Mar20-Aug20 Billed-RETAIL'!$C24,'SBR Mar20 - Aug20'!$B$3:$B$961,'Mar20-Aug20 Billed-RETAIL'!$E24)</f>
        <v>0</v>
      </c>
      <c r="BG24" s="28">
        <f>SUMIFS('SBR Mar20 - Aug20'!$M$3:$M$961,'SBR Mar20 - Aug20'!$A$3:$A$961,'Mar20-Aug20 Billed-RETAIL'!$C24,'SBR Mar20 - Aug20'!$B$3:$B$961,'Mar20-Aug20 Billed-RETAIL'!$E24)</f>
        <v>-1.6</v>
      </c>
      <c r="BH24" s="28">
        <f>SUMIFS('SBR Mar20 - Aug20'!$N$3:$N$961,'SBR Mar20 - Aug20'!$A$3:$A$961,'Mar20-Aug20 Billed-RETAIL'!$C24,'SBR Mar20 - Aug20'!$B$3:$B$961,'Mar20-Aug20 Billed-RETAIL'!$E24)</f>
        <v>285.60000000000002</v>
      </c>
      <c r="BI24" s="28">
        <f>SUMIFS('SBR Mar20 - Aug20'!$Y$3:$Y$961,'SBR Mar20 - Aug20'!$A$3:$A$961,'Mar20-Aug20 Billed-RETAIL'!$C24,'SBR Mar20 - Aug20'!$B$3:$B$961,'Mar20-Aug20 Billed-RETAIL'!$E24)</f>
        <v>47.97</v>
      </c>
      <c r="BJ24" s="28">
        <f>SUMIFS('SBR Mar20 - Aug20'!$W$3:$W$961,'SBR Mar20 - Aug20'!$A$3:$A$961,'Mar20-Aug20 Billed-RETAIL'!$C24,'SBR Mar20 - Aug20'!$B$3:$B$961,'Mar20-Aug20 Billed-RETAIL'!$E24)</f>
        <v>3.06</v>
      </c>
      <c r="BK24" s="28">
        <f>SUMIFS('SBR Mar20 - Aug20'!$X$3:$X$961,'SBR Mar20 - Aug20'!$A$3:$A$961,'Mar20-Aug20 Billed-RETAIL'!$C24,'SBR Mar20 - Aug20'!$B$3:$B$961,'Mar20-Aug20 Billed-RETAIL'!$E24)</f>
        <v>7.04</v>
      </c>
      <c r="BL24" s="28">
        <f>SUMIFS('SBR Mar20 - Aug20'!$Z$3:$Z$961,'SBR Mar20 - Aug20'!$A$3:$A$961,'Mar20-Aug20 Billed-RETAIL'!$C24,'SBR Mar20 - Aug20'!$B$3:$B$961,'Mar20-Aug20 Billed-RETAIL'!$E24)</f>
        <v>0</v>
      </c>
      <c r="BM24" s="42">
        <f t="shared" ref="BM24:BM37" si="42">+AP24+AQ24-BD24</f>
        <v>0</v>
      </c>
      <c r="BN24" s="42">
        <f t="shared" ref="BN24:BN37" si="43">+AR24+AS24-BE24</f>
        <v>-1.2000000000398359E-3</v>
      </c>
    </row>
    <row r="25" spans="1:66" x14ac:dyDescent="0.25">
      <c r="A25" s="57"/>
      <c r="B25" s="46"/>
      <c r="C25" s="307">
        <f t="shared" ref="C25:C36" si="44">$C$23</f>
        <v>43922</v>
      </c>
      <c r="D25" s="408" t="str">
        <f t="shared" si="31"/>
        <v>851</v>
      </c>
      <c r="E25" s="405" t="str">
        <f>'Retail Rates'!$B$9</f>
        <v>LGCMG851</v>
      </c>
      <c r="F25" s="405"/>
      <c r="G25" s="405" t="str">
        <f>VLOOKUP(E25,'Retail Rates'!$B$7:$D$40,3,FALSE)</f>
        <v>Firm Commercial Gas Service</v>
      </c>
      <c r="H25" s="20">
        <f>(SUMIFS('Data-Retail'!$F$2:$F$244,'Data-Retail'!$A$2:$A$244,'Mar20-Aug20 Billed-RETAIL'!$C25,'Data-Retail'!$B$2:$B$244,'Mar20-Aug20 Billed-RETAIL'!$E25)-I25)+(AF25+AG25)</f>
        <v>24574</v>
      </c>
      <c r="I25" s="20">
        <v>1186</v>
      </c>
      <c r="J25" s="20">
        <f>SUMIFS('Data-Retail'!$G$2:$G$244,'Data-Retail'!$A$2:$A$244,'Mar20-Aug20 Billed-RETAIL'!$C25,'Data-Retail'!$B$2:$B$244,'Mar20-Aug20 Billed-RETAIL'!$E25)+AJ25</f>
        <v>5070312</v>
      </c>
      <c r="K25" s="20">
        <f>SUMIFS('Data-Retail'!$H$2:$H$244,'Data-Retail'!$A$2:$A$244,'Mar20-Aug20 Billed-RETAIL'!$C25,'Data-Retail'!$B$2:$B$244,'Mar20-Aug20 Billed-RETAIL'!$E25)</f>
        <v>2564168</v>
      </c>
      <c r="L25" s="20">
        <v>0</v>
      </c>
      <c r="M25" s="20">
        <v>0</v>
      </c>
      <c r="N25" s="20">
        <v>0</v>
      </c>
      <c r="O25" s="20">
        <v>0</v>
      </c>
      <c r="P25" s="20">
        <v>751074</v>
      </c>
      <c r="Q25" s="20">
        <v>36723</v>
      </c>
      <c r="R25" s="21">
        <f>VLOOKUP($E25,'Retail Rates'!$B$7:$P$40,4,FALSE)</f>
        <v>1.97</v>
      </c>
      <c r="S25" s="21">
        <f>VLOOKUP($E25,'Retail Rates'!$B$7:$P$40,5,FALSE)</f>
        <v>9.3699999999999992</v>
      </c>
      <c r="T25" s="22">
        <f>VLOOKUP($E25,'Retail Rates'!$B$7:$P$40,8,FALSE)</f>
        <v>0.30669999999999997</v>
      </c>
      <c r="U25" s="22">
        <f>VLOOKUP($E25,'Retail Rates'!$B$7:$P$40,9,FALSE)</f>
        <v>0.25669999999999998</v>
      </c>
      <c r="V25" s="22">
        <f>VLOOKUP($E25,'Retail Rates'!$B$7:$P$40,14,FALSE)</f>
        <v>0</v>
      </c>
      <c r="W25" s="22">
        <f>VLOOKUP($E25,'Retail Rates'!$B$7:$P$40,10,FALSE)</f>
        <v>3.0669999999999997</v>
      </c>
      <c r="X25" s="22">
        <f>VLOOKUP($E25,'Retail Rates'!$B$7:$P$40,11,FALSE)</f>
        <v>2.5669999999999997</v>
      </c>
      <c r="Y25" s="22">
        <f>VLOOKUP($E25,'Retail Rates'!$B$7:$P$40,15,FALSE)</f>
        <v>0</v>
      </c>
      <c r="Z25" s="22">
        <v>0</v>
      </c>
      <c r="AA25" s="411">
        <f t="shared" si="26"/>
        <v>1479615.78</v>
      </c>
      <c r="AB25" s="411">
        <f>+Q25*S25</f>
        <v>344094.50999999995</v>
      </c>
      <c r="AC25" s="411">
        <f t="shared" ref="AC25:AD28" si="45">+J25*T25</f>
        <v>1555064.6904</v>
      </c>
      <c r="AD25" s="411">
        <f t="shared" si="45"/>
        <v>658221.92559999996</v>
      </c>
      <c r="AE25" s="411">
        <f t="shared" si="28"/>
        <v>0</v>
      </c>
      <c r="AF25" s="41">
        <v>-65</v>
      </c>
      <c r="AG25" s="41">
        <v>0</v>
      </c>
      <c r="AH25" s="33">
        <v>-1884.44</v>
      </c>
      <c r="AI25" s="33">
        <v>0</v>
      </c>
      <c r="AJ25" s="41">
        <v>200</v>
      </c>
      <c r="AK25" s="41">
        <v>0</v>
      </c>
      <c r="AL25" s="33">
        <v>-63.14</v>
      </c>
      <c r="AM25" s="33">
        <v>0</v>
      </c>
      <c r="AN25" s="41">
        <v>0</v>
      </c>
      <c r="AO25" s="33">
        <v>0</v>
      </c>
      <c r="AP25" s="411">
        <f t="shared" si="32"/>
        <v>1477731.34</v>
      </c>
      <c r="AQ25" s="411">
        <f t="shared" si="33"/>
        <v>344094.50999999995</v>
      </c>
      <c r="AR25" s="411">
        <f t="shared" si="34"/>
        <v>1555001.5504000001</v>
      </c>
      <c r="AS25" s="411">
        <f t="shared" si="35"/>
        <v>658221.92559999996</v>
      </c>
      <c r="AT25" s="411">
        <f t="shared" si="36"/>
        <v>0</v>
      </c>
      <c r="AU25" s="411">
        <f t="shared" si="29"/>
        <v>0</v>
      </c>
      <c r="AV25" s="28">
        <f t="shared" si="37"/>
        <v>2226.67</v>
      </c>
      <c r="AW25" s="28">
        <f t="shared" si="38"/>
        <v>2595650.4500000002</v>
      </c>
      <c r="AX25" s="28">
        <f t="shared" si="39"/>
        <v>277990.18</v>
      </c>
      <c r="AY25" s="28">
        <f t="shared" si="40"/>
        <v>130661.79</v>
      </c>
      <c r="AZ25" s="28">
        <f t="shared" si="30"/>
        <v>51988.06</v>
      </c>
      <c r="BA25" s="28">
        <f t="shared" si="24"/>
        <v>7093566.4800000004</v>
      </c>
      <c r="BB25" s="28">
        <f t="shared" si="25"/>
        <v>7093566.4799999995</v>
      </c>
      <c r="BC25" s="29">
        <f t="shared" si="41"/>
        <v>1</v>
      </c>
      <c r="BD25" s="28">
        <f>SUMIFS('SBR Mar20 - Aug20'!$F$3:$F$961,'SBR Mar20 - Aug20'!$A$3:$A$961,'Mar20-Aug20 Billed-RETAIL'!$C25,'SBR Mar20 - Aug20'!$B$3:$B$961,'Mar20-Aug20 Billed-RETAIL'!$E25)</f>
        <v>1821825.85</v>
      </c>
      <c r="BE25" s="28">
        <f>SUMIFS('SBR Mar20 - Aug20'!$H$3:$H$961,'SBR Mar20 - Aug20'!$A$3:$A$961,'Mar20-Aug20 Billed-RETAIL'!$C25,'SBR Mar20 - Aug20'!$B$3:$B$961,'Mar20-Aug20 Billed-RETAIL'!$E25)</f>
        <v>2213223.48</v>
      </c>
      <c r="BF25" s="28">
        <f>SUMIFS('SBR Mar20 - Aug20'!$G$3:$G$961,'SBR Mar20 - Aug20'!$A$3:$A$961,'Mar20-Aug20 Billed-RETAIL'!$C25,'SBR Mar20 - Aug20'!$B$3:$B$961,'Mar20-Aug20 Billed-RETAIL'!$E25)</f>
        <v>0</v>
      </c>
      <c r="BG25" s="28">
        <f>SUMIFS('SBR Mar20 - Aug20'!$M$3:$M$961,'SBR Mar20 - Aug20'!$A$3:$A$961,'Mar20-Aug20 Billed-RETAIL'!$C25,'SBR Mar20 - Aug20'!$B$3:$B$961,'Mar20-Aug20 Billed-RETAIL'!$E25)</f>
        <v>2226.67</v>
      </c>
      <c r="BH25" s="28">
        <f>SUMIFS('SBR Mar20 - Aug20'!$N$3:$N$961,'SBR Mar20 - Aug20'!$A$3:$A$961,'Mar20-Aug20 Billed-RETAIL'!$C25,'SBR Mar20 - Aug20'!$B$3:$B$961,'Mar20-Aug20 Billed-RETAIL'!$E25)</f>
        <v>2595650.4500000002</v>
      </c>
      <c r="BI25" s="28">
        <f>SUMIFS('SBR Mar20 - Aug20'!$Y$3:$Y$961,'SBR Mar20 - Aug20'!$A$3:$A$961,'Mar20-Aug20 Billed-RETAIL'!$C25,'SBR Mar20 - Aug20'!$B$3:$B$961,'Mar20-Aug20 Billed-RETAIL'!$E25)</f>
        <v>277990.18</v>
      </c>
      <c r="BJ25" s="28">
        <f>SUMIFS('SBR Mar20 - Aug20'!$W$3:$W$961,'SBR Mar20 - Aug20'!$A$3:$A$961,'Mar20-Aug20 Billed-RETAIL'!$C25,'SBR Mar20 - Aug20'!$B$3:$B$961,'Mar20-Aug20 Billed-RETAIL'!$E25)</f>
        <v>130661.79</v>
      </c>
      <c r="BK25" s="28">
        <f>SUMIFS('SBR Mar20 - Aug20'!$X$3:$X$961,'SBR Mar20 - Aug20'!$A$3:$A$961,'Mar20-Aug20 Billed-RETAIL'!$C25,'SBR Mar20 - Aug20'!$B$3:$B$961,'Mar20-Aug20 Billed-RETAIL'!$E25)</f>
        <v>51988.06</v>
      </c>
      <c r="BL25" s="28">
        <f>SUMIFS('SBR Mar20 - Aug20'!$Z$3:$Z$961,'SBR Mar20 - Aug20'!$A$3:$A$961,'Mar20-Aug20 Billed-RETAIL'!$C25,'SBR Mar20 - Aug20'!$B$3:$B$961,'Mar20-Aug20 Billed-RETAIL'!$E25)</f>
        <v>0</v>
      </c>
      <c r="BM25" s="42">
        <f t="shared" si="42"/>
        <v>0</v>
      </c>
      <c r="BN25" s="42">
        <f t="shared" si="43"/>
        <v>-4.0000001899898052E-3</v>
      </c>
    </row>
    <row r="26" spans="1:66" x14ac:dyDescent="0.25">
      <c r="A26" s="57"/>
      <c r="B26" s="46"/>
      <c r="C26" s="307">
        <f t="shared" si="44"/>
        <v>43922</v>
      </c>
      <c r="D26" s="408" t="str">
        <f t="shared" si="31"/>
        <v>851</v>
      </c>
      <c r="E26" s="405" t="str">
        <f>'Retail Rates'!$B$10</f>
        <v>LGCMG851LT</v>
      </c>
      <c r="F26" s="405"/>
      <c r="G26" s="405" t="str">
        <f>VLOOKUP(E26,'Retail Rates'!$B$7:$D$40,3,FALSE)</f>
        <v>Commercial Gas Service (Lights)</v>
      </c>
      <c r="H26" s="20">
        <f>SUMIFS('Data-Retail'!$F$2:$F$244,'Data-Retail'!$A$2:$A$244,'Mar20-Aug20 Billed-RETAIL'!$C26,'Data-Retail'!$B$2:$B$244,'Mar20-Aug20 Billed-RETAIL'!$E26)</f>
        <v>1</v>
      </c>
      <c r="I26" s="20">
        <v>0</v>
      </c>
      <c r="J26" s="20">
        <f>SUMIFS('Data-Retail'!$G$2:$G$244,'Data-Retail'!$A$2:$A$244,'Mar20-Aug20 Billed-RETAIL'!$C26,'Data-Retail'!$B$2:$B$244,'Mar20-Aug20 Billed-RETAIL'!$E26)</f>
        <v>256</v>
      </c>
      <c r="K26" s="20">
        <f>SUMIFS('Data-Retail'!$H$2:$H$244,'Data-Retail'!$A$2:$A$244,'Mar20-Aug20 Billed-RETAIL'!$C26,'Data-Retail'!$B$2:$B$244,'Mar20-Aug20 Billed-RETAIL'!$E26)</f>
        <v>0</v>
      </c>
      <c r="L26" s="20">
        <v>0</v>
      </c>
      <c r="M26" s="20">
        <v>0</v>
      </c>
      <c r="N26" s="20">
        <v>0</v>
      </c>
      <c r="O26" s="20">
        <v>0</v>
      </c>
      <c r="P26" s="20">
        <v>29</v>
      </c>
      <c r="Q26" s="20">
        <v>0</v>
      </c>
      <c r="R26" s="21">
        <f>VLOOKUP($E26,'Retail Rates'!$B$7:$P$40,4,FALSE)</f>
        <v>1.97</v>
      </c>
      <c r="S26" s="21">
        <f>VLOOKUP($E26,'Retail Rates'!$B$7:$P$40,5,FALSE)</f>
        <v>9.3699999999999992</v>
      </c>
      <c r="T26" s="22">
        <f>VLOOKUP($E26,'Retail Rates'!$B$7:$P$40,8,FALSE)</f>
        <v>0.30669999999999997</v>
      </c>
      <c r="U26" s="22">
        <f>VLOOKUP($E26,'Retail Rates'!$B$7:$P$40,9,FALSE)</f>
        <v>0.25669999999999998</v>
      </c>
      <c r="V26" s="22">
        <f>VLOOKUP($E26,'Retail Rates'!$B$7:$P$40,14,FALSE)</f>
        <v>0</v>
      </c>
      <c r="W26" s="22">
        <f>VLOOKUP($E26,'Retail Rates'!$B$7:$P$40,10,FALSE)</f>
        <v>3.0669999999999997</v>
      </c>
      <c r="X26" s="22">
        <f>VLOOKUP($E26,'Retail Rates'!$B$7:$P$40,11,FALSE)</f>
        <v>2.5669999999999997</v>
      </c>
      <c r="Y26" s="22">
        <f>VLOOKUP($E26,'Retail Rates'!$B$7:$P$40,15,FALSE)</f>
        <v>0</v>
      </c>
      <c r="Z26" s="22">
        <v>0</v>
      </c>
      <c r="AA26" s="411">
        <f t="shared" si="26"/>
        <v>57.13</v>
      </c>
      <c r="AB26" s="411">
        <f>+Q26*S26</f>
        <v>0</v>
      </c>
      <c r="AC26" s="411">
        <f t="shared" si="45"/>
        <v>78.515199999999993</v>
      </c>
      <c r="AD26" s="411">
        <f t="shared" si="45"/>
        <v>0</v>
      </c>
      <c r="AE26" s="411">
        <f t="shared" si="28"/>
        <v>0</v>
      </c>
      <c r="AF26" s="41">
        <v>0</v>
      </c>
      <c r="AG26" s="41">
        <v>0</v>
      </c>
      <c r="AH26" s="33">
        <v>0</v>
      </c>
      <c r="AI26" s="33">
        <v>0</v>
      </c>
      <c r="AJ26" s="41">
        <v>0</v>
      </c>
      <c r="AK26" s="41">
        <v>0</v>
      </c>
      <c r="AL26" s="33">
        <v>0</v>
      </c>
      <c r="AM26" s="33">
        <v>0</v>
      </c>
      <c r="AN26" s="41">
        <v>0</v>
      </c>
      <c r="AO26" s="33">
        <v>0</v>
      </c>
      <c r="AP26" s="411">
        <f t="shared" si="32"/>
        <v>57.13</v>
      </c>
      <c r="AQ26" s="411">
        <f t="shared" si="33"/>
        <v>0</v>
      </c>
      <c r="AR26" s="411">
        <f t="shared" si="34"/>
        <v>78.515199999999993</v>
      </c>
      <c r="AS26" s="411">
        <f t="shared" si="35"/>
        <v>0</v>
      </c>
      <c r="AT26" s="411">
        <f t="shared" si="36"/>
        <v>0</v>
      </c>
      <c r="AU26" s="411">
        <f t="shared" si="29"/>
        <v>0</v>
      </c>
      <c r="AV26" s="28">
        <f t="shared" si="37"/>
        <v>0.11</v>
      </c>
      <c r="AW26" s="28">
        <f t="shared" si="38"/>
        <v>87.04</v>
      </c>
      <c r="AX26" s="28">
        <f t="shared" si="39"/>
        <v>0.06</v>
      </c>
      <c r="AY26" s="28">
        <f t="shared" si="40"/>
        <v>5.12</v>
      </c>
      <c r="AZ26" s="28">
        <f t="shared" si="30"/>
        <v>1.74</v>
      </c>
      <c r="BA26" s="28">
        <f t="shared" si="24"/>
        <v>229.72</v>
      </c>
      <c r="BB26" s="28">
        <f t="shared" si="25"/>
        <v>229.72000000000003</v>
      </c>
      <c r="BC26" s="29">
        <f t="shared" si="41"/>
        <v>1</v>
      </c>
      <c r="BD26" s="28">
        <f>SUMIFS('SBR Mar20 - Aug20'!$F$3:$F$961,'SBR Mar20 - Aug20'!$A$3:$A$961,'Mar20-Aug20 Billed-RETAIL'!$C26,'SBR Mar20 - Aug20'!$B$3:$B$961,'Mar20-Aug20 Billed-RETAIL'!$E26)</f>
        <v>57.13</v>
      </c>
      <c r="BE26" s="28">
        <f>SUMIFS('SBR Mar20 - Aug20'!$H$3:$H$961,'SBR Mar20 - Aug20'!$A$3:$A$961,'Mar20-Aug20 Billed-RETAIL'!$C26,'SBR Mar20 - Aug20'!$B$3:$B$961,'Mar20-Aug20 Billed-RETAIL'!$E26)</f>
        <v>78.52</v>
      </c>
      <c r="BF26" s="28">
        <f>SUMIFS('SBR Mar20 - Aug20'!$G$3:$G$961,'SBR Mar20 - Aug20'!$A$3:$A$961,'Mar20-Aug20 Billed-RETAIL'!$C26,'SBR Mar20 - Aug20'!$B$3:$B$961,'Mar20-Aug20 Billed-RETAIL'!$E26)</f>
        <v>0</v>
      </c>
      <c r="BG26" s="28">
        <f>SUMIFS('SBR Mar20 - Aug20'!$M$3:$M$961,'SBR Mar20 - Aug20'!$A$3:$A$961,'Mar20-Aug20 Billed-RETAIL'!$C26,'SBR Mar20 - Aug20'!$B$3:$B$961,'Mar20-Aug20 Billed-RETAIL'!$E26)</f>
        <v>0.11</v>
      </c>
      <c r="BH26" s="28">
        <f>SUMIFS('SBR Mar20 - Aug20'!$N$3:$N$961,'SBR Mar20 - Aug20'!$A$3:$A$961,'Mar20-Aug20 Billed-RETAIL'!$C26,'SBR Mar20 - Aug20'!$B$3:$B$961,'Mar20-Aug20 Billed-RETAIL'!$E26)</f>
        <v>87.04</v>
      </c>
      <c r="BI26" s="28">
        <f>SUMIFS('SBR Mar20 - Aug20'!$Y$3:$Y$961,'SBR Mar20 - Aug20'!$A$3:$A$961,'Mar20-Aug20 Billed-RETAIL'!$C26,'SBR Mar20 - Aug20'!$B$3:$B$961,'Mar20-Aug20 Billed-RETAIL'!$E26)</f>
        <v>0.06</v>
      </c>
      <c r="BJ26" s="28">
        <f>SUMIFS('SBR Mar20 - Aug20'!$W$3:$W$961,'SBR Mar20 - Aug20'!$A$3:$A$961,'Mar20-Aug20 Billed-RETAIL'!$C26,'SBR Mar20 - Aug20'!$B$3:$B$961,'Mar20-Aug20 Billed-RETAIL'!$E26)</f>
        <v>5.12</v>
      </c>
      <c r="BK26" s="28">
        <f>SUMIFS('SBR Mar20 - Aug20'!$X$3:$X$961,'SBR Mar20 - Aug20'!$A$3:$A$961,'Mar20-Aug20 Billed-RETAIL'!$C26,'SBR Mar20 - Aug20'!$B$3:$B$961,'Mar20-Aug20 Billed-RETAIL'!$E26)</f>
        <v>1.74</v>
      </c>
      <c r="BL26" s="28">
        <f>SUMIFS('SBR Mar20 - Aug20'!$Z$3:$Z$961,'SBR Mar20 - Aug20'!$A$3:$A$961,'Mar20-Aug20 Billed-RETAIL'!$C26,'SBR Mar20 - Aug20'!$B$3:$B$961,'Mar20-Aug20 Billed-RETAIL'!$E26)</f>
        <v>0</v>
      </c>
      <c r="BM26" s="42">
        <f t="shared" si="42"/>
        <v>0</v>
      </c>
      <c r="BN26" s="42">
        <f t="shared" si="43"/>
        <v>-4.8000000000030241E-3</v>
      </c>
    </row>
    <row r="27" spans="1:66" x14ac:dyDescent="0.25">
      <c r="A27" s="57"/>
      <c r="B27" s="46"/>
      <c r="C27" s="307">
        <f t="shared" si="44"/>
        <v>43922</v>
      </c>
      <c r="D27" s="408" t="str">
        <f t="shared" si="31"/>
        <v>855</v>
      </c>
      <c r="E27" s="405" t="str">
        <f>'Retail Rates'!$B$11</f>
        <v>LGING855</v>
      </c>
      <c r="F27" s="405"/>
      <c r="G27" s="405" t="str">
        <f>VLOOKUP(E27,'Retail Rates'!$B$7:$D$40,3,FALSE)</f>
        <v>Firm Industrial Gas Service-DSM Opt-Out</v>
      </c>
      <c r="H27" s="20">
        <v>44</v>
      </c>
      <c r="I27" s="20">
        <v>49</v>
      </c>
      <c r="J27" s="20">
        <f>SUMIFS('Data-Retail'!$G$2:$G$244,'Data-Retail'!$A$2:$A$244,'Mar20-Aug20 Billed-RETAIL'!$C27,'Data-Retail'!$B$2:$B$244,'Mar20-Aug20 Billed-RETAIL'!$E27)</f>
        <v>68295</v>
      </c>
      <c r="K27" s="20">
        <f>SUMIFS('Data-Retail'!$H$2:$H$244,'Data-Retail'!$A$2:$A$244,'Mar20-Aug20 Billed-RETAIL'!$C27,'Data-Retail'!$B$2:$B$244,'Mar20-Aug20 Billed-RETAIL'!$E27)</f>
        <v>409788</v>
      </c>
      <c r="L27" s="20">
        <v>0</v>
      </c>
      <c r="M27" s="20">
        <v>0</v>
      </c>
      <c r="N27" s="20">
        <v>0</v>
      </c>
      <c r="O27" s="20">
        <v>0</v>
      </c>
      <c r="P27" s="20">
        <v>1320</v>
      </c>
      <c r="Q27" s="20">
        <v>1505.9999999999998</v>
      </c>
      <c r="R27" s="21">
        <f>VLOOKUP($E27,'Retail Rates'!$B$7:$P$40,4,FALSE)</f>
        <v>5.42</v>
      </c>
      <c r="S27" s="21">
        <f>VLOOKUP($E27,'Retail Rates'!$B$7:$P$40,5,FALSE)</f>
        <v>24.64</v>
      </c>
      <c r="T27" s="22">
        <f>VLOOKUP($E27,'Retail Rates'!$B$7:$P$40,8,FALSE)</f>
        <v>0.21929000000000001</v>
      </c>
      <c r="U27" s="22">
        <f>VLOOKUP($E27,'Retail Rates'!$B$7:$P$40,9,FALSE)</f>
        <v>0.16929</v>
      </c>
      <c r="V27" s="22">
        <f>VLOOKUP($E27,'Retail Rates'!$B$7:$P$40,14,FALSE)</f>
        <v>0</v>
      </c>
      <c r="W27" s="22">
        <f>VLOOKUP($E27,'Retail Rates'!$B$7:$P$40,10,FALSE)</f>
        <v>2.1929000000000003</v>
      </c>
      <c r="X27" s="22">
        <f>VLOOKUP($E27,'Retail Rates'!$B$7:$P$40,11,FALSE)</f>
        <v>1.6928999999999998</v>
      </c>
      <c r="Y27" s="22">
        <f>VLOOKUP($E27,'Retail Rates'!$B$7:$P$40,15,FALSE)</f>
        <v>0</v>
      </c>
      <c r="Z27" s="22">
        <v>0</v>
      </c>
      <c r="AA27" s="411">
        <f t="shared" si="26"/>
        <v>7154.4</v>
      </c>
      <c r="AB27" s="411">
        <f>+Q27*S27</f>
        <v>37107.839999999997</v>
      </c>
      <c r="AC27" s="411">
        <f t="shared" si="45"/>
        <v>14976.410550000001</v>
      </c>
      <c r="AD27" s="411">
        <f t="shared" si="45"/>
        <v>69373.010519999996</v>
      </c>
      <c r="AE27" s="411">
        <f t="shared" si="28"/>
        <v>0</v>
      </c>
      <c r="AF27" s="41">
        <v>0</v>
      </c>
      <c r="AG27" s="41">
        <v>0</v>
      </c>
      <c r="AH27" s="33">
        <v>0</v>
      </c>
      <c r="AI27" s="33">
        <v>0</v>
      </c>
      <c r="AJ27" s="41">
        <v>0</v>
      </c>
      <c r="AK27" s="41">
        <v>0</v>
      </c>
      <c r="AL27" s="33">
        <v>0</v>
      </c>
      <c r="AM27" s="33">
        <v>0</v>
      </c>
      <c r="AN27" s="41">
        <v>0</v>
      </c>
      <c r="AO27" s="33">
        <v>0</v>
      </c>
      <c r="AP27" s="411">
        <f t="shared" si="32"/>
        <v>7154.4</v>
      </c>
      <c r="AQ27" s="411">
        <f t="shared" si="33"/>
        <v>37107.839999999997</v>
      </c>
      <c r="AR27" s="411">
        <f t="shared" si="34"/>
        <v>14976.410550000001</v>
      </c>
      <c r="AS27" s="411">
        <f t="shared" si="35"/>
        <v>69373.010519999996</v>
      </c>
      <c r="AT27" s="411">
        <f t="shared" si="36"/>
        <v>0</v>
      </c>
      <c r="AU27" s="411">
        <f t="shared" si="29"/>
        <v>0</v>
      </c>
      <c r="AV27" s="28">
        <f t="shared" si="37"/>
        <v>0</v>
      </c>
      <c r="AW27" s="28">
        <f t="shared" si="38"/>
        <v>162552.95000000001</v>
      </c>
      <c r="AX27" s="28">
        <f t="shared" si="39"/>
        <v>0</v>
      </c>
      <c r="AY27" s="28">
        <f t="shared" si="40"/>
        <v>5930.32</v>
      </c>
      <c r="AZ27" s="28">
        <f t="shared" si="30"/>
        <v>1950.53</v>
      </c>
      <c r="BA27" s="28">
        <f t="shared" si="24"/>
        <v>299045.46000000002</v>
      </c>
      <c r="BB27" s="28">
        <f t="shared" si="25"/>
        <v>299045.42000000004</v>
      </c>
      <c r="BC27" s="29">
        <f t="shared" si="41"/>
        <v>1</v>
      </c>
      <c r="BD27" s="28">
        <f>SUMIFS('SBR Mar20 - Aug20'!$F$3:$F$961,'SBR Mar20 - Aug20'!$A$3:$A$961,'Mar20-Aug20 Billed-RETAIL'!$C27,'SBR Mar20 - Aug20'!$B$3:$B$961,'Mar20-Aug20 Billed-RETAIL'!$E27)</f>
        <v>44262.239999999998</v>
      </c>
      <c r="BE27" s="28">
        <f>SUMIFS('SBR Mar20 - Aug20'!$H$3:$H$961,'SBR Mar20 - Aug20'!$A$3:$A$961,'Mar20-Aug20 Billed-RETAIL'!$C27,'SBR Mar20 - Aug20'!$B$3:$B$961,'Mar20-Aug20 Billed-RETAIL'!$E27)</f>
        <v>84349.38</v>
      </c>
      <c r="BF27" s="28">
        <f>SUMIFS('SBR Mar20 - Aug20'!$G$3:$G$961,'SBR Mar20 - Aug20'!$A$3:$A$961,'Mar20-Aug20 Billed-RETAIL'!$C27,'SBR Mar20 - Aug20'!$B$3:$B$961,'Mar20-Aug20 Billed-RETAIL'!$E27)</f>
        <v>0</v>
      </c>
      <c r="BG27" s="28">
        <f>SUMIFS('SBR Mar20 - Aug20'!$M$3:$M$961,'SBR Mar20 - Aug20'!$A$3:$A$961,'Mar20-Aug20 Billed-RETAIL'!$C27,'SBR Mar20 - Aug20'!$B$3:$B$961,'Mar20-Aug20 Billed-RETAIL'!$E27)</f>
        <v>0</v>
      </c>
      <c r="BH27" s="28">
        <f>SUMIFS('SBR Mar20 - Aug20'!$N$3:$N$961,'SBR Mar20 - Aug20'!$A$3:$A$961,'Mar20-Aug20 Billed-RETAIL'!$C27,'SBR Mar20 - Aug20'!$B$3:$B$961,'Mar20-Aug20 Billed-RETAIL'!$E27)</f>
        <v>162552.95000000001</v>
      </c>
      <c r="BI27" s="28">
        <f>SUMIFS('SBR Mar20 - Aug20'!$Y$3:$Y$961,'SBR Mar20 - Aug20'!$A$3:$A$961,'Mar20-Aug20 Billed-RETAIL'!$C27,'SBR Mar20 - Aug20'!$B$3:$B$961,'Mar20-Aug20 Billed-RETAIL'!$E27)</f>
        <v>0</v>
      </c>
      <c r="BJ27" s="28">
        <f>SUMIFS('SBR Mar20 - Aug20'!$W$3:$W$961,'SBR Mar20 - Aug20'!$A$3:$A$961,'Mar20-Aug20 Billed-RETAIL'!$C27,'SBR Mar20 - Aug20'!$B$3:$B$961,'Mar20-Aug20 Billed-RETAIL'!$E27)</f>
        <v>5930.32</v>
      </c>
      <c r="BK27" s="28">
        <f>SUMIFS('SBR Mar20 - Aug20'!$X$3:$X$961,'SBR Mar20 - Aug20'!$A$3:$A$961,'Mar20-Aug20 Billed-RETAIL'!$C27,'SBR Mar20 - Aug20'!$B$3:$B$961,'Mar20-Aug20 Billed-RETAIL'!$E27)</f>
        <v>1950.53</v>
      </c>
      <c r="BL27" s="28">
        <f>SUMIFS('SBR Mar20 - Aug20'!$Z$3:$Z$961,'SBR Mar20 - Aug20'!$A$3:$A$961,'Mar20-Aug20 Billed-RETAIL'!$C27,'SBR Mar20 - Aug20'!$B$3:$B$961,'Mar20-Aug20 Billed-RETAIL'!$E27)</f>
        <v>0</v>
      </c>
      <c r="BM27" s="42">
        <f t="shared" si="42"/>
        <v>0</v>
      </c>
      <c r="BN27" s="42">
        <f t="shared" si="43"/>
        <v>4.1069999992032535E-2</v>
      </c>
    </row>
    <row r="28" spans="1:66" x14ac:dyDescent="0.25">
      <c r="A28" s="57"/>
      <c r="B28" s="46"/>
      <c r="C28" s="307">
        <f t="shared" si="44"/>
        <v>43922</v>
      </c>
      <c r="D28" s="408" t="str">
        <f t="shared" si="31"/>
        <v>855</v>
      </c>
      <c r="E28" s="405" t="str">
        <f>'Retail Rates'!$B$12</f>
        <v>LGING855DS</v>
      </c>
      <c r="F28" s="405"/>
      <c r="G28" s="405" t="str">
        <f>VLOOKUP(E28,'Retail Rates'!$B$7:$D$40,3,FALSE)</f>
        <v>Firm Industrial Gas Service-DSM Opt-In</v>
      </c>
      <c r="H28" s="20">
        <v>76</v>
      </c>
      <c r="I28" s="20">
        <v>62</v>
      </c>
      <c r="J28" s="20">
        <f>SUMIFS('Data-Retail'!$G$2:$G$244,'Data-Retail'!$A$2:$A$244,'Mar20-Aug20 Billed-RETAIL'!$C28,'Data-Retail'!$B$2:$B$244,'Mar20-Aug20 Billed-RETAIL'!$E28)</f>
        <v>92545</v>
      </c>
      <c r="K28" s="20">
        <f>SUMIFS('Data-Retail'!$H$2:$H$244,'Data-Retail'!$A$2:$A$244,'Mar20-Aug20 Billed-RETAIL'!$C28,'Data-Retail'!$B$2:$B$244,'Mar20-Aug20 Billed-RETAIL'!$E28)</f>
        <v>364993</v>
      </c>
      <c r="L28" s="20">
        <v>0</v>
      </c>
      <c r="M28" s="20">
        <v>0</v>
      </c>
      <c r="N28" s="20">
        <v>0</v>
      </c>
      <c r="O28" s="20">
        <v>0</v>
      </c>
      <c r="P28" s="20">
        <v>2374</v>
      </c>
      <c r="Q28" s="20">
        <v>1916.0000000000002</v>
      </c>
      <c r="R28" s="21">
        <f>VLOOKUP($E28,'Retail Rates'!$B$7:$P$40,4,FALSE)</f>
        <v>5.42</v>
      </c>
      <c r="S28" s="21">
        <f>VLOOKUP($E28,'Retail Rates'!$B$7:$P$40,5,FALSE)</f>
        <v>24.64</v>
      </c>
      <c r="T28" s="22">
        <f>VLOOKUP($E28,'Retail Rates'!$B$7:$P$40,8,FALSE)</f>
        <v>0.21929000000000001</v>
      </c>
      <c r="U28" s="22">
        <f>VLOOKUP($E28,'Retail Rates'!$B$7:$P$40,9,FALSE)</f>
        <v>0.16929</v>
      </c>
      <c r="V28" s="22">
        <f>VLOOKUP($E28,'Retail Rates'!$B$7:$P$40,14,FALSE)</f>
        <v>0</v>
      </c>
      <c r="W28" s="22">
        <f>VLOOKUP($E28,'Retail Rates'!$B$7:$P$40,10,FALSE)</f>
        <v>2.1929000000000003</v>
      </c>
      <c r="X28" s="22">
        <f>VLOOKUP($E28,'Retail Rates'!$B$7:$P$40,11,FALSE)</f>
        <v>1.6928999999999998</v>
      </c>
      <c r="Y28" s="22">
        <f>VLOOKUP($E28,'Retail Rates'!$B$7:$P$40,15,FALSE)</f>
        <v>0</v>
      </c>
      <c r="Z28" s="22">
        <v>0</v>
      </c>
      <c r="AA28" s="411">
        <f t="shared" si="26"/>
        <v>12867.08</v>
      </c>
      <c r="AB28" s="411">
        <f>+Q28*S28</f>
        <v>47210.240000000005</v>
      </c>
      <c r="AC28" s="411">
        <f t="shared" si="45"/>
        <v>20294.193050000002</v>
      </c>
      <c r="AD28" s="411">
        <f t="shared" si="45"/>
        <v>61789.664969999998</v>
      </c>
      <c r="AE28" s="411">
        <f t="shared" si="28"/>
        <v>0</v>
      </c>
      <c r="AF28" s="41">
        <v>0</v>
      </c>
      <c r="AG28" s="41">
        <v>0</v>
      </c>
      <c r="AH28" s="33">
        <v>0</v>
      </c>
      <c r="AI28" s="33">
        <v>0</v>
      </c>
      <c r="AJ28" s="41">
        <v>0</v>
      </c>
      <c r="AK28" s="41">
        <v>0</v>
      </c>
      <c r="AL28" s="33">
        <v>0</v>
      </c>
      <c r="AM28" s="33">
        <v>0</v>
      </c>
      <c r="AN28" s="41">
        <v>0</v>
      </c>
      <c r="AO28" s="33">
        <v>0</v>
      </c>
      <c r="AP28" s="411">
        <f t="shared" si="32"/>
        <v>12867.08</v>
      </c>
      <c r="AQ28" s="411">
        <f t="shared" si="33"/>
        <v>47210.240000000005</v>
      </c>
      <c r="AR28" s="411">
        <f t="shared" si="34"/>
        <v>20294.193050000002</v>
      </c>
      <c r="AS28" s="411">
        <f t="shared" si="35"/>
        <v>61789.664969999998</v>
      </c>
      <c r="AT28" s="411">
        <f t="shared" si="36"/>
        <v>0</v>
      </c>
      <c r="AU28" s="411">
        <f t="shared" si="29"/>
        <v>0</v>
      </c>
      <c r="AV28" s="28">
        <f t="shared" si="37"/>
        <v>150.36000000000001</v>
      </c>
      <c r="AW28" s="28">
        <f t="shared" si="38"/>
        <v>155567.45000000001</v>
      </c>
      <c r="AX28" s="28">
        <f t="shared" si="39"/>
        <v>0</v>
      </c>
      <c r="AY28" s="28">
        <f t="shared" si="40"/>
        <v>8885.85</v>
      </c>
      <c r="AZ28" s="28">
        <f t="shared" si="30"/>
        <v>1866.79</v>
      </c>
      <c r="BA28" s="28">
        <f t="shared" si="24"/>
        <v>308631.63</v>
      </c>
      <c r="BB28" s="28">
        <f t="shared" si="25"/>
        <v>308631.64999999997</v>
      </c>
      <c r="BC28" s="29">
        <f t="shared" si="41"/>
        <v>1</v>
      </c>
      <c r="BD28" s="28">
        <f>SUMIFS('SBR Mar20 - Aug20'!$F$3:$F$961,'SBR Mar20 - Aug20'!$A$3:$A$961,'Mar20-Aug20 Billed-RETAIL'!$C28,'SBR Mar20 - Aug20'!$B$3:$B$961,'Mar20-Aug20 Billed-RETAIL'!$E28)</f>
        <v>60077.32</v>
      </c>
      <c r="BE28" s="28">
        <f>SUMIFS('SBR Mar20 - Aug20'!$H$3:$H$961,'SBR Mar20 - Aug20'!$A$3:$A$961,'Mar20-Aug20 Billed-RETAIL'!$C28,'SBR Mar20 - Aug20'!$B$3:$B$961,'Mar20-Aug20 Billed-RETAIL'!$E28)</f>
        <v>82083.88</v>
      </c>
      <c r="BF28" s="28">
        <f>SUMIFS('SBR Mar20 - Aug20'!$G$3:$G$961,'SBR Mar20 - Aug20'!$A$3:$A$961,'Mar20-Aug20 Billed-RETAIL'!$C28,'SBR Mar20 - Aug20'!$B$3:$B$961,'Mar20-Aug20 Billed-RETAIL'!$E28)</f>
        <v>0</v>
      </c>
      <c r="BG28" s="28">
        <f>SUMIFS('SBR Mar20 - Aug20'!$M$3:$M$961,'SBR Mar20 - Aug20'!$A$3:$A$961,'Mar20-Aug20 Billed-RETAIL'!$C28,'SBR Mar20 - Aug20'!$B$3:$B$961,'Mar20-Aug20 Billed-RETAIL'!$E28)</f>
        <v>150.36000000000001</v>
      </c>
      <c r="BH28" s="28">
        <f>SUMIFS('SBR Mar20 - Aug20'!$N$3:$N$961,'SBR Mar20 - Aug20'!$A$3:$A$961,'Mar20-Aug20 Billed-RETAIL'!$C28,'SBR Mar20 - Aug20'!$B$3:$B$961,'Mar20-Aug20 Billed-RETAIL'!$E28)</f>
        <v>155567.45000000001</v>
      </c>
      <c r="BI28" s="28">
        <f>SUMIFS('SBR Mar20 - Aug20'!$Y$3:$Y$961,'SBR Mar20 - Aug20'!$A$3:$A$961,'Mar20-Aug20 Billed-RETAIL'!$C28,'SBR Mar20 - Aug20'!$B$3:$B$961,'Mar20-Aug20 Billed-RETAIL'!$E28)</f>
        <v>0</v>
      </c>
      <c r="BJ28" s="28">
        <f>SUMIFS('SBR Mar20 - Aug20'!$W$3:$W$961,'SBR Mar20 - Aug20'!$A$3:$A$961,'Mar20-Aug20 Billed-RETAIL'!$C28,'SBR Mar20 - Aug20'!$B$3:$B$961,'Mar20-Aug20 Billed-RETAIL'!$E28)</f>
        <v>8885.85</v>
      </c>
      <c r="BK28" s="28">
        <f>SUMIFS('SBR Mar20 - Aug20'!$X$3:$X$961,'SBR Mar20 - Aug20'!$A$3:$A$961,'Mar20-Aug20 Billed-RETAIL'!$C28,'SBR Mar20 - Aug20'!$B$3:$B$961,'Mar20-Aug20 Billed-RETAIL'!$E28)</f>
        <v>1866.79</v>
      </c>
      <c r="BL28" s="28">
        <f>SUMIFS('SBR Mar20 - Aug20'!$Z$3:$Z$961,'SBR Mar20 - Aug20'!$A$3:$A$961,'Mar20-Aug20 Billed-RETAIL'!$C28,'SBR Mar20 - Aug20'!$B$3:$B$961,'Mar20-Aug20 Billed-RETAIL'!$E28)</f>
        <v>0</v>
      </c>
      <c r="BM28" s="42">
        <f t="shared" si="42"/>
        <v>0</v>
      </c>
      <c r="BN28" s="42">
        <f t="shared" si="43"/>
        <v>-2.1980000004987232E-2</v>
      </c>
    </row>
    <row r="29" spans="1:66" x14ac:dyDescent="0.25">
      <c r="A29" s="57"/>
      <c r="B29" s="46"/>
      <c r="C29" s="307">
        <f t="shared" si="44"/>
        <v>43922</v>
      </c>
      <c r="D29" s="408" t="str">
        <f t="shared" si="31"/>
        <v>863</v>
      </c>
      <c r="E29" s="405" t="str">
        <f>'Retail Rates'!$B$13</f>
        <v>LGCMG863</v>
      </c>
      <c r="F29" s="405"/>
      <c r="G29" s="405" t="str">
        <f>VLOOKUP(E29,'Retail Rates'!$B$7:$D$40,3,FALSE)</f>
        <v>Unmetered Insight Gas Generators</v>
      </c>
      <c r="H29" s="20">
        <f>SUMIFS('Data-Retail'!$F$2:$F$244,'Data-Retail'!$A$2:$A$244,'Mar20-Aug20 Billed-RETAIL'!$C29,'Data-Retail'!$B$2:$B$244,'Mar20-Aug20 Billed-RETAIL'!$E29)</f>
        <v>608</v>
      </c>
      <c r="I29" s="20">
        <v>0</v>
      </c>
      <c r="J29" s="20">
        <f>SUMIFS('Data-Retail'!$G$2:$G$244,'Data-Retail'!$A$2:$A$244,'Mar20-Aug20 Billed-RETAIL'!$C29,'Data-Retail'!$B$2:$B$244,'Mar20-Aug20 Billed-RETAIL'!$E29)</f>
        <v>601</v>
      </c>
      <c r="K29" s="20">
        <f>SUMIFS('Data-Retail'!$H$2:$H$244,'Data-Retail'!$A$2:$A$244,'Mar20-Aug20 Billed-RETAIL'!$C29,'Data-Retail'!$B$2:$B$244,'Mar20-Aug20 Billed-RETAIL'!$E29)</f>
        <v>0</v>
      </c>
      <c r="L29" s="20">
        <v>0</v>
      </c>
      <c r="M29" s="20">
        <v>0</v>
      </c>
      <c r="N29" s="20">
        <v>0</v>
      </c>
      <c r="O29" s="20">
        <v>0</v>
      </c>
      <c r="P29" s="20">
        <v>18806</v>
      </c>
      <c r="Q29" s="20">
        <v>0</v>
      </c>
      <c r="R29" s="21">
        <f>VLOOKUP($E29,'Retail Rates'!$B$7:$P$40,4,FALSE)</f>
        <v>1.97</v>
      </c>
      <c r="S29" s="21">
        <f>VLOOKUP($E29,'Retail Rates'!$B$7:$P$40,5,FALSE)</f>
        <v>9.3699999999999992</v>
      </c>
      <c r="T29" s="22">
        <f>VLOOKUP($E29,'Retail Rates'!$B$7:$P$40,8,FALSE)</f>
        <v>0.30669999999999997</v>
      </c>
      <c r="U29" s="22">
        <f>VLOOKUP($E29,'Retail Rates'!$B$7:$P$40,9,FALSE)</f>
        <v>0.25669999999999998</v>
      </c>
      <c r="V29" s="22">
        <f>VLOOKUP($E29,'Retail Rates'!$B$7:$P$40,14,FALSE)</f>
        <v>0</v>
      </c>
      <c r="W29" s="22">
        <f>VLOOKUP($E29,'Retail Rates'!$B$7:$P$40,10,FALSE)</f>
        <v>3.0669999999999997</v>
      </c>
      <c r="X29" s="22">
        <f>VLOOKUP($E29,'Retail Rates'!$B$7:$P$40,11,FALSE)</f>
        <v>2.5669999999999997</v>
      </c>
      <c r="Y29" s="22">
        <f>VLOOKUP($E29,'Retail Rates'!$B$7:$P$40,15,FALSE)</f>
        <v>0</v>
      </c>
      <c r="Z29" s="22">
        <v>0</v>
      </c>
      <c r="AA29" s="411">
        <f t="shared" si="26"/>
        <v>37047.82</v>
      </c>
      <c r="AB29" s="411">
        <f t="shared" ref="AB29:AB37" si="46">+I29*S29</f>
        <v>0</v>
      </c>
      <c r="AC29" s="411">
        <f>ROUND(T29,2)*J29</f>
        <v>186.31</v>
      </c>
      <c r="AD29" s="411">
        <f t="shared" ref="AD29:AD37" si="47">+K29*U29</f>
        <v>0</v>
      </c>
      <c r="AE29" s="411">
        <f t="shared" si="28"/>
        <v>0</v>
      </c>
      <c r="AF29" s="41">
        <v>0</v>
      </c>
      <c r="AG29" s="41">
        <v>0</v>
      </c>
      <c r="AH29" s="33">
        <v>0</v>
      </c>
      <c r="AI29" s="33">
        <v>0</v>
      </c>
      <c r="AJ29" s="41">
        <v>0</v>
      </c>
      <c r="AK29" s="41">
        <v>0</v>
      </c>
      <c r="AL29" s="33">
        <v>0</v>
      </c>
      <c r="AM29" s="33">
        <v>0</v>
      </c>
      <c r="AN29" s="41">
        <v>0</v>
      </c>
      <c r="AO29" s="33">
        <v>0</v>
      </c>
      <c r="AP29" s="411">
        <f t="shared" si="32"/>
        <v>37047.82</v>
      </c>
      <c r="AQ29" s="411">
        <f t="shared" si="33"/>
        <v>0</v>
      </c>
      <c r="AR29" s="411">
        <f t="shared" si="34"/>
        <v>186.31</v>
      </c>
      <c r="AS29" s="411">
        <f t="shared" si="35"/>
        <v>0</v>
      </c>
      <c r="AT29" s="411">
        <f t="shared" si="36"/>
        <v>0</v>
      </c>
      <c r="AU29" s="411">
        <f t="shared" si="29"/>
        <v>0</v>
      </c>
      <c r="AV29" s="28">
        <f t="shared" si="37"/>
        <v>0</v>
      </c>
      <c r="AW29" s="28">
        <f t="shared" si="38"/>
        <v>204.34</v>
      </c>
      <c r="AX29" s="28">
        <f t="shared" si="39"/>
        <v>0</v>
      </c>
      <c r="AY29" s="28">
        <f t="shared" si="40"/>
        <v>3112.96</v>
      </c>
      <c r="AZ29" s="28">
        <f t="shared" si="30"/>
        <v>6.01</v>
      </c>
      <c r="BA29" s="28">
        <f t="shared" si="24"/>
        <v>40557.440000000002</v>
      </c>
      <c r="BB29" s="28">
        <f t="shared" si="25"/>
        <v>40557.439999999995</v>
      </c>
      <c r="BC29" s="29">
        <f t="shared" si="41"/>
        <v>1</v>
      </c>
      <c r="BD29" s="28">
        <f>SUMIFS('SBR Mar20 - Aug20'!$F$3:$F$961,'SBR Mar20 - Aug20'!$A$3:$A$961,'Mar20-Aug20 Billed-RETAIL'!$C29,'SBR Mar20 - Aug20'!$B$3:$B$961,'Mar20-Aug20 Billed-RETAIL'!$E29)</f>
        <v>37047.82</v>
      </c>
      <c r="BE29" s="28">
        <f>SUMIFS('SBR Mar20 - Aug20'!$H$3:$H$961,'SBR Mar20 - Aug20'!$A$3:$A$961,'Mar20-Aug20 Billed-RETAIL'!$C29,'SBR Mar20 - Aug20'!$B$3:$B$961,'Mar20-Aug20 Billed-RETAIL'!$E29)</f>
        <v>186.31</v>
      </c>
      <c r="BF29" s="28">
        <f>SUMIFS('SBR Mar20 - Aug20'!$G$3:$G$961,'SBR Mar20 - Aug20'!$A$3:$A$961,'Mar20-Aug20 Billed-RETAIL'!$C29,'SBR Mar20 - Aug20'!$B$3:$B$961,'Mar20-Aug20 Billed-RETAIL'!$E29)</f>
        <v>0</v>
      </c>
      <c r="BG29" s="28">
        <f>SUMIFS('SBR Mar20 - Aug20'!$M$3:$M$961,'SBR Mar20 - Aug20'!$A$3:$A$961,'Mar20-Aug20 Billed-RETAIL'!$C29,'SBR Mar20 - Aug20'!$B$3:$B$961,'Mar20-Aug20 Billed-RETAIL'!$E29)</f>
        <v>0</v>
      </c>
      <c r="BH29" s="28">
        <f>SUMIFS('SBR Mar20 - Aug20'!$N$3:$N$961,'SBR Mar20 - Aug20'!$A$3:$A$961,'Mar20-Aug20 Billed-RETAIL'!$C29,'SBR Mar20 - Aug20'!$B$3:$B$961,'Mar20-Aug20 Billed-RETAIL'!$E29)</f>
        <v>204.34</v>
      </c>
      <c r="BI29" s="28">
        <f>SUMIFS('SBR Mar20 - Aug20'!$Y$3:$Y$961,'SBR Mar20 - Aug20'!$A$3:$A$961,'Mar20-Aug20 Billed-RETAIL'!$C29,'SBR Mar20 - Aug20'!$B$3:$B$961,'Mar20-Aug20 Billed-RETAIL'!$E29)</f>
        <v>0</v>
      </c>
      <c r="BJ29" s="28">
        <f>SUMIFS('SBR Mar20 - Aug20'!$W$3:$W$961,'SBR Mar20 - Aug20'!$A$3:$A$961,'Mar20-Aug20 Billed-RETAIL'!$C29,'SBR Mar20 - Aug20'!$B$3:$B$961,'Mar20-Aug20 Billed-RETAIL'!$E29)</f>
        <v>3112.96</v>
      </c>
      <c r="BK29" s="28">
        <f>SUMIFS('SBR Mar20 - Aug20'!$X$3:$X$961,'SBR Mar20 - Aug20'!$A$3:$A$961,'Mar20-Aug20 Billed-RETAIL'!$C29,'SBR Mar20 - Aug20'!$B$3:$B$961,'Mar20-Aug20 Billed-RETAIL'!$E29)</f>
        <v>6.01</v>
      </c>
      <c r="BL29" s="28">
        <f>SUMIFS('SBR Mar20 - Aug20'!$Z$3:$Z$961,'SBR Mar20 - Aug20'!$A$3:$A$961,'Mar20-Aug20 Billed-RETAIL'!$C29,'SBR Mar20 - Aug20'!$B$3:$B$961,'Mar20-Aug20 Billed-RETAIL'!$E29)</f>
        <v>0</v>
      </c>
      <c r="BM29" s="42">
        <f t="shared" si="42"/>
        <v>0</v>
      </c>
      <c r="BN29" s="42">
        <f t="shared" si="43"/>
        <v>0</v>
      </c>
    </row>
    <row r="30" spans="1:66" x14ac:dyDescent="0.25">
      <c r="A30" s="57"/>
      <c r="B30" s="46"/>
      <c r="C30" s="307">
        <f t="shared" si="44"/>
        <v>43922</v>
      </c>
      <c r="D30" s="408" t="str">
        <f t="shared" si="31"/>
        <v>865</v>
      </c>
      <c r="E30" s="405" t="str">
        <f>'Retail Rates'!$B$14</f>
        <v>LGCMG865</v>
      </c>
      <c r="F30" s="405"/>
      <c r="G30" s="405" t="str">
        <f>VLOOKUP(E30,'Retail Rates'!$B$7:$D$40,3,FALSE)</f>
        <v>As-Available Gas Service, Commercial</v>
      </c>
      <c r="H30" s="20">
        <f>SUMIFS('Data-Retail'!$F$2:$F$244,'Data-Retail'!$A$2:$A$244,'Mar20-Aug20 Billed-RETAIL'!$C30,'Data-Retail'!$B$2:$B$244,'Mar20-Aug20 Billed-RETAIL'!$E30)</f>
        <v>2</v>
      </c>
      <c r="I30" s="20">
        <v>0</v>
      </c>
      <c r="J30" s="20">
        <v>0</v>
      </c>
      <c r="K30" s="20">
        <f>SUMIFS('Data-Retail'!$H$2:$H$244,'Data-Retail'!$A$2:$A$244,'Mar20-Aug20 Billed-RETAIL'!$C30,'Data-Retail'!$B$2:$B$244,'Mar20-Aug20 Billed-RETAIL'!$E30)</f>
        <v>0</v>
      </c>
      <c r="L30" s="20">
        <v>0</v>
      </c>
      <c r="M30" s="20">
        <f>SUMIFS('Data-Retail'!$G$2:$G$244,'Data-Retail'!$A$2:$A$244,'Mar20-Aug20 Billed-RETAIL'!$C30,'Data-Retail'!$B$2:$B$244,'Mar20-Aug20 Billed-RETAIL'!$E30)/10</f>
        <v>6630.5</v>
      </c>
      <c r="N30" s="20">
        <v>0</v>
      </c>
      <c r="O30" s="20">
        <v>0</v>
      </c>
      <c r="P30" s="20">
        <v>0</v>
      </c>
      <c r="Q30" s="20">
        <v>0</v>
      </c>
      <c r="R30" s="21">
        <f>VLOOKUP($E30,'Retail Rates'!$B$7:$P$40,4,FALSE)</f>
        <v>500</v>
      </c>
      <c r="S30" s="21">
        <f>VLOOKUP($E30,'Retail Rates'!$B$7:$P$40,5,FALSE)</f>
        <v>0</v>
      </c>
      <c r="T30" s="22">
        <f>VLOOKUP($E30,'Retail Rates'!$B$7:$P$40,8,FALSE)</f>
        <v>0.10644000000000001</v>
      </c>
      <c r="U30" s="22">
        <f>VLOOKUP($E30,'Retail Rates'!$B$7:$P$40,9,FALSE)</f>
        <v>0</v>
      </c>
      <c r="V30" s="22">
        <f>VLOOKUP($E30,'Retail Rates'!$B$7:$P$40,14,FALSE)</f>
        <v>0</v>
      </c>
      <c r="W30" s="22">
        <f>VLOOKUP($E30,'Retail Rates'!$B$7:$P$40,10,FALSE)</f>
        <v>1.0644</v>
      </c>
      <c r="X30" s="22">
        <f>VLOOKUP($E30,'Retail Rates'!$B$7:$P$40,11,FALSE)</f>
        <v>0</v>
      </c>
      <c r="Y30" s="22">
        <f>VLOOKUP($E30,'Retail Rates'!$B$7:$P$40,15,FALSE)</f>
        <v>0</v>
      </c>
      <c r="Z30" s="22">
        <v>0</v>
      </c>
      <c r="AA30" s="411">
        <f t="shared" ref="AA30:AA37" si="48">(+H30*R30)</f>
        <v>1000</v>
      </c>
      <c r="AB30" s="411">
        <f t="shared" si="46"/>
        <v>0</v>
      </c>
      <c r="AC30" s="411">
        <f>+M30*W30</f>
        <v>7057.5042000000003</v>
      </c>
      <c r="AD30" s="411">
        <f t="shared" si="47"/>
        <v>0</v>
      </c>
      <c r="AE30" s="411">
        <f t="shared" si="28"/>
        <v>0</v>
      </c>
      <c r="AF30" s="41">
        <v>0</v>
      </c>
      <c r="AG30" s="41">
        <v>0</v>
      </c>
      <c r="AH30" s="33">
        <v>0</v>
      </c>
      <c r="AI30" s="33">
        <v>0</v>
      </c>
      <c r="AJ30" s="41">
        <v>0</v>
      </c>
      <c r="AK30" s="41">
        <v>0</v>
      </c>
      <c r="AL30" s="33">
        <v>0</v>
      </c>
      <c r="AM30" s="33">
        <v>0</v>
      </c>
      <c r="AN30" s="41">
        <v>0</v>
      </c>
      <c r="AO30" s="33">
        <v>0</v>
      </c>
      <c r="AP30" s="411">
        <f t="shared" si="32"/>
        <v>1000</v>
      </c>
      <c r="AQ30" s="411">
        <f t="shared" si="33"/>
        <v>0</v>
      </c>
      <c r="AR30" s="411">
        <f t="shared" si="34"/>
        <v>7057.5042000000003</v>
      </c>
      <c r="AS30" s="411">
        <f t="shared" si="35"/>
        <v>0</v>
      </c>
      <c r="AT30" s="411">
        <f t="shared" si="36"/>
        <v>0</v>
      </c>
      <c r="AU30" s="411">
        <f t="shared" si="29"/>
        <v>0</v>
      </c>
      <c r="AV30" s="28">
        <f t="shared" si="37"/>
        <v>23.5</v>
      </c>
      <c r="AW30" s="28">
        <f t="shared" si="38"/>
        <v>22544.36</v>
      </c>
      <c r="AX30" s="28">
        <f t="shared" si="39"/>
        <v>0</v>
      </c>
      <c r="AY30" s="28">
        <f t="shared" si="40"/>
        <v>128.78</v>
      </c>
      <c r="AZ30" s="28">
        <f t="shared" si="30"/>
        <v>270.52</v>
      </c>
      <c r="BA30" s="28">
        <f t="shared" si="24"/>
        <v>31024.66</v>
      </c>
      <c r="BB30" s="28">
        <f t="shared" si="25"/>
        <v>31024.66</v>
      </c>
      <c r="BC30" s="29">
        <f t="shared" si="41"/>
        <v>1</v>
      </c>
      <c r="BD30" s="28">
        <f>SUMIFS('SBR Mar20 - Aug20'!$F$3:$F$961,'SBR Mar20 - Aug20'!$A$3:$A$961,'Mar20-Aug20 Billed-RETAIL'!$C30,'SBR Mar20 - Aug20'!$B$3:$B$961,'Mar20-Aug20 Billed-RETAIL'!$E30)</f>
        <v>1000</v>
      </c>
      <c r="BE30" s="28">
        <f>SUMIFS('SBR Mar20 - Aug20'!$H$3:$H$961,'SBR Mar20 - Aug20'!$A$3:$A$961,'Mar20-Aug20 Billed-RETAIL'!$C30,'SBR Mar20 - Aug20'!$B$3:$B$961,'Mar20-Aug20 Billed-RETAIL'!$E30)</f>
        <v>7057.5</v>
      </c>
      <c r="BF30" s="28">
        <f>SUMIFS('SBR Mar20 - Aug20'!$G$3:$G$961,'SBR Mar20 - Aug20'!$A$3:$A$961,'Mar20-Aug20 Billed-RETAIL'!$C30,'SBR Mar20 - Aug20'!$B$3:$B$961,'Mar20-Aug20 Billed-RETAIL'!$E30)</f>
        <v>0</v>
      </c>
      <c r="BG30" s="28">
        <f>SUMIFS('SBR Mar20 - Aug20'!$M$3:$M$961,'SBR Mar20 - Aug20'!$A$3:$A$961,'Mar20-Aug20 Billed-RETAIL'!$C30,'SBR Mar20 - Aug20'!$B$3:$B$961,'Mar20-Aug20 Billed-RETAIL'!$E30)</f>
        <v>23.5</v>
      </c>
      <c r="BH30" s="28">
        <f>SUMIFS('SBR Mar20 - Aug20'!$N$3:$N$961,'SBR Mar20 - Aug20'!$A$3:$A$961,'Mar20-Aug20 Billed-RETAIL'!$C30,'SBR Mar20 - Aug20'!$B$3:$B$961,'Mar20-Aug20 Billed-RETAIL'!$E30)</f>
        <v>22544.36</v>
      </c>
      <c r="BI30" s="28">
        <f>SUMIFS('SBR Mar20 - Aug20'!$Y$3:$Y$961,'SBR Mar20 - Aug20'!$A$3:$A$961,'Mar20-Aug20 Billed-RETAIL'!$C30,'SBR Mar20 - Aug20'!$B$3:$B$961,'Mar20-Aug20 Billed-RETAIL'!$E30)</f>
        <v>0</v>
      </c>
      <c r="BJ30" s="28">
        <f>SUMIFS('SBR Mar20 - Aug20'!$W$3:$W$961,'SBR Mar20 - Aug20'!$A$3:$A$961,'Mar20-Aug20 Billed-RETAIL'!$C30,'SBR Mar20 - Aug20'!$B$3:$B$961,'Mar20-Aug20 Billed-RETAIL'!$E30)</f>
        <v>128.78</v>
      </c>
      <c r="BK30" s="28">
        <f>SUMIFS('SBR Mar20 - Aug20'!$X$3:$X$961,'SBR Mar20 - Aug20'!$A$3:$A$961,'Mar20-Aug20 Billed-RETAIL'!$C30,'SBR Mar20 - Aug20'!$B$3:$B$961,'Mar20-Aug20 Billed-RETAIL'!$E30)</f>
        <v>270.52</v>
      </c>
      <c r="BL30" s="28">
        <f>SUMIFS('SBR Mar20 - Aug20'!$Z$3:$Z$961,'SBR Mar20 - Aug20'!$A$3:$A$961,'Mar20-Aug20 Billed-RETAIL'!$C30,'SBR Mar20 - Aug20'!$B$3:$B$961,'Mar20-Aug20 Billed-RETAIL'!$E30)</f>
        <v>0</v>
      </c>
      <c r="BM30" s="42">
        <f t="shared" si="42"/>
        <v>0</v>
      </c>
      <c r="BN30" s="42">
        <f t="shared" si="43"/>
        <v>4.2000000003099558E-3</v>
      </c>
    </row>
    <row r="31" spans="1:66" x14ac:dyDescent="0.25">
      <c r="A31" s="57"/>
      <c r="B31" s="46"/>
      <c r="C31" s="307">
        <f t="shared" si="44"/>
        <v>43922</v>
      </c>
      <c r="D31" s="408" t="str">
        <f t="shared" si="31"/>
        <v>866</v>
      </c>
      <c r="E31" s="405" t="str">
        <f>'Retail Rates'!$B$15</f>
        <v>LGING866</v>
      </c>
      <c r="F31" s="405"/>
      <c r="G31" s="405" t="str">
        <f>VLOOKUP(E31,'Retail Rates'!$B$7:$D$40,3,FALSE)</f>
        <v>As-Available Gas Service, Industrial Opt Out</v>
      </c>
      <c r="H31" s="20">
        <f>SUMIFS('Data-Retail'!$F$2:$F$244,'Data-Retail'!$A$2:$A$244,'Mar20-Aug20 Billed-RETAIL'!$C31,'Data-Retail'!$B$2:$B$244,'Mar20-Aug20 Billed-RETAIL'!$E31)</f>
        <v>0</v>
      </c>
      <c r="I31" s="20">
        <v>0</v>
      </c>
      <c r="J31" s="20">
        <f>SUMIFS('Data-Retail'!$G$2:$G$244,'Data-Retail'!$A$2:$A$244,'Mar20-Aug20 Billed-RETAIL'!$C31,'Data-Retail'!$B$2:$B$244,'Mar20-Aug20 Billed-RETAIL'!$E31)</f>
        <v>0</v>
      </c>
      <c r="K31" s="20">
        <f>SUMIFS('Data-Retail'!$H$2:$H$244,'Data-Retail'!$A$2:$A$244,'Mar20-Aug20 Billed-RETAIL'!$C31,'Data-Retail'!$B$2:$B$244,'Mar20-Aug20 Billed-RETAIL'!$E31)</f>
        <v>0</v>
      </c>
      <c r="L31" s="20">
        <v>0</v>
      </c>
      <c r="M31" s="20"/>
      <c r="N31" s="20">
        <v>0</v>
      </c>
      <c r="O31" s="20">
        <v>0</v>
      </c>
      <c r="P31" s="20">
        <v>0</v>
      </c>
      <c r="Q31" s="20">
        <v>0</v>
      </c>
      <c r="R31" s="21">
        <f>VLOOKUP($E31,'Retail Rates'!$B$7:$P$40,4,FALSE)</f>
        <v>500</v>
      </c>
      <c r="S31" s="21">
        <f>VLOOKUP($E31,'Retail Rates'!$B$7:$P$40,5,FALSE)</f>
        <v>0</v>
      </c>
      <c r="T31" s="22">
        <f>VLOOKUP($E31,'Retail Rates'!$B$7:$P$40,8,FALSE)</f>
        <v>0.10644000000000001</v>
      </c>
      <c r="U31" s="22">
        <f>VLOOKUP($E31,'Retail Rates'!$B$7:$P$40,9,FALSE)</f>
        <v>0</v>
      </c>
      <c r="V31" s="22">
        <f>VLOOKUP($E31,'Retail Rates'!$B$7:$P$40,14,FALSE)</f>
        <v>0</v>
      </c>
      <c r="W31" s="22">
        <f>VLOOKUP($E31,'Retail Rates'!$B$7:$P$40,10,FALSE)</f>
        <v>1.0644</v>
      </c>
      <c r="X31" s="22">
        <f>VLOOKUP($E31,'Retail Rates'!$B$7:$P$40,11,FALSE)</f>
        <v>0</v>
      </c>
      <c r="Y31" s="22">
        <f>VLOOKUP($E31,'Retail Rates'!$B$7:$P$40,15,FALSE)</f>
        <v>0</v>
      </c>
      <c r="Z31" s="22">
        <v>0</v>
      </c>
      <c r="AA31" s="411">
        <f t="shared" si="48"/>
        <v>0</v>
      </c>
      <c r="AB31" s="411">
        <f t="shared" si="46"/>
        <v>0</v>
      </c>
      <c r="AC31" s="411">
        <f t="shared" ref="AC31:AC33" si="49">+M31*W31</f>
        <v>0</v>
      </c>
      <c r="AD31" s="411">
        <f t="shared" si="47"/>
        <v>0</v>
      </c>
      <c r="AE31" s="411">
        <f t="shared" si="28"/>
        <v>0</v>
      </c>
      <c r="AF31" s="41">
        <v>0</v>
      </c>
      <c r="AG31" s="41">
        <v>0</v>
      </c>
      <c r="AH31" s="33">
        <v>0</v>
      </c>
      <c r="AI31" s="33">
        <v>0</v>
      </c>
      <c r="AJ31" s="41">
        <v>0</v>
      </c>
      <c r="AK31" s="41">
        <v>0</v>
      </c>
      <c r="AL31" s="33">
        <v>0</v>
      </c>
      <c r="AM31" s="33">
        <v>0</v>
      </c>
      <c r="AN31" s="41">
        <v>0</v>
      </c>
      <c r="AO31" s="33">
        <v>0</v>
      </c>
      <c r="AP31" s="411">
        <f t="shared" si="32"/>
        <v>0</v>
      </c>
      <c r="AQ31" s="411">
        <f t="shared" si="33"/>
        <v>0</v>
      </c>
      <c r="AR31" s="411">
        <f t="shared" si="34"/>
        <v>0</v>
      </c>
      <c r="AS31" s="411">
        <f t="shared" si="35"/>
        <v>0</v>
      </c>
      <c r="AT31" s="411">
        <f t="shared" si="36"/>
        <v>0</v>
      </c>
      <c r="AU31" s="411">
        <f t="shared" si="29"/>
        <v>0</v>
      </c>
      <c r="AV31" s="28">
        <f t="shared" si="37"/>
        <v>0</v>
      </c>
      <c r="AW31" s="28">
        <f t="shared" si="38"/>
        <v>0</v>
      </c>
      <c r="AX31" s="28">
        <f t="shared" si="39"/>
        <v>0</v>
      </c>
      <c r="AY31" s="28">
        <f t="shared" si="40"/>
        <v>0</v>
      </c>
      <c r="AZ31" s="28">
        <f t="shared" si="30"/>
        <v>0</v>
      </c>
      <c r="BA31" s="28">
        <f t="shared" si="24"/>
        <v>0</v>
      </c>
      <c r="BB31" s="28">
        <f t="shared" si="25"/>
        <v>0</v>
      </c>
      <c r="BC31" s="29">
        <f t="shared" si="41"/>
        <v>0</v>
      </c>
      <c r="BD31" s="28">
        <f>SUMIFS('SBR Mar20 - Aug20'!$F$3:$F$961,'SBR Mar20 - Aug20'!$A$3:$A$961,'Mar20-Aug20 Billed-RETAIL'!$C31,'SBR Mar20 - Aug20'!$B$3:$B$961,'Mar20-Aug20 Billed-RETAIL'!$E31)</f>
        <v>0</v>
      </c>
      <c r="BE31" s="28">
        <f>SUMIFS('SBR Mar20 - Aug20'!$H$3:$H$961,'SBR Mar20 - Aug20'!$A$3:$A$961,'Mar20-Aug20 Billed-RETAIL'!$C31,'SBR Mar20 - Aug20'!$B$3:$B$961,'Mar20-Aug20 Billed-RETAIL'!$E31)</f>
        <v>0</v>
      </c>
      <c r="BF31" s="28">
        <f>SUMIFS('SBR Mar20 - Aug20'!$G$3:$G$961,'SBR Mar20 - Aug20'!$A$3:$A$961,'Mar20-Aug20 Billed-RETAIL'!$C31,'SBR Mar20 - Aug20'!$B$3:$B$961,'Mar20-Aug20 Billed-RETAIL'!$E31)</f>
        <v>0</v>
      </c>
      <c r="BG31" s="28">
        <f>SUMIFS('SBR Mar20 - Aug20'!$M$3:$M$961,'SBR Mar20 - Aug20'!$A$3:$A$961,'Mar20-Aug20 Billed-RETAIL'!$C31,'SBR Mar20 - Aug20'!$B$3:$B$961,'Mar20-Aug20 Billed-RETAIL'!$E31)</f>
        <v>0</v>
      </c>
      <c r="BH31" s="28">
        <f>SUMIFS('SBR Mar20 - Aug20'!$N$3:$N$961,'SBR Mar20 - Aug20'!$A$3:$A$961,'Mar20-Aug20 Billed-RETAIL'!$C31,'SBR Mar20 - Aug20'!$B$3:$B$961,'Mar20-Aug20 Billed-RETAIL'!$E31)</f>
        <v>0</v>
      </c>
      <c r="BI31" s="28">
        <f>SUMIFS('SBR Mar20 - Aug20'!$Y$3:$Y$961,'SBR Mar20 - Aug20'!$A$3:$A$961,'Mar20-Aug20 Billed-RETAIL'!$C31,'SBR Mar20 - Aug20'!$B$3:$B$961,'Mar20-Aug20 Billed-RETAIL'!$E31)</f>
        <v>0</v>
      </c>
      <c r="BJ31" s="28">
        <f>SUMIFS('SBR Mar20 - Aug20'!$W$3:$W$961,'SBR Mar20 - Aug20'!$A$3:$A$961,'Mar20-Aug20 Billed-RETAIL'!$C31,'SBR Mar20 - Aug20'!$B$3:$B$961,'Mar20-Aug20 Billed-RETAIL'!$E31)</f>
        <v>0</v>
      </c>
      <c r="BK31" s="28">
        <f>SUMIFS('SBR Mar20 - Aug20'!$X$3:$X$961,'SBR Mar20 - Aug20'!$A$3:$A$961,'Mar20-Aug20 Billed-RETAIL'!$C31,'SBR Mar20 - Aug20'!$B$3:$B$961,'Mar20-Aug20 Billed-RETAIL'!$E31)</f>
        <v>0</v>
      </c>
      <c r="BL31" s="28">
        <f>SUMIFS('SBR Mar20 - Aug20'!$Z$3:$Z$961,'SBR Mar20 - Aug20'!$A$3:$A$961,'Mar20-Aug20 Billed-RETAIL'!$C31,'SBR Mar20 - Aug20'!$B$3:$B$961,'Mar20-Aug20 Billed-RETAIL'!$E31)</f>
        <v>0</v>
      </c>
      <c r="BM31" s="42">
        <f t="shared" si="42"/>
        <v>0</v>
      </c>
      <c r="BN31" s="42">
        <f t="shared" si="43"/>
        <v>0</v>
      </c>
    </row>
    <row r="32" spans="1:66" ht="15" customHeight="1" x14ac:dyDescent="0.25">
      <c r="A32" s="57"/>
      <c r="B32" s="46"/>
      <c r="C32" s="307">
        <f t="shared" si="44"/>
        <v>43922</v>
      </c>
      <c r="D32" s="408" t="str">
        <f t="shared" si="31"/>
        <v>866</v>
      </c>
      <c r="E32" s="405" t="str">
        <f>'Retail Rates'!$B$16</f>
        <v>LGING866DS</v>
      </c>
      <c r="F32" s="405"/>
      <c r="G32" s="405" t="str">
        <f>VLOOKUP(E32,'Retail Rates'!$B$7:$D$40,3,FALSE)</f>
        <v>As-Available Gas Service, Industrial Opt In</v>
      </c>
      <c r="H32" s="20">
        <f>SUMIFS('Data-Retail'!$F$2:$F$244,'Data-Retail'!$A$2:$A$244,'Mar20-Aug20 Billed-RETAIL'!$C32,'Data-Retail'!$B$2:$B$244,'Mar20-Aug20 Billed-RETAIL'!$E32)</f>
        <v>1</v>
      </c>
      <c r="I32" s="20">
        <v>0</v>
      </c>
      <c r="J32" s="20">
        <v>0</v>
      </c>
      <c r="K32" s="20">
        <f>SUMIFS('Data-Retail'!$H$2:$H$244,'Data-Retail'!$A$2:$A$244,'Mar20-Aug20 Billed-RETAIL'!$C32,'Data-Retail'!$B$2:$B$244,'Mar20-Aug20 Billed-RETAIL'!$E32)</f>
        <v>0</v>
      </c>
      <c r="L32" s="20">
        <v>0</v>
      </c>
      <c r="M32" s="20">
        <f>SUMIFS('Data-Retail'!$G$2:$G$244,'Data-Retail'!$A$2:$A$244,'Mar20-Aug20 Billed-RETAIL'!$C32,'Data-Retail'!$B$2:$B$244,'Mar20-Aug20 Billed-RETAIL'!$E32)/10</f>
        <v>2915.5</v>
      </c>
      <c r="N32" s="20">
        <v>0</v>
      </c>
      <c r="O32" s="20">
        <v>0</v>
      </c>
      <c r="P32" s="20">
        <v>0</v>
      </c>
      <c r="Q32" s="20">
        <v>0</v>
      </c>
      <c r="R32" s="21">
        <f>VLOOKUP($E32,'Retail Rates'!$B$7:$P$40,4,FALSE)</f>
        <v>500</v>
      </c>
      <c r="S32" s="21">
        <f>VLOOKUP($E32,'Retail Rates'!$B$7:$P$40,5,FALSE)</f>
        <v>0</v>
      </c>
      <c r="T32" s="22">
        <f>VLOOKUP($E32,'Retail Rates'!$B$7:$P$40,8,FALSE)</f>
        <v>0.10644000000000001</v>
      </c>
      <c r="U32" s="22">
        <f>VLOOKUP($E32,'Retail Rates'!$B$7:$P$40,9,FALSE)</f>
        <v>0</v>
      </c>
      <c r="V32" s="22">
        <f>VLOOKUP($E32,'Retail Rates'!$B$7:$P$40,14,FALSE)</f>
        <v>0</v>
      </c>
      <c r="W32" s="22">
        <f>VLOOKUP($E32,'Retail Rates'!$B$7:$P$40,10,FALSE)</f>
        <v>1.0644</v>
      </c>
      <c r="X32" s="22">
        <f>VLOOKUP($E32,'Retail Rates'!$B$7:$P$40,11,FALSE)</f>
        <v>0</v>
      </c>
      <c r="Y32" s="22">
        <f>VLOOKUP($E32,'Retail Rates'!$B$7:$P$40,15,FALSE)</f>
        <v>0</v>
      </c>
      <c r="Z32" s="22">
        <v>0</v>
      </c>
      <c r="AA32" s="411">
        <f t="shared" si="48"/>
        <v>500</v>
      </c>
      <c r="AB32" s="411">
        <f t="shared" si="46"/>
        <v>0</v>
      </c>
      <c r="AC32" s="411">
        <f t="shared" si="49"/>
        <v>3103.2582000000002</v>
      </c>
      <c r="AD32" s="411">
        <f t="shared" si="47"/>
        <v>0</v>
      </c>
      <c r="AE32" s="411">
        <f t="shared" si="28"/>
        <v>0</v>
      </c>
      <c r="AF32" s="41">
        <v>0</v>
      </c>
      <c r="AG32" s="41">
        <v>0</v>
      </c>
      <c r="AH32" s="33">
        <v>0</v>
      </c>
      <c r="AI32" s="33">
        <v>0</v>
      </c>
      <c r="AJ32" s="41">
        <v>0</v>
      </c>
      <c r="AK32" s="41">
        <v>0</v>
      </c>
      <c r="AL32" s="33">
        <v>0</v>
      </c>
      <c r="AM32" s="33">
        <v>0</v>
      </c>
      <c r="AN32" s="41">
        <v>0</v>
      </c>
      <c r="AO32" s="33">
        <v>0</v>
      </c>
      <c r="AP32" s="411">
        <f t="shared" si="32"/>
        <v>500</v>
      </c>
      <c r="AQ32" s="411">
        <f t="shared" si="33"/>
        <v>0</v>
      </c>
      <c r="AR32" s="411">
        <f t="shared" si="34"/>
        <v>3103.2582000000002</v>
      </c>
      <c r="AS32" s="411">
        <f t="shared" si="35"/>
        <v>0</v>
      </c>
      <c r="AT32" s="411">
        <f t="shared" si="36"/>
        <v>0</v>
      </c>
      <c r="AU32" s="411">
        <f t="shared" si="29"/>
        <v>0</v>
      </c>
      <c r="AV32" s="28">
        <f t="shared" si="37"/>
        <v>12.8</v>
      </c>
      <c r="AW32" s="28">
        <f t="shared" si="38"/>
        <v>9912.99</v>
      </c>
      <c r="AX32" s="28">
        <f t="shared" si="39"/>
        <v>0</v>
      </c>
      <c r="AY32" s="28">
        <f t="shared" si="40"/>
        <v>64.39</v>
      </c>
      <c r="AZ32" s="28">
        <f t="shared" si="30"/>
        <v>118.95</v>
      </c>
      <c r="BA32" s="28">
        <f t="shared" si="24"/>
        <v>13712.39</v>
      </c>
      <c r="BB32" s="28">
        <f t="shared" si="25"/>
        <v>13712.39</v>
      </c>
      <c r="BC32" s="29">
        <f t="shared" si="41"/>
        <v>1</v>
      </c>
      <c r="BD32" s="28">
        <f>SUMIFS('SBR Mar20 - Aug20'!$F$3:$F$961,'SBR Mar20 - Aug20'!$A$3:$A$961,'Mar20-Aug20 Billed-RETAIL'!$C32,'SBR Mar20 - Aug20'!$B$3:$B$961,'Mar20-Aug20 Billed-RETAIL'!$E32)</f>
        <v>500</v>
      </c>
      <c r="BE32" s="28">
        <f>SUMIFS('SBR Mar20 - Aug20'!$H$3:$H$961,'SBR Mar20 - Aug20'!$A$3:$A$961,'Mar20-Aug20 Billed-RETAIL'!$C32,'SBR Mar20 - Aug20'!$B$3:$B$961,'Mar20-Aug20 Billed-RETAIL'!$E32)</f>
        <v>3103.26</v>
      </c>
      <c r="BF32" s="28">
        <f>SUMIFS('SBR Mar20 - Aug20'!$G$3:$G$961,'SBR Mar20 - Aug20'!$A$3:$A$961,'Mar20-Aug20 Billed-RETAIL'!$C32,'SBR Mar20 - Aug20'!$B$3:$B$961,'Mar20-Aug20 Billed-RETAIL'!$E32)</f>
        <v>0</v>
      </c>
      <c r="BG32" s="28">
        <f>SUMIFS('SBR Mar20 - Aug20'!$M$3:$M$961,'SBR Mar20 - Aug20'!$A$3:$A$961,'Mar20-Aug20 Billed-RETAIL'!$C32,'SBR Mar20 - Aug20'!$B$3:$B$961,'Mar20-Aug20 Billed-RETAIL'!$E32)</f>
        <v>12.8</v>
      </c>
      <c r="BH32" s="28">
        <f>SUMIFS('SBR Mar20 - Aug20'!$N$3:$N$961,'SBR Mar20 - Aug20'!$A$3:$A$961,'Mar20-Aug20 Billed-RETAIL'!$C32,'SBR Mar20 - Aug20'!$B$3:$B$961,'Mar20-Aug20 Billed-RETAIL'!$E32)</f>
        <v>9912.99</v>
      </c>
      <c r="BI32" s="28">
        <f>SUMIFS('SBR Mar20 - Aug20'!$Y$3:$Y$961,'SBR Mar20 - Aug20'!$A$3:$A$961,'Mar20-Aug20 Billed-RETAIL'!$C32,'SBR Mar20 - Aug20'!$B$3:$B$961,'Mar20-Aug20 Billed-RETAIL'!$E32)</f>
        <v>0</v>
      </c>
      <c r="BJ32" s="28">
        <f>SUMIFS('SBR Mar20 - Aug20'!$W$3:$W$961,'SBR Mar20 - Aug20'!$A$3:$A$961,'Mar20-Aug20 Billed-RETAIL'!$C32,'SBR Mar20 - Aug20'!$B$3:$B$961,'Mar20-Aug20 Billed-RETAIL'!$E32)</f>
        <v>64.39</v>
      </c>
      <c r="BK32" s="28">
        <f>SUMIFS('SBR Mar20 - Aug20'!$X$3:$X$961,'SBR Mar20 - Aug20'!$A$3:$A$961,'Mar20-Aug20 Billed-RETAIL'!$C32,'SBR Mar20 - Aug20'!$B$3:$B$961,'Mar20-Aug20 Billed-RETAIL'!$E32)</f>
        <v>118.95</v>
      </c>
      <c r="BL32" s="28">
        <f>SUMIFS('SBR Mar20 - Aug20'!$Z$3:$Z$961,'SBR Mar20 - Aug20'!$A$3:$A$961,'Mar20-Aug20 Billed-RETAIL'!$C32,'SBR Mar20 - Aug20'!$B$3:$B$961,'Mar20-Aug20 Billed-RETAIL'!$E32)</f>
        <v>0</v>
      </c>
      <c r="BM32" s="42">
        <f t="shared" si="42"/>
        <v>0</v>
      </c>
      <c r="BN32" s="42">
        <f t="shared" si="43"/>
        <v>-1.8000000000029104E-3</v>
      </c>
    </row>
    <row r="33" spans="1:67" ht="15" customHeight="1" x14ac:dyDescent="0.25">
      <c r="A33" s="57"/>
      <c r="B33" s="46"/>
      <c r="C33" s="307">
        <f t="shared" si="44"/>
        <v>43922</v>
      </c>
      <c r="D33" s="408" t="str">
        <f t="shared" si="31"/>
        <v>870</v>
      </c>
      <c r="E33" s="405" t="str">
        <f>'Retail Rates'!$B$17</f>
        <v>LGCMG870</v>
      </c>
      <c r="F33" s="405"/>
      <c r="G33" s="405" t="str">
        <f>VLOOKUP(E33,'Retail Rates'!$B$7:$D$40,3,FALSE)</f>
        <v>Substitute Gas Sales Service-Commercial</v>
      </c>
      <c r="H33" s="20">
        <f>SUMIFS('Data-Retail'!$F$2:$F$244,'Data-Retail'!$A$2:$A$244,'Mar20-Aug20 Billed-RETAIL'!$C33,'Data-Retail'!$B$2:$B$244,'Mar20-Aug20 Billed-RETAIL'!$E33)</f>
        <v>0</v>
      </c>
      <c r="I33" s="20">
        <v>0</v>
      </c>
      <c r="J33" s="20">
        <f>SUMIFS('Data-Retail'!$G$2:$G$244,'Data-Retail'!$A$2:$A$244,'Mar20-Aug20 Billed-RETAIL'!$C33,'Data-Retail'!$B$2:$B$244,'Mar20-Aug20 Billed-RETAIL'!$E33)</f>
        <v>0</v>
      </c>
      <c r="K33" s="20">
        <f>SUMIFS('Data-Retail'!$H$2:$H$244,'Data-Retail'!$A$2:$A$244,'Mar20-Aug20 Billed-RETAIL'!$C33,'Data-Retail'!$B$2:$B$244,'Mar20-Aug20 Billed-RETAIL'!$E33)</f>
        <v>0</v>
      </c>
      <c r="L33" s="20">
        <f>SUMIFS('Data-Retail'!$P$2:$P$987,'Data-Retail'!$A$2:$A$987,'Mar20-Aug20 Billed-RETAIL'!$C33,'Data-Retail'!$B$2:$B$987,'Mar20-Aug20 Billed-RETAIL'!$E33)/V33</f>
        <v>0</v>
      </c>
      <c r="M33" s="20">
        <f>SUMIFS('Data-Retail'!$G$2:$G$244,'Data-Retail'!$A$2:$A$244,'Mar20-Aug20 Billed-RETAIL'!$C33,'Data-Retail'!$B$2:$B$244,'Mar20-Aug20 Billed-RETAIL'!$E33)/10</f>
        <v>0</v>
      </c>
      <c r="N33" s="20">
        <v>0</v>
      </c>
      <c r="O33" s="20">
        <f>(SUMIFS('Data-Retail'!$P$2:$P$987,'Data-Retail'!$A$2:$A$987,'Mar20-Aug20 Billed-RETAIL'!$C33,'Data-Retail'!$B$2:$B$987,'Mar20-Aug20 Billed-RETAIL'!$E33)/V33)</f>
        <v>0</v>
      </c>
      <c r="P33" s="20">
        <v>0</v>
      </c>
      <c r="Q33" s="20">
        <v>0</v>
      </c>
      <c r="R33" s="21">
        <f>VLOOKUP($E33,'Retail Rates'!$B$7:$P$40,4,FALSE)</f>
        <v>285</v>
      </c>
      <c r="S33" s="21">
        <f>VLOOKUP($E33,'Retail Rates'!$B$7:$P$40,5,FALSE)</f>
        <v>0</v>
      </c>
      <c r="T33" s="22">
        <f>VLOOKUP($E33,'Retail Rates'!$B$7:$P$40,8,FALSE)</f>
        <v>3.603E-2</v>
      </c>
      <c r="U33" s="22">
        <f>VLOOKUP($E33,'Retail Rates'!$B$7:$P$40,9,FALSE)</f>
        <v>0</v>
      </c>
      <c r="V33" s="22">
        <f>VLOOKUP($E33,'Retail Rates'!$B$7:$P$40,14,FALSE)</f>
        <v>0.65599999999999992</v>
      </c>
      <c r="W33" s="22">
        <f>VLOOKUP($E33,'Retail Rates'!$B$7:$P$40,10,FALSE)</f>
        <v>0.36030000000000001</v>
      </c>
      <c r="X33" s="22">
        <f>VLOOKUP($E33,'Retail Rates'!$B$7:$P$40,11,FALSE)</f>
        <v>0</v>
      </c>
      <c r="Y33" s="22">
        <f>VLOOKUP($E33,'Retail Rates'!$B$7:$P$40,15,FALSE)</f>
        <v>6.56</v>
      </c>
      <c r="Z33" s="22">
        <v>0</v>
      </c>
      <c r="AA33" s="411">
        <f t="shared" si="48"/>
        <v>0</v>
      </c>
      <c r="AB33" s="411">
        <f t="shared" si="46"/>
        <v>0</v>
      </c>
      <c r="AC33" s="411">
        <f t="shared" si="49"/>
        <v>0</v>
      </c>
      <c r="AD33" s="411">
        <f t="shared" si="47"/>
        <v>0</v>
      </c>
      <c r="AE33" s="411">
        <f t="shared" si="28"/>
        <v>0</v>
      </c>
      <c r="AF33" s="41">
        <v>0</v>
      </c>
      <c r="AG33" s="41">
        <v>0</v>
      </c>
      <c r="AH33" s="33">
        <v>0</v>
      </c>
      <c r="AI33" s="33">
        <v>0</v>
      </c>
      <c r="AJ33" s="41">
        <v>0</v>
      </c>
      <c r="AK33" s="41">
        <v>0</v>
      </c>
      <c r="AL33" s="33">
        <v>0</v>
      </c>
      <c r="AM33" s="33">
        <v>0</v>
      </c>
      <c r="AN33" s="41">
        <v>0</v>
      </c>
      <c r="AO33" s="33">
        <v>0</v>
      </c>
      <c r="AP33" s="411">
        <f t="shared" si="32"/>
        <v>0</v>
      </c>
      <c r="AQ33" s="411">
        <f t="shared" si="33"/>
        <v>0</v>
      </c>
      <c r="AR33" s="411">
        <f t="shared" si="34"/>
        <v>0</v>
      </c>
      <c r="AS33" s="411">
        <f t="shared" si="35"/>
        <v>0</v>
      </c>
      <c r="AT33" s="23">
        <f t="shared" si="36"/>
        <v>0</v>
      </c>
      <c r="AU33" s="411">
        <f t="shared" si="29"/>
        <v>0</v>
      </c>
      <c r="AV33" s="28">
        <f t="shared" si="37"/>
        <v>0</v>
      </c>
      <c r="AW33" s="28">
        <f t="shared" si="38"/>
        <v>0</v>
      </c>
      <c r="AX33" s="28">
        <f t="shared" si="39"/>
        <v>0</v>
      </c>
      <c r="AY33" s="28">
        <f t="shared" si="40"/>
        <v>0</v>
      </c>
      <c r="AZ33" s="28">
        <f t="shared" si="30"/>
        <v>0</v>
      </c>
      <c r="BA33" s="28">
        <f t="shared" si="24"/>
        <v>0</v>
      </c>
      <c r="BB33" s="28">
        <f t="shared" si="25"/>
        <v>0</v>
      </c>
      <c r="BC33" s="29">
        <f t="shared" si="41"/>
        <v>0</v>
      </c>
      <c r="BD33" s="28">
        <f>SUMIFS('SBR Mar20 - Aug20'!$F$3:$F$961,'SBR Mar20 - Aug20'!$A$3:$A$961,'Mar20-Aug20 Billed-RETAIL'!$C33,'SBR Mar20 - Aug20'!$B$3:$B$961,'Mar20-Aug20 Billed-RETAIL'!$E33)</f>
        <v>0</v>
      </c>
      <c r="BE33" s="28">
        <f>SUMIFS('SBR Mar20 - Aug20'!$H$3:$H$961,'SBR Mar20 - Aug20'!$A$3:$A$961,'Mar20-Aug20 Billed-RETAIL'!$C33,'SBR Mar20 - Aug20'!$B$3:$B$961,'Mar20-Aug20 Billed-RETAIL'!$E33)</f>
        <v>0</v>
      </c>
      <c r="BF33" s="28">
        <f>SUMIFS('SBR Mar20 - Aug20'!$G$3:$G$961,'SBR Mar20 - Aug20'!$A$3:$A$961,'Mar20-Aug20 Billed-RETAIL'!$C33,'SBR Mar20 - Aug20'!$B$3:$B$961,'Mar20-Aug20 Billed-RETAIL'!$E33)</f>
        <v>0</v>
      </c>
      <c r="BG33" s="28">
        <f>SUMIFS('SBR Mar20 - Aug20'!$M$3:$M$961,'SBR Mar20 - Aug20'!$A$3:$A$961,'Mar20-Aug20 Billed-RETAIL'!$C33,'SBR Mar20 - Aug20'!$B$3:$B$961,'Mar20-Aug20 Billed-RETAIL'!$E33)</f>
        <v>0</v>
      </c>
      <c r="BH33" s="28">
        <f>SUMIFS('SBR Mar20 - Aug20'!$N$3:$N$961,'SBR Mar20 - Aug20'!$A$3:$A$961,'Mar20-Aug20 Billed-RETAIL'!$C33,'SBR Mar20 - Aug20'!$B$3:$B$961,'Mar20-Aug20 Billed-RETAIL'!$E33)</f>
        <v>0</v>
      </c>
      <c r="BI33" s="28">
        <f>SUMIFS('SBR Mar20 - Aug20'!$Y$3:$Y$961,'SBR Mar20 - Aug20'!$A$3:$A$961,'Mar20-Aug20 Billed-RETAIL'!$C33,'SBR Mar20 - Aug20'!$B$3:$B$961,'Mar20-Aug20 Billed-RETAIL'!$E33)</f>
        <v>0</v>
      </c>
      <c r="BJ33" s="28">
        <f>SUMIFS('SBR Mar20 - Aug20'!$W$3:$W$961,'SBR Mar20 - Aug20'!$A$3:$A$961,'Mar20-Aug20 Billed-RETAIL'!$C33,'SBR Mar20 - Aug20'!$B$3:$B$961,'Mar20-Aug20 Billed-RETAIL'!$E33)</f>
        <v>0</v>
      </c>
      <c r="BK33" s="28">
        <f>SUMIFS('SBR Mar20 - Aug20'!$X$3:$X$961,'SBR Mar20 - Aug20'!$A$3:$A$961,'Mar20-Aug20 Billed-RETAIL'!$C33,'SBR Mar20 - Aug20'!$B$3:$B$961,'Mar20-Aug20 Billed-RETAIL'!$E33)</f>
        <v>0</v>
      </c>
      <c r="BL33" s="28">
        <f>SUMIFS('SBR Mar20 - Aug20'!$Z$3:$Z$961,'SBR Mar20 - Aug20'!$A$3:$A$961,'Mar20-Aug20 Billed-RETAIL'!$C33,'SBR Mar20 - Aug20'!$B$3:$B$961,'Mar20-Aug20 Billed-RETAIL'!$E33)</f>
        <v>0</v>
      </c>
      <c r="BM33" s="42">
        <f t="shared" si="42"/>
        <v>0</v>
      </c>
      <c r="BN33" s="42">
        <f t="shared" si="43"/>
        <v>0</v>
      </c>
      <c r="BO33" s="42">
        <f>AT33-BF33</f>
        <v>0</v>
      </c>
    </row>
    <row r="34" spans="1:67" ht="15" customHeight="1" x14ac:dyDescent="0.25">
      <c r="A34" s="57"/>
      <c r="B34" s="46"/>
      <c r="C34" s="307">
        <f t="shared" si="44"/>
        <v>43922</v>
      </c>
      <c r="D34" s="408" t="str">
        <f t="shared" si="31"/>
        <v>871</v>
      </c>
      <c r="E34" s="405" t="str">
        <f>'Retail Rates'!$B$18</f>
        <v>LGING871DO</v>
      </c>
      <c r="F34" s="405"/>
      <c r="G34" s="405" t="str">
        <f>VLOOKUP(E34,'Retail Rates'!$B$7:$D$40,3,FALSE)</f>
        <v>Substitute Gas Sales Service-Industrial Opt Out</v>
      </c>
      <c r="H34" s="20">
        <f>SUMIFS('Data-Retail'!$F$2:$F$244,'Data-Retail'!$A$2:$A$244,'Mar20-Aug20 Billed-RETAIL'!$C34,'Data-Retail'!$B$2:$B$244,'Mar20-Aug20 Billed-RETAIL'!$E34)</f>
        <v>0</v>
      </c>
      <c r="I34" s="20">
        <v>0</v>
      </c>
      <c r="J34" s="20">
        <f>SUMIFS('Data-Retail'!$G$2:$G$244,'Data-Retail'!$A$2:$A$244,'Mar20-Aug20 Billed-RETAIL'!$C34,'Data-Retail'!$B$2:$B$244,'Mar20-Aug20 Billed-RETAIL'!$E34)</f>
        <v>0</v>
      </c>
      <c r="K34" s="20">
        <f>SUMIFS('Data-Retail'!$H$2:$H$244,'Data-Retail'!$A$2:$A$244,'Mar20-Aug20 Billed-RETAIL'!$C34,'Data-Retail'!$B$2:$B$244,'Mar20-Aug20 Billed-RETAIL'!$E34)</f>
        <v>0</v>
      </c>
      <c r="L34" s="20">
        <f>SUMIFS('Data-Retail'!$P$2:$P$987,'Data-Retail'!$A$2:$A$987,'Mar20-Aug20 Billed-RETAIL'!$C34,'Data-Retail'!$B$2:$B$987,'Mar20-Aug20 Billed-RETAIL'!$E34)/V34</f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1">
        <f>VLOOKUP($E34,'Retail Rates'!$B$7:$P$40,4,FALSE)</f>
        <v>750</v>
      </c>
      <c r="S34" s="21">
        <f>VLOOKUP($E34,'Retail Rates'!$B$7:$P$40,5,FALSE)</f>
        <v>0</v>
      </c>
      <c r="T34" s="22">
        <f>VLOOKUP($E34,'Retail Rates'!$B$7:$P$40,8,FALSE)</f>
        <v>2.9919999999999995E-2</v>
      </c>
      <c r="U34" s="22">
        <f>VLOOKUP($E34,'Retail Rates'!$B$7:$P$40,9,FALSE)</f>
        <v>0</v>
      </c>
      <c r="V34" s="22">
        <f>VLOOKUP($E34,'Retail Rates'!$B$7:$P$40,14,FALSE)</f>
        <v>1.0900000000000001</v>
      </c>
      <c r="W34" s="22">
        <f>VLOOKUP($E34,'Retail Rates'!$B$7:$P$40,10,FALSE)</f>
        <v>0.29919999999999997</v>
      </c>
      <c r="X34" s="22">
        <f>VLOOKUP($E34,'Retail Rates'!$B$7:$P$40,11,FALSE)</f>
        <v>0</v>
      </c>
      <c r="Y34" s="22">
        <f>VLOOKUP($E34,'Retail Rates'!$B$7:$P$40,15,FALSE)</f>
        <v>10.9</v>
      </c>
      <c r="Z34" s="22">
        <v>0</v>
      </c>
      <c r="AA34" s="411">
        <f t="shared" si="48"/>
        <v>0</v>
      </c>
      <c r="AB34" s="411">
        <f t="shared" si="46"/>
        <v>0</v>
      </c>
      <c r="AC34" s="411">
        <f t="shared" ref="AC34:AC37" si="50">+J34*T34</f>
        <v>0</v>
      </c>
      <c r="AD34" s="411">
        <f t="shared" si="47"/>
        <v>0</v>
      </c>
      <c r="AE34" s="411">
        <f>O34*Y34</f>
        <v>0</v>
      </c>
      <c r="AF34" s="41">
        <v>0</v>
      </c>
      <c r="AG34" s="41">
        <v>0</v>
      </c>
      <c r="AH34" s="33">
        <v>0</v>
      </c>
      <c r="AI34" s="33">
        <v>0</v>
      </c>
      <c r="AJ34" s="41">
        <v>0</v>
      </c>
      <c r="AK34" s="41">
        <v>0</v>
      </c>
      <c r="AL34" s="33">
        <v>0</v>
      </c>
      <c r="AM34" s="33">
        <v>0</v>
      </c>
      <c r="AN34" s="41">
        <v>0</v>
      </c>
      <c r="AO34" s="33">
        <v>0</v>
      </c>
      <c r="AP34" s="411">
        <f t="shared" si="32"/>
        <v>0</v>
      </c>
      <c r="AQ34" s="411">
        <f t="shared" si="33"/>
        <v>0</v>
      </c>
      <c r="AR34" s="411">
        <f t="shared" si="34"/>
        <v>0</v>
      </c>
      <c r="AS34" s="411">
        <f t="shared" si="35"/>
        <v>0</v>
      </c>
      <c r="AT34" s="411">
        <f t="shared" si="36"/>
        <v>0</v>
      </c>
      <c r="AU34" s="411">
        <f t="shared" si="29"/>
        <v>0</v>
      </c>
      <c r="AV34" s="28">
        <f t="shared" si="37"/>
        <v>0</v>
      </c>
      <c r="AW34" s="28">
        <f t="shared" si="38"/>
        <v>0</v>
      </c>
      <c r="AX34" s="28">
        <f t="shared" si="39"/>
        <v>0</v>
      </c>
      <c r="AY34" s="28">
        <f t="shared" si="40"/>
        <v>0</v>
      </c>
      <c r="AZ34" s="28">
        <f t="shared" si="30"/>
        <v>0</v>
      </c>
      <c r="BA34" s="28">
        <f t="shared" si="24"/>
        <v>0</v>
      </c>
      <c r="BB34" s="28">
        <f t="shared" si="25"/>
        <v>0</v>
      </c>
      <c r="BC34" s="29">
        <f t="shared" si="41"/>
        <v>0</v>
      </c>
      <c r="BD34" s="28">
        <f>SUMIFS('SBR Mar20 - Aug20'!$F$3:$F$961,'SBR Mar20 - Aug20'!$A$3:$A$961,'Mar20-Aug20 Billed-RETAIL'!$C34,'SBR Mar20 - Aug20'!$B$3:$B$961,'Mar20-Aug20 Billed-RETAIL'!$E34)</f>
        <v>0</v>
      </c>
      <c r="BE34" s="28">
        <f>SUMIFS('SBR Mar20 - Aug20'!$H$3:$H$961,'SBR Mar20 - Aug20'!$A$3:$A$961,'Mar20-Aug20 Billed-RETAIL'!$C34,'SBR Mar20 - Aug20'!$B$3:$B$961,'Mar20-Aug20 Billed-RETAIL'!$E34)</f>
        <v>0</v>
      </c>
      <c r="BF34" s="28">
        <f>SUMIFS('SBR Mar20 - Aug20'!$G$3:$G$961,'SBR Mar20 - Aug20'!$A$3:$A$961,'Mar20-Aug20 Billed-RETAIL'!$C34,'SBR Mar20 - Aug20'!$B$3:$B$961,'Mar20-Aug20 Billed-RETAIL'!$E34)</f>
        <v>0</v>
      </c>
      <c r="BG34" s="28">
        <f>SUMIFS('SBR Mar20 - Aug20'!$M$3:$M$961,'SBR Mar20 - Aug20'!$A$3:$A$961,'Mar20-Aug20 Billed-RETAIL'!$C34,'SBR Mar20 - Aug20'!$B$3:$B$961,'Mar20-Aug20 Billed-RETAIL'!$E34)</f>
        <v>0</v>
      </c>
      <c r="BH34" s="28">
        <f>SUMIFS('SBR Mar20 - Aug20'!$N$3:$N$961,'SBR Mar20 - Aug20'!$A$3:$A$961,'Mar20-Aug20 Billed-RETAIL'!$C34,'SBR Mar20 - Aug20'!$B$3:$B$961,'Mar20-Aug20 Billed-RETAIL'!$E34)</f>
        <v>0</v>
      </c>
      <c r="BI34" s="28">
        <f>SUMIFS('SBR Mar20 - Aug20'!$Y$3:$Y$961,'SBR Mar20 - Aug20'!$A$3:$A$961,'Mar20-Aug20 Billed-RETAIL'!$C34,'SBR Mar20 - Aug20'!$B$3:$B$961,'Mar20-Aug20 Billed-RETAIL'!$E34)</f>
        <v>0</v>
      </c>
      <c r="BJ34" s="28">
        <f>SUMIFS('SBR Mar20 - Aug20'!$W$3:$W$961,'SBR Mar20 - Aug20'!$A$3:$A$961,'Mar20-Aug20 Billed-RETAIL'!$C34,'SBR Mar20 - Aug20'!$B$3:$B$961,'Mar20-Aug20 Billed-RETAIL'!$E34)</f>
        <v>0</v>
      </c>
      <c r="BK34" s="28">
        <f>SUMIFS('SBR Mar20 - Aug20'!$X$3:$X$961,'SBR Mar20 - Aug20'!$A$3:$A$961,'Mar20-Aug20 Billed-RETAIL'!$C34,'SBR Mar20 - Aug20'!$B$3:$B$961,'Mar20-Aug20 Billed-RETAIL'!$E34)</f>
        <v>0</v>
      </c>
      <c r="BL34" s="28">
        <f>SUMIFS('SBR Mar20 - Aug20'!$Z$3:$Z$961,'SBR Mar20 - Aug20'!$A$3:$A$961,'Mar20-Aug20 Billed-RETAIL'!$C34,'SBR Mar20 - Aug20'!$B$3:$B$961,'Mar20-Aug20 Billed-RETAIL'!$E34)</f>
        <v>0</v>
      </c>
      <c r="BM34" s="42">
        <f t="shared" si="42"/>
        <v>0</v>
      </c>
      <c r="BN34" s="42">
        <f t="shared" si="43"/>
        <v>0</v>
      </c>
    </row>
    <row r="35" spans="1:67" ht="15" customHeight="1" x14ac:dyDescent="0.25">
      <c r="A35" s="57"/>
      <c r="B35" s="46"/>
      <c r="C35" s="307">
        <f t="shared" si="44"/>
        <v>43922</v>
      </c>
      <c r="D35" s="408" t="str">
        <f t="shared" si="31"/>
        <v>871</v>
      </c>
      <c r="E35" s="405" t="str">
        <f>'Retail Rates'!$B$19</f>
        <v>LGING871DS</v>
      </c>
      <c r="F35" s="405"/>
      <c r="G35" s="405" t="str">
        <f>VLOOKUP(E35,'Retail Rates'!$B$7:$D$40,3,FALSE)</f>
        <v>Substitute Gas Sales Service-Industrial Opt In</v>
      </c>
      <c r="H35" s="20">
        <f>SUMIFS('Data-Retail'!$F$2:$F$244,'Data-Retail'!$A$2:$A$244,'Mar20-Aug20 Billed-RETAIL'!$C35,'Data-Retail'!$B$2:$B$244,'Mar20-Aug20 Billed-RETAIL'!$E35)</f>
        <v>0</v>
      </c>
      <c r="I35" s="20">
        <v>0</v>
      </c>
      <c r="J35" s="20">
        <f>SUMIFS('Data-Retail'!$G$2:$G$244,'Data-Retail'!$A$2:$A$244,'Mar20-Aug20 Billed-RETAIL'!$C35,'Data-Retail'!$B$2:$B$244,'Mar20-Aug20 Billed-RETAIL'!$E35)</f>
        <v>0</v>
      </c>
      <c r="K35" s="20">
        <f>SUMIFS('Data-Retail'!$H$2:$H$244,'Data-Retail'!$A$2:$A$244,'Mar20-Aug20 Billed-RETAIL'!$C35,'Data-Retail'!$B$2:$B$244,'Mar20-Aug20 Billed-RETAIL'!$E35)</f>
        <v>0</v>
      </c>
      <c r="L35" s="20">
        <f>SUMIFS('Data-Retail'!$P$2:$P$987,'Data-Retail'!$A$2:$A$987,'Mar20-Aug20 Billed-RETAIL'!$C35,'Data-Retail'!$B$2:$B$987,'Mar20-Aug20 Billed-RETAIL'!$E35)/V35</f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1">
        <f>VLOOKUP($E35,'Retail Rates'!$B$7:$P$40,4,FALSE)</f>
        <v>750</v>
      </c>
      <c r="S35" s="21">
        <f>VLOOKUP($E35,'Retail Rates'!$B$7:$P$40,5,FALSE)</f>
        <v>0</v>
      </c>
      <c r="T35" s="22">
        <f>VLOOKUP($E35,'Retail Rates'!$B$7:$P$40,8,FALSE)</f>
        <v>2.9919999999999995E-2</v>
      </c>
      <c r="U35" s="22">
        <f>VLOOKUP($E35,'Retail Rates'!$B$7:$P$40,9,FALSE)</f>
        <v>0</v>
      </c>
      <c r="V35" s="22">
        <f>VLOOKUP($E35,'Retail Rates'!$B$7:$P$40,14,FALSE)</f>
        <v>1.0900000000000001</v>
      </c>
      <c r="W35" s="22">
        <f>VLOOKUP($E35,'Retail Rates'!$B$7:$P$40,10,FALSE)</f>
        <v>0.29919999999999997</v>
      </c>
      <c r="X35" s="22">
        <f>VLOOKUP($E35,'Retail Rates'!$B$7:$P$40,11,FALSE)</f>
        <v>0</v>
      </c>
      <c r="Y35" s="22">
        <f>VLOOKUP($E35,'Retail Rates'!$B$7:$P$40,15,FALSE)</f>
        <v>10.9</v>
      </c>
      <c r="Z35" s="22">
        <v>0</v>
      </c>
      <c r="AA35" s="411">
        <f t="shared" si="48"/>
        <v>0</v>
      </c>
      <c r="AB35" s="411">
        <f t="shared" si="46"/>
        <v>0</v>
      </c>
      <c r="AC35" s="411">
        <f t="shared" si="50"/>
        <v>0</v>
      </c>
      <c r="AD35" s="411">
        <f t="shared" si="47"/>
        <v>0</v>
      </c>
      <c r="AE35" s="411">
        <f t="shared" si="28"/>
        <v>0</v>
      </c>
      <c r="AF35" s="41">
        <v>0</v>
      </c>
      <c r="AG35" s="41">
        <v>0</v>
      </c>
      <c r="AH35" s="33">
        <v>0</v>
      </c>
      <c r="AI35" s="33">
        <v>0</v>
      </c>
      <c r="AJ35" s="41">
        <v>0</v>
      </c>
      <c r="AK35" s="41">
        <v>0</v>
      </c>
      <c r="AL35" s="33">
        <v>0</v>
      </c>
      <c r="AM35" s="33">
        <v>0</v>
      </c>
      <c r="AN35" s="41">
        <v>0</v>
      </c>
      <c r="AO35" s="33">
        <v>0</v>
      </c>
      <c r="AP35" s="411">
        <f t="shared" si="32"/>
        <v>0</v>
      </c>
      <c r="AQ35" s="411">
        <f t="shared" si="33"/>
        <v>0</v>
      </c>
      <c r="AR35" s="411">
        <f t="shared" si="34"/>
        <v>0</v>
      </c>
      <c r="AS35" s="411">
        <f t="shared" si="35"/>
        <v>0</v>
      </c>
      <c r="AT35" s="411">
        <f t="shared" si="36"/>
        <v>0</v>
      </c>
      <c r="AU35" s="411">
        <f t="shared" si="29"/>
        <v>0</v>
      </c>
      <c r="AV35" s="28">
        <f t="shared" si="37"/>
        <v>0</v>
      </c>
      <c r="AW35" s="28">
        <f t="shared" si="38"/>
        <v>0</v>
      </c>
      <c r="AX35" s="28">
        <f t="shared" si="39"/>
        <v>0</v>
      </c>
      <c r="AY35" s="28">
        <f t="shared" si="40"/>
        <v>0</v>
      </c>
      <c r="AZ35" s="28">
        <f t="shared" si="30"/>
        <v>0</v>
      </c>
      <c r="BA35" s="28">
        <f t="shared" si="24"/>
        <v>0</v>
      </c>
      <c r="BB35" s="28">
        <f t="shared" si="25"/>
        <v>0</v>
      </c>
      <c r="BC35" s="29">
        <f t="shared" si="41"/>
        <v>0</v>
      </c>
      <c r="BD35" s="28">
        <f>SUMIFS('SBR Mar20 - Aug20'!$F$3:$F$961,'SBR Mar20 - Aug20'!$A$3:$A$961,'Mar20-Aug20 Billed-RETAIL'!$C35,'SBR Mar20 - Aug20'!$B$3:$B$961,'Mar20-Aug20 Billed-RETAIL'!$E35)</f>
        <v>0</v>
      </c>
      <c r="BE35" s="28">
        <f>SUMIFS('SBR Mar20 - Aug20'!$H$3:$H$961,'SBR Mar20 - Aug20'!$A$3:$A$961,'Mar20-Aug20 Billed-RETAIL'!$C35,'SBR Mar20 - Aug20'!$B$3:$B$961,'Mar20-Aug20 Billed-RETAIL'!$E35)</f>
        <v>0</v>
      </c>
      <c r="BF35" s="28">
        <f>SUMIFS('SBR Mar20 - Aug20'!$G$3:$G$961,'SBR Mar20 - Aug20'!$A$3:$A$961,'Mar20-Aug20 Billed-RETAIL'!$C35,'SBR Mar20 - Aug20'!$B$3:$B$961,'Mar20-Aug20 Billed-RETAIL'!$E35)</f>
        <v>0</v>
      </c>
      <c r="BG35" s="28">
        <f>SUMIFS('SBR Mar20 - Aug20'!$M$3:$M$961,'SBR Mar20 - Aug20'!$A$3:$A$961,'Mar20-Aug20 Billed-RETAIL'!$C35,'SBR Mar20 - Aug20'!$B$3:$B$961,'Mar20-Aug20 Billed-RETAIL'!$E35)</f>
        <v>0</v>
      </c>
      <c r="BH35" s="28">
        <f>SUMIFS('SBR Mar20 - Aug20'!$N$3:$N$961,'SBR Mar20 - Aug20'!$A$3:$A$961,'Mar20-Aug20 Billed-RETAIL'!$C35,'SBR Mar20 - Aug20'!$B$3:$B$961,'Mar20-Aug20 Billed-RETAIL'!$E35)</f>
        <v>0</v>
      </c>
      <c r="BI35" s="28">
        <f>SUMIFS('SBR Mar20 - Aug20'!$Y$3:$Y$961,'SBR Mar20 - Aug20'!$A$3:$A$961,'Mar20-Aug20 Billed-RETAIL'!$C35,'SBR Mar20 - Aug20'!$B$3:$B$961,'Mar20-Aug20 Billed-RETAIL'!$E35)</f>
        <v>0</v>
      </c>
      <c r="BJ35" s="28">
        <f>SUMIFS('SBR Mar20 - Aug20'!$W$3:$W$961,'SBR Mar20 - Aug20'!$A$3:$A$961,'Mar20-Aug20 Billed-RETAIL'!$C35,'SBR Mar20 - Aug20'!$B$3:$B$961,'Mar20-Aug20 Billed-RETAIL'!$E35)</f>
        <v>0</v>
      </c>
      <c r="BK35" s="28">
        <f>SUMIFS('SBR Mar20 - Aug20'!$X$3:$X$961,'SBR Mar20 - Aug20'!$A$3:$A$961,'Mar20-Aug20 Billed-RETAIL'!$C35,'SBR Mar20 - Aug20'!$B$3:$B$961,'Mar20-Aug20 Billed-RETAIL'!$E35)</f>
        <v>0</v>
      </c>
      <c r="BL35" s="28">
        <f>SUMIFS('SBR Mar20 - Aug20'!$Z$3:$Z$961,'SBR Mar20 - Aug20'!$A$3:$A$961,'Mar20-Aug20 Billed-RETAIL'!$C35,'SBR Mar20 - Aug20'!$B$3:$B$961,'Mar20-Aug20 Billed-RETAIL'!$E35)</f>
        <v>0</v>
      </c>
      <c r="BM35" s="42">
        <f t="shared" si="42"/>
        <v>0</v>
      </c>
      <c r="BN35" s="42">
        <f t="shared" si="43"/>
        <v>0</v>
      </c>
    </row>
    <row r="36" spans="1:67" ht="15" customHeight="1" x14ac:dyDescent="0.25">
      <c r="A36" s="57"/>
      <c r="B36" s="46"/>
      <c r="C36" s="307">
        <f t="shared" si="44"/>
        <v>43922</v>
      </c>
      <c r="D36" s="408" t="str">
        <f t="shared" si="31"/>
        <v>875</v>
      </c>
      <c r="E36" s="405" t="str">
        <f>'Retail Rates'!$B$21</f>
        <v>LGCMG875</v>
      </c>
      <c r="F36" s="405"/>
      <c r="G36" s="405" t="str">
        <f>VLOOKUP(E36,'Retail Rates'!$B$7:$D$40,3,FALSE)</f>
        <v>Distributed Generation Gas Service, Commercial</v>
      </c>
      <c r="H36" s="20">
        <f>SUMIFS('Data-Retail'!$F$2:$F$244,'Data-Retail'!$A$2:$A$244,'Mar20-Aug20 Billed-RETAIL'!$C36,'Data-Retail'!$B$2:$B$244,'Mar20-Aug20 Billed-RETAIL'!$E36)</f>
        <v>2</v>
      </c>
      <c r="I36" s="20">
        <v>0</v>
      </c>
      <c r="J36" s="20">
        <f>SUMIFS('Data-Retail'!$G$2:$G$244,'Data-Retail'!$A$2:$A$244,'Mar20-Aug20 Billed-RETAIL'!$C36,'Data-Retail'!$B$2:$B$244,'Mar20-Aug20 Billed-RETAIL'!$E36)</f>
        <v>11</v>
      </c>
      <c r="K36" s="20">
        <f>SUMIFS('Data-Retail'!$H$2:$H$244,'Data-Retail'!$A$2:$A$244,'Mar20-Aug20 Billed-RETAIL'!$C36,'Data-Retail'!$B$2:$B$244,'Mar20-Aug20 Billed-RETAIL'!$E36)</f>
        <v>0</v>
      </c>
      <c r="L36" s="20">
        <f>SUMIFS('Data-Retail'!$P$2:$P$987,'Data-Retail'!$A$2:$A$987,'Mar20-Aug20 Billed-RETAIL'!$C36,'Data-Retail'!$B$2:$B$987,'Mar20-Aug20 Billed-RETAIL'!$E36)/V36</f>
        <v>1100.0385398887852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1">
        <f>VLOOKUP($E36,'Retail Rates'!$B$7:$P$40,4,FALSE)</f>
        <v>165</v>
      </c>
      <c r="S36" s="21">
        <f>VLOOKUP($E36,'Retail Rates'!$B$7:$P$40,5,FALSE)</f>
        <v>750</v>
      </c>
      <c r="T36" s="22">
        <f>VLOOKUP($E36,'Retail Rates'!$B$7:$P$40,8,FALSE)</f>
        <v>2.9919999999999999E-2</v>
      </c>
      <c r="U36" s="22">
        <f>VLOOKUP($E36,'Retail Rates'!$B$7:$P$40,9,FALSE)</f>
        <v>0</v>
      </c>
      <c r="V36" s="22">
        <f>VLOOKUP($E36,'Retail Rates'!$B$7:$P$40,14,FALSE)</f>
        <v>1.08978</v>
      </c>
      <c r="W36" s="22">
        <f>VLOOKUP($E36,'Retail Rates'!$B$7:$P$40,10,FALSE)</f>
        <v>0.29919999999999997</v>
      </c>
      <c r="X36" s="22">
        <f>VLOOKUP($E36,'Retail Rates'!$B$7:$P$40,11,FALSE)</f>
        <v>0</v>
      </c>
      <c r="Y36" s="22">
        <f>VLOOKUP($E36,'Retail Rates'!$B$7:$P$40,15,FALSE)</f>
        <v>10.8978</v>
      </c>
      <c r="Z36" s="22">
        <v>0</v>
      </c>
      <c r="AA36" s="411">
        <f t="shared" si="48"/>
        <v>330</v>
      </c>
      <c r="AB36" s="411">
        <f t="shared" si="46"/>
        <v>0</v>
      </c>
      <c r="AC36" s="411">
        <f t="shared" si="50"/>
        <v>0.32911999999999997</v>
      </c>
      <c r="AD36" s="411">
        <f t="shared" si="47"/>
        <v>0</v>
      </c>
      <c r="AE36" s="411">
        <f t="shared" si="28"/>
        <v>1198.8000000000002</v>
      </c>
      <c r="AF36" s="41">
        <v>0</v>
      </c>
      <c r="AG36" s="41">
        <v>0</v>
      </c>
      <c r="AH36" s="33">
        <v>0</v>
      </c>
      <c r="AI36" s="33">
        <v>0</v>
      </c>
      <c r="AJ36" s="41">
        <v>0</v>
      </c>
      <c r="AK36" s="41">
        <v>0</v>
      </c>
      <c r="AL36" s="33">
        <v>0</v>
      </c>
      <c r="AM36" s="33">
        <v>0</v>
      </c>
      <c r="AN36" s="41">
        <v>0</v>
      </c>
      <c r="AO36" s="33">
        <v>0</v>
      </c>
      <c r="AP36" s="411">
        <f t="shared" si="32"/>
        <v>330</v>
      </c>
      <c r="AQ36" s="411">
        <f t="shared" si="33"/>
        <v>0</v>
      </c>
      <c r="AR36" s="411">
        <f t="shared" si="34"/>
        <v>0.32911999999999997</v>
      </c>
      <c r="AS36" s="411">
        <f t="shared" si="35"/>
        <v>0</v>
      </c>
      <c r="AT36" s="411">
        <f t="shared" si="36"/>
        <v>1198.8000000000002</v>
      </c>
      <c r="AU36" s="411">
        <f t="shared" si="29"/>
        <v>0</v>
      </c>
      <c r="AV36" s="28">
        <f t="shared" si="37"/>
        <v>0</v>
      </c>
      <c r="AW36" s="28">
        <f t="shared" si="38"/>
        <v>3.74</v>
      </c>
      <c r="AX36" s="28">
        <f t="shared" si="39"/>
        <v>0</v>
      </c>
      <c r="AY36" s="28">
        <f t="shared" si="40"/>
        <v>128.78</v>
      </c>
      <c r="AZ36" s="28">
        <f t="shared" si="30"/>
        <v>0.04</v>
      </c>
      <c r="BA36" s="28">
        <f t="shared" si="24"/>
        <v>1661.69</v>
      </c>
      <c r="BB36" s="28">
        <f t="shared" si="25"/>
        <v>1661.6899999999998</v>
      </c>
      <c r="BC36" s="29">
        <f t="shared" si="41"/>
        <v>1</v>
      </c>
      <c r="BD36" s="28">
        <f>SUMIFS('SBR Mar20 - Aug20'!$F$3:$F$961,'SBR Mar20 - Aug20'!$A$3:$A$961,'Mar20-Aug20 Billed-RETAIL'!$C36,'SBR Mar20 - Aug20'!$B$3:$B$961,'Mar20-Aug20 Billed-RETAIL'!$E36)</f>
        <v>330</v>
      </c>
      <c r="BE36" s="28">
        <f>SUMIFS('SBR Mar20 - Aug20'!$H$3:$H$961,'SBR Mar20 - Aug20'!$A$3:$A$961,'Mar20-Aug20 Billed-RETAIL'!$C36,'SBR Mar20 - Aug20'!$B$3:$B$961,'Mar20-Aug20 Billed-RETAIL'!$E36)</f>
        <v>0.33</v>
      </c>
      <c r="BF36" s="28">
        <f>SUMIFS('SBR Mar20 - Aug20'!$G$3:$G$961,'SBR Mar20 - Aug20'!$A$3:$A$961,'Mar20-Aug20 Billed-RETAIL'!$C36,'SBR Mar20 - Aug20'!$B$3:$B$961,'Mar20-Aug20 Billed-RETAIL'!$E36)</f>
        <v>1198.8</v>
      </c>
      <c r="BG36" s="28">
        <f>SUMIFS('SBR Mar20 - Aug20'!$M$3:$M$961,'SBR Mar20 - Aug20'!$A$3:$A$961,'Mar20-Aug20 Billed-RETAIL'!$C36,'SBR Mar20 - Aug20'!$B$3:$B$961,'Mar20-Aug20 Billed-RETAIL'!$E36)</f>
        <v>0</v>
      </c>
      <c r="BH36" s="28">
        <f>SUMIFS('SBR Mar20 - Aug20'!$N$3:$N$961,'SBR Mar20 - Aug20'!$A$3:$A$961,'Mar20-Aug20 Billed-RETAIL'!$C36,'SBR Mar20 - Aug20'!$B$3:$B$961,'Mar20-Aug20 Billed-RETAIL'!$E36)</f>
        <v>3.74</v>
      </c>
      <c r="BI36" s="28">
        <f>SUMIFS('SBR Mar20 - Aug20'!$Y$3:$Y$961,'SBR Mar20 - Aug20'!$A$3:$A$961,'Mar20-Aug20 Billed-RETAIL'!$C36,'SBR Mar20 - Aug20'!$B$3:$B$961,'Mar20-Aug20 Billed-RETAIL'!$E36)</f>
        <v>0</v>
      </c>
      <c r="BJ36" s="28">
        <f>SUMIFS('SBR Mar20 - Aug20'!$W$3:$W$961,'SBR Mar20 - Aug20'!$A$3:$A$961,'Mar20-Aug20 Billed-RETAIL'!$C36,'SBR Mar20 - Aug20'!$B$3:$B$961,'Mar20-Aug20 Billed-RETAIL'!$E36)</f>
        <v>128.78</v>
      </c>
      <c r="BK36" s="28">
        <f>SUMIFS('SBR Mar20 - Aug20'!$X$3:$X$961,'SBR Mar20 - Aug20'!$A$3:$A$961,'Mar20-Aug20 Billed-RETAIL'!$C36,'SBR Mar20 - Aug20'!$B$3:$B$961,'Mar20-Aug20 Billed-RETAIL'!$E36)</f>
        <v>0.04</v>
      </c>
      <c r="BL36" s="28">
        <f>SUMIFS('SBR Mar20 - Aug20'!$Z$3:$Z$961,'SBR Mar20 - Aug20'!$A$3:$A$961,'Mar20-Aug20 Billed-RETAIL'!$C36,'SBR Mar20 - Aug20'!$B$3:$B$961,'Mar20-Aug20 Billed-RETAIL'!$E36)</f>
        <v>0</v>
      </c>
      <c r="BM36" s="42">
        <f t="shared" si="42"/>
        <v>0</v>
      </c>
      <c r="BN36" s="42">
        <f t="shared" si="43"/>
        <v>-8.8000000000004741E-4</v>
      </c>
    </row>
    <row r="37" spans="1:67" ht="15" customHeight="1" x14ac:dyDescent="0.25">
      <c r="A37" s="57"/>
      <c r="B37" s="46"/>
      <c r="C37" s="307">
        <f>C36</f>
        <v>43922</v>
      </c>
      <c r="D37" s="408">
        <v>996</v>
      </c>
      <c r="E37" s="405" t="s">
        <v>32</v>
      </c>
      <c r="F37" s="405"/>
      <c r="G37" s="405" t="s">
        <v>624</v>
      </c>
      <c r="H37" s="20">
        <f>SUMIFS('Data-Retail'!$F$2:$F$244,'Data-Retail'!$A$2:$A$244,'Mar20-Aug20 Billed-RETAIL'!$C37,'Data-Retail'!$B$2:$B$244,'Mar20-Aug20 Billed-RETAIL'!$E37)</f>
        <v>1</v>
      </c>
      <c r="I37" s="20">
        <v>0</v>
      </c>
      <c r="J37" s="20">
        <f>SUMIFS('Data-Retail'!$G$2:$G$244,'Data-Retail'!$A$2:$A$244,'Mar20-Aug20 Billed-RETAIL'!$C37,'Data-Retail'!$B$2:$B$244,'Mar20-Aug20 Billed-RETAIL'!$E37)</f>
        <v>197374</v>
      </c>
      <c r="K37" s="20"/>
      <c r="L37" s="20">
        <f>SUMIFS('Data-Retail'!$P$2:$P$987,'Data-Retail'!$A$2:$A$987,'Mar20-Aug20 Billed-RETAIL'!$C37,'Data-Retail'!$B$2:$B$987,'Mar20-Aug20 Billed-RETAIL'!$E37)/V37</f>
        <v>165600.0018352328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1">
        <f>VLOOKUP($E37,'Retail Rates'!$B$7:$P$40,4,FALSE)</f>
        <v>750</v>
      </c>
      <c r="S37" s="21">
        <f>VLOOKUP($E37,'Retail Rates'!$B$7:$P$40,5,FALSE)</f>
        <v>0</v>
      </c>
      <c r="T37" s="22">
        <f>VLOOKUP($E37,'Retail Rates'!$B$7:$P$40,8,FALSE)</f>
        <v>2.9920000000000002E-2</v>
      </c>
      <c r="U37" s="22">
        <f>VLOOKUP($E37,'Retail Rates'!$B$7:$P$40,9,FALSE)</f>
        <v>0</v>
      </c>
      <c r="V37" s="22">
        <f>VLOOKUP($E37,'Retail Rates'!$B$7:$P$40,14,FALSE)</f>
        <v>1.08978</v>
      </c>
      <c r="W37" s="22">
        <f>VLOOKUP($E37,'Retail Rates'!$B$7:$P$40,10,FALSE)</f>
        <v>0.29920000000000002</v>
      </c>
      <c r="X37" s="22">
        <f>VLOOKUP($E37,'Retail Rates'!$B$7:$P$40,11,FALSE)</f>
        <v>0</v>
      </c>
      <c r="Y37" s="22">
        <f>VLOOKUP($E37,'Retail Rates'!$B$7:$P$40,15,FALSE)</f>
        <v>10.8978</v>
      </c>
      <c r="Z37" s="22">
        <v>0</v>
      </c>
      <c r="AA37" s="411">
        <f t="shared" si="48"/>
        <v>750</v>
      </c>
      <c r="AB37" s="411">
        <f t="shared" si="46"/>
        <v>0</v>
      </c>
      <c r="AC37" s="411">
        <f t="shared" si="50"/>
        <v>5905.4300800000001</v>
      </c>
      <c r="AD37" s="411">
        <f t="shared" si="47"/>
        <v>0</v>
      </c>
      <c r="AE37" s="411">
        <f t="shared" si="28"/>
        <v>180467.57</v>
      </c>
      <c r="AF37" s="41">
        <v>0</v>
      </c>
      <c r="AG37" s="41">
        <v>0</v>
      </c>
      <c r="AH37" s="33">
        <v>0</v>
      </c>
      <c r="AI37" s="33">
        <v>0</v>
      </c>
      <c r="AJ37" s="41">
        <v>0</v>
      </c>
      <c r="AK37" s="41">
        <v>0</v>
      </c>
      <c r="AL37" s="33">
        <v>0</v>
      </c>
      <c r="AM37" s="33">
        <v>0</v>
      </c>
      <c r="AN37" s="41">
        <v>0</v>
      </c>
      <c r="AO37" s="33">
        <v>0</v>
      </c>
      <c r="AP37" s="411">
        <f t="shared" si="32"/>
        <v>750</v>
      </c>
      <c r="AQ37" s="411">
        <f t="shared" si="33"/>
        <v>0</v>
      </c>
      <c r="AR37" s="411">
        <f t="shared" si="34"/>
        <v>5905.4300800000001</v>
      </c>
      <c r="AS37" s="411">
        <f t="shared" si="35"/>
        <v>0</v>
      </c>
      <c r="AT37" s="411">
        <f t="shared" si="36"/>
        <v>180467.57</v>
      </c>
      <c r="AU37" s="411">
        <f t="shared" si="29"/>
        <v>0</v>
      </c>
      <c r="AV37" s="28">
        <f t="shared" si="37"/>
        <v>0</v>
      </c>
      <c r="AW37" s="28">
        <f t="shared" si="38"/>
        <v>67109.13</v>
      </c>
      <c r="AX37" s="28">
        <f t="shared" si="39"/>
        <v>0</v>
      </c>
      <c r="AY37" s="28">
        <f t="shared" si="40"/>
        <v>64.39</v>
      </c>
      <c r="AZ37" s="28">
        <f t="shared" ref="AZ37:AZ52" si="51">BK37</f>
        <v>805.29</v>
      </c>
      <c r="BA37" s="28">
        <f t="shared" si="24"/>
        <v>255101.81</v>
      </c>
      <c r="BB37" s="28">
        <f t="shared" si="25"/>
        <v>255101.81000000003</v>
      </c>
      <c r="BC37" s="29">
        <f t="shared" si="41"/>
        <v>1</v>
      </c>
      <c r="BD37" s="28">
        <f>SUMIFS('SBR Mar20 - Aug20'!$F$3:$F$961,'SBR Mar20 - Aug20'!$A$3:$A$961,'Mar20-Aug20 Billed-RETAIL'!$C37,'SBR Mar20 - Aug20'!$B$3:$B$961,'Mar20-Aug20 Billed-RETAIL'!$E37)</f>
        <v>750</v>
      </c>
      <c r="BE37" s="28">
        <f>SUMIFS('SBR Mar20 - Aug20'!$H$3:$H$961,'SBR Mar20 - Aug20'!$A$3:$A$961,'Mar20-Aug20 Billed-RETAIL'!$C37,'SBR Mar20 - Aug20'!$B$3:$B$961,'Mar20-Aug20 Billed-RETAIL'!$E37)</f>
        <v>5905.43</v>
      </c>
      <c r="BF37" s="28">
        <f>SUMIFS('SBR Mar20 - Aug20'!$G$3:$G$961,'SBR Mar20 - Aug20'!$A$3:$A$961,'Mar20-Aug20 Billed-RETAIL'!$C37,'SBR Mar20 - Aug20'!$B$3:$B$961,'Mar20-Aug20 Billed-RETAIL'!$E37)</f>
        <v>180467.57</v>
      </c>
      <c r="BG37" s="28">
        <f>SUMIFS('SBR Mar20 - Aug20'!$M$3:$M$961,'SBR Mar20 - Aug20'!$A$3:$A$961,'Mar20-Aug20 Billed-RETAIL'!$C37,'SBR Mar20 - Aug20'!$B$3:$B$961,'Mar20-Aug20 Billed-RETAIL'!$E37)</f>
        <v>0</v>
      </c>
      <c r="BH37" s="28">
        <f>SUMIFS('SBR Mar20 - Aug20'!$N$3:$N$961,'SBR Mar20 - Aug20'!$A$3:$A$961,'Mar20-Aug20 Billed-RETAIL'!$C37,'SBR Mar20 - Aug20'!$B$3:$B$961,'Mar20-Aug20 Billed-RETAIL'!$E37)</f>
        <v>67109.13</v>
      </c>
      <c r="BI37" s="28">
        <f>SUMIFS('SBR Mar20 - Aug20'!$Y$3:$Y$961,'SBR Mar20 - Aug20'!$A$3:$A$961,'Mar20-Aug20 Billed-RETAIL'!$C37,'SBR Mar20 - Aug20'!$B$3:$B$961,'Mar20-Aug20 Billed-RETAIL'!$E37)</f>
        <v>0</v>
      </c>
      <c r="BJ37" s="28">
        <f>SUMIFS('SBR Mar20 - Aug20'!$W$3:$W$961,'SBR Mar20 - Aug20'!$A$3:$A$961,'Mar20-Aug20 Billed-RETAIL'!$C37,'SBR Mar20 - Aug20'!$B$3:$B$961,'Mar20-Aug20 Billed-RETAIL'!$E37)</f>
        <v>64.39</v>
      </c>
      <c r="BK37" s="28">
        <f>SUMIFS('SBR Mar20 - Aug20'!$X$3:$X$961,'SBR Mar20 - Aug20'!$A$3:$A$961,'Mar20-Aug20 Billed-RETAIL'!$C37,'SBR Mar20 - Aug20'!$B$3:$B$961,'Mar20-Aug20 Billed-RETAIL'!$E37)</f>
        <v>805.29</v>
      </c>
      <c r="BL37" s="28">
        <f>SUMIFS('SBR Mar20 - Aug20'!$Z$3:$Z$961,'SBR Mar20 - Aug20'!$A$3:$A$961,'Mar20-Aug20 Billed-RETAIL'!$C37,'SBR Mar20 - Aug20'!$B$3:$B$961,'Mar20-Aug20 Billed-RETAIL'!$E37)</f>
        <v>0</v>
      </c>
      <c r="BM37" s="42">
        <f t="shared" si="42"/>
        <v>0</v>
      </c>
      <c r="BN37" s="42">
        <f t="shared" si="43"/>
        <v>7.9999999798019417E-5</v>
      </c>
    </row>
    <row r="38" spans="1:67" s="279" customFormat="1" ht="15" customHeight="1" x14ac:dyDescent="0.25">
      <c r="A38" s="57"/>
      <c r="B38" s="46"/>
      <c r="C38" s="308"/>
      <c r="D38" s="308"/>
      <c r="E38" s="280"/>
      <c r="F38" s="280"/>
      <c r="G38" s="280"/>
      <c r="H38" s="281"/>
      <c r="I38" s="281"/>
      <c r="J38" s="281"/>
      <c r="K38" s="510" t="s">
        <v>950</v>
      </c>
      <c r="L38" s="281"/>
      <c r="M38" s="281"/>
      <c r="N38" s="281"/>
      <c r="O38" s="281"/>
      <c r="P38" s="281"/>
      <c r="Q38" s="281"/>
      <c r="R38" s="282"/>
      <c r="S38" s="282"/>
      <c r="T38" s="283"/>
      <c r="U38" s="283"/>
      <c r="V38" s="282"/>
      <c r="W38" s="282"/>
      <c r="X38" s="282"/>
      <c r="Y38" s="282"/>
      <c r="Z38" s="282"/>
      <c r="AA38" s="284"/>
      <c r="AB38" s="284"/>
      <c r="AC38" s="284"/>
      <c r="AD38" s="284"/>
      <c r="AE38" s="284"/>
      <c r="AF38" s="285"/>
      <c r="AG38" s="285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4"/>
      <c r="AU38" s="284"/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4"/>
      <c r="BI38" s="284"/>
      <c r="BJ38" s="284"/>
      <c r="BM38" s="284"/>
      <c r="BN38" s="284"/>
    </row>
    <row r="39" spans="1:67" ht="15" customHeight="1" x14ac:dyDescent="0.25">
      <c r="A39" s="57"/>
      <c r="B39" s="46"/>
      <c r="C39" s="307">
        <f>EDATE(C23,1)</f>
        <v>43952</v>
      </c>
      <c r="D39" s="408" t="str">
        <f>MID(E39,6,3)</f>
        <v>811</v>
      </c>
      <c r="E39" s="405" t="str">
        <f>'Retail Rates'!$B$7</f>
        <v>LGRSG811</v>
      </c>
      <c r="F39" s="405"/>
      <c r="G39" s="405" t="str">
        <f>VLOOKUP(E39,'Retail Rates'!$B$7:$D$40,3,FALSE)</f>
        <v>Residential Gas Service</v>
      </c>
      <c r="H39" s="20">
        <f>SUMIFS('Data-Retail'!$F$2:$F$987,'Data-Retail'!$A$2:$A$987,'Mar20-Aug20 Billed-RETAIL'!$C39,'Data-Retail'!$B$2:$B$987,'Mar20-Aug20 Billed-RETAIL'!$E39)+AF39</f>
        <v>302736</v>
      </c>
      <c r="I39" s="20">
        <v>0</v>
      </c>
      <c r="J39" s="20">
        <f>SUMIFS('Data-Retail'!$G$2:$G$1987,'Data-Retail'!$A$2:$A$1987,'Mar20-Aug20 Billed-RETAIL'!$C39,'Data-Retail'!$B$2:$B$1987,'Mar20-Aug20 Billed-RETAIL'!$E39)+AJ39</f>
        <v>10926214</v>
      </c>
      <c r="K39" s="20">
        <f>SUMIFS('Data-Retail'!$H$2:$H$1987,'Data-Retail'!$A$2:$A$1987,'Mar20-Aug20 Billed-RETAIL'!$C39,'Data-Retail'!$B$2:$B$1987,'Mar20-Aug20 Billed-RETAIL'!$E39)</f>
        <v>0</v>
      </c>
      <c r="L39" s="20">
        <v>0</v>
      </c>
      <c r="M39" s="20">
        <v>0</v>
      </c>
      <c r="N39" s="20">
        <v>0</v>
      </c>
      <c r="O39" s="20">
        <v>0</v>
      </c>
      <c r="P39" s="20">
        <v>8984276</v>
      </c>
      <c r="Q39" s="20">
        <v>0</v>
      </c>
      <c r="R39" s="21">
        <f>VLOOKUP($E39,'Retail Rates'!$B$7:$P$40,4,FALSE)</f>
        <v>0.65</v>
      </c>
      <c r="S39" s="21">
        <f>VLOOKUP($E39,'Retail Rates'!$B$7:$P$40,5,FALSE)</f>
        <v>0</v>
      </c>
      <c r="T39" s="22">
        <f>VLOOKUP($E39,'Retail Rates'!$B$7:$P$40,8,FALSE)</f>
        <v>0.36781999999999998</v>
      </c>
      <c r="U39" s="22">
        <f>VLOOKUP($E39,'Retail Rates'!$B$7:$P$40,9,FALSE)</f>
        <v>0</v>
      </c>
      <c r="V39" s="22">
        <f>VLOOKUP($E39,'Retail Rates'!$B$7:$P$40,14,FALSE)</f>
        <v>0</v>
      </c>
      <c r="W39" s="22">
        <f>VLOOKUP($E39,'Retail Rates'!$B$7:$P$40,10,FALSE)</f>
        <v>3.6781999999999999</v>
      </c>
      <c r="X39" s="22">
        <f>VLOOKUP($E39,'Retail Rates'!$B$7:$P$40,11,FALSE)</f>
        <v>0</v>
      </c>
      <c r="Y39" s="22">
        <f>VLOOKUP($E39,'Retail Rates'!$B$7:$P$40,15,FALSE)</f>
        <v>0</v>
      </c>
      <c r="Z39" s="22">
        <v>0</v>
      </c>
      <c r="AA39" s="411">
        <f t="shared" ref="AA39:AA45" si="52">(+P39*R39)</f>
        <v>5839779.4000000004</v>
      </c>
      <c r="AB39" s="411">
        <f t="shared" ref="AB39:AD40" si="53">+I39*S39</f>
        <v>0</v>
      </c>
      <c r="AC39" s="411">
        <f t="shared" si="53"/>
        <v>4018880.0334799998</v>
      </c>
      <c r="AD39" s="411">
        <f t="shared" si="53"/>
        <v>0</v>
      </c>
      <c r="AE39" s="23">
        <f t="shared" ref="AE39:AE53" si="54">L39*V39</f>
        <v>0</v>
      </c>
      <c r="AF39" s="41">
        <v>-220</v>
      </c>
      <c r="AG39" s="41">
        <v>0</v>
      </c>
      <c r="AH39" s="33">
        <v>-1319.75</v>
      </c>
      <c r="AI39" s="33">
        <v>0</v>
      </c>
      <c r="AJ39" s="41">
        <v>392</v>
      </c>
      <c r="AK39" s="41">
        <v>0</v>
      </c>
      <c r="AL39" s="33">
        <v>-151.78</v>
      </c>
      <c r="AM39" s="33">
        <v>0</v>
      </c>
      <c r="AN39" s="41">
        <v>0</v>
      </c>
      <c r="AO39" s="33">
        <v>0</v>
      </c>
      <c r="AP39" s="411">
        <f>AA39+AH39</f>
        <v>5838459.6500000004</v>
      </c>
      <c r="AQ39" s="411">
        <f>AB39+AI39</f>
        <v>0</v>
      </c>
      <c r="AR39" s="411">
        <f>AC39+AL39</f>
        <v>4018728.25348</v>
      </c>
      <c r="AS39" s="411">
        <f>AD39+AM39</f>
        <v>0</v>
      </c>
      <c r="AT39" s="411">
        <f>AE39+AO39</f>
        <v>0</v>
      </c>
      <c r="AU39" s="411">
        <f t="shared" ref="AU39:AU53" si="55">BL39</f>
        <v>-1.5</v>
      </c>
      <c r="AV39" s="28">
        <f>BG39</f>
        <v>-17092.5</v>
      </c>
      <c r="AW39" s="28">
        <f>BH39</f>
        <v>3298920.92</v>
      </c>
      <c r="AX39" s="28">
        <f>BI39</f>
        <v>-5796.28</v>
      </c>
      <c r="AY39" s="28">
        <f>BJ39</f>
        <v>424978.29</v>
      </c>
      <c r="AZ39" s="28">
        <f t="shared" si="51"/>
        <v>166288.16</v>
      </c>
      <c r="BA39" s="28">
        <f t="shared" ref="BA39:BA68" si="56">ROUND(SUM(AP39:AZ39),2)</f>
        <v>13724484.99</v>
      </c>
      <c r="BB39" s="28">
        <f t="shared" ref="BB39:BB53" si="57">SUM(BD39:BK39)</f>
        <v>13724486.49</v>
      </c>
      <c r="BC39" s="29">
        <f>IF(BB39=0,0,ROUND(BB39/BA39,6))</f>
        <v>1</v>
      </c>
      <c r="BD39" s="28">
        <f>SUMIFS('SBR Mar20 - Aug20'!$F$3:$F$961,'SBR Mar20 - Aug20'!$A$3:$A$961,'Mar20-Aug20 Billed-RETAIL'!$C39,'SBR Mar20 - Aug20'!$B$3:$B$961,'Mar20-Aug20 Billed-RETAIL'!$E39)</f>
        <v>5838459.6500000004</v>
      </c>
      <c r="BE39" s="28">
        <f>SUMIFS('SBR Mar20 - Aug20'!$H$3:$H$961,'SBR Mar20 - Aug20'!$A$3:$A$961,'Mar20-Aug20 Billed-RETAIL'!$C39,'SBR Mar20 - Aug20'!$B$3:$B$961,'Mar20-Aug20 Billed-RETAIL'!$E39)</f>
        <v>4018728.25</v>
      </c>
      <c r="BF39" s="28">
        <f>SUMIFS('SBR Mar20 - Aug20'!$G$3:$G$961,'SBR Mar20 - Aug20'!$A$3:$A$961,'Mar20-Aug20 Billed-RETAIL'!$C39,'SBR Mar20 - Aug20'!$B$3:$B$961,'Mar20-Aug20 Billed-RETAIL'!$E39)</f>
        <v>0</v>
      </c>
      <c r="BG39" s="28">
        <f>SUMIFS('SBR Mar20 - Aug20'!$M$3:$M$961,'SBR Mar20 - Aug20'!$A$3:$A$961,'Mar20-Aug20 Billed-RETAIL'!$C39,'SBR Mar20 - Aug20'!$B$3:$B$961,'Mar20-Aug20 Billed-RETAIL'!$E39)</f>
        <v>-17092.5</v>
      </c>
      <c r="BH39" s="28">
        <f>SUMIFS('SBR Mar20 - Aug20'!$N$3:$N$961,'SBR Mar20 - Aug20'!$A$3:$A$961,'Mar20-Aug20 Billed-RETAIL'!$C39,'SBR Mar20 - Aug20'!$B$3:$B$961,'Mar20-Aug20 Billed-RETAIL'!$E39)</f>
        <v>3298920.92</v>
      </c>
      <c r="BI39" s="28">
        <f>SUMIFS('SBR Mar20 - Aug20'!$Y$3:$Y$961,'SBR Mar20 - Aug20'!$A$3:$A$961,'Mar20-Aug20 Billed-RETAIL'!$C39,'SBR Mar20 - Aug20'!$B$3:$B$961,'Mar20-Aug20 Billed-RETAIL'!$E39)</f>
        <v>-5796.28</v>
      </c>
      <c r="BJ39" s="28">
        <f>SUMIFS('SBR Mar20 - Aug20'!$W$3:$W$961,'SBR Mar20 - Aug20'!$A$3:$A$961,'Mar20-Aug20 Billed-RETAIL'!$C39,'SBR Mar20 - Aug20'!$B$3:$B$961,'Mar20-Aug20 Billed-RETAIL'!$E39)</f>
        <v>424978.29</v>
      </c>
      <c r="BK39" s="28">
        <f>SUMIFS('SBR Mar20 - Aug20'!$X$3:$X$961,'SBR Mar20 - Aug20'!$A$3:$A$961,'Mar20-Aug20 Billed-RETAIL'!$C39,'SBR Mar20 - Aug20'!$B$3:$B$961,'Mar20-Aug20 Billed-RETAIL'!$E39)</f>
        <v>166288.16</v>
      </c>
      <c r="BL39" s="28">
        <f>SUMIFS('SBR Mar20 - Aug20'!$Z$3:$Z$961,'SBR Mar20 - Aug20'!$A$3:$A$961,'Mar20-Aug20 Billed-RETAIL'!$C39,'SBR Mar20 - Aug20'!$B$3:$B$961,'Mar20-Aug20 Billed-RETAIL'!$E39)</f>
        <v>-1.5</v>
      </c>
      <c r="BM39" s="42">
        <f>+AP39+AQ39-BD39</f>
        <v>0</v>
      </c>
      <c r="BN39" s="42">
        <f>+AR39+AS39-BE39</f>
        <v>3.4799999557435513E-3</v>
      </c>
    </row>
    <row r="40" spans="1:67" ht="15" customHeight="1" x14ac:dyDescent="0.25">
      <c r="A40" s="57"/>
      <c r="B40" s="46"/>
      <c r="C40" s="307">
        <f>$C$39</f>
        <v>43952</v>
      </c>
      <c r="D40" s="408" t="str">
        <f t="shared" ref="D40:D52" si="58">MID(E40,6,3)</f>
        <v>840</v>
      </c>
      <c r="E40" s="405" t="str">
        <f>'Retail Rates'!$B$8</f>
        <v>LGRSG840</v>
      </c>
      <c r="F40" s="405"/>
      <c r="G40" s="405" t="str">
        <f>VLOOKUP(E40,'Retail Rates'!$B$7:$D$40,3,FALSE)</f>
        <v>Volunteer Fire Department Gas</v>
      </c>
      <c r="H40" s="20">
        <v>3</v>
      </c>
      <c r="I40" s="20">
        <v>0</v>
      </c>
      <c r="J40" s="20">
        <f>SUMIFS('Data-Retail'!$G$2:$G$1987,'Data-Retail'!$A$2:$A$1987,'Mar20-Aug20 Billed-RETAIL'!$C40,'Data-Retail'!$B$2:$B$1987,'Mar20-Aug20 Billed-RETAIL'!$E40)</f>
        <v>620</v>
      </c>
      <c r="K40" s="20">
        <f>SUMIFS('Data-Retail'!$H$2:$H$1987,'Data-Retail'!$A$2:$A$1987,'Mar20-Aug20 Billed-RETAIL'!$C40,'Data-Retail'!$B$2:$B$1987,'Mar20-Aug20 Billed-RETAIL'!$E40)</f>
        <v>0</v>
      </c>
      <c r="L40" s="20">
        <v>0</v>
      </c>
      <c r="M40" s="20">
        <v>0</v>
      </c>
      <c r="N40" s="20">
        <v>0</v>
      </c>
      <c r="O40" s="20">
        <v>0</v>
      </c>
      <c r="P40" s="20">
        <v>92</v>
      </c>
      <c r="Q40" s="20">
        <v>0</v>
      </c>
      <c r="R40" s="21">
        <f>VLOOKUP($E40,'Retail Rates'!$B$7:$P$40,4,FALSE)</f>
        <v>0.65</v>
      </c>
      <c r="S40" s="21">
        <f>VLOOKUP($E40,'Retail Rates'!$B$7:$P$40,5,FALSE)</f>
        <v>0</v>
      </c>
      <c r="T40" s="22">
        <f>VLOOKUP($E40,'Retail Rates'!$B$7:$P$40,8,FALSE)</f>
        <v>0.36781999999999998</v>
      </c>
      <c r="U40" s="22">
        <f>VLOOKUP($E40,'Retail Rates'!$B$7:$P$40,9,FALSE)</f>
        <v>0</v>
      </c>
      <c r="V40" s="22">
        <f>VLOOKUP($E40,'Retail Rates'!$B$7:$P$40,14,FALSE)</f>
        <v>0</v>
      </c>
      <c r="W40" s="22">
        <f>VLOOKUP($E40,'Retail Rates'!$B$7:$P$40,10,FALSE)</f>
        <v>3.6781999999999999</v>
      </c>
      <c r="X40" s="22">
        <f>VLOOKUP($E40,'Retail Rates'!$B$7:$P$40,11,FALSE)</f>
        <v>0</v>
      </c>
      <c r="Y40" s="22">
        <f>VLOOKUP($E40,'Retail Rates'!$B$7:$P$40,15,FALSE)</f>
        <v>0</v>
      </c>
      <c r="Z40" s="22">
        <v>0</v>
      </c>
      <c r="AA40" s="411">
        <f t="shared" si="52"/>
        <v>59.800000000000004</v>
      </c>
      <c r="AB40" s="411">
        <f t="shared" si="53"/>
        <v>0</v>
      </c>
      <c r="AC40" s="411">
        <f t="shared" si="53"/>
        <v>228.04839999999999</v>
      </c>
      <c r="AD40" s="411">
        <f t="shared" si="53"/>
        <v>0</v>
      </c>
      <c r="AE40" s="411">
        <f t="shared" si="54"/>
        <v>0</v>
      </c>
      <c r="AF40" s="41">
        <v>0</v>
      </c>
      <c r="AG40" s="41">
        <v>0</v>
      </c>
      <c r="AH40" s="33">
        <v>0</v>
      </c>
      <c r="AI40" s="33">
        <v>0</v>
      </c>
      <c r="AJ40" s="41">
        <v>0</v>
      </c>
      <c r="AK40" s="41">
        <v>0</v>
      </c>
      <c r="AL40" s="33">
        <v>0</v>
      </c>
      <c r="AM40" s="33">
        <v>0</v>
      </c>
      <c r="AN40" s="41">
        <v>0</v>
      </c>
      <c r="AO40" s="33">
        <v>0</v>
      </c>
      <c r="AP40" s="411">
        <f t="shared" ref="AP40:AP53" si="59">AA40+AH40</f>
        <v>59.800000000000004</v>
      </c>
      <c r="AQ40" s="411">
        <f t="shared" ref="AQ40:AQ53" si="60">AB40+AI40</f>
        <v>0</v>
      </c>
      <c r="AR40" s="411">
        <f t="shared" ref="AR40:AR53" si="61">AC40+AL40</f>
        <v>228.04839999999999</v>
      </c>
      <c r="AS40" s="411">
        <f t="shared" ref="AS40:AS53" si="62">AD40+AM40</f>
        <v>0</v>
      </c>
      <c r="AT40" s="411">
        <f t="shared" ref="AT40:AT53" si="63">AE40+AO40</f>
        <v>0</v>
      </c>
      <c r="AU40" s="411">
        <f t="shared" si="55"/>
        <v>0</v>
      </c>
      <c r="AV40" s="28">
        <f t="shared" ref="AV40:AV53" si="64">BG40</f>
        <v>-0.98</v>
      </c>
      <c r="AW40" s="28">
        <f t="shared" ref="AW40:AW53" si="65">BH40</f>
        <v>183.4</v>
      </c>
      <c r="AX40" s="28">
        <f t="shared" ref="AX40:AX53" si="66">BI40</f>
        <v>0</v>
      </c>
      <c r="AY40" s="28">
        <f t="shared" ref="AY40:AY53" si="67">BJ40</f>
        <v>4.46</v>
      </c>
      <c r="AZ40" s="28">
        <f t="shared" si="51"/>
        <v>10.119999999999999</v>
      </c>
      <c r="BA40" s="28">
        <f t="shared" si="56"/>
        <v>484.85</v>
      </c>
      <c r="BB40" s="28">
        <f t="shared" si="57"/>
        <v>484.84999999999997</v>
      </c>
      <c r="BC40" s="29">
        <f t="shared" ref="BC40:BC53" si="68">IF(BB40=0,0,ROUND(BB40/BA40,6))</f>
        <v>1</v>
      </c>
      <c r="BD40" s="28">
        <f>SUMIFS('SBR Mar20 - Aug20'!$F$3:$F$961,'SBR Mar20 - Aug20'!$A$3:$A$961,'Mar20-Aug20 Billed-RETAIL'!$C40,'SBR Mar20 - Aug20'!$B$3:$B$961,'Mar20-Aug20 Billed-RETAIL'!$E40)</f>
        <v>59.8</v>
      </c>
      <c r="BE40" s="28">
        <f>SUMIFS('SBR Mar20 - Aug20'!$H$3:$H$961,'SBR Mar20 - Aug20'!$A$3:$A$961,'Mar20-Aug20 Billed-RETAIL'!$C40,'SBR Mar20 - Aug20'!$B$3:$B$961,'Mar20-Aug20 Billed-RETAIL'!$E40)</f>
        <v>228.05</v>
      </c>
      <c r="BF40" s="28">
        <f>SUMIFS('SBR Mar20 - Aug20'!$G$3:$G$961,'SBR Mar20 - Aug20'!$A$3:$A$961,'Mar20-Aug20 Billed-RETAIL'!$C40,'SBR Mar20 - Aug20'!$B$3:$B$961,'Mar20-Aug20 Billed-RETAIL'!$E40)</f>
        <v>0</v>
      </c>
      <c r="BG40" s="28">
        <f>SUMIFS('SBR Mar20 - Aug20'!$M$3:$M$961,'SBR Mar20 - Aug20'!$A$3:$A$961,'Mar20-Aug20 Billed-RETAIL'!$C40,'SBR Mar20 - Aug20'!$B$3:$B$961,'Mar20-Aug20 Billed-RETAIL'!$E40)</f>
        <v>-0.98</v>
      </c>
      <c r="BH40" s="28">
        <f>SUMIFS('SBR Mar20 - Aug20'!$N$3:$N$961,'SBR Mar20 - Aug20'!$A$3:$A$961,'Mar20-Aug20 Billed-RETAIL'!$C40,'SBR Mar20 - Aug20'!$B$3:$B$961,'Mar20-Aug20 Billed-RETAIL'!$E40)</f>
        <v>183.4</v>
      </c>
      <c r="BI40" s="28">
        <f>SUMIFS('SBR Mar20 - Aug20'!$Y$3:$Y$961,'SBR Mar20 - Aug20'!$A$3:$A$961,'Mar20-Aug20 Billed-RETAIL'!$C40,'SBR Mar20 - Aug20'!$B$3:$B$961,'Mar20-Aug20 Billed-RETAIL'!$E40)</f>
        <v>0</v>
      </c>
      <c r="BJ40" s="28">
        <f>SUMIFS('SBR Mar20 - Aug20'!$W$3:$W$961,'SBR Mar20 - Aug20'!$A$3:$A$961,'Mar20-Aug20 Billed-RETAIL'!$C40,'SBR Mar20 - Aug20'!$B$3:$B$961,'Mar20-Aug20 Billed-RETAIL'!$E40)</f>
        <v>4.46</v>
      </c>
      <c r="BK40" s="28">
        <f>SUMIFS('SBR Mar20 - Aug20'!$X$3:$X$961,'SBR Mar20 - Aug20'!$A$3:$A$961,'Mar20-Aug20 Billed-RETAIL'!$C40,'SBR Mar20 - Aug20'!$B$3:$B$961,'Mar20-Aug20 Billed-RETAIL'!$E40)</f>
        <v>10.119999999999999</v>
      </c>
      <c r="BL40" s="28">
        <f>SUMIFS('SBR Mar20 - Aug20'!$Z$3:$Z$961,'SBR Mar20 - Aug20'!$A$3:$A$961,'Mar20-Aug20 Billed-RETAIL'!$C40,'SBR Mar20 - Aug20'!$B$3:$B$961,'Mar20-Aug20 Billed-RETAIL'!$E40)</f>
        <v>0</v>
      </c>
      <c r="BM40" s="42">
        <f t="shared" ref="BM40:BM53" si="69">+AP40+AQ40-BD40</f>
        <v>0</v>
      </c>
      <c r="BN40" s="42">
        <f t="shared" ref="BN40:BN53" si="70">+AR40+AS40-BE40</f>
        <v>-1.6000000000246928E-3</v>
      </c>
    </row>
    <row r="41" spans="1:67" ht="15.75" customHeight="1" x14ac:dyDescent="0.25">
      <c r="A41" s="57"/>
      <c r="B41" s="46"/>
      <c r="C41" s="307">
        <f t="shared" ref="C41:C52" si="71">$C$39</f>
        <v>43952</v>
      </c>
      <c r="D41" s="408" t="str">
        <f t="shared" si="58"/>
        <v>851</v>
      </c>
      <c r="E41" s="405" t="str">
        <f>'Retail Rates'!$B$9</f>
        <v>LGCMG851</v>
      </c>
      <c r="F41" s="405"/>
      <c r="G41" s="405" t="str">
        <f>VLOOKUP(E41,'Retail Rates'!$B$7:$D$40,3,FALSE)</f>
        <v>Firm Commercial Gas Service</v>
      </c>
      <c r="H41" s="20">
        <f>(SUMIFS('Data-Retail'!$F$2:$F$1987,'Data-Retail'!$A$2:$A$1987,'Mar20-Aug20 Billed-RETAIL'!$C41,'Data-Retail'!$B$2:$B$1987,'Mar20-Aug20 Billed-RETAIL'!$E41)-I41)+(AF41+AG41)</f>
        <v>24447</v>
      </c>
      <c r="I41" s="20">
        <v>1198</v>
      </c>
      <c r="J41" s="20">
        <f>SUMIFS('Data-Retail'!$G$2:$G$1987,'Data-Retail'!$A$2:$A$1987,'Mar20-Aug20 Billed-RETAIL'!$C41,'Data-Retail'!$B$2:$B$1987,'Mar20-Aug20 Billed-RETAIL'!$E41)+AJ41</f>
        <v>3310032</v>
      </c>
      <c r="K41" s="20">
        <f>SUMIFS('Data-Retail'!$H$2:$H$1987,'Data-Retail'!$A$2:$A$1987,'Mar20-Aug20 Billed-RETAIL'!$C41,'Data-Retail'!$B$2:$B$1987,'Mar20-Aug20 Billed-RETAIL'!$E41)</f>
        <v>1471263</v>
      </c>
      <c r="L41" s="20">
        <v>0</v>
      </c>
      <c r="M41" s="20">
        <v>0</v>
      </c>
      <c r="N41" s="20">
        <v>0</v>
      </c>
      <c r="O41" s="20">
        <v>0</v>
      </c>
      <c r="P41" s="20">
        <v>718602</v>
      </c>
      <c r="Q41" s="20">
        <v>35638</v>
      </c>
      <c r="R41" s="21">
        <f>VLOOKUP($E41,'Retail Rates'!$B$7:$P$40,4,FALSE)</f>
        <v>1.97</v>
      </c>
      <c r="S41" s="21">
        <f>VLOOKUP($E41,'Retail Rates'!$B$7:$P$40,5,FALSE)</f>
        <v>9.3699999999999992</v>
      </c>
      <c r="T41" s="22">
        <f>VLOOKUP($E41,'Retail Rates'!$B$7:$P$40,8,FALSE)</f>
        <v>0.30669999999999997</v>
      </c>
      <c r="U41" s="22">
        <f>VLOOKUP($E41,'Retail Rates'!$B$7:$P$40,9,FALSE)</f>
        <v>0.25669999999999998</v>
      </c>
      <c r="V41" s="22">
        <f>VLOOKUP($E41,'Retail Rates'!$B$7:$P$40,14,FALSE)</f>
        <v>0</v>
      </c>
      <c r="W41" s="22">
        <f>VLOOKUP($E41,'Retail Rates'!$B$7:$P$40,10,FALSE)</f>
        <v>3.0669999999999997</v>
      </c>
      <c r="X41" s="22">
        <f>VLOOKUP($E41,'Retail Rates'!$B$7:$P$40,11,FALSE)</f>
        <v>2.5669999999999997</v>
      </c>
      <c r="Y41" s="22">
        <f>VLOOKUP($E41,'Retail Rates'!$B$7:$P$40,15,FALSE)</f>
        <v>0</v>
      </c>
      <c r="Z41" s="22">
        <v>0</v>
      </c>
      <c r="AA41" s="411">
        <f t="shared" si="52"/>
        <v>1415645.94</v>
      </c>
      <c r="AB41" s="411">
        <f>+Q41*S41</f>
        <v>333928.06</v>
      </c>
      <c r="AC41" s="411">
        <f t="shared" ref="AC41:AD44" si="72">+J41*T41</f>
        <v>1015186.8143999999</v>
      </c>
      <c r="AD41" s="411">
        <f t="shared" si="72"/>
        <v>377673.2121</v>
      </c>
      <c r="AE41" s="411">
        <f t="shared" si="54"/>
        <v>0</v>
      </c>
      <c r="AF41" s="41">
        <v>-144</v>
      </c>
      <c r="AG41" s="41">
        <v>0</v>
      </c>
      <c r="AH41" s="33">
        <v>-6561.4</v>
      </c>
      <c r="AI41" s="33">
        <v>0</v>
      </c>
      <c r="AJ41" s="41">
        <v>2362</v>
      </c>
      <c r="AK41" s="41">
        <v>0</v>
      </c>
      <c r="AL41" s="33">
        <v>-725.46</v>
      </c>
      <c r="AM41" s="33">
        <v>0</v>
      </c>
      <c r="AN41" s="41">
        <v>0</v>
      </c>
      <c r="AO41" s="33">
        <v>0</v>
      </c>
      <c r="AP41" s="411">
        <f t="shared" si="59"/>
        <v>1409084.54</v>
      </c>
      <c r="AQ41" s="411">
        <f t="shared" si="60"/>
        <v>333928.06</v>
      </c>
      <c r="AR41" s="411">
        <f t="shared" si="61"/>
        <v>1014461.3544</v>
      </c>
      <c r="AS41" s="411">
        <f t="shared" si="62"/>
        <v>377673.2121</v>
      </c>
      <c r="AT41" s="411">
        <f t="shared" si="63"/>
        <v>0</v>
      </c>
      <c r="AU41" s="411">
        <f t="shared" si="55"/>
        <v>0.74</v>
      </c>
      <c r="AV41" s="28">
        <f t="shared" si="64"/>
        <v>2332.73</v>
      </c>
      <c r="AW41" s="28">
        <f t="shared" si="65"/>
        <v>1441917.91</v>
      </c>
      <c r="AX41" s="28">
        <f t="shared" si="66"/>
        <v>-14617.86</v>
      </c>
      <c r="AY41" s="28">
        <f t="shared" si="67"/>
        <v>176468.28</v>
      </c>
      <c r="AZ41" s="28">
        <f t="shared" si="51"/>
        <v>58931.93</v>
      </c>
      <c r="BA41" s="28">
        <f t="shared" si="56"/>
        <v>4800180.9000000004</v>
      </c>
      <c r="BB41" s="28">
        <f t="shared" si="57"/>
        <v>4800180.1499999994</v>
      </c>
      <c r="BC41" s="29">
        <f t="shared" si="68"/>
        <v>1</v>
      </c>
      <c r="BD41" s="28">
        <f>SUMIFS('SBR Mar20 - Aug20'!$F$3:$F$961,'SBR Mar20 - Aug20'!$A$3:$A$961,'Mar20-Aug20 Billed-RETAIL'!$C41,'SBR Mar20 - Aug20'!$B$3:$B$961,'Mar20-Aug20 Billed-RETAIL'!$E41)</f>
        <v>1743012.6</v>
      </c>
      <c r="BE41" s="28">
        <f>SUMIFS('SBR Mar20 - Aug20'!$H$3:$H$961,'SBR Mar20 - Aug20'!$A$3:$A$961,'Mar20-Aug20 Billed-RETAIL'!$C41,'SBR Mar20 - Aug20'!$B$3:$B$961,'Mar20-Aug20 Billed-RETAIL'!$E41)</f>
        <v>1392134.56</v>
      </c>
      <c r="BF41" s="28">
        <f>SUMIFS('SBR Mar20 - Aug20'!$G$3:$G$961,'SBR Mar20 - Aug20'!$A$3:$A$961,'Mar20-Aug20 Billed-RETAIL'!$C41,'SBR Mar20 - Aug20'!$B$3:$B$961,'Mar20-Aug20 Billed-RETAIL'!$E41)</f>
        <v>0</v>
      </c>
      <c r="BG41" s="28">
        <f>SUMIFS('SBR Mar20 - Aug20'!$M$3:$M$961,'SBR Mar20 - Aug20'!$A$3:$A$961,'Mar20-Aug20 Billed-RETAIL'!$C41,'SBR Mar20 - Aug20'!$B$3:$B$961,'Mar20-Aug20 Billed-RETAIL'!$E41)</f>
        <v>2332.73</v>
      </c>
      <c r="BH41" s="28">
        <f>SUMIFS('SBR Mar20 - Aug20'!$N$3:$N$961,'SBR Mar20 - Aug20'!$A$3:$A$961,'Mar20-Aug20 Billed-RETAIL'!$C41,'SBR Mar20 - Aug20'!$B$3:$B$961,'Mar20-Aug20 Billed-RETAIL'!$E41)</f>
        <v>1441917.91</v>
      </c>
      <c r="BI41" s="28">
        <f>SUMIFS('SBR Mar20 - Aug20'!$Y$3:$Y$961,'SBR Mar20 - Aug20'!$A$3:$A$961,'Mar20-Aug20 Billed-RETAIL'!$C41,'SBR Mar20 - Aug20'!$B$3:$B$961,'Mar20-Aug20 Billed-RETAIL'!$E41)</f>
        <v>-14617.86</v>
      </c>
      <c r="BJ41" s="28">
        <f>SUMIFS('SBR Mar20 - Aug20'!$W$3:$W$961,'SBR Mar20 - Aug20'!$A$3:$A$961,'Mar20-Aug20 Billed-RETAIL'!$C41,'SBR Mar20 - Aug20'!$B$3:$B$961,'Mar20-Aug20 Billed-RETAIL'!$E41)</f>
        <v>176468.28</v>
      </c>
      <c r="BK41" s="28">
        <f>SUMIFS('SBR Mar20 - Aug20'!$X$3:$X$961,'SBR Mar20 - Aug20'!$A$3:$A$961,'Mar20-Aug20 Billed-RETAIL'!$C41,'SBR Mar20 - Aug20'!$B$3:$B$961,'Mar20-Aug20 Billed-RETAIL'!$E41)</f>
        <v>58931.93</v>
      </c>
      <c r="BL41" s="28">
        <f>SUMIFS('SBR Mar20 - Aug20'!$Z$3:$Z$961,'SBR Mar20 - Aug20'!$A$3:$A$961,'Mar20-Aug20 Billed-RETAIL'!$C41,'SBR Mar20 - Aug20'!$B$3:$B$961,'Mar20-Aug20 Billed-RETAIL'!$E41)</f>
        <v>0.74</v>
      </c>
      <c r="BM41" s="42">
        <f t="shared" si="69"/>
        <v>0</v>
      </c>
      <c r="BN41" s="42">
        <f t="shared" si="70"/>
        <v>6.4999999012798071E-3</v>
      </c>
    </row>
    <row r="42" spans="1:67" ht="15.75" customHeight="1" x14ac:dyDescent="0.25">
      <c r="A42" s="57"/>
      <c r="B42" s="46"/>
      <c r="C42" s="307">
        <f t="shared" si="71"/>
        <v>43952</v>
      </c>
      <c r="D42" s="408" t="str">
        <f t="shared" si="58"/>
        <v>851</v>
      </c>
      <c r="E42" s="405" t="str">
        <f>'Retail Rates'!$B$10</f>
        <v>LGCMG851LT</v>
      </c>
      <c r="F42" s="405"/>
      <c r="G42" s="405" t="str">
        <f>VLOOKUP(E42,'Retail Rates'!$B$7:$D$40,3,FALSE)</f>
        <v>Commercial Gas Service (Lights)</v>
      </c>
      <c r="H42" s="20">
        <v>1</v>
      </c>
      <c r="I42" s="20">
        <v>0</v>
      </c>
      <c r="J42" s="20">
        <f>SUMIFS('Data-Retail'!$G$2:$G$1987,'Data-Retail'!$A$2:$A$1987,'Mar20-Aug20 Billed-RETAIL'!$C42,'Data-Retail'!$B$2:$B$1987,'Mar20-Aug20 Billed-RETAIL'!$E42)</f>
        <v>296</v>
      </c>
      <c r="K42" s="20">
        <f>SUMIFS('Data-Retail'!$H$2:$H$1987,'Data-Retail'!$A$2:$A$1987,'Mar20-Aug20 Billed-RETAIL'!$C42,'Data-Retail'!$B$2:$B$1987,'Mar20-Aug20 Billed-RETAIL'!$E42)</f>
        <v>0</v>
      </c>
      <c r="L42" s="20">
        <v>0</v>
      </c>
      <c r="M42" s="20">
        <v>0</v>
      </c>
      <c r="N42" s="20">
        <v>0</v>
      </c>
      <c r="O42" s="20">
        <v>0</v>
      </c>
      <c r="P42" s="20">
        <v>33</v>
      </c>
      <c r="Q42" s="20">
        <v>0</v>
      </c>
      <c r="R42" s="21">
        <f>VLOOKUP($E42,'Retail Rates'!$B$7:$P$40,4,FALSE)</f>
        <v>1.97</v>
      </c>
      <c r="S42" s="21">
        <f>VLOOKUP($E42,'Retail Rates'!$B$7:$P$40,5,FALSE)</f>
        <v>9.3699999999999992</v>
      </c>
      <c r="T42" s="22">
        <f>VLOOKUP($E42,'Retail Rates'!$B$7:$P$40,8,FALSE)</f>
        <v>0.30669999999999997</v>
      </c>
      <c r="U42" s="22">
        <f>VLOOKUP($E42,'Retail Rates'!$B$7:$P$40,9,FALSE)</f>
        <v>0.25669999999999998</v>
      </c>
      <c r="V42" s="22">
        <f>VLOOKUP($E42,'Retail Rates'!$B$7:$P$40,14,FALSE)</f>
        <v>0</v>
      </c>
      <c r="W42" s="22">
        <f>VLOOKUP($E42,'Retail Rates'!$B$7:$P$40,10,FALSE)</f>
        <v>3.0669999999999997</v>
      </c>
      <c r="X42" s="22">
        <f>VLOOKUP($E42,'Retail Rates'!$B$7:$P$40,11,FALSE)</f>
        <v>2.5669999999999997</v>
      </c>
      <c r="Y42" s="22">
        <f>VLOOKUP($E42,'Retail Rates'!$B$7:$P$40,15,FALSE)</f>
        <v>0</v>
      </c>
      <c r="Z42" s="22">
        <v>0</v>
      </c>
      <c r="AA42" s="411">
        <f t="shared" si="52"/>
        <v>65.010000000000005</v>
      </c>
      <c r="AB42" s="411">
        <f>+Q42*S42</f>
        <v>0</v>
      </c>
      <c r="AC42" s="411">
        <f t="shared" si="72"/>
        <v>90.783199999999994</v>
      </c>
      <c r="AD42" s="411">
        <f t="shared" si="72"/>
        <v>0</v>
      </c>
      <c r="AE42" s="411">
        <f t="shared" si="54"/>
        <v>0</v>
      </c>
      <c r="AF42" s="41">
        <v>0</v>
      </c>
      <c r="AG42" s="41">
        <v>0</v>
      </c>
      <c r="AH42" s="33">
        <v>0</v>
      </c>
      <c r="AI42" s="33">
        <v>0</v>
      </c>
      <c r="AJ42" s="41">
        <v>0</v>
      </c>
      <c r="AK42" s="41">
        <v>0</v>
      </c>
      <c r="AL42" s="33">
        <v>0</v>
      </c>
      <c r="AM42" s="33">
        <v>0</v>
      </c>
      <c r="AN42" s="41">
        <v>0</v>
      </c>
      <c r="AO42" s="33">
        <v>0</v>
      </c>
      <c r="AP42" s="411">
        <f t="shared" si="59"/>
        <v>65.010000000000005</v>
      </c>
      <c r="AQ42" s="411">
        <f t="shared" si="60"/>
        <v>0</v>
      </c>
      <c r="AR42" s="411">
        <f t="shared" si="61"/>
        <v>90.783199999999994</v>
      </c>
      <c r="AS42" s="411">
        <f t="shared" si="62"/>
        <v>0</v>
      </c>
      <c r="AT42" s="411">
        <f t="shared" si="63"/>
        <v>0</v>
      </c>
      <c r="AU42" s="411">
        <f t="shared" si="55"/>
        <v>0</v>
      </c>
      <c r="AV42" s="28">
        <f t="shared" si="64"/>
        <v>0.14000000000000001</v>
      </c>
      <c r="AW42" s="28">
        <f t="shared" si="65"/>
        <v>80.37</v>
      </c>
      <c r="AX42" s="28">
        <f t="shared" si="66"/>
        <v>0</v>
      </c>
      <c r="AY42" s="28">
        <f t="shared" si="67"/>
        <v>8.39</v>
      </c>
      <c r="AZ42" s="28">
        <f t="shared" si="51"/>
        <v>4.9400000000000004</v>
      </c>
      <c r="BA42" s="28">
        <f t="shared" si="56"/>
        <v>249.63</v>
      </c>
      <c r="BB42" s="28">
        <f t="shared" si="57"/>
        <v>249.63</v>
      </c>
      <c r="BC42" s="29">
        <f t="shared" si="68"/>
        <v>1</v>
      </c>
      <c r="BD42" s="28">
        <f>SUMIFS('SBR Mar20 - Aug20'!$F$3:$F$961,'SBR Mar20 - Aug20'!$A$3:$A$961,'Mar20-Aug20 Billed-RETAIL'!$C42,'SBR Mar20 - Aug20'!$B$3:$B$961,'Mar20-Aug20 Billed-RETAIL'!$E42)</f>
        <v>65.010000000000005</v>
      </c>
      <c r="BE42" s="28">
        <f>SUMIFS('SBR Mar20 - Aug20'!$H$3:$H$961,'SBR Mar20 - Aug20'!$A$3:$A$961,'Mar20-Aug20 Billed-RETAIL'!$C42,'SBR Mar20 - Aug20'!$B$3:$B$961,'Mar20-Aug20 Billed-RETAIL'!$E42)</f>
        <v>90.78</v>
      </c>
      <c r="BF42" s="28">
        <f>SUMIFS('SBR Mar20 - Aug20'!$G$3:$G$961,'SBR Mar20 - Aug20'!$A$3:$A$961,'Mar20-Aug20 Billed-RETAIL'!$C42,'SBR Mar20 - Aug20'!$B$3:$B$961,'Mar20-Aug20 Billed-RETAIL'!$E42)</f>
        <v>0</v>
      </c>
      <c r="BG42" s="28">
        <f>SUMIFS('SBR Mar20 - Aug20'!$M$3:$M$961,'SBR Mar20 - Aug20'!$A$3:$A$961,'Mar20-Aug20 Billed-RETAIL'!$C42,'SBR Mar20 - Aug20'!$B$3:$B$961,'Mar20-Aug20 Billed-RETAIL'!$E42)</f>
        <v>0.14000000000000001</v>
      </c>
      <c r="BH42" s="28">
        <f>SUMIFS('SBR Mar20 - Aug20'!$N$3:$N$961,'SBR Mar20 - Aug20'!$A$3:$A$961,'Mar20-Aug20 Billed-RETAIL'!$C42,'SBR Mar20 - Aug20'!$B$3:$B$961,'Mar20-Aug20 Billed-RETAIL'!$E42)</f>
        <v>80.37</v>
      </c>
      <c r="BI42" s="28">
        <f>SUMIFS('SBR Mar20 - Aug20'!$Y$3:$Y$961,'SBR Mar20 - Aug20'!$A$3:$A$961,'Mar20-Aug20 Billed-RETAIL'!$C42,'SBR Mar20 - Aug20'!$B$3:$B$961,'Mar20-Aug20 Billed-RETAIL'!$E42)</f>
        <v>0</v>
      </c>
      <c r="BJ42" s="28">
        <f>SUMIFS('SBR Mar20 - Aug20'!$W$3:$W$961,'SBR Mar20 - Aug20'!$A$3:$A$961,'Mar20-Aug20 Billed-RETAIL'!$C42,'SBR Mar20 - Aug20'!$B$3:$B$961,'Mar20-Aug20 Billed-RETAIL'!$E42)</f>
        <v>8.39</v>
      </c>
      <c r="BK42" s="28">
        <f>SUMIFS('SBR Mar20 - Aug20'!$X$3:$X$961,'SBR Mar20 - Aug20'!$A$3:$A$961,'Mar20-Aug20 Billed-RETAIL'!$C42,'SBR Mar20 - Aug20'!$B$3:$B$961,'Mar20-Aug20 Billed-RETAIL'!$E42)</f>
        <v>4.9400000000000004</v>
      </c>
      <c r="BL42" s="28">
        <f>SUMIFS('SBR Mar20 - Aug20'!$Z$3:$Z$961,'SBR Mar20 - Aug20'!$A$3:$A$961,'Mar20-Aug20 Billed-RETAIL'!$C42,'SBR Mar20 - Aug20'!$B$3:$B$961,'Mar20-Aug20 Billed-RETAIL'!$E42)</f>
        <v>0</v>
      </c>
      <c r="BM42" s="42">
        <f t="shared" si="69"/>
        <v>0</v>
      </c>
      <c r="BN42" s="42">
        <f t="shared" si="70"/>
        <v>3.1999999999925421E-3</v>
      </c>
    </row>
    <row r="43" spans="1:67" ht="15.75" customHeight="1" x14ac:dyDescent="0.25">
      <c r="C43" s="307">
        <f t="shared" si="71"/>
        <v>43952</v>
      </c>
      <c r="D43" s="408" t="str">
        <f t="shared" si="58"/>
        <v>855</v>
      </c>
      <c r="E43" s="405" t="str">
        <f>'Retail Rates'!$B$11</f>
        <v>LGING855</v>
      </c>
      <c r="F43" s="405"/>
      <c r="G43" s="405" t="str">
        <f>VLOOKUP(E43,'Retail Rates'!$B$7:$D$40,3,FALSE)</f>
        <v>Firm Industrial Gas Service-DSM Opt-Out</v>
      </c>
      <c r="H43" s="20">
        <v>43</v>
      </c>
      <c r="I43" s="20">
        <v>48</v>
      </c>
      <c r="J43" s="20">
        <f>SUMIFS('Data-Retail'!$G$2:$G$1987,'Data-Retail'!$A$2:$A$1987,'Mar20-Aug20 Billed-RETAIL'!$C43,'Data-Retail'!$B$2:$B$1987,'Mar20-Aug20 Billed-RETAIL'!$E43)</f>
        <v>55189</v>
      </c>
      <c r="K43" s="20">
        <f>SUMIFS('Data-Retail'!$H$2:$H$1987,'Data-Retail'!$A$2:$A$1987,'Mar20-Aug20 Billed-RETAIL'!$C43,'Data-Retail'!$B$2:$B$1987,'Mar20-Aug20 Billed-RETAIL'!$E43)</f>
        <v>347975</v>
      </c>
      <c r="L43" s="20">
        <v>0</v>
      </c>
      <c r="M43" s="20">
        <v>0</v>
      </c>
      <c r="N43" s="20">
        <v>0</v>
      </c>
      <c r="O43" s="20">
        <v>0</v>
      </c>
      <c r="P43" s="20">
        <v>1217</v>
      </c>
      <c r="Q43" s="20">
        <v>1453</v>
      </c>
      <c r="R43" s="21">
        <f>VLOOKUP($E43,'Retail Rates'!$B$7:$P$40,4,FALSE)</f>
        <v>5.42</v>
      </c>
      <c r="S43" s="21">
        <f>VLOOKUP($E43,'Retail Rates'!$B$7:$P$40,5,FALSE)</f>
        <v>24.64</v>
      </c>
      <c r="T43" s="22">
        <f>VLOOKUP($E43,'Retail Rates'!$B$7:$P$40,8,FALSE)</f>
        <v>0.21929000000000001</v>
      </c>
      <c r="U43" s="22">
        <f>VLOOKUP($E43,'Retail Rates'!$B$7:$P$40,9,FALSE)</f>
        <v>0.16929</v>
      </c>
      <c r="V43" s="22">
        <f>VLOOKUP($E43,'Retail Rates'!$B$7:$P$40,14,FALSE)</f>
        <v>0</v>
      </c>
      <c r="W43" s="22">
        <f>VLOOKUP($E43,'Retail Rates'!$B$7:$P$40,10,FALSE)</f>
        <v>2.1929000000000003</v>
      </c>
      <c r="X43" s="22">
        <f>VLOOKUP($E43,'Retail Rates'!$B$7:$P$40,11,FALSE)</f>
        <v>1.6928999999999998</v>
      </c>
      <c r="Y43" s="22">
        <f>VLOOKUP($E43,'Retail Rates'!$B$7:$P$40,15,FALSE)</f>
        <v>0</v>
      </c>
      <c r="Z43" s="22">
        <v>0</v>
      </c>
      <c r="AA43" s="411">
        <f t="shared" si="52"/>
        <v>6596.14</v>
      </c>
      <c r="AB43" s="411">
        <f>+Q43*S43</f>
        <v>35801.919999999998</v>
      </c>
      <c r="AC43" s="411">
        <f t="shared" si="72"/>
        <v>12102.39581</v>
      </c>
      <c r="AD43" s="411">
        <f t="shared" si="72"/>
        <v>58908.687749999997</v>
      </c>
      <c r="AE43" s="411">
        <f t="shared" si="54"/>
        <v>0</v>
      </c>
      <c r="AF43" s="41">
        <v>0</v>
      </c>
      <c r="AG43" s="41">
        <v>0</v>
      </c>
      <c r="AH43" s="33">
        <v>0</v>
      </c>
      <c r="AI43" s="33">
        <v>0</v>
      </c>
      <c r="AJ43" s="41">
        <v>0</v>
      </c>
      <c r="AK43" s="41">
        <v>0</v>
      </c>
      <c r="AL43" s="33">
        <v>-0.01</v>
      </c>
      <c r="AM43" s="33">
        <v>0</v>
      </c>
      <c r="AN43" s="41">
        <v>0</v>
      </c>
      <c r="AO43" s="33">
        <v>0</v>
      </c>
      <c r="AP43" s="411">
        <f t="shared" si="59"/>
        <v>6596.14</v>
      </c>
      <c r="AQ43" s="411">
        <f t="shared" si="60"/>
        <v>35801.919999999998</v>
      </c>
      <c r="AR43" s="411">
        <f t="shared" si="61"/>
        <v>12102.38581</v>
      </c>
      <c r="AS43" s="411">
        <f t="shared" si="62"/>
        <v>58908.687749999997</v>
      </c>
      <c r="AT43" s="411">
        <f t="shared" si="63"/>
        <v>0</v>
      </c>
      <c r="AU43" s="411">
        <f t="shared" si="55"/>
        <v>0</v>
      </c>
      <c r="AV43" s="28">
        <f t="shared" si="64"/>
        <v>0</v>
      </c>
      <c r="AW43" s="28">
        <f t="shared" si="65"/>
        <v>123329.13</v>
      </c>
      <c r="AX43" s="28">
        <f t="shared" si="66"/>
        <v>0</v>
      </c>
      <c r="AY43" s="28">
        <f t="shared" si="67"/>
        <v>8016.61</v>
      </c>
      <c r="AZ43" s="28">
        <f t="shared" si="51"/>
        <v>2864.51</v>
      </c>
      <c r="BA43" s="28">
        <f t="shared" si="56"/>
        <v>247619.38</v>
      </c>
      <c r="BB43" s="28">
        <f t="shared" si="57"/>
        <v>247619.41999999998</v>
      </c>
      <c r="BC43" s="29">
        <f t="shared" si="68"/>
        <v>1</v>
      </c>
      <c r="BD43" s="28">
        <f>SUMIFS('SBR Mar20 - Aug20'!$F$3:$F$961,'SBR Mar20 - Aug20'!$A$3:$A$961,'Mar20-Aug20 Billed-RETAIL'!$C43,'SBR Mar20 - Aug20'!$B$3:$B$961,'Mar20-Aug20 Billed-RETAIL'!$E43)</f>
        <v>42398.06</v>
      </c>
      <c r="BE43" s="28">
        <f>SUMIFS('SBR Mar20 - Aug20'!$H$3:$H$961,'SBR Mar20 - Aug20'!$A$3:$A$961,'Mar20-Aug20 Billed-RETAIL'!$C43,'SBR Mar20 - Aug20'!$B$3:$B$961,'Mar20-Aug20 Billed-RETAIL'!$E43)</f>
        <v>71011.11</v>
      </c>
      <c r="BF43" s="28">
        <f>SUMIFS('SBR Mar20 - Aug20'!$G$3:$G$961,'SBR Mar20 - Aug20'!$A$3:$A$961,'Mar20-Aug20 Billed-RETAIL'!$C43,'SBR Mar20 - Aug20'!$B$3:$B$961,'Mar20-Aug20 Billed-RETAIL'!$E43)</f>
        <v>0</v>
      </c>
      <c r="BG43" s="28">
        <f>SUMIFS('SBR Mar20 - Aug20'!$M$3:$M$961,'SBR Mar20 - Aug20'!$A$3:$A$961,'Mar20-Aug20 Billed-RETAIL'!$C43,'SBR Mar20 - Aug20'!$B$3:$B$961,'Mar20-Aug20 Billed-RETAIL'!$E43)</f>
        <v>0</v>
      </c>
      <c r="BH43" s="28">
        <f>SUMIFS('SBR Mar20 - Aug20'!$N$3:$N$961,'SBR Mar20 - Aug20'!$A$3:$A$961,'Mar20-Aug20 Billed-RETAIL'!$C43,'SBR Mar20 - Aug20'!$B$3:$B$961,'Mar20-Aug20 Billed-RETAIL'!$E43)</f>
        <v>123329.13</v>
      </c>
      <c r="BI43" s="28">
        <f>SUMIFS('SBR Mar20 - Aug20'!$Y$3:$Y$961,'SBR Mar20 - Aug20'!$A$3:$A$961,'Mar20-Aug20 Billed-RETAIL'!$C43,'SBR Mar20 - Aug20'!$B$3:$B$961,'Mar20-Aug20 Billed-RETAIL'!$E43)</f>
        <v>0</v>
      </c>
      <c r="BJ43" s="28">
        <f>SUMIFS('SBR Mar20 - Aug20'!$W$3:$W$961,'SBR Mar20 - Aug20'!$A$3:$A$961,'Mar20-Aug20 Billed-RETAIL'!$C43,'SBR Mar20 - Aug20'!$B$3:$B$961,'Mar20-Aug20 Billed-RETAIL'!$E43)</f>
        <v>8016.61</v>
      </c>
      <c r="BK43" s="28">
        <f>SUMIFS('SBR Mar20 - Aug20'!$X$3:$X$961,'SBR Mar20 - Aug20'!$A$3:$A$961,'Mar20-Aug20 Billed-RETAIL'!$C43,'SBR Mar20 - Aug20'!$B$3:$B$961,'Mar20-Aug20 Billed-RETAIL'!$E43)</f>
        <v>2864.51</v>
      </c>
      <c r="BL43" s="28">
        <f>SUMIFS('SBR Mar20 - Aug20'!$Z$3:$Z$961,'SBR Mar20 - Aug20'!$A$3:$A$961,'Mar20-Aug20 Billed-RETAIL'!$C43,'SBR Mar20 - Aug20'!$B$3:$B$961,'Mar20-Aug20 Billed-RETAIL'!$E43)</f>
        <v>0</v>
      </c>
      <c r="BM43" s="42">
        <f t="shared" si="69"/>
        <v>0</v>
      </c>
      <c r="BN43" s="42">
        <f t="shared" si="70"/>
        <v>-3.6440000010770746E-2</v>
      </c>
    </row>
    <row r="44" spans="1:67" ht="15.75" customHeight="1" x14ac:dyDescent="0.25">
      <c r="C44" s="307">
        <f t="shared" si="71"/>
        <v>43952</v>
      </c>
      <c r="D44" s="408" t="str">
        <f t="shared" si="58"/>
        <v>855</v>
      </c>
      <c r="E44" s="405" t="str">
        <f>'Retail Rates'!$B$12</f>
        <v>LGING855DS</v>
      </c>
      <c r="F44" s="405"/>
      <c r="G44" s="405" t="str">
        <f>VLOOKUP(E44,'Retail Rates'!$B$7:$D$40,3,FALSE)</f>
        <v>Firm Industrial Gas Service-DSM Opt-In</v>
      </c>
      <c r="H44" s="20">
        <v>77</v>
      </c>
      <c r="I44" s="20">
        <v>63</v>
      </c>
      <c r="J44" s="20">
        <f>SUMIFS('Data-Retail'!$G$2:$G$1987,'Data-Retail'!$A$2:$A$1987,'Mar20-Aug20 Billed-RETAIL'!$C44,'Data-Retail'!$B$2:$B$1987,'Mar20-Aug20 Billed-RETAIL'!$E44)</f>
        <v>67354</v>
      </c>
      <c r="K44" s="20">
        <f>SUMIFS('Data-Retail'!$H$2:$H$1987,'Data-Retail'!$A$2:$A$1987,'Mar20-Aug20 Billed-RETAIL'!$C44,'Data-Retail'!$B$2:$B$1987,'Mar20-Aug20 Billed-RETAIL'!$E44)</f>
        <v>347599</v>
      </c>
      <c r="L44" s="20">
        <v>0</v>
      </c>
      <c r="M44" s="20">
        <v>0</v>
      </c>
      <c r="N44" s="20">
        <v>0</v>
      </c>
      <c r="O44" s="20">
        <v>0</v>
      </c>
      <c r="P44" s="20">
        <v>2188</v>
      </c>
      <c r="Q44" s="20">
        <v>1848</v>
      </c>
      <c r="R44" s="21">
        <f>VLOOKUP($E44,'Retail Rates'!$B$7:$P$40,4,FALSE)</f>
        <v>5.42</v>
      </c>
      <c r="S44" s="21">
        <f>VLOOKUP($E44,'Retail Rates'!$B$7:$P$40,5,FALSE)</f>
        <v>24.64</v>
      </c>
      <c r="T44" s="22">
        <f>VLOOKUP($E44,'Retail Rates'!$B$7:$P$40,8,FALSE)</f>
        <v>0.21929000000000001</v>
      </c>
      <c r="U44" s="22">
        <f>VLOOKUP($E44,'Retail Rates'!$B$7:$P$40,9,FALSE)</f>
        <v>0.16929</v>
      </c>
      <c r="V44" s="22">
        <f>VLOOKUP($E44,'Retail Rates'!$B$7:$P$40,14,FALSE)</f>
        <v>0</v>
      </c>
      <c r="W44" s="22">
        <f>VLOOKUP($E44,'Retail Rates'!$B$7:$P$40,10,FALSE)</f>
        <v>2.1929000000000003</v>
      </c>
      <c r="X44" s="22">
        <f>VLOOKUP($E44,'Retail Rates'!$B$7:$P$40,11,FALSE)</f>
        <v>1.6928999999999998</v>
      </c>
      <c r="Y44" s="22">
        <f>VLOOKUP($E44,'Retail Rates'!$B$7:$P$40,15,FALSE)</f>
        <v>0</v>
      </c>
      <c r="Z44" s="22">
        <v>0</v>
      </c>
      <c r="AA44" s="411">
        <f t="shared" si="52"/>
        <v>11858.96</v>
      </c>
      <c r="AB44" s="411">
        <f>+Q44*S44</f>
        <v>45534.720000000001</v>
      </c>
      <c r="AC44" s="411">
        <f t="shared" si="72"/>
        <v>14770.058660000001</v>
      </c>
      <c r="AD44" s="411">
        <f t="shared" si="72"/>
        <v>58845.03471</v>
      </c>
      <c r="AE44" s="411">
        <f t="shared" si="54"/>
        <v>0</v>
      </c>
      <c r="AF44" s="41">
        <v>0</v>
      </c>
      <c r="AG44" s="41">
        <v>0</v>
      </c>
      <c r="AH44" s="33">
        <v>0</v>
      </c>
      <c r="AI44" s="33">
        <v>0</v>
      </c>
      <c r="AJ44" s="41">
        <v>0</v>
      </c>
      <c r="AK44" s="41">
        <v>0</v>
      </c>
      <c r="AL44" s="33">
        <v>0</v>
      </c>
      <c r="AM44" s="33">
        <v>0</v>
      </c>
      <c r="AN44" s="41">
        <v>0</v>
      </c>
      <c r="AO44" s="33">
        <v>0</v>
      </c>
      <c r="AP44" s="411">
        <f t="shared" si="59"/>
        <v>11858.96</v>
      </c>
      <c r="AQ44" s="411">
        <f t="shared" si="60"/>
        <v>45534.720000000001</v>
      </c>
      <c r="AR44" s="411">
        <f t="shared" si="61"/>
        <v>14770.058660000001</v>
      </c>
      <c r="AS44" s="411">
        <f t="shared" si="62"/>
        <v>58845.03471</v>
      </c>
      <c r="AT44" s="411">
        <f t="shared" si="63"/>
        <v>0</v>
      </c>
      <c r="AU44" s="411">
        <f t="shared" si="55"/>
        <v>0</v>
      </c>
      <c r="AV44" s="28">
        <f t="shared" si="64"/>
        <v>199.32</v>
      </c>
      <c r="AW44" s="28">
        <f t="shared" si="65"/>
        <v>122679.03</v>
      </c>
      <c r="AX44" s="28">
        <f t="shared" si="66"/>
        <v>0</v>
      </c>
      <c r="AY44" s="28">
        <f t="shared" si="67"/>
        <v>11706.14</v>
      </c>
      <c r="AZ44" s="28">
        <f t="shared" si="51"/>
        <v>3325.89</v>
      </c>
      <c r="BA44" s="28">
        <f t="shared" si="56"/>
        <v>268919.15000000002</v>
      </c>
      <c r="BB44" s="28">
        <f t="shared" si="57"/>
        <v>268919.16000000003</v>
      </c>
      <c r="BC44" s="29">
        <f t="shared" si="68"/>
        <v>1</v>
      </c>
      <c r="BD44" s="28">
        <f>SUMIFS('SBR Mar20 - Aug20'!$F$3:$F$961,'SBR Mar20 - Aug20'!$A$3:$A$961,'Mar20-Aug20 Billed-RETAIL'!$C44,'SBR Mar20 - Aug20'!$B$3:$B$961,'Mar20-Aug20 Billed-RETAIL'!$E44)</f>
        <v>57393.68</v>
      </c>
      <c r="BE44" s="28">
        <f>SUMIFS('SBR Mar20 - Aug20'!$H$3:$H$961,'SBR Mar20 - Aug20'!$A$3:$A$961,'Mar20-Aug20 Billed-RETAIL'!$C44,'SBR Mar20 - Aug20'!$B$3:$B$961,'Mar20-Aug20 Billed-RETAIL'!$E44)</f>
        <v>73615.100000000006</v>
      </c>
      <c r="BF44" s="28">
        <f>SUMIFS('SBR Mar20 - Aug20'!$G$3:$G$961,'SBR Mar20 - Aug20'!$A$3:$A$961,'Mar20-Aug20 Billed-RETAIL'!$C44,'SBR Mar20 - Aug20'!$B$3:$B$961,'Mar20-Aug20 Billed-RETAIL'!$E44)</f>
        <v>0</v>
      </c>
      <c r="BG44" s="28">
        <f>SUMIFS('SBR Mar20 - Aug20'!$M$3:$M$961,'SBR Mar20 - Aug20'!$A$3:$A$961,'Mar20-Aug20 Billed-RETAIL'!$C44,'SBR Mar20 - Aug20'!$B$3:$B$961,'Mar20-Aug20 Billed-RETAIL'!$E44)</f>
        <v>199.32</v>
      </c>
      <c r="BH44" s="28">
        <f>SUMIFS('SBR Mar20 - Aug20'!$N$3:$N$961,'SBR Mar20 - Aug20'!$A$3:$A$961,'Mar20-Aug20 Billed-RETAIL'!$C44,'SBR Mar20 - Aug20'!$B$3:$B$961,'Mar20-Aug20 Billed-RETAIL'!$E44)</f>
        <v>122679.03</v>
      </c>
      <c r="BI44" s="28">
        <f>SUMIFS('SBR Mar20 - Aug20'!$Y$3:$Y$961,'SBR Mar20 - Aug20'!$A$3:$A$961,'Mar20-Aug20 Billed-RETAIL'!$C44,'SBR Mar20 - Aug20'!$B$3:$B$961,'Mar20-Aug20 Billed-RETAIL'!$E44)</f>
        <v>0</v>
      </c>
      <c r="BJ44" s="28">
        <f>SUMIFS('SBR Mar20 - Aug20'!$W$3:$W$961,'SBR Mar20 - Aug20'!$A$3:$A$961,'Mar20-Aug20 Billed-RETAIL'!$C44,'SBR Mar20 - Aug20'!$B$3:$B$961,'Mar20-Aug20 Billed-RETAIL'!$E44)</f>
        <v>11706.14</v>
      </c>
      <c r="BK44" s="28">
        <f>SUMIFS('SBR Mar20 - Aug20'!$X$3:$X$961,'SBR Mar20 - Aug20'!$A$3:$A$961,'Mar20-Aug20 Billed-RETAIL'!$C44,'SBR Mar20 - Aug20'!$B$3:$B$961,'Mar20-Aug20 Billed-RETAIL'!$E44)</f>
        <v>3325.89</v>
      </c>
      <c r="BL44" s="28">
        <f>SUMIFS('SBR Mar20 - Aug20'!$Z$3:$Z$961,'SBR Mar20 - Aug20'!$A$3:$A$961,'Mar20-Aug20 Billed-RETAIL'!$C44,'SBR Mar20 - Aug20'!$B$3:$B$961,'Mar20-Aug20 Billed-RETAIL'!$E44)</f>
        <v>0</v>
      </c>
      <c r="BM44" s="42">
        <f t="shared" si="69"/>
        <v>0</v>
      </c>
      <c r="BN44" s="42">
        <f t="shared" si="70"/>
        <v>-6.6300000034971163E-3</v>
      </c>
    </row>
    <row r="45" spans="1:67" ht="15.75" customHeight="1" x14ac:dyDescent="0.25">
      <c r="C45" s="307">
        <f t="shared" si="71"/>
        <v>43952</v>
      </c>
      <c r="D45" s="408" t="str">
        <f t="shared" si="58"/>
        <v>863</v>
      </c>
      <c r="E45" s="405" t="str">
        <f>'Retail Rates'!$B$13</f>
        <v>LGCMG863</v>
      </c>
      <c r="F45" s="405"/>
      <c r="G45" s="405" t="str">
        <f>VLOOKUP(E45,'Retail Rates'!$B$7:$D$40,3,FALSE)</f>
        <v>Unmetered Insight Gas Generators</v>
      </c>
      <c r="H45" s="20">
        <v>607</v>
      </c>
      <c r="I45" s="20">
        <v>0</v>
      </c>
      <c r="J45" s="20">
        <f>SUMIFS('Data-Retail'!$G$2:$G$1987,'Data-Retail'!$A$2:$A$1987,'Mar20-Aug20 Billed-RETAIL'!$C45,'Data-Retail'!$B$2:$B$1987,'Mar20-Aug20 Billed-RETAIL'!$E45)</f>
        <v>601</v>
      </c>
      <c r="K45" s="20">
        <f>SUMIFS('Data-Retail'!$H$2:$H$1987,'Data-Retail'!$A$2:$A$1987,'Mar20-Aug20 Billed-RETAIL'!$C45,'Data-Retail'!$B$2:$B$1987,'Mar20-Aug20 Billed-RETAIL'!$E45)</f>
        <v>0</v>
      </c>
      <c r="L45" s="20">
        <v>0</v>
      </c>
      <c r="M45" s="20">
        <v>0</v>
      </c>
      <c r="N45" s="20">
        <v>0</v>
      </c>
      <c r="O45" s="20">
        <v>0</v>
      </c>
      <c r="P45" s="20">
        <v>18272</v>
      </c>
      <c r="Q45" s="20">
        <v>0</v>
      </c>
      <c r="R45" s="21">
        <f>VLOOKUP($E45,'Retail Rates'!$B$7:$P$40,4,FALSE)</f>
        <v>1.97</v>
      </c>
      <c r="S45" s="21">
        <f>VLOOKUP($E45,'Retail Rates'!$B$7:$P$40,5,FALSE)</f>
        <v>9.3699999999999992</v>
      </c>
      <c r="T45" s="22">
        <f>VLOOKUP($E45,'Retail Rates'!$B$7:$P$40,8,FALSE)</f>
        <v>0.30669999999999997</v>
      </c>
      <c r="U45" s="22">
        <f>VLOOKUP($E45,'Retail Rates'!$B$7:$P$40,9,FALSE)</f>
        <v>0.25669999999999998</v>
      </c>
      <c r="V45" s="22">
        <f>VLOOKUP($E45,'Retail Rates'!$B$7:$P$40,14,FALSE)</f>
        <v>0</v>
      </c>
      <c r="W45" s="22">
        <f>VLOOKUP($E45,'Retail Rates'!$B$7:$P$40,10,FALSE)</f>
        <v>3.0669999999999997</v>
      </c>
      <c r="X45" s="22">
        <f>VLOOKUP($E45,'Retail Rates'!$B$7:$P$40,11,FALSE)</f>
        <v>2.5669999999999997</v>
      </c>
      <c r="Y45" s="22">
        <f>VLOOKUP($E45,'Retail Rates'!$B$7:$P$40,15,FALSE)</f>
        <v>0</v>
      </c>
      <c r="Z45" s="22">
        <v>0</v>
      </c>
      <c r="AA45" s="411">
        <f t="shared" si="52"/>
        <v>35995.839999999997</v>
      </c>
      <c r="AB45" s="411">
        <f t="shared" ref="AB45:AB53" si="73">+I45*S45</f>
        <v>0</v>
      </c>
      <c r="AC45" s="411">
        <f>ROUND(T45,2)*J45</f>
        <v>186.31</v>
      </c>
      <c r="AD45" s="411">
        <f t="shared" ref="AD45:AD53" si="74">+K45*U45</f>
        <v>0</v>
      </c>
      <c r="AE45" s="411">
        <f t="shared" si="54"/>
        <v>0</v>
      </c>
      <c r="AF45" s="41">
        <v>0</v>
      </c>
      <c r="AG45" s="41">
        <v>0</v>
      </c>
      <c r="AH45" s="33">
        <v>0</v>
      </c>
      <c r="AI45" s="33">
        <v>0</v>
      </c>
      <c r="AJ45" s="41">
        <v>0</v>
      </c>
      <c r="AK45" s="41">
        <v>0</v>
      </c>
      <c r="AL45" s="33">
        <v>0</v>
      </c>
      <c r="AM45" s="33">
        <v>0</v>
      </c>
      <c r="AN45" s="41">
        <v>0</v>
      </c>
      <c r="AO45" s="33">
        <v>0</v>
      </c>
      <c r="AP45" s="411">
        <f t="shared" si="59"/>
        <v>35995.839999999997</v>
      </c>
      <c r="AQ45" s="411">
        <f t="shared" si="60"/>
        <v>0</v>
      </c>
      <c r="AR45" s="411">
        <f t="shared" si="61"/>
        <v>186.31</v>
      </c>
      <c r="AS45" s="411">
        <f t="shared" si="62"/>
        <v>0</v>
      </c>
      <c r="AT45" s="411">
        <f t="shared" si="63"/>
        <v>0</v>
      </c>
      <c r="AU45" s="411">
        <f t="shared" si="55"/>
        <v>0</v>
      </c>
      <c r="AV45" s="28">
        <f t="shared" si="64"/>
        <v>0</v>
      </c>
      <c r="AW45" s="28">
        <f t="shared" si="65"/>
        <v>180.22</v>
      </c>
      <c r="AX45" s="28">
        <f t="shared" si="66"/>
        <v>0</v>
      </c>
      <c r="AY45" s="28">
        <f t="shared" si="67"/>
        <v>4283.1400000000003</v>
      </c>
      <c r="AZ45" s="28">
        <f t="shared" si="51"/>
        <v>8.69</v>
      </c>
      <c r="BA45" s="28">
        <f t="shared" si="56"/>
        <v>40654.199999999997</v>
      </c>
      <c r="BB45" s="28">
        <f t="shared" si="57"/>
        <v>40654.199999999997</v>
      </c>
      <c r="BC45" s="29">
        <f t="shared" si="68"/>
        <v>1</v>
      </c>
      <c r="BD45" s="28">
        <f>SUMIFS('SBR Mar20 - Aug20'!$F$3:$F$961,'SBR Mar20 - Aug20'!$A$3:$A$961,'Mar20-Aug20 Billed-RETAIL'!$C45,'SBR Mar20 - Aug20'!$B$3:$B$961,'Mar20-Aug20 Billed-RETAIL'!$E45)</f>
        <v>35995.839999999997</v>
      </c>
      <c r="BE45" s="28">
        <f>SUMIFS('SBR Mar20 - Aug20'!$H$3:$H$961,'SBR Mar20 - Aug20'!$A$3:$A$961,'Mar20-Aug20 Billed-RETAIL'!$C45,'SBR Mar20 - Aug20'!$B$3:$B$961,'Mar20-Aug20 Billed-RETAIL'!$E45)</f>
        <v>186.31</v>
      </c>
      <c r="BF45" s="28">
        <f>SUMIFS('SBR Mar20 - Aug20'!$G$3:$G$961,'SBR Mar20 - Aug20'!$A$3:$A$961,'Mar20-Aug20 Billed-RETAIL'!$C45,'SBR Mar20 - Aug20'!$B$3:$B$961,'Mar20-Aug20 Billed-RETAIL'!$E45)</f>
        <v>0</v>
      </c>
      <c r="BG45" s="28">
        <f>SUMIFS('SBR Mar20 - Aug20'!$M$3:$M$961,'SBR Mar20 - Aug20'!$A$3:$A$961,'Mar20-Aug20 Billed-RETAIL'!$C45,'SBR Mar20 - Aug20'!$B$3:$B$961,'Mar20-Aug20 Billed-RETAIL'!$E45)</f>
        <v>0</v>
      </c>
      <c r="BH45" s="28">
        <f>SUMIFS('SBR Mar20 - Aug20'!$N$3:$N$961,'SBR Mar20 - Aug20'!$A$3:$A$961,'Mar20-Aug20 Billed-RETAIL'!$C45,'SBR Mar20 - Aug20'!$B$3:$B$961,'Mar20-Aug20 Billed-RETAIL'!$E45)</f>
        <v>180.22</v>
      </c>
      <c r="BI45" s="28">
        <f>SUMIFS('SBR Mar20 - Aug20'!$Y$3:$Y$961,'SBR Mar20 - Aug20'!$A$3:$A$961,'Mar20-Aug20 Billed-RETAIL'!$C45,'SBR Mar20 - Aug20'!$B$3:$B$961,'Mar20-Aug20 Billed-RETAIL'!$E45)</f>
        <v>0</v>
      </c>
      <c r="BJ45" s="28">
        <f>SUMIFS('SBR Mar20 - Aug20'!$W$3:$W$961,'SBR Mar20 - Aug20'!$A$3:$A$961,'Mar20-Aug20 Billed-RETAIL'!$C45,'SBR Mar20 - Aug20'!$B$3:$B$961,'Mar20-Aug20 Billed-RETAIL'!$E45)</f>
        <v>4283.1400000000003</v>
      </c>
      <c r="BK45" s="28">
        <f>SUMIFS('SBR Mar20 - Aug20'!$X$3:$X$961,'SBR Mar20 - Aug20'!$A$3:$A$961,'Mar20-Aug20 Billed-RETAIL'!$C45,'SBR Mar20 - Aug20'!$B$3:$B$961,'Mar20-Aug20 Billed-RETAIL'!$E45)</f>
        <v>8.69</v>
      </c>
      <c r="BL45" s="28">
        <f>SUMIFS('SBR Mar20 - Aug20'!$Z$3:$Z$961,'SBR Mar20 - Aug20'!$A$3:$A$961,'Mar20-Aug20 Billed-RETAIL'!$C45,'SBR Mar20 - Aug20'!$B$3:$B$961,'Mar20-Aug20 Billed-RETAIL'!$E45)</f>
        <v>0</v>
      </c>
      <c r="BM45" s="42">
        <f t="shared" si="69"/>
        <v>0</v>
      </c>
      <c r="BN45" s="42">
        <f t="shared" si="70"/>
        <v>0</v>
      </c>
    </row>
    <row r="46" spans="1:67" ht="15.75" customHeight="1" x14ac:dyDescent="0.25">
      <c r="C46" s="307">
        <f t="shared" si="71"/>
        <v>43952</v>
      </c>
      <c r="D46" s="408" t="str">
        <f t="shared" si="58"/>
        <v>865</v>
      </c>
      <c r="E46" s="405" t="str">
        <f>'Retail Rates'!$B$14</f>
        <v>LGCMG865</v>
      </c>
      <c r="F46" s="405"/>
      <c r="G46" s="405" t="str">
        <f>VLOOKUP(E46,'Retail Rates'!$B$7:$D$40,3,FALSE)</f>
        <v>As-Available Gas Service, Commercial</v>
      </c>
      <c r="H46" s="20">
        <f>SUMIFS('Data-Retail'!$F$2:$F$1987,'Data-Retail'!$A$2:$A$1987,'Mar20-Aug20 Billed-RETAIL'!$C46,'Data-Retail'!$B$2:$B$1987,'Mar20-Aug20 Billed-RETAIL'!$E46)</f>
        <v>2</v>
      </c>
      <c r="I46" s="20">
        <v>0</v>
      </c>
      <c r="J46" s="20">
        <v>0</v>
      </c>
      <c r="K46" s="20">
        <f>SUMIFS('Data-Retail'!$H$2:$H$1987,'Data-Retail'!$A$2:$A$1987,'Mar20-Aug20 Billed-RETAIL'!$C46,'Data-Retail'!$B$2:$B$1987,'Mar20-Aug20 Billed-RETAIL'!$E46)</f>
        <v>0</v>
      </c>
      <c r="L46" s="20">
        <v>0</v>
      </c>
      <c r="M46" s="20">
        <f>SUMIFS('Data-Retail'!$G$2:$G$1987,'Data-Retail'!$A$2:$A$1987,'Mar20-Aug20 Billed-RETAIL'!$C46,'Data-Retail'!$B$2:$B$1987,'Mar20-Aug20 Billed-RETAIL'!$E46)/10</f>
        <v>5373.2</v>
      </c>
      <c r="N46" s="20">
        <v>0</v>
      </c>
      <c r="O46" s="20">
        <v>0</v>
      </c>
      <c r="P46" s="20">
        <v>0</v>
      </c>
      <c r="Q46" s="20">
        <v>0</v>
      </c>
      <c r="R46" s="21">
        <f>VLOOKUP($E46,'Retail Rates'!$B$7:$P$40,4,FALSE)</f>
        <v>500</v>
      </c>
      <c r="S46" s="21">
        <f>VLOOKUP($E46,'Retail Rates'!$B$7:$P$40,5,FALSE)</f>
        <v>0</v>
      </c>
      <c r="T46" s="22">
        <f>VLOOKUP($E46,'Retail Rates'!$B$7:$P$40,8,FALSE)</f>
        <v>0.10644000000000001</v>
      </c>
      <c r="U46" s="22">
        <f>VLOOKUP($E46,'Retail Rates'!$B$7:$P$40,9,FALSE)</f>
        <v>0</v>
      </c>
      <c r="V46" s="22">
        <f>VLOOKUP($E46,'Retail Rates'!$B$7:$P$40,14,FALSE)</f>
        <v>0</v>
      </c>
      <c r="W46" s="22">
        <f>VLOOKUP($E46,'Retail Rates'!$B$7:$P$40,10,FALSE)</f>
        <v>1.0644</v>
      </c>
      <c r="X46" s="22">
        <f>VLOOKUP($E46,'Retail Rates'!$B$7:$P$40,11,FALSE)</f>
        <v>0</v>
      </c>
      <c r="Y46" s="22">
        <f>VLOOKUP($E46,'Retail Rates'!$B$7:$P$40,15,FALSE)</f>
        <v>0</v>
      </c>
      <c r="Z46" s="22">
        <v>0</v>
      </c>
      <c r="AA46" s="411">
        <f t="shared" ref="AA46:AA53" si="75">(+H46*R46)</f>
        <v>1000</v>
      </c>
      <c r="AB46" s="411">
        <f t="shared" si="73"/>
        <v>0</v>
      </c>
      <c r="AC46" s="411">
        <f>+M46*W46</f>
        <v>5719.2340800000002</v>
      </c>
      <c r="AD46" s="411">
        <f t="shared" si="74"/>
        <v>0</v>
      </c>
      <c r="AE46" s="411">
        <f t="shared" si="54"/>
        <v>0</v>
      </c>
      <c r="AF46" s="41">
        <v>0</v>
      </c>
      <c r="AG46" s="41">
        <v>0</v>
      </c>
      <c r="AH46" s="33">
        <v>0</v>
      </c>
      <c r="AI46" s="33">
        <v>0</v>
      </c>
      <c r="AJ46" s="41">
        <v>0</v>
      </c>
      <c r="AK46" s="41">
        <v>0</v>
      </c>
      <c r="AL46" s="33">
        <v>0</v>
      </c>
      <c r="AM46" s="33">
        <v>0</v>
      </c>
      <c r="AN46" s="41">
        <v>0</v>
      </c>
      <c r="AO46" s="33">
        <v>0</v>
      </c>
      <c r="AP46" s="411">
        <f t="shared" si="59"/>
        <v>1000</v>
      </c>
      <c r="AQ46" s="411">
        <f t="shared" si="60"/>
        <v>0</v>
      </c>
      <c r="AR46" s="411">
        <f t="shared" si="61"/>
        <v>5719.2340800000002</v>
      </c>
      <c r="AS46" s="411">
        <f t="shared" si="62"/>
        <v>0</v>
      </c>
      <c r="AT46" s="411">
        <f t="shared" si="63"/>
        <v>0</v>
      </c>
      <c r="AU46" s="411">
        <f t="shared" si="55"/>
        <v>0</v>
      </c>
      <c r="AV46" s="28">
        <f t="shared" si="64"/>
        <v>25.79</v>
      </c>
      <c r="AW46" s="28">
        <f t="shared" si="65"/>
        <v>15489.28</v>
      </c>
      <c r="AX46" s="28">
        <f t="shared" si="66"/>
        <v>0</v>
      </c>
      <c r="AY46" s="28">
        <f t="shared" si="67"/>
        <v>175.03</v>
      </c>
      <c r="AZ46" s="28">
        <f t="shared" si="51"/>
        <v>465.81</v>
      </c>
      <c r="BA46" s="28">
        <f t="shared" si="56"/>
        <v>22875.14</v>
      </c>
      <c r="BB46" s="28">
        <f t="shared" si="57"/>
        <v>22875.15</v>
      </c>
      <c r="BC46" s="29">
        <f t="shared" si="68"/>
        <v>1</v>
      </c>
      <c r="BD46" s="28">
        <f>SUMIFS('SBR Mar20 - Aug20'!$F$3:$F$961,'SBR Mar20 - Aug20'!$A$3:$A$961,'Mar20-Aug20 Billed-RETAIL'!$C46,'SBR Mar20 - Aug20'!$B$3:$B$961,'Mar20-Aug20 Billed-RETAIL'!$E46)</f>
        <v>1000</v>
      </c>
      <c r="BE46" s="28">
        <f>SUMIFS('SBR Mar20 - Aug20'!$H$3:$H$961,'SBR Mar20 - Aug20'!$A$3:$A$961,'Mar20-Aug20 Billed-RETAIL'!$C46,'SBR Mar20 - Aug20'!$B$3:$B$961,'Mar20-Aug20 Billed-RETAIL'!$E46)</f>
        <v>5719.24</v>
      </c>
      <c r="BF46" s="28">
        <f>SUMIFS('SBR Mar20 - Aug20'!$G$3:$G$961,'SBR Mar20 - Aug20'!$A$3:$A$961,'Mar20-Aug20 Billed-RETAIL'!$C46,'SBR Mar20 - Aug20'!$B$3:$B$961,'Mar20-Aug20 Billed-RETAIL'!$E46)</f>
        <v>0</v>
      </c>
      <c r="BG46" s="28">
        <f>SUMIFS('SBR Mar20 - Aug20'!$M$3:$M$961,'SBR Mar20 - Aug20'!$A$3:$A$961,'Mar20-Aug20 Billed-RETAIL'!$C46,'SBR Mar20 - Aug20'!$B$3:$B$961,'Mar20-Aug20 Billed-RETAIL'!$E46)</f>
        <v>25.79</v>
      </c>
      <c r="BH46" s="28">
        <f>SUMIFS('SBR Mar20 - Aug20'!$N$3:$N$961,'SBR Mar20 - Aug20'!$A$3:$A$961,'Mar20-Aug20 Billed-RETAIL'!$C46,'SBR Mar20 - Aug20'!$B$3:$B$961,'Mar20-Aug20 Billed-RETAIL'!$E46)</f>
        <v>15489.28</v>
      </c>
      <c r="BI46" s="28">
        <f>SUMIFS('SBR Mar20 - Aug20'!$Y$3:$Y$961,'SBR Mar20 - Aug20'!$A$3:$A$961,'Mar20-Aug20 Billed-RETAIL'!$C46,'SBR Mar20 - Aug20'!$B$3:$B$961,'Mar20-Aug20 Billed-RETAIL'!$E46)</f>
        <v>0</v>
      </c>
      <c r="BJ46" s="28">
        <f>SUMIFS('SBR Mar20 - Aug20'!$W$3:$W$961,'SBR Mar20 - Aug20'!$A$3:$A$961,'Mar20-Aug20 Billed-RETAIL'!$C46,'SBR Mar20 - Aug20'!$B$3:$B$961,'Mar20-Aug20 Billed-RETAIL'!$E46)</f>
        <v>175.03</v>
      </c>
      <c r="BK46" s="28">
        <f>SUMIFS('SBR Mar20 - Aug20'!$X$3:$X$961,'SBR Mar20 - Aug20'!$A$3:$A$961,'Mar20-Aug20 Billed-RETAIL'!$C46,'SBR Mar20 - Aug20'!$B$3:$B$961,'Mar20-Aug20 Billed-RETAIL'!$E46)</f>
        <v>465.81</v>
      </c>
      <c r="BL46" s="28">
        <f>SUMIFS('SBR Mar20 - Aug20'!$Z$3:$Z$961,'SBR Mar20 - Aug20'!$A$3:$A$961,'Mar20-Aug20 Billed-RETAIL'!$C46,'SBR Mar20 - Aug20'!$B$3:$B$961,'Mar20-Aug20 Billed-RETAIL'!$E46)</f>
        <v>0</v>
      </c>
      <c r="BM46" s="42">
        <f t="shared" si="69"/>
        <v>0</v>
      </c>
      <c r="BN46" s="42">
        <f t="shared" si="70"/>
        <v>-5.9199999996053521E-3</v>
      </c>
    </row>
    <row r="47" spans="1:67" x14ac:dyDescent="0.25">
      <c r="A47" s="57"/>
      <c r="C47" s="307">
        <f t="shared" si="71"/>
        <v>43952</v>
      </c>
      <c r="D47" s="408" t="str">
        <f t="shared" si="58"/>
        <v>866</v>
      </c>
      <c r="E47" s="405" t="str">
        <f>'Retail Rates'!$B$15</f>
        <v>LGING866</v>
      </c>
      <c r="F47" s="405"/>
      <c r="G47" s="405" t="str">
        <f>VLOOKUP(E47,'Retail Rates'!$B$7:$D$40,3,FALSE)</f>
        <v>As-Available Gas Service, Industrial Opt Out</v>
      </c>
      <c r="H47" s="20">
        <f>SUMIFS('Data-Retail'!$F$2:$F$1987,'Data-Retail'!$A$2:$A$1987,'Mar20-Aug20 Billed-RETAIL'!$C47,'Data-Retail'!$B$2:$B$1987,'Mar20-Aug20 Billed-RETAIL'!$E47)</f>
        <v>0</v>
      </c>
      <c r="I47" s="20">
        <v>0</v>
      </c>
      <c r="J47" s="20">
        <f>SUMIFS('Data-Retail'!$G$2:$G$1987,'Data-Retail'!$A$2:$A$1987,'Mar20-Aug20 Billed-RETAIL'!$C47,'Data-Retail'!$B$2:$B$1987,'Mar20-Aug20 Billed-RETAIL'!$E47)</f>
        <v>0</v>
      </c>
      <c r="K47" s="20">
        <f>SUMIFS('Data-Retail'!$H$2:$H$1987,'Data-Retail'!$A$2:$A$1987,'Mar20-Aug20 Billed-RETAIL'!$C47,'Data-Retail'!$B$2:$B$1987,'Mar20-Aug20 Billed-RETAIL'!$E47)</f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1">
        <f>VLOOKUP($E47,'Retail Rates'!$B$7:$P$40,4,FALSE)</f>
        <v>500</v>
      </c>
      <c r="S47" s="21">
        <f>VLOOKUP($E47,'Retail Rates'!$B$7:$P$40,5,FALSE)</f>
        <v>0</v>
      </c>
      <c r="T47" s="22">
        <f>VLOOKUP($E47,'Retail Rates'!$B$7:$P$40,8,FALSE)</f>
        <v>0.10644000000000001</v>
      </c>
      <c r="U47" s="22">
        <f>VLOOKUP($E47,'Retail Rates'!$B$7:$P$40,9,FALSE)</f>
        <v>0</v>
      </c>
      <c r="V47" s="22">
        <f>VLOOKUP($E47,'Retail Rates'!$B$7:$P$40,14,FALSE)</f>
        <v>0</v>
      </c>
      <c r="W47" s="22">
        <f>VLOOKUP($E47,'Retail Rates'!$B$7:$P$40,10,FALSE)</f>
        <v>1.0644</v>
      </c>
      <c r="X47" s="22">
        <f>VLOOKUP($E47,'Retail Rates'!$B$7:$P$40,11,FALSE)</f>
        <v>0</v>
      </c>
      <c r="Y47" s="22">
        <f>VLOOKUP($E47,'Retail Rates'!$B$7:$P$40,15,FALSE)</f>
        <v>0</v>
      </c>
      <c r="Z47" s="22">
        <v>0</v>
      </c>
      <c r="AA47" s="411">
        <f t="shared" si="75"/>
        <v>0</v>
      </c>
      <c r="AB47" s="411">
        <f t="shared" si="73"/>
        <v>0</v>
      </c>
      <c r="AC47" s="411">
        <f t="shared" ref="AC47:AC49" si="76">+M47*W47</f>
        <v>0</v>
      </c>
      <c r="AD47" s="411">
        <f t="shared" si="74"/>
        <v>0</v>
      </c>
      <c r="AE47" s="411">
        <f t="shared" si="54"/>
        <v>0</v>
      </c>
      <c r="AF47" s="41">
        <v>0</v>
      </c>
      <c r="AG47" s="41">
        <v>0</v>
      </c>
      <c r="AH47" s="33">
        <v>0</v>
      </c>
      <c r="AI47" s="33">
        <v>0</v>
      </c>
      <c r="AJ47" s="41">
        <v>0</v>
      </c>
      <c r="AK47" s="41">
        <v>0</v>
      </c>
      <c r="AL47" s="33">
        <v>0</v>
      </c>
      <c r="AM47" s="33">
        <v>0</v>
      </c>
      <c r="AN47" s="41">
        <v>0</v>
      </c>
      <c r="AO47" s="33">
        <v>0</v>
      </c>
      <c r="AP47" s="411">
        <f t="shared" si="59"/>
        <v>0</v>
      </c>
      <c r="AQ47" s="411">
        <f t="shared" si="60"/>
        <v>0</v>
      </c>
      <c r="AR47" s="411">
        <f t="shared" si="61"/>
        <v>0</v>
      </c>
      <c r="AS47" s="411">
        <f t="shared" si="62"/>
        <v>0</v>
      </c>
      <c r="AT47" s="411">
        <f t="shared" si="63"/>
        <v>0</v>
      </c>
      <c r="AU47" s="411">
        <f t="shared" si="55"/>
        <v>0</v>
      </c>
      <c r="AV47" s="28">
        <f t="shared" si="64"/>
        <v>0</v>
      </c>
      <c r="AW47" s="28">
        <f t="shared" si="65"/>
        <v>0</v>
      </c>
      <c r="AX47" s="28">
        <f t="shared" si="66"/>
        <v>0</v>
      </c>
      <c r="AY47" s="28">
        <f t="shared" si="67"/>
        <v>0</v>
      </c>
      <c r="AZ47" s="28">
        <f t="shared" si="51"/>
        <v>0</v>
      </c>
      <c r="BA47" s="28">
        <f t="shared" si="56"/>
        <v>0</v>
      </c>
      <c r="BB47" s="28">
        <f t="shared" si="57"/>
        <v>0</v>
      </c>
      <c r="BC47" s="29">
        <f t="shared" si="68"/>
        <v>0</v>
      </c>
      <c r="BD47" s="28">
        <f>SUMIFS('SBR Mar20 - Aug20'!$F$3:$F$961,'SBR Mar20 - Aug20'!$A$3:$A$961,'Mar20-Aug20 Billed-RETAIL'!$C47,'SBR Mar20 - Aug20'!$B$3:$B$961,'Mar20-Aug20 Billed-RETAIL'!$E47)</f>
        <v>0</v>
      </c>
      <c r="BE47" s="28">
        <f>SUMIFS('SBR Mar20 - Aug20'!$H$3:$H$961,'SBR Mar20 - Aug20'!$A$3:$A$961,'Mar20-Aug20 Billed-RETAIL'!$C47,'SBR Mar20 - Aug20'!$B$3:$B$961,'Mar20-Aug20 Billed-RETAIL'!$E47)</f>
        <v>0</v>
      </c>
      <c r="BF47" s="28">
        <f>SUMIFS('SBR Mar20 - Aug20'!$G$3:$G$961,'SBR Mar20 - Aug20'!$A$3:$A$961,'Mar20-Aug20 Billed-RETAIL'!$C47,'SBR Mar20 - Aug20'!$B$3:$B$961,'Mar20-Aug20 Billed-RETAIL'!$E47)</f>
        <v>0</v>
      </c>
      <c r="BG47" s="28">
        <f>SUMIFS('SBR Mar20 - Aug20'!$M$3:$M$961,'SBR Mar20 - Aug20'!$A$3:$A$961,'Mar20-Aug20 Billed-RETAIL'!$C47,'SBR Mar20 - Aug20'!$B$3:$B$961,'Mar20-Aug20 Billed-RETAIL'!$E47)</f>
        <v>0</v>
      </c>
      <c r="BH47" s="28">
        <f>SUMIFS('SBR Mar20 - Aug20'!$N$3:$N$961,'SBR Mar20 - Aug20'!$A$3:$A$961,'Mar20-Aug20 Billed-RETAIL'!$C47,'SBR Mar20 - Aug20'!$B$3:$B$961,'Mar20-Aug20 Billed-RETAIL'!$E47)</f>
        <v>0</v>
      </c>
      <c r="BI47" s="28">
        <f>SUMIFS('SBR Mar20 - Aug20'!$Y$3:$Y$961,'SBR Mar20 - Aug20'!$A$3:$A$961,'Mar20-Aug20 Billed-RETAIL'!$C47,'SBR Mar20 - Aug20'!$B$3:$B$961,'Mar20-Aug20 Billed-RETAIL'!$E47)</f>
        <v>0</v>
      </c>
      <c r="BJ47" s="28">
        <f>SUMIFS('SBR Mar20 - Aug20'!$W$3:$W$961,'SBR Mar20 - Aug20'!$A$3:$A$961,'Mar20-Aug20 Billed-RETAIL'!$C47,'SBR Mar20 - Aug20'!$B$3:$B$961,'Mar20-Aug20 Billed-RETAIL'!$E47)</f>
        <v>0</v>
      </c>
      <c r="BK47" s="28">
        <f>SUMIFS('SBR Mar20 - Aug20'!$X$3:$X$961,'SBR Mar20 - Aug20'!$A$3:$A$961,'Mar20-Aug20 Billed-RETAIL'!$C47,'SBR Mar20 - Aug20'!$B$3:$B$961,'Mar20-Aug20 Billed-RETAIL'!$E47)</f>
        <v>0</v>
      </c>
      <c r="BL47" s="28">
        <f>SUMIFS('SBR Mar20 - Aug20'!$Z$3:$Z$961,'SBR Mar20 - Aug20'!$A$3:$A$961,'Mar20-Aug20 Billed-RETAIL'!$C47,'SBR Mar20 - Aug20'!$B$3:$B$961,'Mar20-Aug20 Billed-RETAIL'!$E47)</f>
        <v>0</v>
      </c>
      <c r="BM47" s="42">
        <f t="shared" si="69"/>
        <v>0</v>
      </c>
      <c r="BN47" s="42">
        <f t="shared" si="70"/>
        <v>0</v>
      </c>
    </row>
    <row r="48" spans="1:67" x14ac:dyDescent="0.25">
      <c r="A48" s="57"/>
      <c r="C48" s="307">
        <f t="shared" si="71"/>
        <v>43952</v>
      </c>
      <c r="D48" s="408" t="str">
        <f t="shared" si="58"/>
        <v>866</v>
      </c>
      <c r="E48" s="405" t="str">
        <f>'Retail Rates'!$B$16</f>
        <v>LGING866DS</v>
      </c>
      <c r="F48" s="405"/>
      <c r="G48" s="405" t="str">
        <f>VLOOKUP(E48,'Retail Rates'!$B$7:$D$40,3,FALSE)</f>
        <v>As-Available Gas Service, Industrial Opt In</v>
      </c>
      <c r="H48" s="20">
        <f>SUMIFS('Data-Retail'!$F$2:$F$1987,'Data-Retail'!$A$2:$A$1987,'Mar20-Aug20 Billed-RETAIL'!$C48,'Data-Retail'!$B$2:$B$1987,'Mar20-Aug20 Billed-RETAIL'!$E48)</f>
        <v>1</v>
      </c>
      <c r="I48" s="20">
        <v>0</v>
      </c>
      <c r="J48" s="20">
        <v>0</v>
      </c>
      <c r="K48" s="20">
        <f>SUMIFS('Data-Retail'!$H$2:$H$1987,'Data-Retail'!$A$2:$A$1987,'Mar20-Aug20 Billed-RETAIL'!$C48,'Data-Retail'!$B$2:$B$1987,'Mar20-Aug20 Billed-RETAIL'!$E48)</f>
        <v>0</v>
      </c>
      <c r="L48" s="20">
        <v>0</v>
      </c>
      <c r="M48" s="20">
        <f>SUMIFS('Data-Retail'!$G$2:$G$1987,'Data-Retail'!$A$2:$A$1987,'Mar20-Aug20 Billed-RETAIL'!$C48,'Data-Retail'!$B$2:$B$1987,'Mar20-Aug20 Billed-RETAIL'!$E48)/10</f>
        <v>1874.7</v>
      </c>
      <c r="N48" s="20">
        <v>0</v>
      </c>
      <c r="O48" s="20">
        <v>0</v>
      </c>
      <c r="P48" s="20">
        <v>0</v>
      </c>
      <c r="Q48" s="20">
        <v>0</v>
      </c>
      <c r="R48" s="21">
        <f>VLOOKUP($E48,'Retail Rates'!$B$7:$P$40,4,FALSE)</f>
        <v>500</v>
      </c>
      <c r="S48" s="21">
        <f>VLOOKUP($E48,'Retail Rates'!$B$7:$P$40,5,FALSE)</f>
        <v>0</v>
      </c>
      <c r="T48" s="22">
        <f>VLOOKUP($E48,'Retail Rates'!$B$7:$P$40,8,FALSE)</f>
        <v>0.10644000000000001</v>
      </c>
      <c r="U48" s="22">
        <f>VLOOKUP($E48,'Retail Rates'!$B$7:$P$40,9,FALSE)</f>
        <v>0</v>
      </c>
      <c r="V48" s="22">
        <f>VLOOKUP($E48,'Retail Rates'!$B$7:$P$40,14,FALSE)</f>
        <v>0</v>
      </c>
      <c r="W48" s="22">
        <f>VLOOKUP($E48,'Retail Rates'!$B$7:$P$40,10,FALSE)</f>
        <v>1.0644</v>
      </c>
      <c r="X48" s="22">
        <f>VLOOKUP($E48,'Retail Rates'!$B$7:$P$40,11,FALSE)</f>
        <v>0</v>
      </c>
      <c r="Y48" s="22">
        <f>VLOOKUP($E48,'Retail Rates'!$B$7:$P$40,15,FALSE)</f>
        <v>0</v>
      </c>
      <c r="Z48" s="22">
        <v>0</v>
      </c>
      <c r="AA48" s="411">
        <f t="shared" si="75"/>
        <v>500</v>
      </c>
      <c r="AB48" s="411">
        <f t="shared" si="73"/>
        <v>0</v>
      </c>
      <c r="AC48" s="411">
        <f t="shared" si="76"/>
        <v>1995.4306800000002</v>
      </c>
      <c r="AD48" s="411">
        <f t="shared" si="74"/>
        <v>0</v>
      </c>
      <c r="AE48" s="411">
        <f t="shared" si="54"/>
        <v>0</v>
      </c>
      <c r="AF48" s="41">
        <v>0</v>
      </c>
      <c r="AG48" s="41">
        <v>0</v>
      </c>
      <c r="AH48" s="33">
        <v>0</v>
      </c>
      <c r="AI48" s="33">
        <v>0</v>
      </c>
      <c r="AJ48" s="41">
        <v>0</v>
      </c>
      <c r="AK48" s="41">
        <v>0</v>
      </c>
      <c r="AL48" s="33">
        <v>0</v>
      </c>
      <c r="AM48" s="33">
        <v>0</v>
      </c>
      <c r="AN48" s="41">
        <v>0</v>
      </c>
      <c r="AO48" s="33">
        <v>0</v>
      </c>
      <c r="AP48" s="411">
        <f t="shared" si="59"/>
        <v>500</v>
      </c>
      <c r="AQ48" s="411">
        <f t="shared" si="60"/>
        <v>0</v>
      </c>
      <c r="AR48" s="411">
        <f t="shared" si="61"/>
        <v>1995.4306800000002</v>
      </c>
      <c r="AS48" s="411">
        <f t="shared" si="62"/>
        <v>0</v>
      </c>
      <c r="AT48" s="411">
        <f t="shared" si="63"/>
        <v>0</v>
      </c>
      <c r="AU48" s="411">
        <f t="shared" si="55"/>
        <v>0</v>
      </c>
      <c r="AV48" s="28">
        <f t="shared" si="64"/>
        <v>9</v>
      </c>
      <c r="AW48" s="28">
        <f t="shared" si="65"/>
        <v>4876.84</v>
      </c>
      <c r="AX48" s="28">
        <f t="shared" si="66"/>
        <v>0</v>
      </c>
      <c r="AY48" s="28">
        <f t="shared" si="67"/>
        <v>107.8</v>
      </c>
      <c r="AZ48" s="28">
        <f t="shared" si="51"/>
        <v>209.3</v>
      </c>
      <c r="BA48" s="28">
        <f t="shared" si="56"/>
        <v>7698.37</v>
      </c>
      <c r="BB48" s="28">
        <f t="shared" si="57"/>
        <v>7698.3700000000008</v>
      </c>
      <c r="BC48" s="29">
        <f t="shared" si="68"/>
        <v>1</v>
      </c>
      <c r="BD48" s="28">
        <f>SUMIFS('SBR Mar20 - Aug20'!$F$3:$F$961,'SBR Mar20 - Aug20'!$A$3:$A$961,'Mar20-Aug20 Billed-RETAIL'!$C48,'SBR Mar20 - Aug20'!$B$3:$B$961,'Mar20-Aug20 Billed-RETAIL'!$E48)</f>
        <v>500</v>
      </c>
      <c r="BE48" s="28">
        <f>SUMIFS('SBR Mar20 - Aug20'!$H$3:$H$961,'SBR Mar20 - Aug20'!$A$3:$A$961,'Mar20-Aug20 Billed-RETAIL'!$C48,'SBR Mar20 - Aug20'!$B$3:$B$961,'Mar20-Aug20 Billed-RETAIL'!$E48)</f>
        <v>1995.43</v>
      </c>
      <c r="BF48" s="28">
        <f>SUMIFS('SBR Mar20 - Aug20'!$G$3:$G$961,'SBR Mar20 - Aug20'!$A$3:$A$961,'Mar20-Aug20 Billed-RETAIL'!$C48,'SBR Mar20 - Aug20'!$B$3:$B$961,'Mar20-Aug20 Billed-RETAIL'!$E48)</f>
        <v>0</v>
      </c>
      <c r="BG48" s="28">
        <f>SUMIFS('SBR Mar20 - Aug20'!$M$3:$M$961,'SBR Mar20 - Aug20'!$A$3:$A$961,'Mar20-Aug20 Billed-RETAIL'!$C48,'SBR Mar20 - Aug20'!$B$3:$B$961,'Mar20-Aug20 Billed-RETAIL'!$E48)</f>
        <v>9</v>
      </c>
      <c r="BH48" s="28">
        <f>SUMIFS('SBR Mar20 - Aug20'!$N$3:$N$961,'SBR Mar20 - Aug20'!$A$3:$A$961,'Mar20-Aug20 Billed-RETAIL'!$C48,'SBR Mar20 - Aug20'!$B$3:$B$961,'Mar20-Aug20 Billed-RETAIL'!$E48)</f>
        <v>4876.84</v>
      </c>
      <c r="BI48" s="28">
        <f>SUMIFS('SBR Mar20 - Aug20'!$Y$3:$Y$961,'SBR Mar20 - Aug20'!$A$3:$A$961,'Mar20-Aug20 Billed-RETAIL'!$C48,'SBR Mar20 - Aug20'!$B$3:$B$961,'Mar20-Aug20 Billed-RETAIL'!$E48)</f>
        <v>0</v>
      </c>
      <c r="BJ48" s="28">
        <f>SUMIFS('SBR Mar20 - Aug20'!$W$3:$W$961,'SBR Mar20 - Aug20'!$A$3:$A$961,'Mar20-Aug20 Billed-RETAIL'!$C48,'SBR Mar20 - Aug20'!$B$3:$B$961,'Mar20-Aug20 Billed-RETAIL'!$E48)</f>
        <v>107.8</v>
      </c>
      <c r="BK48" s="28">
        <f>SUMIFS('SBR Mar20 - Aug20'!$X$3:$X$961,'SBR Mar20 - Aug20'!$A$3:$A$961,'Mar20-Aug20 Billed-RETAIL'!$C48,'SBR Mar20 - Aug20'!$B$3:$B$961,'Mar20-Aug20 Billed-RETAIL'!$E48)</f>
        <v>209.3</v>
      </c>
      <c r="BL48" s="28">
        <f>SUMIFS('SBR Mar20 - Aug20'!$Z$3:$Z$961,'SBR Mar20 - Aug20'!$A$3:$A$961,'Mar20-Aug20 Billed-RETAIL'!$C48,'SBR Mar20 - Aug20'!$B$3:$B$961,'Mar20-Aug20 Billed-RETAIL'!$E48)</f>
        <v>0</v>
      </c>
      <c r="BM48" s="42">
        <f t="shared" si="69"/>
        <v>0</v>
      </c>
      <c r="BN48" s="42">
        <f t="shared" si="70"/>
        <v>6.8000000010215444E-4</v>
      </c>
    </row>
    <row r="49" spans="1:67" ht="15" customHeight="1" x14ac:dyDescent="0.25">
      <c r="A49" s="57"/>
      <c r="C49" s="307">
        <f t="shared" si="71"/>
        <v>43952</v>
      </c>
      <c r="D49" s="408" t="str">
        <f t="shared" si="58"/>
        <v>870</v>
      </c>
      <c r="E49" s="405" t="str">
        <f>'Retail Rates'!$B$17</f>
        <v>LGCMG870</v>
      </c>
      <c r="F49" s="405"/>
      <c r="G49" s="405" t="str">
        <f>VLOOKUP(E49,'Retail Rates'!$B$7:$D$40,3,FALSE)</f>
        <v>Substitute Gas Sales Service-Commercial</v>
      </c>
      <c r="H49" s="20">
        <f>SUMIFS('Data-Retail'!$F$2:$F$1987,'Data-Retail'!$A$2:$A$1987,'Mar20-Aug20 Billed-RETAIL'!$C49,'Data-Retail'!$B$2:$B$1987,'Mar20-Aug20 Billed-RETAIL'!$E49)</f>
        <v>2</v>
      </c>
      <c r="I49" s="20">
        <v>0</v>
      </c>
      <c r="J49" s="20">
        <v>0</v>
      </c>
      <c r="K49" s="20">
        <f>SUMIFS('Data-Retail'!$H$2:$H$1987,'Data-Retail'!$A$2:$A$1987,'Mar20-Aug20 Billed-RETAIL'!$C49,'Data-Retail'!$B$2:$B$1987,'Mar20-Aug20 Billed-RETAIL'!$E49)</f>
        <v>0</v>
      </c>
      <c r="L49" s="20">
        <v>0</v>
      </c>
      <c r="M49" s="860">
        <f>SUMIFS('Data-Retail'!$G$2:$G$1987,'Data-Retail'!$A$2:$A$1987,'Mar20-Aug20 Billed-RETAIL'!$C49,'Data-Retail'!$B$2:$B$1987,'Mar20-Aug20 Billed-RETAIL'!$E49)/10</f>
        <v>8.3000000000000007</v>
      </c>
      <c r="N49" s="20">
        <v>0</v>
      </c>
      <c r="O49" s="860">
        <f>(SUMIFS('Data-Retail'!$P$2:$P$987,'Data-Retail'!$A$2:$A$987,'Mar20-Aug20 Billed-RETAIL'!$C49,'Data-Retail'!$B$2:$B$987,'Mar20-Aug20 Billed-RETAIL'!$E49)/Y49)</f>
        <v>4836.2012195121952</v>
      </c>
      <c r="P49" s="20">
        <v>0</v>
      </c>
      <c r="Q49" s="20">
        <v>0</v>
      </c>
      <c r="R49" s="21">
        <f>VLOOKUP($E49,'Retail Rates'!$B$7:$P$40,4,FALSE)</f>
        <v>285</v>
      </c>
      <c r="S49" s="21">
        <f>VLOOKUP($E49,'Retail Rates'!$B$7:$P$40,5,FALSE)</f>
        <v>0</v>
      </c>
      <c r="T49" s="22">
        <f>VLOOKUP($E49,'Retail Rates'!$B$7:$P$40,8,FALSE)</f>
        <v>3.603E-2</v>
      </c>
      <c r="U49" s="22">
        <f>VLOOKUP($E49,'Retail Rates'!$B$7:$P$40,9,FALSE)</f>
        <v>0</v>
      </c>
      <c r="V49" s="22">
        <f>VLOOKUP($E49,'Retail Rates'!$B$7:$P$40,14,FALSE)</f>
        <v>0.65599999999999992</v>
      </c>
      <c r="W49" s="22">
        <f>VLOOKUP($E49,'Retail Rates'!$B$7:$P$40,10,FALSE)</f>
        <v>0.36030000000000001</v>
      </c>
      <c r="X49" s="22">
        <f>VLOOKUP($E49,'Retail Rates'!$B$7:$P$40,11,FALSE)</f>
        <v>0</v>
      </c>
      <c r="Y49" s="22">
        <f>VLOOKUP($E49,'Retail Rates'!$B$7:$P$40,15,FALSE)</f>
        <v>6.56</v>
      </c>
      <c r="Z49" s="22">
        <v>0</v>
      </c>
      <c r="AA49" s="411">
        <f t="shared" si="75"/>
        <v>570</v>
      </c>
      <c r="AB49" s="411">
        <f t="shared" si="73"/>
        <v>0</v>
      </c>
      <c r="AC49" s="411">
        <f t="shared" si="76"/>
        <v>2.9904900000000003</v>
      </c>
      <c r="AD49" s="411">
        <f t="shared" si="74"/>
        <v>0</v>
      </c>
      <c r="AE49" s="411">
        <f>O49*Y49</f>
        <v>31725.48</v>
      </c>
      <c r="AF49" s="41">
        <v>0</v>
      </c>
      <c r="AG49" s="41">
        <v>0</v>
      </c>
      <c r="AH49" s="33">
        <v>0</v>
      </c>
      <c r="AI49" s="33">
        <v>0</v>
      </c>
      <c r="AJ49" s="41">
        <v>0</v>
      </c>
      <c r="AK49" s="41">
        <v>0</v>
      </c>
      <c r="AL49" s="33">
        <v>0</v>
      </c>
      <c r="AM49" s="33">
        <v>0</v>
      </c>
      <c r="AN49" s="41">
        <v>0</v>
      </c>
      <c r="AO49" s="33">
        <v>0</v>
      </c>
      <c r="AP49" s="411">
        <f t="shared" si="59"/>
        <v>570</v>
      </c>
      <c r="AQ49" s="411">
        <f t="shared" si="60"/>
        <v>0</v>
      </c>
      <c r="AR49" s="411">
        <f t="shared" si="61"/>
        <v>2.9904900000000003</v>
      </c>
      <c r="AS49" s="411">
        <f t="shared" si="62"/>
        <v>0</v>
      </c>
      <c r="AT49" s="411">
        <f t="shared" si="63"/>
        <v>31725.48</v>
      </c>
      <c r="AU49" s="411">
        <f t="shared" si="55"/>
        <v>0</v>
      </c>
      <c r="AV49" s="28">
        <f t="shared" si="64"/>
        <v>0.04</v>
      </c>
      <c r="AW49" s="28">
        <f t="shared" si="65"/>
        <v>22.81</v>
      </c>
      <c r="AX49" s="28">
        <f t="shared" si="66"/>
        <v>0</v>
      </c>
      <c r="AY49" s="28">
        <f t="shared" si="67"/>
        <v>14.39</v>
      </c>
      <c r="AZ49" s="28">
        <f t="shared" si="51"/>
        <v>1.35</v>
      </c>
      <c r="BA49" s="28">
        <f t="shared" si="56"/>
        <v>32337.06</v>
      </c>
      <c r="BB49" s="28">
        <f t="shared" si="57"/>
        <v>32337.06</v>
      </c>
      <c r="BC49" s="29">
        <f t="shared" si="68"/>
        <v>1</v>
      </c>
      <c r="BD49" s="28">
        <f>SUMIFS('SBR Mar20 - Aug20'!$F$3:$F$961,'SBR Mar20 - Aug20'!$A$3:$A$961,'Mar20-Aug20 Billed-RETAIL'!$C49,'SBR Mar20 - Aug20'!$B$3:$B$961,'Mar20-Aug20 Billed-RETAIL'!$E49)</f>
        <v>570</v>
      </c>
      <c r="BE49" s="28">
        <f>SUMIFS('SBR Mar20 - Aug20'!$H$3:$H$961,'SBR Mar20 - Aug20'!$A$3:$A$961,'Mar20-Aug20 Billed-RETAIL'!$C49,'SBR Mar20 - Aug20'!$B$3:$B$961,'Mar20-Aug20 Billed-RETAIL'!$E49)</f>
        <v>2.99</v>
      </c>
      <c r="BF49" s="28">
        <f>SUMIFS('SBR Mar20 - Aug20'!$G$3:$G$961,'SBR Mar20 - Aug20'!$A$3:$A$961,'Mar20-Aug20 Billed-RETAIL'!$C49,'SBR Mar20 - Aug20'!$B$3:$B$961,'Mar20-Aug20 Billed-RETAIL'!$E49)</f>
        <v>31725.48</v>
      </c>
      <c r="BG49" s="28">
        <f>SUMIFS('SBR Mar20 - Aug20'!$M$3:$M$961,'SBR Mar20 - Aug20'!$A$3:$A$961,'Mar20-Aug20 Billed-RETAIL'!$C49,'SBR Mar20 - Aug20'!$B$3:$B$961,'Mar20-Aug20 Billed-RETAIL'!$E49)</f>
        <v>0.04</v>
      </c>
      <c r="BH49" s="28">
        <f>SUMIFS('SBR Mar20 - Aug20'!$N$3:$N$961,'SBR Mar20 - Aug20'!$A$3:$A$961,'Mar20-Aug20 Billed-RETAIL'!$C49,'SBR Mar20 - Aug20'!$B$3:$B$961,'Mar20-Aug20 Billed-RETAIL'!$E49)</f>
        <v>22.81</v>
      </c>
      <c r="BI49" s="28">
        <f>SUMIFS('SBR Mar20 - Aug20'!$Y$3:$Y$961,'SBR Mar20 - Aug20'!$A$3:$A$961,'Mar20-Aug20 Billed-RETAIL'!$C49,'SBR Mar20 - Aug20'!$B$3:$B$961,'Mar20-Aug20 Billed-RETAIL'!$E49)</f>
        <v>0</v>
      </c>
      <c r="BJ49" s="28">
        <f>SUMIFS('SBR Mar20 - Aug20'!$W$3:$W$961,'SBR Mar20 - Aug20'!$A$3:$A$961,'Mar20-Aug20 Billed-RETAIL'!$C49,'SBR Mar20 - Aug20'!$B$3:$B$961,'Mar20-Aug20 Billed-RETAIL'!$E49)</f>
        <v>14.39</v>
      </c>
      <c r="BK49" s="28">
        <f>SUMIFS('SBR Mar20 - Aug20'!$X$3:$X$961,'SBR Mar20 - Aug20'!$A$3:$A$961,'Mar20-Aug20 Billed-RETAIL'!$C49,'SBR Mar20 - Aug20'!$B$3:$B$961,'Mar20-Aug20 Billed-RETAIL'!$E49)</f>
        <v>1.35</v>
      </c>
      <c r="BL49" s="28">
        <f>SUMIFS('SBR Mar20 - Aug20'!$Z$3:$Z$961,'SBR Mar20 - Aug20'!$A$3:$A$961,'Mar20-Aug20 Billed-RETAIL'!$C49,'SBR Mar20 - Aug20'!$B$3:$B$961,'Mar20-Aug20 Billed-RETAIL'!$E49)</f>
        <v>0</v>
      </c>
      <c r="BM49" s="42">
        <f t="shared" si="69"/>
        <v>0</v>
      </c>
      <c r="BN49" s="42">
        <f t="shared" si="70"/>
        <v>4.9000000000010147E-4</v>
      </c>
      <c r="BO49" s="42">
        <f>AT49-BF49</f>
        <v>0</v>
      </c>
    </row>
    <row r="50" spans="1:67" ht="15" customHeight="1" x14ac:dyDescent="0.25">
      <c r="A50" s="57"/>
      <c r="C50" s="307">
        <f t="shared" si="71"/>
        <v>43952</v>
      </c>
      <c r="D50" s="408" t="str">
        <f t="shared" si="58"/>
        <v>871</v>
      </c>
      <c r="E50" s="405" t="str">
        <f>'Retail Rates'!$B$18</f>
        <v>LGING871DO</v>
      </c>
      <c r="F50" s="405"/>
      <c r="G50" s="405" t="str">
        <f>VLOOKUP(E50,'Retail Rates'!$B$7:$D$40,3,FALSE)</f>
        <v>Substitute Gas Sales Service-Industrial Opt Out</v>
      </c>
      <c r="H50" s="20">
        <f>SUMIFS('Data-Retail'!$F$2:$F$1987,'Data-Retail'!$A$2:$A$1987,'Mar20-Aug20 Billed-RETAIL'!$C50,'Data-Retail'!$B$2:$B$1987,'Mar20-Aug20 Billed-RETAIL'!$E50)</f>
        <v>0</v>
      </c>
      <c r="I50" s="20">
        <v>0</v>
      </c>
      <c r="J50" s="20">
        <f>SUMIFS('Data-Retail'!$G$2:$G$1987,'Data-Retail'!$A$2:$A$1987,'Mar20-Aug20 Billed-RETAIL'!$C50,'Data-Retail'!$B$2:$B$1987,'Mar20-Aug20 Billed-RETAIL'!$E50)</f>
        <v>0</v>
      </c>
      <c r="K50" s="20">
        <f>SUMIFS('Data-Retail'!$H$2:$H$1987,'Data-Retail'!$A$2:$A$1987,'Mar20-Aug20 Billed-RETAIL'!$C50,'Data-Retail'!$B$2:$B$1987,'Mar20-Aug20 Billed-RETAIL'!$E50)</f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1">
        <f>VLOOKUP($E50,'Retail Rates'!$B$7:$P$40,4,FALSE)</f>
        <v>750</v>
      </c>
      <c r="S50" s="21">
        <f>VLOOKUP($E50,'Retail Rates'!$B$7:$P$40,5,FALSE)</f>
        <v>0</v>
      </c>
      <c r="T50" s="22">
        <f>VLOOKUP($E50,'Retail Rates'!$B$7:$P$40,8,FALSE)</f>
        <v>2.9919999999999995E-2</v>
      </c>
      <c r="U50" s="22">
        <f>VLOOKUP($E50,'Retail Rates'!$B$7:$P$40,9,FALSE)</f>
        <v>0</v>
      </c>
      <c r="V50" s="22">
        <f>VLOOKUP($E50,'Retail Rates'!$B$7:$P$40,14,FALSE)</f>
        <v>1.0900000000000001</v>
      </c>
      <c r="W50" s="22">
        <f>VLOOKUP($E50,'Retail Rates'!$B$7:$P$40,10,FALSE)</f>
        <v>0.29919999999999997</v>
      </c>
      <c r="X50" s="22">
        <f>VLOOKUP($E50,'Retail Rates'!$B$7:$P$40,11,FALSE)</f>
        <v>0</v>
      </c>
      <c r="Y50" s="22">
        <f>VLOOKUP($E50,'Retail Rates'!$B$7:$P$40,15,FALSE)</f>
        <v>10.9</v>
      </c>
      <c r="Z50" s="22">
        <v>0</v>
      </c>
      <c r="AA50" s="411">
        <f t="shared" si="75"/>
        <v>0</v>
      </c>
      <c r="AB50" s="411">
        <f t="shared" si="73"/>
        <v>0</v>
      </c>
      <c r="AC50" s="411">
        <f t="shared" ref="AC50:AC53" si="77">+J50*T50</f>
        <v>0</v>
      </c>
      <c r="AD50" s="411">
        <f t="shared" si="74"/>
        <v>0</v>
      </c>
      <c r="AE50" s="411">
        <f t="shared" si="54"/>
        <v>0</v>
      </c>
      <c r="AF50" s="41">
        <v>0</v>
      </c>
      <c r="AG50" s="41">
        <v>0</v>
      </c>
      <c r="AH50" s="33">
        <v>0</v>
      </c>
      <c r="AI50" s="33">
        <v>0</v>
      </c>
      <c r="AJ50" s="41">
        <v>0</v>
      </c>
      <c r="AK50" s="41">
        <v>0</v>
      </c>
      <c r="AL50" s="33">
        <v>0</v>
      </c>
      <c r="AM50" s="33">
        <v>0</v>
      </c>
      <c r="AN50" s="41">
        <v>0</v>
      </c>
      <c r="AO50" s="33">
        <v>0</v>
      </c>
      <c r="AP50" s="411">
        <f t="shared" si="59"/>
        <v>0</v>
      </c>
      <c r="AQ50" s="411">
        <f t="shared" si="60"/>
        <v>0</v>
      </c>
      <c r="AR50" s="411">
        <f t="shared" si="61"/>
        <v>0</v>
      </c>
      <c r="AS50" s="411">
        <f t="shared" si="62"/>
        <v>0</v>
      </c>
      <c r="AT50" s="411">
        <f t="shared" si="63"/>
        <v>0</v>
      </c>
      <c r="AU50" s="411">
        <f t="shared" si="55"/>
        <v>0</v>
      </c>
      <c r="AV50" s="28">
        <f t="shared" si="64"/>
        <v>0</v>
      </c>
      <c r="AW50" s="28">
        <f t="shared" si="65"/>
        <v>0</v>
      </c>
      <c r="AX50" s="28">
        <f t="shared" si="66"/>
        <v>0</v>
      </c>
      <c r="AY50" s="28">
        <f t="shared" si="67"/>
        <v>0</v>
      </c>
      <c r="AZ50" s="28">
        <f t="shared" si="51"/>
        <v>0</v>
      </c>
      <c r="BA50" s="28">
        <f t="shared" si="56"/>
        <v>0</v>
      </c>
      <c r="BB50" s="28">
        <f t="shared" si="57"/>
        <v>0</v>
      </c>
      <c r="BC50" s="29">
        <f t="shared" si="68"/>
        <v>0</v>
      </c>
      <c r="BD50" s="28">
        <f>SUMIFS('SBR Mar20 - Aug20'!$F$3:$F$961,'SBR Mar20 - Aug20'!$A$3:$A$961,'Mar20-Aug20 Billed-RETAIL'!$C50,'SBR Mar20 - Aug20'!$B$3:$B$961,'Mar20-Aug20 Billed-RETAIL'!$E50)</f>
        <v>0</v>
      </c>
      <c r="BE50" s="28">
        <f>SUMIFS('SBR Mar20 - Aug20'!$H$3:$H$961,'SBR Mar20 - Aug20'!$A$3:$A$961,'Mar20-Aug20 Billed-RETAIL'!$C50,'SBR Mar20 - Aug20'!$B$3:$B$961,'Mar20-Aug20 Billed-RETAIL'!$E50)</f>
        <v>0</v>
      </c>
      <c r="BF50" s="28">
        <f>SUMIFS('SBR Mar20 - Aug20'!$G$3:$G$961,'SBR Mar20 - Aug20'!$A$3:$A$961,'Mar20-Aug20 Billed-RETAIL'!$C50,'SBR Mar20 - Aug20'!$B$3:$B$961,'Mar20-Aug20 Billed-RETAIL'!$E50)</f>
        <v>0</v>
      </c>
      <c r="BG50" s="28">
        <f>SUMIFS('SBR Mar20 - Aug20'!$M$3:$M$961,'SBR Mar20 - Aug20'!$A$3:$A$961,'Mar20-Aug20 Billed-RETAIL'!$C50,'SBR Mar20 - Aug20'!$B$3:$B$961,'Mar20-Aug20 Billed-RETAIL'!$E50)</f>
        <v>0</v>
      </c>
      <c r="BH50" s="28">
        <f>SUMIFS('SBR Mar20 - Aug20'!$N$3:$N$961,'SBR Mar20 - Aug20'!$A$3:$A$961,'Mar20-Aug20 Billed-RETAIL'!$C50,'SBR Mar20 - Aug20'!$B$3:$B$961,'Mar20-Aug20 Billed-RETAIL'!$E50)</f>
        <v>0</v>
      </c>
      <c r="BI50" s="28">
        <f>SUMIFS('SBR Mar20 - Aug20'!$Y$3:$Y$961,'SBR Mar20 - Aug20'!$A$3:$A$961,'Mar20-Aug20 Billed-RETAIL'!$C50,'SBR Mar20 - Aug20'!$B$3:$B$961,'Mar20-Aug20 Billed-RETAIL'!$E50)</f>
        <v>0</v>
      </c>
      <c r="BJ50" s="28">
        <f>SUMIFS('SBR Mar20 - Aug20'!$W$3:$W$961,'SBR Mar20 - Aug20'!$A$3:$A$961,'Mar20-Aug20 Billed-RETAIL'!$C50,'SBR Mar20 - Aug20'!$B$3:$B$961,'Mar20-Aug20 Billed-RETAIL'!$E50)</f>
        <v>0</v>
      </c>
      <c r="BK50" s="28">
        <f>SUMIFS('SBR Mar20 - Aug20'!$X$3:$X$961,'SBR Mar20 - Aug20'!$A$3:$A$961,'Mar20-Aug20 Billed-RETAIL'!$C50,'SBR Mar20 - Aug20'!$B$3:$B$961,'Mar20-Aug20 Billed-RETAIL'!$E50)</f>
        <v>0</v>
      </c>
      <c r="BL50" s="28">
        <f>SUMIFS('SBR Mar20 - Aug20'!$Z$3:$Z$961,'SBR Mar20 - Aug20'!$A$3:$A$961,'Mar20-Aug20 Billed-RETAIL'!$C50,'SBR Mar20 - Aug20'!$B$3:$B$961,'Mar20-Aug20 Billed-RETAIL'!$E50)</f>
        <v>0</v>
      </c>
      <c r="BM50" s="42">
        <f t="shared" si="69"/>
        <v>0</v>
      </c>
      <c r="BN50" s="42">
        <f t="shared" si="70"/>
        <v>0</v>
      </c>
    </row>
    <row r="51" spans="1:67" ht="15" customHeight="1" x14ac:dyDescent="0.25">
      <c r="A51" s="57"/>
      <c r="C51" s="307">
        <f t="shared" si="71"/>
        <v>43952</v>
      </c>
      <c r="D51" s="408" t="str">
        <f t="shared" si="58"/>
        <v>871</v>
      </c>
      <c r="E51" s="405" t="str">
        <f>'Retail Rates'!$B$19</f>
        <v>LGING871DS</v>
      </c>
      <c r="F51" s="405"/>
      <c r="G51" s="405" t="str">
        <f>VLOOKUP(E51,'Retail Rates'!$B$7:$D$40,3,FALSE)</f>
        <v>Substitute Gas Sales Service-Industrial Opt In</v>
      </c>
      <c r="H51" s="20">
        <f>SUMIFS('Data-Retail'!$F$2:$F$1987,'Data-Retail'!$A$2:$A$1987,'Mar20-Aug20 Billed-RETAIL'!$C51,'Data-Retail'!$B$2:$B$1987,'Mar20-Aug20 Billed-RETAIL'!$E51)</f>
        <v>0</v>
      </c>
      <c r="I51" s="20">
        <v>0</v>
      </c>
      <c r="J51" s="20">
        <f>SUMIFS('Data-Retail'!$G$2:$G$1987,'Data-Retail'!$A$2:$A$1987,'Mar20-Aug20 Billed-RETAIL'!$C51,'Data-Retail'!$B$2:$B$1987,'Mar20-Aug20 Billed-RETAIL'!$E51)</f>
        <v>0</v>
      </c>
      <c r="K51" s="20">
        <f>SUMIFS('Data-Retail'!$H$2:$H$1987,'Data-Retail'!$A$2:$A$1987,'Mar20-Aug20 Billed-RETAIL'!$C51,'Data-Retail'!$B$2:$B$1987,'Mar20-Aug20 Billed-RETAIL'!$E51)</f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1">
        <f>VLOOKUP($E51,'Retail Rates'!$B$7:$P$40,4,FALSE)</f>
        <v>750</v>
      </c>
      <c r="S51" s="21">
        <f>VLOOKUP($E51,'Retail Rates'!$B$7:$P$40,5,FALSE)</f>
        <v>0</v>
      </c>
      <c r="T51" s="22">
        <f>VLOOKUP($E51,'Retail Rates'!$B$7:$P$40,8,FALSE)</f>
        <v>2.9919999999999995E-2</v>
      </c>
      <c r="U51" s="22">
        <f>VLOOKUP($E51,'Retail Rates'!$B$7:$P$40,9,FALSE)</f>
        <v>0</v>
      </c>
      <c r="V51" s="22">
        <f>VLOOKUP($E51,'Retail Rates'!$B$7:$P$40,14,FALSE)</f>
        <v>1.0900000000000001</v>
      </c>
      <c r="W51" s="22">
        <f>VLOOKUP($E51,'Retail Rates'!$B$7:$P$40,10,FALSE)</f>
        <v>0.29919999999999997</v>
      </c>
      <c r="X51" s="22">
        <f>VLOOKUP($E51,'Retail Rates'!$B$7:$P$40,11,FALSE)</f>
        <v>0</v>
      </c>
      <c r="Y51" s="22">
        <f>VLOOKUP($E51,'Retail Rates'!$B$7:$P$40,15,FALSE)</f>
        <v>10.9</v>
      </c>
      <c r="Z51" s="22">
        <v>0</v>
      </c>
      <c r="AA51" s="411">
        <f t="shared" si="75"/>
        <v>0</v>
      </c>
      <c r="AB51" s="411">
        <f t="shared" si="73"/>
        <v>0</v>
      </c>
      <c r="AC51" s="411">
        <f t="shared" si="77"/>
        <v>0</v>
      </c>
      <c r="AD51" s="411">
        <f t="shared" si="74"/>
        <v>0</v>
      </c>
      <c r="AE51" s="411">
        <f t="shared" si="54"/>
        <v>0</v>
      </c>
      <c r="AF51" s="41">
        <v>0</v>
      </c>
      <c r="AG51" s="41">
        <v>0</v>
      </c>
      <c r="AH51" s="33">
        <v>0</v>
      </c>
      <c r="AI51" s="33">
        <v>0</v>
      </c>
      <c r="AJ51" s="41">
        <v>0</v>
      </c>
      <c r="AK51" s="41">
        <v>0</v>
      </c>
      <c r="AL51" s="33">
        <v>0</v>
      </c>
      <c r="AM51" s="33">
        <v>0</v>
      </c>
      <c r="AN51" s="41">
        <v>0</v>
      </c>
      <c r="AO51" s="33">
        <v>0</v>
      </c>
      <c r="AP51" s="411">
        <f t="shared" si="59"/>
        <v>0</v>
      </c>
      <c r="AQ51" s="411">
        <f t="shared" si="60"/>
        <v>0</v>
      </c>
      <c r="AR51" s="411">
        <f t="shared" si="61"/>
        <v>0</v>
      </c>
      <c r="AS51" s="411">
        <f t="shared" si="62"/>
        <v>0</v>
      </c>
      <c r="AT51" s="411">
        <f t="shared" si="63"/>
        <v>0</v>
      </c>
      <c r="AU51" s="411">
        <f t="shared" si="55"/>
        <v>0</v>
      </c>
      <c r="AV51" s="28">
        <f t="shared" si="64"/>
        <v>0</v>
      </c>
      <c r="AW51" s="28">
        <f t="shared" si="65"/>
        <v>0</v>
      </c>
      <c r="AX51" s="28">
        <f t="shared" si="66"/>
        <v>0</v>
      </c>
      <c r="AY51" s="28">
        <f t="shared" si="67"/>
        <v>0</v>
      </c>
      <c r="AZ51" s="28">
        <f t="shared" si="51"/>
        <v>0</v>
      </c>
      <c r="BA51" s="28">
        <f t="shared" si="56"/>
        <v>0</v>
      </c>
      <c r="BB51" s="28">
        <f t="shared" si="57"/>
        <v>0</v>
      </c>
      <c r="BC51" s="29">
        <f t="shared" si="68"/>
        <v>0</v>
      </c>
      <c r="BD51" s="28">
        <f>SUMIFS('SBR Mar20 - Aug20'!$F$3:$F$961,'SBR Mar20 - Aug20'!$A$3:$A$961,'Mar20-Aug20 Billed-RETAIL'!$C51,'SBR Mar20 - Aug20'!$B$3:$B$961,'Mar20-Aug20 Billed-RETAIL'!$E51)</f>
        <v>0</v>
      </c>
      <c r="BE51" s="28">
        <f>SUMIFS('SBR Mar20 - Aug20'!$H$3:$H$961,'SBR Mar20 - Aug20'!$A$3:$A$961,'Mar20-Aug20 Billed-RETAIL'!$C51,'SBR Mar20 - Aug20'!$B$3:$B$961,'Mar20-Aug20 Billed-RETAIL'!$E51)</f>
        <v>0</v>
      </c>
      <c r="BF51" s="28">
        <f>SUMIFS('SBR Mar20 - Aug20'!$G$3:$G$961,'SBR Mar20 - Aug20'!$A$3:$A$961,'Mar20-Aug20 Billed-RETAIL'!$C51,'SBR Mar20 - Aug20'!$B$3:$B$961,'Mar20-Aug20 Billed-RETAIL'!$E51)</f>
        <v>0</v>
      </c>
      <c r="BG51" s="28">
        <f>SUMIFS('SBR Mar20 - Aug20'!$M$3:$M$961,'SBR Mar20 - Aug20'!$A$3:$A$961,'Mar20-Aug20 Billed-RETAIL'!$C51,'SBR Mar20 - Aug20'!$B$3:$B$961,'Mar20-Aug20 Billed-RETAIL'!$E51)</f>
        <v>0</v>
      </c>
      <c r="BH51" s="28">
        <f>SUMIFS('SBR Mar20 - Aug20'!$N$3:$N$961,'SBR Mar20 - Aug20'!$A$3:$A$961,'Mar20-Aug20 Billed-RETAIL'!$C51,'SBR Mar20 - Aug20'!$B$3:$B$961,'Mar20-Aug20 Billed-RETAIL'!$E51)</f>
        <v>0</v>
      </c>
      <c r="BI51" s="28">
        <f>SUMIFS('SBR Mar20 - Aug20'!$Y$3:$Y$961,'SBR Mar20 - Aug20'!$A$3:$A$961,'Mar20-Aug20 Billed-RETAIL'!$C51,'SBR Mar20 - Aug20'!$B$3:$B$961,'Mar20-Aug20 Billed-RETAIL'!$E51)</f>
        <v>0</v>
      </c>
      <c r="BJ51" s="28">
        <f>SUMIFS('SBR Mar20 - Aug20'!$W$3:$W$961,'SBR Mar20 - Aug20'!$A$3:$A$961,'Mar20-Aug20 Billed-RETAIL'!$C51,'SBR Mar20 - Aug20'!$B$3:$B$961,'Mar20-Aug20 Billed-RETAIL'!$E51)</f>
        <v>0</v>
      </c>
      <c r="BK51" s="28">
        <f>SUMIFS('SBR Mar20 - Aug20'!$X$3:$X$961,'SBR Mar20 - Aug20'!$A$3:$A$961,'Mar20-Aug20 Billed-RETAIL'!$C51,'SBR Mar20 - Aug20'!$B$3:$B$961,'Mar20-Aug20 Billed-RETAIL'!$E51)</f>
        <v>0</v>
      </c>
      <c r="BL51" s="28">
        <f>SUMIFS('SBR Mar20 - Aug20'!$Z$3:$Z$961,'SBR Mar20 - Aug20'!$A$3:$A$961,'Mar20-Aug20 Billed-RETAIL'!$C51,'SBR Mar20 - Aug20'!$B$3:$B$961,'Mar20-Aug20 Billed-RETAIL'!$E51)</f>
        <v>0</v>
      </c>
      <c r="BM51" s="42">
        <f t="shared" si="69"/>
        <v>0</v>
      </c>
      <c r="BN51" s="42">
        <f t="shared" si="70"/>
        <v>0</v>
      </c>
    </row>
    <row r="52" spans="1:67" ht="15" customHeight="1" x14ac:dyDescent="0.25">
      <c r="A52" s="57"/>
      <c r="C52" s="307">
        <f t="shared" si="71"/>
        <v>43952</v>
      </c>
      <c r="D52" s="408" t="str">
        <f t="shared" si="58"/>
        <v>875</v>
      </c>
      <c r="E52" s="405" t="str">
        <f>'Retail Rates'!$B$21</f>
        <v>LGCMG875</v>
      </c>
      <c r="F52" s="405"/>
      <c r="G52" s="405" t="str">
        <f>VLOOKUP(E52,'Retail Rates'!$B$7:$D$40,3,FALSE)</f>
        <v>Distributed Generation Gas Service, Commercial</v>
      </c>
      <c r="H52" s="20">
        <f>SUMIFS('Data-Retail'!$F$2:$F$1987,'Data-Retail'!$A$2:$A$1987,'Mar20-Aug20 Billed-RETAIL'!$C52,'Data-Retail'!$B$2:$B$1987,'Mar20-Aug20 Billed-RETAIL'!$E52)</f>
        <v>3</v>
      </c>
      <c r="I52" s="20">
        <v>0</v>
      </c>
      <c r="J52" s="20">
        <f>SUMIFS('Data-Retail'!$G$2:$G$1987,'Data-Retail'!$A$2:$A$1987,'Mar20-Aug20 Billed-RETAIL'!$C52,'Data-Retail'!$B$2:$B$1987,'Mar20-Aug20 Billed-RETAIL'!$E52)</f>
        <v>77</v>
      </c>
      <c r="K52" s="20">
        <f>SUMIFS('Data-Retail'!$H$2:$H$1987,'Data-Retail'!$A$2:$A$1987,'Mar20-Aug20 Billed-RETAIL'!$C52,'Data-Retail'!$B$2:$B$1987,'Mar20-Aug20 Billed-RETAIL'!$E52)</f>
        <v>0</v>
      </c>
      <c r="L52" s="860">
        <f>SUMIFS('Data-Retail'!$P$2:$P$987,'Data-Retail'!$A$2:$A$987,'Mar20-Aug20 Billed-RETAIL'!$C52,'Data-Retail'!$B$2:$B$987,'Mar20-Aug20 Billed-RETAIL'!$E52)/V52</f>
        <v>1607.0399530180405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1">
        <f>VLOOKUP($E52,'Retail Rates'!$B$7:$P$40,4,FALSE)</f>
        <v>165</v>
      </c>
      <c r="S52" s="21">
        <f>VLOOKUP($E52,'Retail Rates'!$B$7:$P$40,5,FALSE)</f>
        <v>750</v>
      </c>
      <c r="T52" s="22">
        <f>VLOOKUP($E52,'Retail Rates'!$B$7:$P$40,8,FALSE)</f>
        <v>2.9919999999999999E-2</v>
      </c>
      <c r="U52" s="22">
        <f>VLOOKUP($E52,'Retail Rates'!$B$7:$P$40,9,FALSE)</f>
        <v>0</v>
      </c>
      <c r="V52" s="22">
        <f>VLOOKUP($E52,'Retail Rates'!$B$7:$P$40,14,FALSE)</f>
        <v>1.08978</v>
      </c>
      <c r="W52" s="22">
        <f>VLOOKUP($E52,'Retail Rates'!$B$7:$P$40,10,FALSE)</f>
        <v>0.29919999999999997</v>
      </c>
      <c r="X52" s="22">
        <f>VLOOKUP($E52,'Retail Rates'!$B$7:$P$40,11,FALSE)</f>
        <v>0</v>
      </c>
      <c r="Y52" s="22">
        <f>VLOOKUP($E52,'Retail Rates'!$B$7:$P$40,15,FALSE)</f>
        <v>10.8978</v>
      </c>
      <c r="Z52" s="22">
        <v>0</v>
      </c>
      <c r="AA52" s="411">
        <f t="shared" si="75"/>
        <v>495</v>
      </c>
      <c r="AB52" s="411">
        <f t="shared" si="73"/>
        <v>0</v>
      </c>
      <c r="AC52" s="411">
        <f t="shared" si="77"/>
        <v>2.3038400000000001</v>
      </c>
      <c r="AD52" s="411">
        <f t="shared" si="74"/>
        <v>0</v>
      </c>
      <c r="AE52" s="411">
        <f t="shared" si="54"/>
        <v>1751.3200000000002</v>
      </c>
      <c r="AF52" s="41">
        <v>0</v>
      </c>
      <c r="AG52" s="41">
        <v>0</v>
      </c>
      <c r="AH52" s="33">
        <v>0</v>
      </c>
      <c r="AI52" s="33">
        <v>0</v>
      </c>
      <c r="AJ52" s="41">
        <v>0</v>
      </c>
      <c r="AK52" s="41">
        <v>0</v>
      </c>
      <c r="AL52" s="33">
        <v>0</v>
      </c>
      <c r="AM52" s="33">
        <v>0</v>
      </c>
      <c r="AN52" s="41">
        <v>0</v>
      </c>
      <c r="AO52" s="33">
        <v>0</v>
      </c>
      <c r="AP52" s="411">
        <f t="shared" si="59"/>
        <v>495</v>
      </c>
      <c r="AQ52" s="411">
        <f t="shared" si="60"/>
        <v>0</v>
      </c>
      <c r="AR52" s="411">
        <f t="shared" si="61"/>
        <v>2.3038400000000001</v>
      </c>
      <c r="AS52" s="411">
        <f t="shared" si="62"/>
        <v>0</v>
      </c>
      <c r="AT52" s="411">
        <f t="shared" si="63"/>
        <v>1751.3200000000002</v>
      </c>
      <c r="AU52" s="411">
        <f t="shared" si="55"/>
        <v>0</v>
      </c>
      <c r="AV52" s="28">
        <f t="shared" si="64"/>
        <v>0</v>
      </c>
      <c r="AW52" s="28">
        <f t="shared" si="65"/>
        <v>24.29</v>
      </c>
      <c r="AX52" s="28">
        <f t="shared" si="66"/>
        <v>0</v>
      </c>
      <c r="AY52" s="28">
        <f t="shared" si="67"/>
        <v>252.73</v>
      </c>
      <c r="AZ52" s="28">
        <f t="shared" si="51"/>
        <v>0.49</v>
      </c>
      <c r="BA52" s="28">
        <f t="shared" si="56"/>
        <v>2526.13</v>
      </c>
      <c r="BB52" s="28">
        <f t="shared" si="57"/>
        <v>2526.1299999999997</v>
      </c>
      <c r="BC52" s="29">
        <f t="shared" si="68"/>
        <v>1</v>
      </c>
      <c r="BD52" s="28">
        <f>SUMIFS('SBR Mar20 - Aug20'!$F$3:$F$961,'SBR Mar20 - Aug20'!$A$3:$A$961,'Mar20-Aug20 Billed-RETAIL'!$C52,'SBR Mar20 - Aug20'!$B$3:$B$961,'Mar20-Aug20 Billed-RETAIL'!$E52)</f>
        <v>495</v>
      </c>
      <c r="BE52" s="28">
        <f>SUMIFS('SBR Mar20 - Aug20'!$H$3:$H$961,'SBR Mar20 - Aug20'!$A$3:$A$961,'Mar20-Aug20 Billed-RETAIL'!$C52,'SBR Mar20 - Aug20'!$B$3:$B$961,'Mar20-Aug20 Billed-RETAIL'!$E52)</f>
        <v>2.2999999999999998</v>
      </c>
      <c r="BF52" s="28">
        <f>SUMIFS('SBR Mar20 - Aug20'!$G$3:$G$961,'SBR Mar20 - Aug20'!$A$3:$A$961,'Mar20-Aug20 Billed-RETAIL'!$C52,'SBR Mar20 - Aug20'!$B$3:$B$961,'Mar20-Aug20 Billed-RETAIL'!$E52)</f>
        <v>1751.32</v>
      </c>
      <c r="BG52" s="28">
        <f>SUMIFS('SBR Mar20 - Aug20'!$M$3:$M$961,'SBR Mar20 - Aug20'!$A$3:$A$961,'Mar20-Aug20 Billed-RETAIL'!$C52,'SBR Mar20 - Aug20'!$B$3:$B$961,'Mar20-Aug20 Billed-RETAIL'!$E52)</f>
        <v>0</v>
      </c>
      <c r="BH52" s="28">
        <f>SUMIFS('SBR Mar20 - Aug20'!$N$3:$N$961,'SBR Mar20 - Aug20'!$A$3:$A$961,'Mar20-Aug20 Billed-RETAIL'!$C52,'SBR Mar20 - Aug20'!$B$3:$B$961,'Mar20-Aug20 Billed-RETAIL'!$E52)</f>
        <v>24.29</v>
      </c>
      <c r="BI52" s="28">
        <f>SUMIFS('SBR Mar20 - Aug20'!$Y$3:$Y$961,'SBR Mar20 - Aug20'!$A$3:$A$961,'Mar20-Aug20 Billed-RETAIL'!$C52,'SBR Mar20 - Aug20'!$B$3:$B$961,'Mar20-Aug20 Billed-RETAIL'!$E52)</f>
        <v>0</v>
      </c>
      <c r="BJ52" s="28">
        <f>SUMIFS('SBR Mar20 - Aug20'!$W$3:$W$961,'SBR Mar20 - Aug20'!$A$3:$A$961,'Mar20-Aug20 Billed-RETAIL'!$C52,'SBR Mar20 - Aug20'!$B$3:$B$961,'Mar20-Aug20 Billed-RETAIL'!$E52)</f>
        <v>252.73</v>
      </c>
      <c r="BK52" s="28">
        <f>SUMIFS('SBR Mar20 - Aug20'!$X$3:$X$961,'SBR Mar20 - Aug20'!$A$3:$A$961,'Mar20-Aug20 Billed-RETAIL'!$C52,'SBR Mar20 - Aug20'!$B$3:$B$961,'Mar20-Aug20 Billed-RETAIL'!$E52)</f>
        <v>0.49</v>
      </c>
      <c r="BL52" s="28">
        <f>SUMIFS('SBR Mar20 - Aug20'!$Z$3:$Z$961,'SBR Mar20 - Aug20'!$A$3:$A$961,'Mar20-Aug20 Billed-RETAIL'!$C52,'SBR Mar20 - Aug20'!$B$3:$B$961,'Mar20-Aug20 Billed-RETAIL'!$E52)</f>
        <v>0</v>
      </c>
      <c r="BM52" s="42">
        <f t="shared" si="69"/>
        <v>0</v>
      </c>
      <c r="BN52" s="42">
        <f t="shared" si="70"/>
        <v>3.8400000000002876E-3</v>
      </c>
    </row>
    <row r="53" spans="1:67" ht="15" customHeight="1" x14ac:dyDescent="0.25">
      <c r="A53" s="57"/>
      <c r="C53" s="307">
        <f>C52</f>
        <v>43952</v>
      </c>
      <c r="D53" s="408">
        <v>996</v>
      </c>
      <c r="E53" s="405" t="s">
        <v>32</v>
      </c>
      <c r="F53" s="405"/>
      <c r="G53" s="405" t="s">
        <v>624</v>
      </c>
      <c r="H53" s="20">
        <f>SUMIFS('Data-Retail'!$F$2:$F$1987,'Data-Retail'!$A$2:$A$1987,'Mar20-Aug20 Billed-RETAIL'!$C53,'Data-Retail'!$B$2:$B$1987,'Mar20-Aug20 Billed-RETAIL'!$E53)</f>
        <v>1</v>
      </c>
      <c r="I53" s="20">
        <v>0</v>
      </c>
      <c r="J53" s="20">
        <f>SUMIFS('Data-Retail'!$G$2:$G$1987,'Data-Retail'!$A$2:$A$1987,'Mar20-Aug20 Billed-RETAIL'!$C53,'Data-Retail'!$B$2:$B$1987,'Mar20-Aug20 Billed-RETAIL'!$E53)</f>
        <v>87540</v>
      </c>
      <c r="K53" s="20">
        <f>SUMIFS('Data-Retail'!$H$2:$H$1987,'Data-Retail'!$A$2:$A$1987,'Mar20-Aug20 Billed-RETAIL'!$C53,'Data-Retail'!$B$2:$B$1987,'Mar20-Aug20 Billed-RETAIL'!$E53)</f>
        <v>0</v>
      </c>
      <c r="L53" s="860">
        <f>SUMIFS('Data-Retail'!$P$2:$P$987,'Data-Retail'!$A$2:$A$987,'Mar20-Aug20 Billed-RETAIL'!$C53,'Data-Retail'!$B$2:$B$987,'Mar20-Aug20 Billed-RETAIL'!$E53)/V53</f>
        <v>496800.00550569838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1">
        <f>VLOOKUP($E53,'Retail Rates'!$B$7:$P$40,4,FALSE)</f>
        <v>750</v>
      </c>
      <c r="S53" s="21">
        <f>VLOOKUP($E53,'Retail Rates'!$B$7:$P$40,5,FALSE)</f>
        <v>0</v>
      </c>
      <c r="T53" s="22">
        <f>VLOOKUP($E53,'Retail Rates'!$B$7:$P$40,8,FALSE)</f>
        <v>2.9920000000000002E-2</v>
      </c>
      <c r="U53" s="22">
        <f>VLOOKUP($E53,'Retail Rates'!$B$7:$P$40,9,FALSE)</f>
        <v>0</v>
      </c>
      <c r="V53" s="22">
        <f>VLOOKUP($E53,'Retail Rates'!$B$7:$P$40,14,FALSE)</f>
        <v>1.08978</v>
      </c>
      <c r="W53" s="22">
        <f>VLOOKUP($E53,'Retail Rates'!$B$7:$P$40,10,FALSE)</f>
        <v>0.29920000000000002</v>
      </c>
      <c r="X53" s="22">
        <f>VLOOKUP($E53,'Retail Rates'!$B$7:$P$40,11,FALSE)</f>
        <v>0</v>
      </c>
      <c r="Y53" s="22">
        <f>VLOOKUP($E53,'Retail Rates'!$B$7:$P$40,15,FALSE)</f>
        <v>10.8978</v>
      </c>
      <c r="Z53" s="22">
        <v>0</v>
      </c>
      <c r="AA53" s="411">
        <f t="shared" si="75"/>
        <v>750</v>
      </c>
      <c r="AB53" s="411">
        <f t="shared" si="73"/>
        <v>0</v>
      </c>
      <c r="AC53" s="411">
        <f t="shared" si="77"/>
        <v>2619.1968000000002</v>
      </c>
      <c r="AD53" s="411">
        <f t="shared" si="74"/>
        <v>0</v>
      </c>
      <c r="AE53" s="411">
        <f t="shared" si="54"/>
        <v>541402.71</v>
      </c>
      <c r="AF53" s="41">
        <v>0</v>
      </c>
      <c r="AG53" s="41">
        <v>0</v>
      </c>
      <c r="AH53" s="33">
        <v>1500</v>
      </c>
      <c r="AI53" s="33">
        <v>0</v>
      </c>
      <c r="AJ53" s="41">
        <v>0</v>
      </c>
      <c r="AK53" s="41">
        <v>0</v>
      </c>
      <c r="AL53" s="33">
        <v>0</v>
      </c>
      <c r="AM53" s="33">
        <v>0</v>
      </c>
      <c r="AN53" s="41">
        <v>0</v>
      </c>
      <c r="AO53" s="33">
        <v>0</v>
      </c>
      <c r="AP53" s="411">
        <f t="shared" si="59"/>
        <v>2250</v>
      </c>
      <c r="AQ53" s="411">
        <f t="shared" si="60"/>
        <v>0</v>
      </c>
      <c r="AR53" s="411">
        <f t="shared" si="61"/>
        <v>2619.1968000000002</v>
      </c>
      <c r="AS53" s="411">
        <f t="shared" si="62"/>
        <v>0</v>
      </c>
      <c r="AT53" s="411">
        <f t="shared" si="63"/>
        <v>541402.71</v>
      </c>
      <c r="AU53" s="411">
        <f t="shared" si="55"/>
        <v>0</v>
      </c>
      <c r="AV53" s="28">
        <f t="shared" si="64"/>
        <v>0</v>
      </c>
      <c r="AW53" s="28">
        <f t="shared" si="65"/>
        <v>22243.91</v>
      </c>
      <c r="AX53" s="28">
        <f t="shared" si="66"/>
        <v>0</v>
      </c>
      <c r="AY53" s="28">
        <f t="shared" si="67"/>
        <v>333.06</v>
      </c>
      <c r="AZ53" s="28">
        <f>BK53</f>
        <v>1024.22</v>
      </c>
      <c r="BA53" s="28">
        <f>ROUND(SUM(AP53:AZ53),2)</f>
        <v>569873.1</v>
      </c>
      <c r="BB53" s="28">
        <f t="shared" si="57"/>
        <v>569873.1</v>
      </c>
      <c r="BC53" s="29">
        <f t="shared" si="68"/>
        <v>1</v>
      </c>
      <c r="BD53" s="28">
        <f>SUMIFS('SBR Mar20 - Aug20'!$F$3:$F$961,'SBR Mar20 - Aug20'!$A$3:$A$961,'Mar20-Aug20 Billed-RETAIL'!$C53,'SBR Mar20 - Aug20'!$B$3:$B$961,'Mar20-Aug20 Billed-RETAIL'!$E53)</f>
        <v>2250</v>
      </c>
      <c r="BE53" s="28">
        <f>SUMIFS('SBR Mar20 - Aug20'!$H$3:$H$961,'SBR Mar20 - Aug20'!$A$3:$A$961,'Mar20-Aug20 Billed-RETAIL'!$C53,'SBR Mar20 - Aug20'!$B$3:$B$961,'Mar20-Aug20 Billed-RETAIL'!$E53)</f>
        <v>2619.1999999999998</v>
      </c>
      <c r="BF53" s="28">
        <f>SUMIFS('SBR Mar20 - Aug20'!$G$3:$G$961,'SBR Mar20 - Aug20'!$A$3:$A$961,'Mar20-Aug20 Billed-RETAIL'!$C53,'SBR Mar20 - Aug20'!$B$3:$B$961,'Mar20-Aug20 Billed-RETAIL'!$E53)</f>
        <v>541402.71</v>
      </c>
      <c r="BG53" s="28">
        <f>SUMIFS('SBR Mar20 - Aug20'!$M$3:$M$961,'SBR Mar20 - Aug20'!$A$3:$A$961,'Mar20-Aug20 Billed-RETAIL'!$C53,'SBR Mar20 - Aug20'!$B$3:$B$961,'Mar20-Aug20 Billed-RETAIL'!$E53)</f>
        <v>0</v>
      </c>
      <c r="BH53" s="28">
        <f>SUMIFS('SBR Mar20 - Aug20'!$N$3:$N$961,'SBR Mar20 - Aug20'!$A$3:$A$961,'Mar20-Aug20 Billed-RETAIL'!$C53,'SBR Mar20 - Aug20'!$B$3:$B$961,'Mar20-Aug20 Billed-RETAIL'!$E53)</f>
        <v>22243.91</v>
      </c>
      <c r="BI53" s="28">
        <f>SUMIFS('SBR Mar20 - Aug20'!$Y$3:$Y$961,'SBR Mar20 - Aug20'!$A$3:$A$961,'Mar20-Aug20 Billed-RETAIL'!$C53,'SBR Mar20 - Aug20'!$B$3:$B$961,'Mar20-Aug20 Billed-RETAIL'!$E53)</f>
        <v>0</v>
      </c>
      <c r="BJ53" s="28">
        <f>SUMIFS('SBR Mar20 - Aug20'!$W$3:$W$961,'SBR Mar20 - Aug20'!$A$3:$A$961,'Mar20-Aug20 Billed-RETAIL'!$C53,'SBR Mar20 - Aug20'!$B$3:$B$961,'Mar20-Aug20 Billed-RETAIL'!$E53)</f>
        <v>333.06</v>
      </c>
      <c r="BK53" s="28">
        <f>SUMIFS('SBR Mar20 - Aug20'!$X$3:$X$961,'SBR Mar20 - Aug20'!$A$3:$A$961,'Mar20-Aug20 Billed-RETAIL'!$C53,'SBR Mar20 - Aug20'!$B$3:$B$961,'Mar20-Aug20 Billed-RETAIL'!$E53)</f>
        <v>1024.22</v>
      </c>
      <c r="BL53" s="28">
        <f>SUMIFS('SBR Mar20 - Aug20'!$Z$3:$Z$961,'SBR Mar20 - Aug20'!$A$3:$A$961,'Mar20-Aug20 Billed-RETAIL'!$C53,'SBR Mar20 - Aug20'!$B$3:$B$961,'Mar20-Aug20 Billed-RETAIL'!$E53)</f>
        <v>0</v>
      </c>
      <c r="BM53" s="42">
        <f t="shared" si="69"/>
        <v>0</v>
      </c>
      <c r="BN53" s="42">
        <f t="shared" si="70"/>
        <v>-3.1999999996514816E-3</v>
      </c>
    </row>
    <row r="54" spans="1:67" s="279" customFormat="1" ht="15" customHeight="1" x14ac:dyDescent="0.25">
      <c r="A54" s="57"/>
      <c r="B54"/>
      <c r="C54" s="308"/>
      <c r="D54" s="308"/>
      <c r="E54" s="280"/>
      <c r="F54" s="280"/>
      <c r="G54" s="280"/>
      <c r="H54" s="281"/>
      <c r="I54" s="281"/>
      <c r="J54" s="281"/>
      <c r="K54" s="510" t="s">
        <v>950</v>
      </c>
      <c r="L54" s="281"/>
      <c r="M54" s="281"/>
      <c r="N54" s="281"/>
      <c r="O54" s="281"/>
      <c r="P54" s="281"/>
      <c r="Q54" s="281"/>
      <c r="R54" s="282"/>
      <c r="S54" s="282"/>
      <c r="T54" s="283"/>
      <c r="U54" s="283"/>
      <c r="V54" s="282"/>
      <c r="W54" s="282"/>
      <c r="X54" s="282"/>
      <c r="Y54" s="282"/>
      <c r="Z54" s="282"/>
      <c r="AA54" s="284"/>
      <c r="AB54" s="284"/>
      <c r="AC54" s="284"/>
      <c r="AD54" s="284"/>
      <c r="AE54" s="284"/>
      <c r="AF54" s="285"/>
      <c r="AG54" s="285"/>
      <c r="AH54" s="284"/>
      <c r="AI54" s="284"/>
      <c r="AJ54" s="284"/>
      <c r="AK54" s="284"/>
      <c r="AL54" s="284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C54" s="284"/>
      <c r="BD54" s="284"/>
      <c r="BE54" s="284"/>
      <c r="BF54" s="284"/>
      <c r="BG54" s="284"/>
      <c r="BH54" s="284"/>
      <c r="BI54" s="284"/>
      <c r="BJ54" s="284"/>
      <c r="BM54" s="284"/>
      <c r="BN54" s="284"/>
    </row>
    <row r="55" spans="1:67" ht="15" customHeight="1" x14ac:dyDescent="0.25">
      <c r="A55" s="57"/>
      <c r="C55" s="307">
        <f>EDATE(C39,1)</f>
        <v>43983</v>
      </c>
      <c r="D55" s="408" t="str">
        <f>MID(E55,6,3)</f>
        <v>811</v>
      </c>
      <c r="E55" s="405" t="str">
        <f>'Retail Rates'!$B$7</f>
        <v>LGRSG811</v>
      </c>
      <c r="F55" s="405"/>
      <c r="G55" s="405" t="str">
        <f>VLOOKUP(E55,'Retail Rates'!$B$7:$D$40,3,FALSE)</f>
        <v>Residential Gas Service</v>
      </c>
      <c r="H55" s="20">
        <f>SUMIFS('Data-Retail'!$F$2:$F$987,'Data-Retail'!$A$2:$A$987,'Mar20-Aug20 Billed-RETAIL'!$C55,'Data-Retail'!$B$2:$B$987,'Mar20-Aug20 Billed-RETAIL'!$E55)+AF55</f>
        <v>303111</v>
      </c>
      <c r="I55" s="20">
        <v>0</v>
      </c>
      <c r="J55" s="20">
        <f>SUMIFS('Data-Retail'!$G$2:$G$1987,'Data-Retail'!$A$2:$A$1987,'Mar20-Aug20 Billed-RETAIL'!$C55,'Data-Retail'!$B$2:$B$1987,'Mar20-Aug20 Billed-RETAIL'!$E55)+AJ55</f>
        <v>5370551</v>
      </c>
      <c r="K55" s="20">
        <f>SUMIFS('Data-Retail'!$H$2:$H$1987,'Data-Retail'!$A$2:$A$1987,'Mar20-Aug20 Billed-RETAIL'!$C55,'Data-Retail'!$B$2:$B$1987,'Mar20-Aug20 Billed-RETAIL'!$E55)</f>
        <v>0</v>
      </c>
      <c r="L55" s="20">
        <v>0</v>
      </c>
      <c r="M55" s="20">
        <v>0</v>
      </c>
      <c r="N55" s="20">
        <v>0</v>
      </c>
      <c r="O55" s="20">
        <v>0</v>
      </c>
      <c r="P55" s="20">
        <v>9407481</v>
      </c>
      <c r="Q55" s="20">
        <v>0</v>
      </c>
      <c r="R55" s="21">
        <f>VLOOKUP($E55,'Retail Rates'!$B$7:$P$40,4,FALSE)</f>
        <v>0.65</v>
      </c>
      <c r="S55" s="21">
        <f>VLOOKUP($E55,'Retail Rates'!$B$7:$P$40,5,FALSE)</f>
        <v>0</v>
      </c>
      <c r="T55" s="22">
        <f>VLOOKUP($E55,'Retail Rates'!$B$7:$P$40,8,FALSE)</f>
        <v>0.36781999999999998</v>
      </c>
      <c r="U55" s="22">
        <f>VLOOKUP($E55,'Retail Rates'!$B$7:$P$40,9,FALSE)</f>
        <v>0</v>
      </c>
      <c r="V55" s="22">
        <f>VLOOKUP($E55,'Retail Rates'!$B$7:$P$40,14,FALSE)</f>
        <v>0</v>
      </c>
      <c r="W55" s="22">
        <f>VLOOKUP($E55,'Retail Rates'!$B$7:$P$40,10,FALSE)</f>
        <v>3.6781999999999999</v>
      </c>
      <c r="X55" s="22">
        <f>VLOOKUP($E55,'Retail Rates'!$B$7:$P$40,11,FALSE)</f>
        <v>0</v>
      </c>
      <c r="Y55" s="22">
        <f>VLOOKUP($E55,'Retail Rates'!$B$7:$P$40,15,FALSE)</f>
        <v>0</v>
      </c>
      <c r="Z55" s="22">
        <v>0</v>
      </c>
      <c r="AA55" s="411">
        <f t="shared" ref="AA55:AA61" si="78">(+P55*R55)</f>
        <v>6114862.6500000004</v>
      </c>
      <c r="AB55" s="411">
        <f t="shared" ref="AB55:AD56" si="79">+I55*S55</f>
        <v>0</v>
      </c>
      <c r="AC55" s="411">
        <f t="shared" si="79"/>
        <v>1975396.0688199999</v>
      </c>
      <c r="AD55" s="411">
        <f t="shared" si="79"/>
        <v>0</v>
      </c>
      <c r="AE55" s="23">
        <f t="shared" ref="AE55:AE69" si="80">L55*V55</f>
        <v>0</v>
      </c>
      <c r="AF55" s="41">
        <v>-157</v>
      </c>
      <c r="AG55" s="41">
        <v>0</v>
      </c>
      <c r="AH55" s="33">
        <v>-775.62</v>
      </c>
      <c r="AI55" s="33">
        <v>0</v>
      </c>
      <c r="AJ55" s="41">
        <v>-502</v>
      </c>
      <c r="AK55" s="41">
        <v>0</v>
      </c>
      <c r="AL55" s="33">
        <v>212.31</v>
      </c>
      <c r="AM55" s="33">
        <v>0</v>
      </c>
      <c r="AN55" s="41">
        <v>0</v>
      </c>
      <c r="AO55" s="33">
        <v>0</v>
      </c>
      <c r="AP55" s="411">
        <f>AA55+AH55</f>
        <v>6114087.0300000003</v>
      </c>
      <c r="AQ55" s="411">
        <f>AB55+AI55</f>
        <v>0</v>
      </c>
      <c r="AR55" s="411">
        <f>AC55+AL55</f>
        <v>1975608.37882</v>
      </c>
      <c r="AS55" s="411">
        <f>AD55+AM55</f>
        <v>0</v>
      </c>
      <c r="AT55" s="411">
        <f>AE55+AO55</f>
        <v>0</v>
      </c>
      <c r="AU55" s="411">
        <f>BL55</f>
        <v>-4.8099999999999996</v>
      </c>
      <c r="AV55" s="28">
        <f>BG55</f>
        <v>-8422.59</v>
      </c>
      <c r="AW55" s="28">
        <f>BH55</f>
        <v>1361661.59</v>
      </c>
      <c r="AX55" s="28">
        <f>BI55</f>
        <v>-699.59</v>
      </c>
      <c r="AY55" s="28">
        <f>BJ55</f>
        <v>562555.07999999996</v>
      </c>
      <c r="AZ55" s="28">
        <f t="shared" ref="AZ55:AZ69" si="81">BK55</f>
        <v>128308.98</v>
      </c>
      <c r="BA55" s="28">
        <f t="shared" si="56"/>
        <v>10133094.07</v>
      </c>
      <c r="BB55" s="28">
        <f>SUM(BD55:BL55)</f>
        <v>10133094.07</v>
      </c>
      <c r="BC55" s="29">
        <f>IF(BB55=0,0,ROUND(BB55/BA55,6))</f>
        <v>1</v>
      </c>
      <c r="BD55" s="28">
        <f>SUMIFS('SBR Mar20 - Aug20'!$F$3:$F$961,'SBR Mar20 - Aug20'!$A$3:$A$961,'Mar20-Aug20 Billed-RETAIL'!$C55,'SBR Mar20 - Aug20'!$B$3:$B$961,'Mar20-Aug20 Billed-RETAIL'!$E55)</f>
        <v>6114087.0300000003</v>
      </c>
      <c r="BE55" s="28">
        <f>SUMIFS('SBR Mar20 - Aug20'!$H$3:$H$961,'SBR Mar20 - Aug20'!$A$3:$A$961,'Mar20-Aug20 Billed-RETAIL'!$C55,'SBR Mar20 - Aug20'!$B$3:$B$961,'Mar20-Aug20 Billed-RETAIL'!$E55)</f>
        <v>1975608.38</v>
      </c>
      <c r="BF55" s="28">
        <f>SUMIFS('SBR Mar20 - Aug20'!$G$3:$G$961,'SBR Mar20 - Aug20'!$A$3:$A$961,'Mar20-Aug20 Billed-RETAIL'!$C55,'SBR Mar20 - Aug20'!$B$3:$B$961,'Mar20-Aug20 Billed-RETAIL'!$E55)</f>
        <v>0</v>
      </c>
      <c r="BG55" s="28">
        <f>SUMIFS('SBR Mar20 - Aug20'!$M$3:$M$961,'SBR Mar20 - Aug20'!$A$3:$A$961,'Mar20-Aug20 Billed-RETAIL'!$C55,'SBR Mar20 - Aug20'!$B$3:$B$961,'Mar20-Aug20 Billed-RETAIL'!$E55)</f>
        <v>-8422.59</v>
      </c>
      <c r="BH55" s="28">
        <f>SUMIFS('SBR Mar20 - Aug20'!$N$3:$N$961,'SBR Mar20 - Aug20'!$A$3:$A$961,'Mar20-Aug20 Billed-RETAIL'!$C55,'SBR Mar20 - Aug20'!$B$3:$B$961,'Mar20-Aug20 Billed-RETAIL'!$E55)</f>
        <v>1361661.59</v>
      </c>
      <c r="BI55" s="28">
        <f>SUMIFS('SBR Mar20 - Aug20'!$Y$3:$Y$961,'SBR Mar20 - Aug20'!$A$3:$A$961,'Mar20-Aug20 Billed-RETAIL'!$C55,'SBR Mar20 - Aug20'!$B$3:$B$961,'Mar20-Aug20 Billed-RETAIL'!$E55)</f>
        <v>-699.59</v>
      </c>
      <c r="BJ55" s="28">
        <f>SUMIFS('SBR Mar20 - Aug20'!$W$3:$W$961,'SBR Mar20 - Aug20'!$A$3:$A$961,'Mar20-Aug20 Billed-RETAIL'!$C55,'SBR Mar20 - Aug20'!$B$3:$B$961,'Mar20-Aug20 Billed-RETAIL'!$E55)</f>
        <v>562555.07999999996</v>
      </c>
      <c r="BK55" s="28">
        <f>SUMIFS('SBR Mar20 - Aug20'!$X$3:$X$961,'SBR Mar20 - Aug20'!$A$3:$A$961,'Mar20-Aug20 Billed-RETAIL'!$C55,'SBR Mar20 - Aug20'!$B$3:$B$961,'Mar20-Aug20 Billed-RETAIL'!$E55)</f>
        <v>128308.98</v>
      </c>
      <c r="BL55" s="28">
        <f>SUMIFS('SBR Mar20 - Aug20'!$Z$3:$Z$961,'SBR Mar20 - Aug20'!$A$3:$A$961,'Mar20-Aug20 Billed-RETAIL'!$C55,'SBR Mar20 - Aug20'!$B$3:$B$961,'Mar20-Aug20 Billed-RETAIL'!$E55)</f>
        <v>-4.8099999999999996</v>
      </c>
      <c r="BM55" s="42">
        <f>+AP55+AQ55-BD55</f>
        <v>0</v>
      </c>
      <c r="BN55" s="42">
        <f>+AR55+AS55-BE55</f>
        <v>-1.1799999047070742E-3</v>
      </c>
    </row>
    <row r="56" spans="1:67" ht="15" customHeight="1" x14ac:dyDescent="0.25">
      <c r="A56" s="57"/>
      <c r="C56" s="307">
        <f t="shared" ref="C56:C61" si="82">$C$55</f>
        <v>43983</v>
      </c>
      <c r="D56" s="408" t="str">
        <f t="shared" ref="D56:D68" si="83">MID(E56,6,3)</f>
        <v>840</v>
      </c>
      <c r="E56" s="405" t="str">
        <f>'Retail Rates'!$B$8</f>
        <v>LGRSG840</v>
      </c>
      <c r="F56" s="405"/>
      <c r="G56" s="405" t="str">
        <f>VLOOKUP(E56,'Retail Rates'!$B$7:$D$40,3,FALSE)</f>
        <v>Volunteer Fire Department Gas</v>
      </c>
      <c r="H56" s="20">
        <v>3</v>
      </c>
      <c r="I56" s="20">
        <v>0</v>
      </c>
      <c r="J56" s="20">
        <f>SUMIFS('Data-Retail'!$G$2:$G$1987,'Data-Retail'!$A$2:$A$1987,'Mar20-Aug20 Billed-RETAIL'!$C56,'Data-Retail'!$B$2:$B$1987,'Mar20-Aug20 Billed-RETAIL'!$E56)</f>
        <v>320</v>
      </c>
      <c r="K56" s="20">
        <f>SUMIFS('Data-Retail'!$H$2:$H$1987,'Data-Retail'!$A$2:$A$1987,'Mar20-Aug20 Billed-RETAIL'!$C56,'Data-Retail'!$B$2:$B$1987,'Mar20-Aug20 Billed-RETAIL'!$E56)</f>
        <v>0</v>
      </c>
      <c r="L56" s="20">
        <v>0</v>
      </c>
      <c r="M56" s="20">
        <v>0</v>
      </c>
      <c r="N56" s="20">
        <v>0</v>
      </c>
      <c r="O56" s="20">
        <v>0</v>
      </c>
      <c r="P56" s="20">
        <v>93</v>
      </c>
      <c r="Q56" s="20">
        <v>0</v>
      </c>
      <c r="R56" s="21">
        <f>VLOOKUP($E56,'Retail Rates'!$B$7:$P$40,4,FALSE)</f>
        <v>0.65</v>
      </c>
      <c r="S56" s="21">
        <f>VLOOKUP($E56,'Retail Rates'!$B$7:$P$40,5,FALSE)</f>
        <v>0</v>
      </c>
      <c r="T56" s="22">
        <f>VLOOKUP($E56,'Retail Rates'!$B$7:$P$40,8,FALSE)</f>
        <v>0.36781999999999998</v>
      </c>
      <c r="U56" s="22">
        <f>VLOOKUP($E56,'Retail Rates'!$B$7:$P$40,9,FALSE)</f>
        <v>0</v>
      </c>
      <c r="V56" s="22">
        <f>VLOOKUP($E56,'Retail Rates'!$B$7:$P$40,14,FALSE)</f>
        <v>0</v>
      </c>
      <c r="W56" s="22">
        <f>VLOOKUP($E56,'Retail Rates'!$B$7:$P$40,10,FALSE)</f>
        <v>3.6781999999999999</v>
      </c>
      <c r="X56" s="22">
        <f>VLOOKUP($E56,'Retail Rates'!$B$7:$P$40,11,FALSE)</f>
        <v>0</v>
      </c>
      <c r="Y56" s="22">
        <f>VLOOKUP($E56,'Retail Rates'!$B$7:$P$40,15,FALSE)</f>
        <v>0</v>
      </c>
      <c r="Z56" s="22">
        <v>0</v>
      </c>
      <c r="AA56" s="411">
        <f t="shared" si="78"/>
        <v>60.45</v>
      </c>
      <c r="AB56" s="411">
        <f t="shared" si="79"/>
        <v>0</v>
      </c>
      <c r="AC56" s="411">
        <f t="shared" si="79"/>
        <v>117.7024</v>
      </c>
      <c r="AD56" s="411">
        <f t="shared" si="79"/>
        <v>0</v>
      </c>
      <c r="AE56" s="411">
        <f t="shared" si="80"/>
        <v>0</v>
      </c>
      <c r="AF56" s="41">
        <v>0</v>
      </c>
      <c r="AG56" s="41">
        <v>0</v>
      </c>
      <c r="AH56" s="33">
        <v>0</v>
      </c>
      <c r="AI56" s="33">
        <v>0</v>
      </c>
      <c r="AJ56" s="41">
        <v>0</v>
      </c>
      <c r="AK56" s="41">
        <v>0</v>
      </c>
      <c r="AL56" s="33"/>
      <c r="AM56" s="33">
        <v>0</v>
      </c>
      <c r="AN56" s="41">
        <v>0</v>
      </c>
      <c r="AO56" s="33">
        <v>0</v>
      </c>
      <c r="AP56" s="411">
        <f t="shared" ref="AP56:AP69" si="84">AA56+AH56</f>
        <v>60.45</v>
      </c>
      <c r="AQ56" s="411">
        <f t="shared" ref="AQ56:AQ69" si="85">AB56+AI56</f>
        <v>0</v>
      </c>
      <c r="AR56" s="411">
        <f t="shared" ref="AR56:AR69" si="86">AC56+AL56</f>
        <v>117.7024</v>
      </c>
      <c r="AS56" s="411">
        <f t="shared" ref="AS56:AS69" si="87">AD56+AM56</f>
        <v>0</v>
      </c>
      <c r="AT56" s="411">
        <f t="shared" ref="AT56:AT69" si="88">AE56+AO56</f>
        <v>0</v>
      </c>
      <c r="AU56" s="411">
        <f t="shared" ref="AU56:AU69" si="89">BL56</f>
        <v>0</v>
      </c>
      <c r="AV56" s="28">
        <f t="shared" ref="AV56:AV69" si="90">BG56</f>
        <v>-0.5</v>
      </c>
      <c r="AW56" s="28">
        <f t="shared" ref="AW56:AW69" si="91">BH56</f>
        <v>81.319999999999993</v>
      </c>
      <c r="AX56" s="28">
        <f t="shared" ref="AX56:AX69" si="92">BI56</f>
        <v>0</v>
      </c>
      <c r="AY56" s="28">
        <f t="shared" ref="AY56:AY69" si="93">BJ56</f>
        <v>5.61</v>
      </c>
      <c r="AZ56" s="28">
        <f t="shared" si="81"/>
        <v>7.61</v>
      </c>
      <c r="BA56" s="28">
        <f t="shared" si="56"/>
        <v>272.19</v>
      </c>
      <c r="BB56" s="28">
        <f t="shared" ref="BB56:BB69" si="94">SUM(BD56:BL56)</f>
        <v>272.19000000000005</v>
      </c>
      <c r="BC56" s="29">
        <f t="shared" ref="BC56:BC69" si="95">IF(BB56=0,0,ROUND(BB56/BA56,6))</f>
        <v>1</v>
      </c>
      <c r="BD56" s="28">
        <f>SUMIFS('SBR Mar20 - Aug20'!$F$3:$F$961,'SBR Mar20 - Aug20'!$A$3:$A$961,'Mar20-Aug20 Billed-RETAIL'!$C56,'SBR Mar20 - Aug20'!$B$3:$B$961,'Mar20-Aug20 Billed-RETAIL'!$E56)</f>
        <v>60.45</v>
      </c>
      <c r="BE56" s="28">
        <f>SUMIFS('SBR Mar20 - Aug20'!$H$3:$H$961,'SBR Mar20 - Aug20'!$A$3:$A$961,'Mar20-Aug20 Billed-RETAIL'!$C56,'SBR Mar20 - Aug20'!$B$3:$B$961,'Mar20-Aug20 Billed-RETAIL'!$E56)</f>
        <v>117.7</v>
      </c>
      <c r="BF56" s="28">
        <f>SUMIFS('SBR Mar20 - Aug20'!$G$3:$G$961,'SBR Mar20 - Aug20'!$A$3:$A$961,'Mar20-Aug20 Billed-RETAIL'!$C56,'SBR Mar20 - Aug20'!$B$3:$B$961,'Mar20-Aug20 Billed-RETAIL'!$E56)</f>
        <v>0</v>
      </c>
      <c r="BG56" s="28">
        <f>SUMIFS('SBR Mar20 - Aug20'!$M$3:$M$961,'SBR Mar20 - Aug20'!$A$3:$A$961,'Mar20-Aug20 Billed-RETAIL'!$C56,'SBR Mar20 - Aug20'!$B$3:$B$961,'Mar20-Aug20 Billed-RETAIL'!$E56)</f>
        <v>-0.5</v>
      </c>
      <c r="BH56" s="28">
        <f>SUMIFS('SBR Mar20 - Aug20'!$N$3:$N$961,'SBR Mar20 - Aug20'!$A$3:$A$961,'Mar20-Aug20 Billed-RETAIL'!$C56,'SBR Mar20 - Aug20'!$B$3:$B$961,'Mar20-Aug20 Billed-RETAIL'!$E56)</f>
        <v>81.319999999999993</v>
      </c>
      <c r="BI56" s="28">
        <f>SUMIFS('SBR Mar20 - Aug20'!$Y$3:$Y$961,'SBR Mar20 - Aug20'!$A$3:$A$961,'Mar20-Aug20 Billed-RETAIL'!$C56,'SBR Mar20 - Aug20'!$B$3:$B$961,'Mar20-Aug20 Billed-RETAIL'!$E56)</f>
        <v>0</v>
      </c>
      <c r="BJ56" s="28">
        <f>SUMIFS('SBR Mar20 - Aug20'!$W$3:$W$961,'SBR Mar20 - Aug20'!$A$3:$A$961,'Mar20-Aug20 Billed-RETAIL'!$C56,'SBR Mar20 - Aug20'!$B$3:$B$961,'Mar20-Aug20 Billed-RETAIL'!$E56)</f>
        <v>5.61</v>
      </c>
      <c r="BK56" s="28">
        <f>SUMIFS('SBR Mar20 - Aug20'!$X$3:$X$961,'SBR Mar20 - Aug20'!$A$3:$A$961,'Mar20-Aug20 Billed-RETAIL'!$C56,'SBR Mar20 - Aug20'!$B$3:$B$961,'Mar20-Aug20 Billed-RETAIL'!$E56)</f>
        <v>7.61</v>
      </c>
      <c r="BL56" s="28">
        <f>SUMIFS('SBR Mar20 - Aug20'!$Z$3:$Z$961,'SBR Mar20 - Aug20'!$A$3:$A$961,'Mar20-Aug20 Billed-RETAIL'!$C56,'SBR Mar20 - Aug20'!$B$3:$B$961,'Mar20-Aug20 Billed-RETAIL'!$E56)</f>
        <v>0</v>
      </c>
      <c r="BM56" s="42">
        <f t="shared" ref="BM56:BM69" si="96">+AP56+AQ56-BD56</f>
        <v>0</v>
      </c>
      <c r="BN56" s="42">
        <f t="shared" ref="BN56:BN69" si="97">+AR56+AS56-BE56</f>
        <v>2.3999999999944066E-3</v>
      </c>
    </row>
    <row r="57" spans="1:67" ht="15" customHeight="1" x14ac:dyDescent="0.25">
      <c r="A57" s="57"/>
      <c r="C57" s="307">
        <f t="shared" si="82"/>
        <v>43983</v>
      </c>
      <c r="D57" s="408" t="str">
        <f t="shared" si="83"/>
        <v>851</v>
      </c>
      <c r="E57" s="405" t="str">
        <f>'Retail Rates'!$B$9</f>
        <v>LGCMG851</v>
      </c>
      <c r="F57" s="405"/>
      <c r="G57" s="405" t="str">
        <f>VLOOKUP(E57,'Retail Rates'!$B$7:$D$40,3,FALSE)</f>
        <v>Firm Commercial Gas Service</v>
      </c>
      <c r="H57" s="20">
        <f>(SUMIFS('Data-Retail'!$F$2:$F$1987,'Data-Retail'!$A$2:$A$1987,'Mar20-Aug20 Billed-RETAIL'!$C57,'Data-Retail'!$B$2:$B$1987,'Mar20-Aug20 Billed-RETAIL'!$E57)-I57)+(AF57+AG57)</f>
        <v>24414</v>
      </c>
      <c r="I57" s="20">
        <v>1182</v>
      </c>
      <c r="J57" s="20">
        <f>SUMIFS('Data-Retail'!$G$2:$G$1987,'Data-Retail'!$A$2:$A$1987,'Mar20-Aug20 Billed-RETAIL'!$C57,'Data-Retail'!$B$2:$B$1987,'Mar20-Aug20 Billed-RETAIL'!$E57)+AJ57</f>
        <v>2091295</v>
      </c>
      <c r="K57" s="20">
        <f>SUMIFS('Data-Retail'!$H$2:$H$1987,'Data-Retail'!$A$2:$A$1987,'Mar20-Aug20 Billed-RETAIL'!$C57,'Data-Retail'!$B$2:$B$1987,'Mar20-Aug20 Billed-RETAIL'!$E57)</f>
        <v>964502</v>
      </c>
      <c r="L57" s="20">
        <v>0</v>
      </c>
      <c r="M57" s="20">
        <v>0</v>
      </c>
      <c r="N57" s="20">
        <v>0</v>
      </c>
      <c r="O57" s="20">
        <v>0</v>
      </c>
      <c r="P57" s="20">
        <v>745808</v>
      </c>
      <c r="Q57" s="20">
        <v>36647.000000000007</v>
      </c>
      <c r="R57" s="21">
        <f>VLOOKUP($E57,'Retail Rates'!$B$7:$P$40,4,FALSE)</f>
        <v>1.97</v>
      </c>
      <c r="S57" s="21">
        <f>VLOOKUP($E57,'Retail Rates'!$B$7:$P$40,5,FALSE)</f>
        <v>9.3699999999999992</v>
      </c>
      <c r="T57" s="22">
        <f>VLOOKUP($E57,'Retail Rates'!$B$7:$P$40,8,FALSE)</f>
        <v>0.30669999999999997</v>
      </c>
      <c r="U57" s="22">
        <f>VLOOKUP($E57,'Retail Rates'!$B$7:$P$40,9,FALSE)</f>
        <v>0.25669999999999998</v>
      </c>
      <c r="V57" s="22">
        <f>VLOOKUP($E57,'Retail Rates'!$B$7:$P$40,14,FALSE)</f>
        <v>0</v>
      </c>
      <c r="W57" s="22">
        <f>VLOOKUP($E57,'Retail Rates'!$B$7:$P$40,10,FALSE)</f>
        <v>3.0669999999999997</v>
      </c>
      <c r="X57" s="22">
        <f>VLOOKUP($E57,'Retail Rates'!$B$7:$P$40,11,FALSE)</f>
        <v>2.5669999999999997</v>
      </c>
      <c r="Y57" s="22">
        <f>VLOOKUP($E57,'Retail Rates'!$B$7:$P$40,15,FALSE)</f>
        <v>0</v>
      </c>
      <c r="Z57" s="22">
        <v>0</v>
      </c>
      <c r="AA57" s="411">
        <f t="shared" si="78"/>
        <v>1469241.76</v>
      </c>
      <c r="AB57" s="411">
        <f>+Q57*S57</f>
        <v>343382.39</v>
      </c>
      <c r="AC57" s="411">
        <f t="shared" ref="AC57:AD60" si="98">+J57*T57</f>
        <v>641400.17649999994</v>
      </c>
      <c r="AD57" s="411">
        <f t="shared" si="98"/>
        <v>247587.66339999999</v>
      </c>
      <c r="AE57" s="411">
        <f t="shared" si="80"/>
        <v>0</v>
      </c>
      <c r="AF57" s="41">
        <v>-35</v>
      </c>
      <c r="AG57" s="41">
        <v>0</v>
      </c>
      <c r="AH57" s="33">
        <v>1.97</v>
      </c>
      <c r="AI57" s="33">
        <v>0</v>
      </c>
      <c r="AJ57" s="41">
        <v>1010</v>
      </c>
      <c r="AK57" s="41">
        <v>0</v>
      </c>
      <c r="AL57" s="33">
        <v>-310.52</v>
      </c>
      <c r="AM57" s="33">
        <v>0</v>
      </c>
      <c r="AN57" s="41">
        <v>0</v>
      </c>
      <c r="AO57" s="33">
        <v>0</v>
      </c>
      <c r="AP57" s="411">
        <f>AA57+AH57</f>
        <v>1469243.73</v>
      </c>
      <c r="AQ57" s="411">
        <f t="shared" si="85"/>
        <v>343382.39</v>
      </c>
      <c r="AR57" s="411">
        <f t="shared" si="86"/>
        <v>641089.65649999992</v>
      </c>
      <c r="AS57" s="411">
        <f t="shared" si="87"/>
        <v>247587.66339999999</v>
      </c>
      <c r="AT57" s="411">
        <f t="shared" si="88"/>
        <v>0</v>
      </c>
      <c r="AU57" s="411">
        <f t="shared" si="89"/>
        <v>7.0000000000000007E-2</v>
      </c>
      <c r="AV57" s="28">
        <f t="shared" si="90"/>
        <v>1478.6</v>
      </c>
      <c r="AW57" s="28">
        <f t="shared" si="91"/>
        <v>768631.29</v>
      </c>
      <c r="AX57" s="28">
        <f t="shared" si="92"/>
        <v>-4923.1499999999996</v>
      </c>
      <c r="AY57" s="28">
        <f t="shared" si="93"/>
        <v>232195.89</v>
      </c>
      <c r="AZ57" s="28">
        <f t="shared" si="81"/>
        <v>59748.639999999999</v>
      </c>
      <c r="BA57" s="28">
        <f t="shared" si="56"/>
        <v>3758434.78</v>
      </c>
      <c r="BB57" s="28">
        <f t="shared" si="94"/>
        <v>3758434.7800000003</v>
      </c>
      <c r="BC57" s="29">
        <f t="shared" si="95"/>
        <v>1</v>
      </c>
      <c r="BD57" s="28">
        <f>SUMIFS('SBR Mar20 - Aug20'!$F$3:$F$961,'SBR Mar20 - Aug20'!$A$3:$A$961,'Mar20-Aug20 Billed-RETAIL'!$C57,'SBR Mar20 - Aug20'!$B$3:$B$961,'Mar20-Aug20 Billed-RETAIL'!$E57)</f>
        <v>1812626.12</v>
      </c>
      <c r="BE57" s="28">
        <f>SUMIFS('SBR Mar20 - Aug20'!$H$3:$H$961,'SBR Mar20 - Aug20'!$A$3:$A$961,'Mar20-Aug20 Billed-RETAIL'!$C57,'SBR Mar20 - Aug20'!$B$3:$B$961,'Mar20-Aug20 Billed-RETAIL'!$E57)</f>
        <v>888677.32</v>
      </c>
      <c r="BF57" s="28">
        <f>SUMIFS('SBR Mar20 - Aug20'!$G$3:$G$961,'SBR Mar20 - Aug20'!$A$3:$A$961,'Mar20-Aug20 Billed-RETAIL'!$C57,'SBR Mar20 - Aug20'!$B$3:$B$961,'Mar20-Aug20 Billed-RETAIL'!$E57)</f>
        <v>0</v>
      </c>
      <c r="BG57" s="28">
        <f>SUMIFS('SBR Mar20 - Aug20'!$M$3:$M$961,'SBR Mar20 - Aug20'!$A$3:$A$961,'Mar20-Aug20 Billed-RETAIL'!$C57,'SBR Mar20 - Aug20'!$B$3:$B$961,'Mar20-Aug20 Billed-RETAIL'!$E57)</f>
        <v>1478.6</v>
      </c>
      <c r="BH57" s="28">
        <f>SUMIFS('SBR Mar20 - Aug20'!$N$3:$N$961,'SBR Mar20 - Aug20'!$A$3:$A$961,'Mar20-Aug20 Billed-RETAIL'!$C57,'SBR Mar20 - Aug20'!$B$3:$B$961,'Mar20-Aug20 Billed-RETAIL'!$E57)</f>
        <v>768631.29</v>
      </c>
      <c r="BI57" s="28">
        <f>SUMIFS('SBR Mar20 - Aug20'!$Y$3:$Y$961,'SBR Mar20 - Aug20'!$A$3:$A$961,'Mar20-Aug20 Billed-RETAIL'!$C57,'SBR Mar20 - Aug20'!$B$3:$B$961,'Mar20-Aug20 Billed-RETAIL'!$E57)</f>
        <v>-4923.1499999999996</v>
      </c>
      <c r="BJ57" s="28">
        <f>SUMIFS('SBR Mar20 - Aug20'!$W$3:$W$961,'SBR Mar20 - Aug20'!$A$3:$A$961,'Mar20-Aug20 Billed-RETAIL'!$C57,'SBR Mar20 - Aug20'!$B$3:$B$961,'Mar20-Aug20 Billed-RETAIL'!$E57)</f>
        <v>232195.89</v>
      </c>
      <c r="BK57" s="28">
        <f>SUMIFS('SBR Mar20 - Aug20'!$X$3:$X$961,'SBR Mar20 - Aug20'!$A$3:$A$961,'Mar20-Aug20 Billed-RETAIL'!$C57,'SBR Mar20 - Aug20'!$B$3:$B$961,'Mar20-Aug20 Billed-RETAIL'!$E57)</f>
        <v>59748.639999999999</v>
      </c>
      <c r="BL57" s="28">
        <f>SUMIFS('SBR Mar20 - Aug20'!$Z$3:$Z$961,'SBR Mar20 - Aug20'!$A$3:$A$961,'Mar20-Aug20 Billed-RETAIL'!$C57,'SBR Mar20 - Aug20'!$B$3:$B$961,'Mar20-Aug20 Billed-RETAIL'!$E57)</f>
        <v>7.0000000000000007E-2</v>
      </c>
      <c r="BM57" s="42">
        <f t="shared" si="96"/>
        <v>0</v>
      </c>
      <c r="BN57" s="42">
        <f t="shared" si="97"/>
        <v>-1.0000006295740604E-4</v>
      </c>
    </row>
    <row r="58" spans="1:67" ht="15" customHeight="1" x14ac:dyDescent="0.25">
      <c r="A58" s="57"/>
      <c r="C58" s="307">
        <f t="shared" si="82"/>
        <v>43983</v>
      </c>
      <c r="D58" s="408" t="str">
        <f t="shared" si="83"/>
        <v>851</v>
      </c>
      <c r="E58" s="405" t="str">
        <f>'Retail Rates'!$B$10</f>
        <v>LGCMG851LT</v>
      </c>
      <c r="F58" s="405"/>
      <c r="G58" s="405" t="str">
        <f>VLOOKUP(E58,'Retail Rates'!$B$7:$D$40,3,FALSE)</f>
        <v>Commercial Gas Service (Lights)</v>
      </c>
      <c r="H58" s="20">
        <v>1</v>
      </c>
      <c r="I58" s="20">
        <v>0</v>
      </c>
      <c r="J58" s="20">
        <f>SUMIFS('Data-Retail'!$G$2:$G$1987,'Data-Retail'!$A$2:$A$1987,'Mar20-Aug20 Billed-RETAIL'!$C58,'Data-Retail'!$B$2:$B$1987,'Mar20-Aug20 Billed-RETAIL'!$E58)</f>
        <v>256</v>
      </c>
      <c r="K58" s="20">
        <f>SUMIFS('Data-Retail'!$H$2:$H$1987,'Data-Retail'!$A$2:$A$1987,'Mar20-Aug20 Billed-RETAIL'!$C58,'Data-Retail'!$B$2:$B$1987,'Mar20-Aug20 Billed-RETAIL'!$E58)</f>
        <v>0</v>
      </c>
      <c r="L58" s="20">
        <v>0</v>
      </c>
      <c r="M58" s="20">
        <v>0</v>
      </c>
      <c r="N58" s="20">
        <v>0</v>
      </c>
      <c r="O58" s="20">
        <v>0</v>
      </c>
      <c r="P58" s="20">
        <v>29</v>
      </c>
      <c r="Q58" s="20">
        <v>0</v>
      </c>
      <c r="R58" s="21">
        <f>VLOOKUP($E58,'Retail Rates'!$B$7:$P$40,4,FALSE)</f>
        <v>1.97</v>
      </c>
      <c r="S58" s="21">
        <f>VLOOKUP($E58,'Retail Rates'!$B$7:$P$40,5,FALSE)</f>
        <v>9.3699999999999992</v>
      </c>
      <c r="T58" s="22">
        <f>VLOOKUP($E58,'Retail Rates'!$B$7:$P$40,8,FALSE)</f>
        <v>0.30669999999999997</v>
      </c>
      <c r="U58" s="22">
        <f>VLOOKUP($E58,'Retail Rates'!$B$7:$P$40,9,FALSE)</f>
        <v>0.25669999999999998</v>
      </c>
      <c r="V58" s="22">
        <f>VLOOKUP($E58,'Retail Rates'!$B$7:$P$40,14,FALSE)</f>
        <v>0</v>
      </c>
      <c r="W58" s="22">
        <f>VLOOKUP($E58,'Retail Rates'!$B$7:$P$40,10,FALSE)</f>
        <v>3.0669999999999997</v>
      </c>
      <c r="X58" s="22">
        <f>VLOOKUP($E58,'Retail Rates'!$B$7:$P$40,11,FALSE)</f>
        <v>2.5669999999999997</v>
      </c>
      <c r="Y58" s="22">
        <f>VLOOKUP($E58,'Retail Rates'!$B$7:$P$40,15,FALSE)</f>
        <v>0</v>
      </c>
      <c r="Z58" s="22">
        <v>0</v>
      </c>
      <c r="AA58" s="411">
        <f t="shared" si="78"/>
        <v>57.13</v>
      </c>
      <c r="AB58" s="411">
        <f>+Q58*S58</f>
        <v>0</v>
      </c>
      <c r="AC58" s="411">
        <f t="shared" si="98"/>
        <v>78.515199999999993</v>
      </c>
      <c r="AD58" s="411">
        <f t="shared" si="98"/>
        <v>0</v>
      </c>
      <c r="AE58" s="411">
        <f t="shared" si="80"/>
        <v>0</v>
      </c>
      <c r="AF58" s="41">
        <v>0</v>
      </c>
      <c r="AG58" s="41">
        <v>0</v>
      </c>
      <c r="AH58" s="33">
        <v>0</v>
      </c>
      <c r="AI58" s="33">
        <v>0</v>
      </c>
      <c r="AJ58" s="41">
        <v>0</v>
      </c>
      <c r="AK58" s="41">
        <v>0</v>
      </c>
      <c r="AL58" s="33">
        <v>0</v>
      </c>
      <c r="AM58" s="33">
        <v>0</v>
      </c>
      <c r="AN58" s="41">
        <v>0</v>
      </c>
      <c r="AO58" s="33">
        <v>0</v>
      </c>
      <c r="AP58" s="411">
        <f t="shared" si="84"/>
        <v>57.13</v>
      </c>
      <c r="AQ58" s="411">
        <f t="shared" si="85"/>
        <v>0</v>
      </c>
      <c r="AR58" s="411">
        <f t="shared" si="86"/>
        <v>78.515199999999993</v>
      </c>
      <c r="AS58" s="411">
        <f t="shared" si="87"/>
        <v>0</v>
      </c>
      <c r="AT58" s="411">
        <f t="shared" si="88"/>
        <v>0</v>
      </c>
      <c r="AU58" s="411">
        <f t="shared" si="89"/>
        <v>0</v>
      </c>
      <c r="AV58" s="28">
        <f t="shared" si="90"/>
        <v>0.12</v>
      </c>
      <c r="AW58" s="28">
        <f t="shared" si="91"/>
        <v>65.05</v>
      </c>
      <c r="AX58" s="28">
        <f t="shared" si="92"/>
        <v>0</v>
      </c>
      <c r="AY58" s="28">
        <f t="shared" si="93"/>
        <v>9.27</v>
      </c>
      <c r="AZ58" s="28">
        <f t="shared" si="81"/>
        <v>4.92</v>
      </c>
      <c r="BA58" s="28">
        <f t="shared" si="56"/>
        <v>215.01</v>
      </c>
      <c r="BB58" s="28">
        <f t="shared" si="94"/>
        <v>215.01</v>
      </c>
      <c r="BC58" s="29">
        <f t="shared" si="95"/>
        <v>1</v>
      </c>
      <c r="BD58" s="28">
        <f>SUMIFS('SBR Mar20 - Aug20'!$F$3:$F$961,'SBR Mar20 - Aug20'!$A$3:$A$961,'Mar20-Aug20 Billed-RETAIL'!$C58,'SBR Mar20 - Aug20'!$B$3:$B$961,'Mar20-Aug20 Billed-RETAIL'!$E58)</f>
        <v>57.13</v>
      </c>
      <c r="BE58" s="28">
        <f>SUMIFS('SBR Mar20 - Aug20'!$H$3:$H$961,'SBR Mar20 - Aug20'!$A$3:$A$961,'Mar20-Aug20 Billed-RETAIL'!$C58,'SBR Mar20 - Aug20'!$B$3:$B$961,'Mar20-Aug20 Billed-RETAIL'!$E58)</f>
        <v>78.52</v>
      </c>
      <c r="BF58" s="28">
        <f>SUMIFS('SBR Mar20 - Aug20'!$G$3:$G$961,'SBR Mar20 - Aug20'!$A$3:$A$961,'Mar20-Aug20 Billed-RETAIL'!$C58,'SBR Mar20 - Aug20'!$B$3:$B$961,'Mar20-Aug20 Billed-RETAIL'!$E58)</f>
        <v>0</v>
      </c>
      <c r="BG58" s="28">
        <f>SUMIFS('SBR Mar20 - Aug20'!$M$3:$M$961,'SBR Mar20 - Aug20'!$A$3:$A$961,'Mar20-Aug20 Billed-RETAIL'!$C58,'SBR Mar20 - Aug20'!$B$3:$B$961,'Mar20-Aug20 Billed-RETAIL'!$E58)</f>
        <v>0.12</v>
      </c>
      <c r="BH58" s="28">
        <f>SUMIFS('SBR Mar20 - Aug20'!$N$3:$N$961,'SBR Mar20 - Aug20'!$A$3:$A$961,'Mar20-Aug20 Billed-RETAIL'!$C58,'SBR Mar20 - Aug20'!$B$3:$B$961,'Mar20-Aug20 Billed-RETAIL'!$E58)</f>
        <v>65.05</v>
      </c>
      <c r="BI58" s="28">
        <f>SUMIFS('SBR Mar20 - Aug20'!$Y$3:$Y$961,'SBR Mar20 - Aug20'!$A$3:$A$961,'Mar20-Aug20 Billed-RETAIL'!$C58,'SBR Mar20 - Aug20'!$B$3:$B$961,'Mar20-Aug20 Billed-RETAIL'!$E58)</f>
        <v>0</v>
      </c>
      <c r="BJ58" s="28">
        <f>SUMIFS('SBR Mar20 - Aug20'!$W$3:$W$961,'SBR Mar20 - Aug20'!$A$3:$A$961,'Mar20-Aug20 Billed-RETAIL'!$C58,'SBR Mar20 - Aug20'!$B$3:$B$961,'Mar20-Aug20 Billed-RETAIL'!$E58)</f>
        <v>9.27</v>
      </c>
      <c r="BK58" s="28">
        <f>SUMIFS('SBR Mar20 - Aug20'!$X$3:$X$961,'SBR Mar20 - Aug20'!$A$3:$A$961,'Mar20-Aug20 Billed-RETAIL'!$C58,'SBR Mar20 - Aug20'!$B$3:$B$961,'Mar20-Aug20 Billed-RETAIL'!$E58)</f>
        <v>4.92</v>
      </c>
      <c r="BL58" s="28">
        <f>SUMIFS('SBR Mar20 - Aug20'!$Z$3:$Z$961,'SBR Mar20 - Aug20'!$A$3:$A$961,'Mar20-Aug20 Billed-RETAIL'!$C58,'SBR Mar20 - Aug20'!$B$3:$B$961,'Mar20-Aug20 Billed-RETAIL'!$E58)</f>
        <v>0</v>
      </c>
      <c r="BM58" s="42">
        <f t="shared" si="96"/>
        <v>0</v>
      </c>
      <c r="BN58" s="42">
        <f t="shared" si="97"/>
        <v>-4.8000000000030241E-3</v>
      </c>
    </row>
    <row r="59" spans="1:67" ht="15" customHeight="1" x14ac:dyDescent="0.25">
      <c r="A59" s="57"/>
      <c r="C59" s="307">
        <f t="shared" si="82"/>
        <v>43983</v>
      </c>
      <c r="D59" s="408" t="str">
        <f t="shared" si="83"/>
        <v>855</v>
      </c>
      <c r="E59" s="405" t="str">
        <f>'Retail Rates'!$B$11</f>
        <v>LGING855</v>
      </c>
      <c r="F59" s="405"/>
      <c r="G59" s="405" t="str">
        <f>VLOOKUP(E59,'Retail Rates'!$B$7:$D$40,3,FALSE)</f>
        <v>Firm Industrial Gas Service-DSM Opt-Out</v>
      </c>
      <c r="H59" s="20">
        <v>42</v>
      </c>
      <c r="I59" s="20">
        <v>50</v>
      </c>
      <c r="J59" s="20">
        <f>SUMIFS('Data-Retail'!$G$2:$G$1987,'Data-Retail'!$A$2:$A$1987,'Mar20-Aug20 Billed-RETAIL'!$C59,'Data-Retail'!$B$2:$B$1987,'Mar20-Aug20 Billed-RETAIL'!$E59)</f>
        <v>46263</v>
      </c>
      <c r="K59" s="20">
        <f>SUMIFS('Data-Retail'!$H$2:$H$1987,'Data-Retail'!$A$2:$A$1987,'Mar20-Aug20 Billed-RETAIL'!$C59,'Data-Retail'!$B$2:$B$1987,'Mar20-Aug20 Billed-RETAIL'!$E59)</f>
        <v>285273</v>
      </c>
      <c r="L59" s="20">
        <v>0</v>
      </c>
      <c r="M59" s="20">
        <v>0</v>
      </c>
      <c r="N59" s="20">
        <v>0</v>
      </c>
      <c r="O59" s="20">
        <v>0</v>
      </c>
      <c r="P59" s="20">
        <v>1271</v>
      </c>
      <c r="Q59" s="20">
        <v>1529.9999999999998</v>
      </c>
      <c r="R59" s="21">
        <f>VLOOKUP($E59,'Retail Rates'!$B$7:$P$40,4,FALSE)</f>
        <v>5.42</v>
      </c>
      <c r="S59" s="21">
        <f>VLOOKUP($E59,'Retail Rates'!$B$7:$P$40,5,FALSE)</f>
        <v>24.64</v>
      </c>
      <c r="T59" s="22">
        <f>VLOOKUP($E59,'Retail Rates'!$B$7:$P$40,8,FALSE)</f>
        <v>0.21929000000000001</v>
      </c>
      <c r="U59" s="22">
        <f>VLOOKUP($E59,'Retail Rates'!$B$7:$P$40,9,FALSE)</f>
        <v>0.16929</v>
      </c>
      <c r="V59" s="22">
        <f>VLOOKUP($E59,'Retail Rates'!$B$7:$P$40,14,FALSE)</f>
        <v>0</v>
      </c>
      <c r="W59" s="22">
        <f>VLOOKUP($E59,'Retail Rates'!$B$7:$P$40,10,FALSE)</f>
        <v>2.1929000000000003</v>
      </c>
      <c r="X59" s="22">
        <f>VLOOKUP($E59,'Retail Rates'!$B$7:$P$40,11,FALSE)</f>
        <v>1.6928999999999998</v>
      </c>
      <c r="Y59" s="22">
        <f>VLOOKUP($E59,'Retail Rates'!$B$7:$P$40,15,FALSE)</f>
        <v>0</v>
      </c>
      <c r="Z59" s="22">
        <v>0</v>
      </c>
      <c r="AA59" s="411">
        <f t="shared" si="78"/>
        <v>6888.82</v>
      </c>
      <c r="AB59" s="411">
        <f>+Q59*S59</f>
        <v>37699.199999999997</v>
      </c>
      <c r="AC59" s="411">
        <f t="shared" si="98"/>
        <v>10145.013270000001</v>
      </c>
      <c r="AD59" s="411">
        <f t="shared" si="98"/>
        <v>48293.866170000001</v>
      </c>
      <c r="AE59" s="411">
        <f t="shared" si="80"/>
        <v>0</v>
      </c>
      <c r="AF59" s="41">
        <v>0</v>
      </c>
      <c r="AG59" s="41">
        <v>0</v>
      </c>
      <c r="AH59" s="33">
        <v>0</v>
      </c>
      <c r="AI59" s="33">
        <v>0</v>
      </c>
      <c r="AJ59" s="41">
        <v>0</v>
      </c>
      <c r="AK59" s="41">
        <v>0</v>
      </c>
      <c r="AL59" s="33">
        <v>0</v>
      </c>
      <c r="AM59" s="33">
        <v>0</v>
      </c>
      <c r="AN59" s="41">
        <v>0</v>
      </c>
      <c r="AO59" s="33">
        <v>0</v>
      </c>
      <c r="AP59" s="411">
        <f t="shared" si="84"/>
        <v>6888.82</v>
      </c>
      <c r="AQ59" s="411">
        <f t="shared" si="85"/>
        <v>37699.199999999997</v>
      </c>
      <c r="AR59" s="411">
        <f t="shared" si="86"/>
        <v>10145.013270000001</v>
      </c>
      <c r="AS59" s="411">
        <f t="shared" si="87"/>
        <v>48293.866170000001</v>
      </c>
      <c r="AT59" s="411">
        <f t="shared" si="88"/>
        <v>0</v>
      </c>
      <c r="AU59" s="411">
        <f t="shared" si="89"/>
        <v>0</v>
      </c>
      <c r="AV59" s="28">
        <f t="shared" si="90"/>
        <v>0</v>
      </c>
      <c r="AW59" s="28">
        <f t="shared" si="91"/>
        <v>84490.96</v>
      </c>
      <c r="AX59" s="28">
        <f t="shared" si="92"/>
        <v>0</v>
      </c>
      <c r="AY59" s="28">
        <f t="shared" si="93"/>
        <v>10149.11</v>
      </c>
      <c r="AZ59" s="28">
        <f t="shared" si="81"/>
        <v>3856.96</v>
      </c>
      <c r="BA59" s="28">
        <f t="shared" si="56"/>
        <v>201523.93</v>
      </c>
      <c r="BB59" s="28">
        <f t="shared" si="94"/>
        <v>201523.91</v>
      </c>
      <c r="BC59" s="29">
        <f t="shared" si="95"/>
        <v>1</v>
      </c>
      <c r="BD59" s="28">
        <f>SUMIFS('SBR Mar20 - Aug20'!$F$3:$F$961,'SBR Mar20 - Aug20'!$A$3:$A$961,'Mar20-Aug20 Billed-RETAIL'!$C59,'SBR Mar20 - Aug20'!$B$3:$B$961,'Mar20-Aug20 Billed-RETAIL'!$E59)</f>
        <v>44588.02</v>
      </c>
      <c r="BE59" s="28">
        <f>SUMIFS('SBR Mar20 - Aug20'!$H$3:$H$961,'SBR Mar20 - Aug20'!$A$3:$A$961,'Mar20-Aug20 Billed-RETAIL'!$C59,'SBR Mar20 - Aug20'!$B$3:$B$961,'Mar20-Aug20 Billed-RETAIL'!$E59)</f>
        <v>58438.86</v>
      </c>
      <c r="BF59" s="28">
        <f>SUMIFS('SBR Mar20 - Aug20'!$G$3:$G$961,'SBR Mar20 - Aug20'!$A$3:$A$961,'Mar20-Aug20 Billed-RETAIL'!$C59,'SBR Mar20 - Aug20'!$B$3:$B$961,'Mar20-Aug20 Billed-RETAIL'!$E59)</f>
        <v>0</v>
      </c>
      <c r="BG59" s="28">
        <f>SUMIFS('SBR Mar20 - Aug20'!$M$3:$M$961,'SBR Mar20 - Aug20'!$A$3:$A$961,'Mar20-Aug20 Billed-RETAIL'!$C59,'SBR Mar20 - Aug20'!$B$3:$B$961,'Mar20-Aug20 Billed-RETAIL'!$E59)</f>
        <v>0</v>
      </c>
      <c r="BH59" s="28">
        <f>SUMIFS('SBR Mar20 - Aug20'!$N$3:$N$961,'SBR Mar20 - Aug20'!$A$3:$A$961,'Mar20-Aug20 Billed-RETAIL'!$C59,'SBR Mar20 - Aug20'!$B$3:$B$961,'Mar20-Aug20 Billed-RETAIL'!$E59)</f>
        <v>84490.96</v>
      </c>
      <c r="BI59" s="28">
        <f>SUMIFS('SBR Mar20 - Aug20'!$Y$3:$Y$961,'SBR Mar20 - Aug20'!$A$3:$A$961,'Mar20-Aug20 Billed-RETAIL'!$C59,'SBR Mar20 - Aug20'!$B$3:$B$961,'Mar20-Aug20 Billed-RETAIL'!$E59)</f>
        <v>0</v>
      </c>
      <c r="BJ59" s="28">
        <f>SUMIFS('SBR Mar20 - Aug20'!$W$3:$W$961,'SBR Mar20 - Aug20'!$A$3:$A$961,'Mar20-Aug20 Billed-RETAIL'!$C59,'SBR Mar20 - Aug20'!$B$3:$B$961,'Mar20-Aug20 Billed-RETAIL'!$E59)</f>
        <v>10149.11</v>
      </c>
      <c r="BK59" s="28">
        <f>SUMIFS('SBR Mar20 - Aug20'!$X$3:$X$961,'SBR Mar20 - Aug20'!$A$3:$A$961,'Mar20-Aug20 Billed-RETAIL'!$C59,'SBR Mar20 - Aug20'!$B$3:$B$961,'Mar20-Aug20 Billed-RETAIL'!$E59)</f>
        <v>3856.96</v>
      </c>
      <c r="BL59" s="28">
        <f>SUMIFS('SBR Mar20 - Aug20'!$Z$3:$Z$961,'SBR Mar20 - Aug20'!$A$3:$A$961,'Mar20-Aug20 Billed-RETAIL'!$C59,'SBR Mar20 - Aug20'!$B$3:$B$961,'Mar20-Aug20 Billed-RETAIL'!$E59)</f>
        <v>0</v>
      </c>
      <c r="BM59" s="42">
        <f t="shared" si="96"/>
        <v>0</v>
      </c>
      <c r="BN59" s="42">
        <f t="shared" si="97"/>
        <v>1.9440000003669411E-2</v>
      </c>
    </row>
    <row r="60" spans="1:67" ht="15" customHeight="1" x14ac:dyDescent="0.25">
      <c r="A60" s="57"/>
      <c r="C60" s="307">
        <f t="shared" si="82"/>
        <v>43983</v>
      </c>
      <c r="D60" s="408" t="str">
        <f t="shared" si="83"/>
        <v>855</v>
      </c>
      <c r="E60" s="405" t="str">
        <f>'Retail Rates'!$B$12</f>
        <v>LGING855DS</v>
      </c>
      <c r="F60" s="405"/>
      <c r="G60" s="405" t="str">
        <f>VLOOKUP(E60,'Retail Rates'!$B$7:$D$40,3,FALSE)</f>
        <v>Firm Industrial Gas Service-DSM Opt-In</v>
      </c>
      <c r="H60" s="20">
        <v>76</v>
      </c>
      <c r="I60" s="20">
        <v>61</v>
      </c>
      <c r="J60" s="20">
        <f>SUMIFS('Data-Retail'!$G$2:$G$1987,'Data-Retail'!$A$2:$A$1987,'Mar20-Aug20 Billed-RETAIL'!$C60,'Data-Retail'!$B$2:$B$1987,'Mar20-Aug20 Billed-RETAIL'!$E60)</f>
        <v>54092</v>
      </c>
      <c r="K60" s="20">
        <f>SUMIFS('Data-Retail'!$H$2:$H$1987,'Data-Retail'!$A$2:$A$1987,'Mar20-Aug20 Billed-RETAIL'!$C60,'Data-Retail'!$B$2:$B$1987,'Mar20-Aug20 Billed-RETAIL'!$E60)</f>
        <v>371714</v>
      </c>
      <c r="L60" s="20">
        <v>0</v>
      </c>
      <c r="M60" s="20">
        <v>0</v>
      </c>
      <c r="N60" s="20">
        <v>0</v>
      </c>
      <c r="O60" s="20">
        <v>0</v>
      </c>
      <c r="P60" s="20">
        <v>2251</v>
      </c>
      <c r="Q60" s="20">
        <v>1867.9999999999998</v>
      </c>
      <c r="R60" s="21">
        <f>VLOOKUP($E60,'Retail Rates'!$B$7:$P$40,4,FALSE)</f>
        <v>5.42</v>
      </c>
      <c r="S60" s="21">
        <f>VLOOKUP($E60,'Retail Rates'!$B$7:$P$40,5,FALSE)</f>
        <v>24.64</v>
      </c>
      <c r="T60" s="22">
        <f>VLOOKUP($E60,'Retail Rates'!$B$7:$P$40,8,FALSE)</f>
        <v>0.21929000000000001</v>
      </c>
      <c r="U60" s="22">
        <f>VLOOKUP($E60,'Retail Rates'!$B$7:$P$40,9,FALSE)</f>
        <v>0.16929</v>
      </c>
      <c r="V60" s="22">
        <f>VLOOKUP($E60,'Retail Rates'!$B$7:$P$40,14,FALSE)</f>
        <v>0</v>
      </c>
      <c r="W60" s="22">
        <f>VLOOKUP($E60,'Retail Rates'!$B$7:$P$40,10,FALSE)</f>
        <v>2.1929000000000003</v>
      </c>
      <c r="X60" s="22">
        <f>VLOOKUP($E60,'Retail Rates'!$B$7:$P$40,11,FALSE)</f>
        <v>1.6928999999999998</v>
      </c>
      <c r="Y60" s="22">
        <f>VLOOKUP($E60,'Retail Rates'!$B$7:$P$40,15,FALSE)</f>
        <v>0</v>
      </c>
      <c r="Z60" s="22">
        <v>0</v>
      </c>
      <c r="AA60" s="411">
        <f t="shared" si="78"/>
        <v>12200.42</v>
      </c>
      <c r="AB60" s="411">
        <f>+Q60*S60</f>
        <v>46027.519999999997</v>
      </c>
      <c r="AC60" s="411">
        <f t="shared" si="98"/>
        <v>11861.83468</v>
      </c>
      <c r="AD60" s="411">
        <f t="shared" si="98"/>
        <v>62927.463060000002</v>
      </c>
      <c r="AE60" s="411">
        <f t="shared" si="80"/>
        <v>0</v>
      </c>
      <c r="AF60" s="41">
        <v>0</v>
      </c>
      <c r="AG60" s="41">
        <v>0</v>
      </c>
      <c r="AH60" s="33">
        <v>0</v>
      </c>
      <c r="AI60" s="33">
        <v>0</v>
      </c>
      <c r="AJ60" s="41">
        <v>0</v>
      </c>
      <c r="AK60" s="41">
        <v>0</v>
      </c>
      <c r="AL60" s="33">
        <v>0</v>
      </c>
      <c r="AM60" s="33">
        <v>0</v>
      </c>
      <c r="AN60" s="41">
        <v>0</v>
      </c>
      <c r="AO60" s="33">
        <v>0</v>
      </c>
      <c r="AP60" s="411">
        <f t="shared" si="84"/>
        <v>12200.42</v>
      </c>
      <c r="AQ60" s="411">
        <f t="shared" si="85"/>
        <v>46027.519999999997</v>
      </c>
      <c r="AR60" s="411">
        <f t="shared" si="86"/>
        <v>11861.83468</v>
      </c>
      <c r="AS60" s="411">
        <f t="shared" si="87"/>
        <v>62927.463060000002</v>
      </c>
      <c r="AT60" s="411">
        <f t="shared" si="88"/>
        <v>0</v>
      </c>
      <c r="AU60" s="411">
        <f t="shared" si="89"/>
        <v>0</v>
      </c>
      <c r="AV60" s="28">
        <f t="shared" si="90"/>
        <v>204.32</v>
      </c>
      <c r="AW60" s="28">
        <f t="shared" si="91"/>
        <v>108235.31</v>
      </c>
      <c r="AX60" s="28">
        <f t="shared" si="92"/>
        <v>0</v>
      </c>
      <c r="AY60" s="28">
        <f t="shared" si="93"/>
        <v>14845.41</v>
      </c>
      <c r="AZ60" s="28">
        <f t="shared" si="81"/>
        <v>4978.58</v>
      </c>
      <c r="BA60" s="28">
        <f t="shared" si="56"/>
        <v>261280.86</v>
      </c>
      <c r="BB60" s="28">
        <f t="shared" si="94"/>
        <v>261280.9</v>
      </c>
      <c r="BC60" s="29">
        <f t="shared" si="95"/>
        <v>1</v>
      </c>
      <c r="BD60" s="28">
        <f>SUMIFS('SBR Mar20 - Aug20'!$F$3:$F$961,'SBR Mar20 - Aug20'!$A$3:$A$961,'Mar20-Aug20 Billed-RETAIL'!$C60,'SBR Mar20 - Aug20'!$B$3:$B$961,'Mar20-Aug20 Billed-RETAIL'!$E60)</f>
        <v>58227.94</v>
      </c>
      <c r="BE60" s="28">
        <f>SUMIFS('SBR Mar20 - Aug20'!$H$3:$H$961,'SBR Mar20 - Aug20'!$A$3:$A$961,'Mar20-Aug20 Billed-RETAIL'!$C60,'SBR Mar20 - Aug20'!$B$3:$B$961,'Mar20-Aug20 Billed-RETAIL'!$E60)</f>
        <v>74789.34</v>
      </c>
      <c r="BF60" s="28">
        <f>SUMIFS('SBR Mar20 - Aug20'!$G$3:$G$961,'SBR Mar20 - Aug20'!$A$3:$A$961,'Mar20-Aug20 Billed-RETAIL'!$C60,'SBR Mar20 - Aug20'!$B$3:$B$961,'Mar20-Aug20 Billed-RETAIL'!$E60)</f>
        <v>0</v>
      </c>
      <c r="BG60" s="28">
        <f>SUMIFS('SBR Mar20 - Aug20'!$M$3:$M$961,'SBR Mar20 - Aug20'!$A$3:$A$961,'Mar20-Aug20 Billed-RETAIL'!$C60,'SBR Mar20 - Aug20'!$B$3:$B$961,'Mar20-Aug20 Billed-RETAIL'!$E60)</f>
        <v>204.32</v>
      </c>
      <c r="BH60" s="28">
        <f>SUMIFS('SBR Mar20 - Aug20'!$N$3:$N$961,'SBR Mar20 - Aug20'!$A$3:$A$961,'Mar20-Aug20 Billed-RETAIL'!$C60,'SBR Mar20 - Aug20'!$B$3:$B$961,'Mar20-Aug20 Billed-RETAIL'!$E60)</f>
        <v>108235.31</v>
      </c>
      <c r="BI60" s="28">
        <f>SUMIFS('SBR Mar20 - Aug20'!$Y$3:$Y$961,'SBR Mar20 - Aug20'!$A$3:$A$961,'Mar20-Aug20 Billed-RETAIL'!$C60,'SBR Mar20 - Aug20'!$B$3:$B$961,'Mar20-Aug20 Billed-RETAIL'!$E60)</f>
        <v>0</v>
      </c>
      <c r="BJ60" s="28">
        <f>SUMIFS('SBR Mar20 - Aug20'!$W$3:$W$961,'SBR Mar20 - Aug20'!$A$3:$A$961,'Mar20-Aug20 Billed-RETAIL'!$C60,'SBR Mar20 - Aug20'!$B$3:$B$961,'Mar20-Aug20 Billed-RETAIL'!$E60)</f>
        <v>14845.41</v>
      </c>
      <c r="BK60" s="28">
        <f>SUMIFS('SBR Mar20 - Aug20'!$X$3:$X$961,'SBR Mar20 - Aug20'!$A$3:$A$961,'Mar20-Aug20 Billed-RETAIL'!$C60,'SBR Mar20 - Aug20'!$B$3:$B$961,'Mar20-Aug20 Billed-RETAIL'!$E60)</f>
        <v>4978.58</v>
      </c>
      <c r="BL60" s="28">
        <f>SUMIFS('SBR Mar20 - Aug20'!$Z$3:$Z$961,'SBR Mar20 - Aug20'!$A$3:$A$961,'Mar20-Aug20 Billed-RETAIL'!$C60,'SBR Mar20 - Aug20'!$B$3:$B$961,'Mar20-Aug20 Billed-RETAIL'!$E60)</f>
        <v>0</v>
      </c>
      <c r="BM60" s="42">
        <f t="shared" si="96"/>
        <v>0</v>
      </c>
      <c r="BN60" s="42">
        <f t="shared" si="97"/>
        <v>-4.2259999987436458E-2</v>
      </c>
    </row>
    <row r="61" spans="1:67" ht="15" customHeight="1" x14ac:dyDescent="0.25">
      <c r="A61" s="57"/>
      <c r="C61" s="307">
        <f t="shared" si="82"/>
        <v>43983</v>
      </c>
      <c r="D61" s="408" t="str">
        <f t="shared" si="83"/>
        <v>863</v>
      </c>
      <c r="E61" s="405" t="str">
        <f>'Retail Rates'!$B$13</f>
        <v>LGCMG863</v>
      </c>
      <c r="F61" s="405"/>
      <c r="G61" s="405" t="str">
        <f>VLOOKUP(E61,'Retail Rates'!$B$7:$D$40,3,FALSE)</f>
        <v>Unmetered Insight Gas Generators</v>
      </c>
      <c r="H61" s="20">
        <v>609</v>
      </c>
      <c r="I61" s="20">
        <v>0</v>
      </c>
      <c r="J61" s="20">
        <f>SUMIFS('Data-Retail'!$G$2:$G$1987,'Data-Retail'!$A$2:$A$1987,'Mar20-Aug20 Billed-RETAIL'!$C61,'Data-Retail'!$B$2:$B$1987,'Mar20-Aug20 Billed-RETAIL'!$E61)</f>
        <v>601</v>
      </c>
      <c r="K61" s="20">
        <f>SUMIFS('Data-Retail'!$H$2:$H$1987,'Data-Retail'!$A$2:$A$1987,'Mar20-Aug20 Billed-RETAIL'!$C61,'Data-Retail'!$B$2:$B$1987,'Mar20-Aug20 Billed-RETAIL'!$E61)</f>
        <v>0</v>
      </c>
      <c r="L61" s="20">
        <v>0</v>
      </c>
      <c r="M61" s="20">
        <v>0</v>
      </c>
      <c r="N61" s="20">
        <v>0</v>
      </c>
      <c r="O61" s="20">
        <v>0</v>
      </c>
      <c r="P61" s="20">
        <v>18681</v>
      </c>
      <c r="Q61" s="20">
        <v>0</v>
      </c>
      <c r="R61" s="21">
        <f>VLOOKUP($E61,'Retail Rates'!$B$7:$P$40,4,FALSE)</f>
        <v>1.97</v>
      </c>
      <c r="S61" s="21">
        <f>VLOOKUP($E61,'Retail Rates'!$B$7:$P$40,5,FALSE)</f>
        <v>9.3699999999999992</v>
      </c>
      <c r="T61" s="22">
        <f>VLOOKUP($E61,'Retail Rates'!$B$7:$P$40,8,FALSE)</f>
        <v>0.30669999999999997</v>
      </c>
      <c r="U61" s="22">
        <f>VLOOKUP($E61,'Retail Rates'!$B$7:$P$40,9,FALSE)</f>
        <v>0.25669999999999998</v>
      </c>
      <c r="V61" s="22">
        <f>VLOOKUP($E61,'Retail Rates'!$B$7:$P$40,14,FALSE)</f>
        <v>0</v>
      </c>
      <c r="W61" s="22">
        <f>VLOOKUP($E61,'Retail Rates'!$B$7:$P$40,10,FALSE)</f>
        <v>3.0669999999999997</v>
      </c>
      <c r="X61" s="22">
        <f>VLOOKUP($E61,'Retail Rates'!$B$7:$P$40,11,FALSE)</f>
        <v>2.5669999999999997</v>
      </c>
      <c r="Y61" s="22">
        <f>VLOOKUP($E61,'Retail Rates'!$B$7:$P$40,15,FALSE)</f>
        <v>0</v>
      </c>
      <c r="Z61" s="22">
        <v>0</v>
      </c>
      <c r="AA61" s="411">
        <f t="shared" si="78"/>
        <v>36801.57</v>
      </c>
      <c r="AB61" s="411">
        <f t="shared" ref="AB61:AB69" si="99">+I61*S61</f>
        <v>0</v>
      </c>
      <c r="AC61" s="411">
        <f>ROUND(T61,2)*J61</f>
        <v>186.31</v>
      </c>
      <c r="AD61" s="411">
        <f t="shared" ref="AD61:AD69" si="100">+K61*U61</f>
        <v>0</v>
      </c>
      <c r="AE61" s="411">
        <f t="shared" si="80"/>
        <v>0</v>
      </c>
      <c r="AF61" s="41">
        <v>0</v>
      </c>
      <c r="AG61" s="41">
        <v>0</v>
      </c>
      <c r="AH61" s="33">
        <v>0</v>
      </c>
      <c r="AI61" s="33">
        <v>0</v>
      </c>
      <c r="AJ61" s="41">
        <v>0</v>
      </c>
      <c r="AK61" s="41">
        <v>0</v>
      </c>
      <c r="AL61" s="33">
        <v>0</v>
      </c>
      <c r="AM61" s="33">
        <v>0</v>
      </c>
      <c r="AN61" s="41">
        <v>0</v>
      </c>
      <c r="AO61" s="33">
        <v>0</v>
      </c>
      <c r="AP61" s="411">
        <f t="shared" si="84"/>
        <v>36801.57</v>
      </c>
      <c r="AQ61" s="411">
        <f t="shared" si="85"/>
        <v>0</v>
      </c>
      <c r="AR61" s="411">
        <f t="shared" si="86"/>
        <v>186.31</v>
      </c>
      <c r="AS61" s="411">
        <f t="shared" si="87"/>
        <v>0</v>
      </c>
      <c r="AT61" s="411">
        <f t="shared" si="88"/>
        <v>0</v>
      </c>
      <c r="AU61" s="411">
        <f t="shared" si="89"/>
        <v>0</v>
      </c>
      <c r="AV61" s="28">
        <f t="shared" si="90"/>
        <v>0</v>
      </c>
      <c r="AW61" s="28">
        <f t="shared" si="91"/>
        <v>150.25</v>
      </c>
      <c r="AX61" s="28">
        <f t="shared" si="92"/>
        <v>0</v>
      </c>
      <c r="AY61" s="28">
        <f t="shared" si="93"/>
        <v>5636.16</v>
      </c>
      <c r="AZ61" s="28">
        <f t="shared" si="81"/>
        <v>12.02</v>
      </c>
      <c r="BA61" s="28">
        <f t="shared" si="56"/>
        <v>42786.31</v>
      </c>
      <c r="BB61" s="28">
        <f t="shared" si="94"/>
        <v>42786.30999999999</v>
      </c>
      <c r="BC61" s="29">
        <f t="shared" si="95"/>
        <v>1</v>
      </c>
      <c r="BD61" s="28">
        <f>SUMIFS('SBR Mar20 - Aug20'!$F$3:$F$961,'SBR Mar20 - Aug20'!$A$3:$A$961,'Mar20-Aug20 Billed-RETAIL'!$C61,'SBR Mar20 - Aug20'!$B$3:$B$961,'Mar20-Aug20 Billed-RETAIL'!$E61)</f>
        <v>36801.57</v>
      </c>
      <c r="BE61" s="28">
        <f>SUMIFS('SBR Mar20 - Aug20'!$H$3:$H$961,'SBR Mar20 - Aug20'!$A$3:$A$961,'Mar20-Aug20 Billed-RETAIL'!$C61,'SBR Mar20 - Aug20'!$B$3:$B$961,'Mar20-Aug20 Billed-RETAIL'!$E61)</f>
        <v>186.31</v>
      </c>
      <c r="BF61" s="28">
        <f>SUMIFS('SBR Mar20 - Aug20'!$G$3:$G$961,'SBR Mar20 - Aug20'!$A$3:$A$961,'Mar20-Aug20 Billed-RETAIL'!$C61,'SBR Mar20 - Aug20'!$B$3:$B$961,'Mar20-Aug20 Billed-RETAIL'!$E61)</f>
        <v>0</v>
      </c>
      <c r="BG61" s="28">
        <f>SUMIFS('SBR Mar20 - Aug20'!$M$3:$M$961,'SBR Mar20 - Aug20'!$A$3:$A$961,'Mar20-Aug20 Billed-RETAIL'!$C61,'SBR Mar20 - Aug20'!$B$3:$B$961,'Mar20-Aug20 Billed-RETAIL'!$E61)</f>
        <v>0</v>
      </c>
      <c r="BH61" s="28">
        <f>SUMIFS('SBR Mar20 - Aug20'!$N$3:$N$961,'SBR Mar20 - Aug20'!$A$3:$A$961,'Mar20-Aug20 Billed-RETAIL'!$C61,'SBR Mar20 - Aug20'!$B$3:$B$961,'Mar20-Aug20 Billed-RETAIL'!$E61)</f>
        <v>150.25</v>
      </c>
      <c r="BI61" s="28">
        <f>SUMIFS('SBR Mar20 - Aug20'!$Y$3:$Y$961,'SBR Mar20 - Aug20'!$A$3:$A$961,'Mar20-Aug20 Billed-RETAIL'!$C61,'SBR Mar20 - Aug20'!$B$3:$B$961,'Mar20-Aug20 Billed-RETAIL'!$E61)</f>
        <v>0</v>
      </c>
      <c r="BJ61" s="28">
        <f>SUMIFS('SBR Mar20 - Aug20'!$W$3:$W$961,'SBR Mar20 - Aug20'!$A$3:$A$961,'Mar20-Aug20 Billed-RETAIL'!$C61,'SBR Mar20 - Aug20'!$B$3:$B$961,'Mar20-Aug20 Billed-RETAIL'!$E61)</f>
        <v>5636.16</v>
      </c>
      <c r="BK61" s="28">
        <f>SUMIFS('SBR Mar20 - Aug20'!$X$3:$X$961,'SBR Mar20 - Aug20'!$A$3:$A$961,'Mar20-Aug20 Billed-RETAIL'!$C61,'SBR Mar20 - Aug20'!$B$3:$B$961,'Mar20-Aug20 Billed-RETAIL'!$E61)</f>
        <v>12.02</v>
      </c>
      <c r="BL61" s="28">
        <f>SUMIFS('SBR Mar20 - Aug20'!$Z$3:$Z$961,'SBR Mar20 - Aug20'!$A$3:$A$961,'Mar20-Aug20 Billed-RETAIL'!$C61,'SBR Mar20 - Aug20'!$B$3:$B$961,'Mar20-Aug20 Billed-RETAIL'!$E61)</f>
        <v>0</v>
      </c>
      <c r="BM61" s="42">
        <f t="shared" si="96"/>
        <v>0</v>
      </c>
      <c r="BN61" s="42">
        <f t="shared" si="97"/>
        <v>0</v>
      </c>
    </row>
    <row r="62" spans="1:67" x14ac:dyDescent="0.25">
      <c r="A62" s="57"/>
      <c r="C62" s="307">
        <f t="shared" ref="C62:C68" si="101">$C$55</f>
        <v>43983</v>
      </c>
      <c r="D62" s="408" t="str">
        <f t="shared" si="83"/>
        <v>865</v>
      </c>
      <c r="E62" s="405" t="str">
        <f>'Retail Rates'!$B$14</f>
        <v>LGCMG865</v>
      </c>
      <c r="F62" s="405"/>
      <c r="G62" s="405" t="str">
        <f>VLOOKUP(E62,'Retail Rates'!$B$7:$D$40,3,FALSE)</f>
        <v>As-Available Gas Service, Commercial</v>
      </c>
      <c r="H62" s="20">
        <f>SUMIFS('Data-Retail'!$F$2:$F$1987,'Data-Retail'!$A$2:$A$1987,'Mar20-Aug20 Billed-RETAIL'!$C62,'Data-Retail'!$B$2:$B$1987,'Mar20-Aug20 Billed-RETAIL'!$E62)</f>
        <v>2</v>
      </c>
      <c r="I62" s="20">
        <v>0</v>
      </c>
      <c r="J62" s="20">
        <v>0</v>
      </c>
      <c r="K62" s="20">
        <f>SUMIFS('Data-Retail'!$H$2:$H$1987,'Data-Retail'!$A$2:$A$1987,'Mar20-Aug20 Billed-RETAIL'!$C62,'Data-Retail'!$B$2:$B$1987,'Mar20-Aug20 Billed-RETAIL'!$E62)</f>
        <v>0</v>
      </c>
      <c r="L62" s="20">
        <v>0</v>
      </c>
      <c r="M62" s="20">
        <f>SUMIFS('Data-Retail'!$G$2:$G$1987,'Data-Retail'!$A$2:$A$1987,'Mar20-Aug20 Billed-RETAIL'!$C62,'Data-Retail'!$B$2:$B$1987,'Mar20-Aug20 Billed-RETAIL'!$E62)/10</f>
        <v>4901.2</v>
      </c>
      <c r="N62" s="20">
        <v>0</v>
      </c>
      <c r="O62" s="20">
        <v>0</v>
      </c>
      <c r="P62" s="20">
        <v>0</v>
      </c>
      <c r="Q62" s="20">
        <v>0</v>
      </c>
      <c r="R62" s="21">
        <f>VLOOKUP($E62,'Retail Rates'!$B$7:$P$40,4,FALSE)</f>
        <v>500</v>
      </c>
      <c r="S62" s="21">
        <f>VLOOKUP($E62,'Retail Rates'!$B$7:$P$40,5,FALSE)</f>
        <v>0</v>
      </c>
      <c r="T62" s="22">
        <f>VLOOKUP($E62,'Retail Rates'!$B$7:$P$40,8,FALSE)</f>
        <v>0.10644000000000001</v>
      </c>
      <c r="U62" s="22">
        <f>VLOOKUP($E62,'Retail Rates'!$B$7:$P$40,9,FALSE)</f>
        <v>0</v>
      </c>
      <c r="V62" s="22">
        <f>VLOOKUP($E62,'Retail Rates'!$B$7:$P$40,14,FALSE)</f>
        <v>0</v>
      </c>
      <c r="W62" s="22">
        <f>VLOOKUP($E62,'Retail Rates'!$B$7:$P$40,10,FALSE)</f>
        <v>1.0644</v>
      </c>
      <c r="X62" s="22">
        <f>VLOOKUP($E62,'Retail Rates'!$B$7:$P$40,11,FALSE)</f>
        <v>0</v>
      </c>
      <c r="Y62" s="22">
        <f>VLOOKUP($E62,'Retail Rates'!$B$7:$P$40,15,FALSE)</f>
        <v>0</v>
      </c>
      <c r="Z62" s="22">
        <v>0</v>
      </c>
      <c r="AA62" s="411">
        <f t="shared" ref="AA62:AA69" si="102">(+H62*R62)</f>
        <v>1000</v>
      </c>
      <c r="AB62" s="411">
        <f t="shared" si="99"/>
        <v>0</v>
      </c>
      <c r="AC62" s="411">
        <f>+M62*W62</f>
        <v>5216.8372799999997</v>
      </c>
      <c r="AD62" s="411">
        <f t="shared" si="100"/>
        <v>0</v>
      </c>
      <c r="AE62" s="411">
        <f t="shared" si="80"/>
        <v>0</v>
      </c>
      <c r="AF62" s="41">
        <v>0</v>
      </c>
      <c r="AG62" s="41">
        <v>0</v>
      </c>
      <c r="AH62" s="33">
        <v>0</v>
      </c>
      <c r="AI62" s="33">
        <v>0</v>
      </c>
      <c r="AJ62" s="41">
        <v>0</v>
      </c>
      <c r="AK62" s="41">
        <v>0</v>
      </c>
      <c r="AL62" s="33">
        <v>0</v>
      </c>
      <c r="AM62" s="33">
        <v>0</v>
      </c>
      <c r="AN62" s="41">
        <v>0</v>
      </c>
      <c r="AO62" s="33">
        <v>0</v>
      </c>
      <c r="AP62" s="411">
        <f t="shared" si="84"/>
        <v>1000</v>
      </c>
      <c r="AQ62" s="411">
        <f t="shared" si="85"/>
        <v>0</v>
      </c>
      <c r="AR62" s="411">
        <f t="shared" si="86"/>
        <v>5216.8372799999997</v>
      </c>
      <c r="AS62" s="411">
        <f t="shared" si="87"/>
        <v>0</v>
      </c>
      <c r="AT62" s="411">
        <f t="shared" si="88"/>
        <v>0</v>
      </c>
      <c r="AU62" s="411">
        <f t="shared" si="89"/>
        <v>0</v>
      </c>
      <c r="AV62" s="28">
        <f t="shared" si="90"/>
        <v>23.52</v>
      </c>
      <c r="AW62" s="28">
        <f t="shared" si="91"/>
        <v>12453.95</v>
      </c>
      <c r="AX62" s="28">
        <f t="shared" si="92"/>
        <v>0</v>
      </c>
      <c r="AY62" s="28">
        <f t="shared" si="93"/>
        <v>222.04</v>
      </c>
      <c r="AZ62" s="28">
        <f t="shared" si="81"/>
        <v>573.44000000000005</v>
      </c>
      <c r="BA62" s="28">
        <f t="shared" si="56"/>
        <v>19489.79</v>
      </c>
      <c r="BB62" s="28">
        <f t="shared" si="94"/>
        <v>19489.79</v>
      </c>
      <c r="BC62" s="29">
        <f t="shared" si="95"/>
        <v>1</v>
      </c>
      <c r="BD62" s="28">
        <f>SUMIFS('SBR Mar20 - Aug20'!$F$3:$F$961,'SBR Mar20 - Aug20'!$A$3:$A$961,'Mar20-Aug20 Billed-RETAIL'!$C62,'SBR Mar20 - Aug20'!$B$3:$B$961,'Mar20-Aug20 Billed-RETAIL'!$E62)</f>
        <v>1000</v>
      </c>
      <c r="BE62" s="28">
        <f>SUMIFS('SBR Mar20 - Aug20'!$H$3:$H$961,'SBR Mar20 - Aug20'!$A$3:$A$961,'Mar20-Aug20 Billed-RETAIL'!$C62,'SBR Mar20 - Aug20'!$B$3:$B$961,'Mar20-Aug20 Billed-RETAIL'!$E62)</f>
        <v>5216.84</v>
      </c>
      <c r="BF62" s="28">
        <f>SUMIFS('SBR Mar20 - Aug20'!$G$3:$G$961,'SBR Mar20 - Aug20'!$A$3:$A$961,'Mar20-Aug20 Billed-RETAIL'!$C62,'SBR Mar20 - Aug20'!$B$3:$B$961,'Mar20-Aug20 Billed-RETAIL'!$E62)</f>
        <v>0</v>
      </c>
      <c r="BG62" s="28">
        <f>SUMIFS('SBR Mar20 - Aug20'!$M$3:$M$961,'SBR Mar20 - Aug20'!$A$3:$A$961,'Mar20-Aug20 Billed-RETAIL'!$C62,'SBR Mar20 - Aug20'!$B$3:$B$961,'Mar20-Aug20 Billed-RETAIL'!$E62)</f>
        <v>23.52</v>
      </c>
      <c r="BH62" s="28">
        <f>SUMIFS('SBR Mar20 - Aug20'!$N$3:$N$961,'SBR Mar20 - Aug20'!$A$3:$A$961,'Mar20-Aug20 Billed-RETAIL'!$C62,'SBR Mar20 - Aug20'!$B$3:$B$961,'Mar20-Aug20 Billed-RETAIL'!$E62)</f>
        <v>12453.95</v>
      </c>
      <c r="BI62" s="28">
        <f>SUMIFS('SBR Mar20 - Aug20'!$Y$3:$Y$961,'SBR Mar20 - Aug20'!$A$3:$A$961,'Mar20-Aug20 Billed-RETAIL'!$C62,'SBR Mar20 - Aug20'!$B$3:$B$961,'Mar20-Aug20 Billed-RETAIL'!$E62)</f>
        <v>0</v>
      </c>
      <c r="BJ62" s="28">
        <f>SUMIFS('SBR Mar20 - Aug20'!$W$3:$W$961,'SBR Mar20 - Aug20'!$A$3:$A$961,'Mar20-Aug20 Billed-RETAIL'!$C62,'SBR Mar20 - Aug20'!$B$3:$B$961,'Mar20-Aug20 Billed-RETAIL'!$E62)</f>
        <v>222.04</v>
      </c>
      <c r="BK62" s="28">
        <f>SUMIFS('SBR Mar20 - Aug20'!$X$3:$X$961,'SBR Mar20 - Aug20'!$A$3:$A$961,'Mar20-Aug20 Billed-RETAIL'!$C62,'SBR Mar20 - Aug20'!$B$3:$B$961,'Mar20-Aug20 Billed-RETAIL'!$E62)</f>
        <v>573.44000000000005</v>
      </c>
      <c r="BL62" s="28">
        <f>SUMIFS('SBR Mar20 - Aug20'!$Z$3:$Z$961,'SBR Mar20 - Aug20'!$A$3:$A$961,'Mar20-Aug20 Billed-RETAIL'!$C62,'SBR Mar20 - Aug20'!$B$3:$B$961,'Mar20-Aug20 Billed-RETAIL'!$E62)</f>
        <v>0</v>
      </c>
      <c r="BM62" s="42">
        <f t="shared" si="96"/>
        <v>0</v>
      </c>
      <c r="BN62" s="42">
        <f t="shared" si="97"/>
        <v>-2.7200000004086178E-3</v>
      </c>
    </row>
    <row r="63" spans="1:67" x14ac:dyDescent="0.25">
      <c r="A63" s="57"/>
      <c r="C63" s="307">
        <f t="shared" si="101"/>
        <v>43983</v>
      </c>
      <c r="D63" s="408" t="str">
        <f t="shared" si="83"/>
        <v>866</v>
      </c>
      <c r="E63" s="405" t="str">
        <f>'Retail Rates'!$B$15</f>
        <v>LGING866</v>
      </c>
      <c r="F63" s="405"/>
      <c r="G63" s="405" t="str">
        <f>VLOOKUP(E63,'Retail Rates'!$B$7:$D$40,3,FALSE)</f>
        <v>As-Available Gas Service, Industrial Opt Out</v>
      </c>
      <c r="H63" s="20">
        <f>SUMIFS('Data-Retail'!$F$2:$F$244,'Data-Retail'!$A$2:$A$244,'Mar20-Aug20 Billed-RETAIL'!$C63,'Data-Retail'!$B$2:$B$244,'Mar20-Aug20 Billed-RETAIL'!$E63)</f>
        <v>0</v>
      </c>
      <c r="I63" s="20">
        <v>0</v>
      </c>
      <c r="J63" s="20">
        <f>SUMIFS('Data-Retail'!$G$2:$G$1987,'Data-Retail'!$A$2:$A$1987,'Mar20-Aug20 Billed-RETAIL'!$C63,'Data-Retail'!$B$2:$B$1987,'Mar20-Aug20 Billed-RETAIL'!$E63)</f>
        <v>0</v>
      </c>
      <c r="K63" s="20">
        <f>SUMIFS('Data-Retail'!$H$2:$H$1987,'Data-Retail'!$A$2:$A$1987,'Mar20-Aug20 Billed-RETAIL'!$C63,'Data-Retail'!$B$2:$B$1987,'Mar20-Aug20 Billed-RETAIL'!$E63)</f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1">
        <f>VLOOKUP($E63,'Retail Rates'!$B$7:$P$40,4,FALSE)</f>
        <v>500</v>
      </c>
      <c r="S63" s="21">
        <f>VLOOKUP($E63,'Retail Rates'!$B$7:$P$40,5,FALSE)</f>
        <v>0</v>
      </c>
      <c r="T63" s="22">
        <f>VLOOKUP($E63,'Retail Rates'!$B$7:$P$40,8,FALSE)</f>
        <v>0.10644000000000001</v>
      </c>
      <c r="U63" s="22">
        <f>VLOOKUP($E63,'Retail Rates'!$B$7:$P$40,9,FALSE)</f>
        <v>0</v>
      </c>
      <c r="V63" s="22">
        <f>VLOOKUP($E63,'Retail Rates'!$B$7:$P$40,14,FALSE)</f>
        <v>0</v>
      </c>
      <c r="W63" s="22">
        <f>VLOOKUP($E63,'Retail Rates'!$B$7:$P$40,10,FALSE)</f>
        <v>1.0644</v>
      </c>
      <c r="X63" s="22">
        <f>VLOOKUP($E63,'Retail Rates'!$B$7:$P$40,11,FALSE)</f>
        <v>0</v>
      </c>
      <c r="Y63" s="22">
        <f>VLOOKUP($E63,'Retail Rates'!$B$7:$P$40,15,FALSE)</f>
        <v>0</v>
      </c>
      <c r="Z63" s="22">
        <v>0</v>
      </c>
      <c r="AA63" s="411">
        <f t="shared" si="102"/>
        <v>0</v>
      </c>
      <c r="AB63" s="411">
        <f t="shared" si="99"/>
        <v>0</v>
      </c>
      <c r="AC63" s="411">
        <f t="shared" ref="AC63:AC65" si="103">+M63*W63</f>
        <v>0</v>
      </c>
      <c r="AD63" s="411">
        <f t="shared" si="100"/>
        <v>0</v>
      </c>
      <c r="AE63" s="411">
        <f t="shared" si="80"/>
        <v>0</v>
      </c>
      <c r="AF63" s="41">
        <v>0</v>
      </c>
      <c r="AG63" s="41">
        <v>0</v>
      </c>
      <c r="AH63" s="33">
        <v>0</v>
      </c>
      <c r="AI63" s="33">
        <v>0</v>
      </c>
      <c r="AJ63" s="41">
        <v>0</v>
      </c>
      <c r="AK63" s="41">
        <v>0</v>
      </c>
      <c r="AL63" s="33">
        <v>0</v>
      </c>
      <c r="AM63" s="33">
        <v>0</v>
      </c>
      <c r="AN63" s="41">
        <v>0</v>
      </c>
      <c r="AO63" s="33">
        <v>0</v>
      </c>
      <c r="AP63" s="411">
        <f t="shared" si="84"/>
        <v>0</v>
      </c>
      <c r="AQ63" s="411">
        <f t="shared" si="85"/>
        <v>0</v>
      </c>
      <c r="AR63" s="411">
        <f t="shared" si="86"/>
        <v>0</v>
      </c>
      <c r="AS63" s="411">
        <f t="shared" si="87"/>
        <v>0</v>
      </c>
      <c r="AT63" s="411">
        <f t="shared" si="88"/>
        <v>0</v>
      </c>
      <c r="AU63" s="411">
        <f t="shared" si="89"/>
        <v>0</v>
      </c>
      <c r="AV63" s="28">
        <f t="shared" si="90"/>
        <v>0</v>
      </c>
      <c r="AW63" s="28">
        <f t="shared" si="91"/>
        <v>0</v>
      </c>
      <c r="AX63" s="28">
        <f t="shared" si="92"/>
        <v>0</v>
      </c>
      <c r="AY63" s="28">
        <f t="shared" si="93"/>
        <v>0</v>
      </c>
      <c r="AZ63" s="28">
        <f t="shared" si="81"/>
        <v>0</v>
      </c>
      <c r="BA63" s="28">
        <f t="shared" si="56"/>
        <v>0</v>
      </c>
      <c r="BB63" s="28">
        <f t="shared" si="94"/>
        <v>0</v>
      </c>
      <c r="BC63" s="29">
        <f t="shared" si="95"/>
        <v>0</v>
      </c>
      <c r="BD63" s="28">
        <f>SUMIFS('SBR Mar20 - Aug20'!$F$3:$F$961,'SBR Mar20 - Aug20'!$A$3:$A$961,'Mar20-Aug20 Billed-RETAIL'!$C63,'SBR Mar20 - Aug20'!$B$3:$B$961,'Mar20-Aug20 Billed-RETAIL'!$E63)</f>
        <v>0</v>
      </c>
      <c r="BE63" s="28">
        <f>SUMIFS('SBR Mar20 - Aug20'!$H$3:$H$961,'SBR Mar20 - Aug20'!$A$3:$A$961,'Mar20-Aug20 Billed-RETAIL'!$C63,'SBR Mar20 - Aug20'!$B$3:$B$961,'Mar20-Aug20 Billed-RETAIL'!$E63)</f>
        <v>0</v>
      </c>
      <c r="BF63" s="28">
        <f>SUMIFS('SBR Mar20 - Aug20'!$G$3:$G$961,'SBR Mar20 - Aug20'!$A$3:$A$961,'Mar20-Aug20 Billed-RETAIL'!$C63,'SBR Mar20 - Aug20'!$B$3:$B$961,'Mar20-Aug20 Billed-RETAIL'!$E63)</f>
        <v>0</v>
      </c>
      <c r="BG63" s="28">
        <f>SUMIFS('SBR Mar20 - Aug20'!$M$3:$M$961,'SBR Mar20 - Aug20'!$A$3:$A$961,'Mar20-Aug20 Billed-RETAIL'!$C63,'SBR Mar20 - Aug20'!$B$3:$B$961,'Mar20-Aug20 Billed-RETAIL'!$E63)</f>
        <v>0</v>
      </c>
      <c r="BH63" s="28">
        <f>SUMIFS('SBR Mar20 - Aug20'!$N$3:$N$961,'SBR Mar20 - Aug20'!$A$3:$A$961,'Mar20-Aug20 Billed-RETAIL'!$C63,'SBR Mar20 - Aug20'!$B$3:$B$961,'Mar20-Aug20 Billed-RETAIL'!$E63)</f>
        <v>0</v>
      </c>
      <c r="BI63" s="28">
        <f>SUMIFS('SBR Mar20 - Aug20'!$Y$3:$Y$961,'SBR Mar20 - Aug20'!$A$3:$A$961,'Mar20-Aug20 Billed-RETAIL'!$C63,'SBR Mar20 - Aug20'!$B$3:$B$961,'Mar20-Aug20 Billed-RETAIL'!$E63)</f>
        <v>0</v>
      </c>
      <c r="BJ63" s="28">
        <f>SUMIFS('SBR Mar20 - Aug20'!$W$3:$W$961,'SBR Mar20 - Aug20'!$A$3:$A$961,'Mar20-Aug20 Billed-RETAIL'!$C63,'SBR Mar20 - Aug20'!$B$3:$B$961,'Mar20-Aug20 Billed-RETAIL'!$E63)</f>
        <v>0</v>
      </c>
      <c r="BK63" s="28">
        <f>SUMIFS('SBR Mar20 - Aug20'!$X$3:$X$961,'SBR Mar20 - Aug20'!$A$3:$A$961,'Mar20-Aug20 Billed-RETAIL'!$C63,'SBR Mar20 - Aug20'!$B$3:$B$961,'Mar20-Aug20 Billed-RETAIL'!$E63)</f>
        <v>0</v>
      </c>
      <c r="BL63" s="28">
        <f>SUMIFS('SBR Mar20 - Aug20'!$Z$3:$Z$961,'SBR Mar20 - Aug20'!$A$3:$A$961,'Mar20-Aug20 Billed-RETAIL'!$C63,'SBR Mar20 - Aug20'!$B$3:$B$961,'Mar20-Aug20 Billed-RETAIL'!$E63)</f>
        <v>0</v>
      </c>
      <c r="BM63" s="42">
        <f t="shared" si="96"/>
        <v>0</v>
      </c>
      <c r="BN63" s="42">
        <f t="shared" si="97"/>
        <v>0</v>
      </c>
    </row>
    <row r="64" spans="1:67" ht="15" customHeight="1" x14ac:dyDescent="0.25">
      <c r="A64" s="57"/>
      <c r="C64" s="307">
        <f t="shared" si="101"/>
        <v>43983</v>
      </c>
      <c r="D64" s="408" t="str">
        <f t="shared" si="83"/>
        <v>866</v>
      </c>
      <c r="E64" s="405" t="str">
        <f>'Retail Rates'!$B$16</f>
        <v>LGING866DS</v>
      </c>
      <c r="F64" s="405"/>
      <c r="G64" s="405" t="str">
        <f>VLOOKUP(E64,'Retail Rates'!$B$7:$D$40,3,FALSE)</f>
        <v>As-Available Gas Service, Industrial Opt In</v>
      </c>
      <c r="H64" s="20">
        <f>SUMIFS('Data-Retail'!$F$2:$F$1987,'Data-Retail'!$A$2:$A$1987,'Mar20-Aug20 Billed-RETAIL'!$C64,'Data-Retail'!$B$2:$B$1987,'Mar20-Aug20 Billed-RETAIL'!$E64)</f>
        <v>1</v>
      </c>
      <c r="I64" s="20">
        <v>0</v>
      </c>
      <c r="J64" s="20">
        <v>0</v>
      </c>
      <c r="K64" s="20">
        <f>SUMIFS('Data-Retail'!$H$2:$H$1987,'Data-Retail'!$A$2:$A$1987,'Mar20-Aug20 Billed-RETAIL'!$C64,'Data-Retail'!$B$2:$B$1987,'Mar20-Aug20 Billed-RETAIL'!$E64)</f>
        <v>0</v>
      </c>
      <c r="L64" s="20">
        <v>0</v>
      </c>
      <c r="M64" s="20">
        <f>SUMIFS('Data-Retail'!$G$2:$G$1987,'Data-Retail'!$A$2:$A$1987,'Mar20-Aug20 Billed-RETAIL'!$C64,'Data-Retail'!$B$2:$B$1987,'Mar20-Aug20 Billed-RETAIL'!$E64)/10</f>
        <v>4256.8999999999996</v>
      </c>
      <c r="N64" s="20">
        <v>0</v>
      </c>
      <c r="O64" s="20">
        <v>0</v>
      </c>
      <c r="P64" s="20">
        <v>0</v>
      </c>
      <c r="Q64" s="20">
        <v>0</v>
      </c>
      <c r="R64" s="21">
        <f>VLOOKUP($E64,'Retail Rates'!$B$7:$P$40,4,FALSE)</f>
        <v>500</v>
      </c>
      <c r="S64" s="21">
        <f>VLOOKUP($E64,'Retail Rates'!$B$7:$P$40,5,FALSE)</f>
        <v>0</v>
      </c>
      <c r="T64" s="22">
        <f>VLOOKUP($E64,'Retail Rates'!$B$7:$P$40,8,FALSE)</f>
        <v>0.10644000000000001</v>
      </c>
      <c r="U64" s="22">
        <f>VLOOKUP($E64,'Retail Rates'!$B$7:$P$40,9,FALSE)</f>
        <v>0</v>
      </c>
      <c r="V64" s="22">
        <f>VLOOKUP($E64,'Retail Rates'!$B$7:$P$40,14,FALSE)</f>
        <v>0</v>
      </c>
      <c r="W64" s="22">
        <f>VLOOKUP($E64,'Retail Rates'!$B$7:$P$40,10,FALSE)</f>
        <v>1.0644</v>
      </c>
      <c r="X64" s="22">
        <f>VLOOKUP($E64,'Retail Rates'!$B$7:$P$40,11,FALSE)</f>
        <v>0</v>
      </c>
      <c r="Y64" s="22">
        <f>VLOOKUP($E64,'Retail Rates'!$B$7:$P$40,15,FALSE)</f>
        <v>0</v>
      </c>
      <c r="Z64" s="22">
        <v>0</v>
      </c>
      <c r="AA64" s="411">
        <f t="shared" si="102"/>
        <v>500</v>
      </c>
      <c r="AB64" s="411">
        <f t="shared" si="99"/>
        <v>0</v>
      </c>
      <c r="AC64" s="411">
        <f t="shared" si="103"/>
        <v>4531.0443599999999</v>
      </c>
      <c r="AD64" s="411">
        <f t="shared" si="100"/>
        <v>0</v>
      </c>
      <c r="AE64" s="411">
        <f t="shared" si="80"/>
        <v>0</v>
      </c>
      <c r="AF64" s="41">
        <v>0</v>
      </c>
      <c r="AG64" s="41">
        <v>0</v>
      </c>
      <c r="AH64" s="33">
        <v>0</v>
      </c>
      <c r="AI64" s="33">
        <v>0</v>
      </c>
      <c r="AJ64" s="41">
        <v>0</v>
      </c>
      <c r="AK64" s="41">
        <v>0</v>
      </c>
      <c r="AL64" s="33">
        <v>0</v>
      </c>
      <c r="AM64" s="33">
        <v>0</v>
      </c>
      <c r="AN64" s="41">
        <v>0</v>
      </c>
      <c r="AO64" s="33">
        <v>0</v>
      </c>
      <c r="AP64" s="411">
        <f t="shared" si="84"/>
        <v>500</v>
      </c>
      <c r="AQ64" s="411">
        <f t="shared" si="85"/>
        <v>0</v>
      </c>
      <c r="AR64" s="411">
        <f t="shared" si="86"/>
        <v>4531.0443599999999</v>
      </c>
      <c r="AS64" s="411">
        <f t="shared" si="87"/>
        <v>0</v>
      </c>
      <c r="AT64" s="411">
        <f t="shared" si="88"/>
        <v>0</v>
      </c>
      <c r="AU64" s="411">
        <f t="shared" si="89"/>
        <v>0</v>
      </c>
      <c r="AV64" s="28">
        <f t="shared" si="90"/>
        <v>20.43</v>
      </c>
      <c r="AW64" s="28">
        <f t="shared" si="91"/>
        <v>10816.78</v>
      </c>
      <c r="AX64" s="28">
        <f t="shared" si="92"/>
        <v>0</v>
      </c>
      <c r="AY64" s="28">
        <f t="shared" si="93"/>
        <v>111.02</v>
      </c>
      <c r="AZ64" s="28">
        <f t="shared" si="81"/>
        <v>498.06</v>
      </c>
      <c r="BA64" s="28">
        <f t="shared" si="56"/>
        <v>16477.330000000002</v>
      </c>
      <c r="BB64" s="28">
        <f t="shared" si="94"/>
        <v>16477.330000000002</v>
      </c>
      <c r="BC64" s="29">
        <f t="shared" si="95"/>
        <v>1</v>
      </c>
      <c r="BD64" s="28">
        <f>SUMIFS('SBR Mar20 - Aug20'!$F$3:$F$961,'SBR Mar20 - Aug20'!$A$3:$A$961,'Mar20-Aug20 Billed-RETAIL'!$C64,'SBR Mar20 - Aug20'!$B$3:$B$961,'Mar20-Aug20 Billed-RETAIL'!$E64)</f>
        <v>500</v>
      </c>
      <c r="BE64" s="28">
        <f>SUMIFS('SBR Mar20 - Aug20'!$H$3:$H$961,'SBR Mar20 - Aug20'!$A$3:$A$961,'Mar20-Aug20 Billed-RETAIL'!$C64,'SBR Mar20 - Aug20'!$B$3:$B$961,'Mar20-Aug20 Billed-RETAIL'!$E64)</f>
        <v>4531.04</v>
      </c>
      <c r="BF64" s="28">
        <f>SUMIFS('SBR Mar20 - Aug20'!$G$3:$G$961,'SBR Mar20 - Aug20'!$A$3:$A$961,'Mar20-Aug20 Billed-RETAIL'!$C64,'SBR Mar20 - Aug20'!$B$3:$B$961,'Mar20-Aug20 Billed-RETAIL'!$E64)</f>
        <v>0</v>
      </c>
      <c r="BG64" s="28">
        <f>SUMIFS('SBR Mar20 - Aug20'!$M$3:$M$961,'SBR Mar20 - Aug20'!$A$3:$A$961,'Mar20-Aug20 Billed-RETAIL'!$C64,'SBR Mar20 - Aug20'!$B$3:$B$961,'Mar20-Aug20 Billed-RETAIL'!$E64)</f>
        <v>20.43</v>
      </c>
      <c r="BH64" s="28">
        <f>SUMIFS('SBR Mar20 - Aug20'!$N$3:$N$961,'SBR Mar20 - Aug20'!$A$3:$A$961,'Mar20-Aug20 Billed-RETAIL'!$C64,'SBR Mar20 - Aug20'!$B$3:$B$961,'Mar20-Aug20 Billed-RETAIL'!$E64)</f>
        <v>10816.78</v>
      </c>
      <c r="BI64" s="28">
        <f>SUMIFS('SBR Mar20 - Aug20'!$Y$3:$Y$961,'SBR Mar20 - Aug20'!$A$3:$A$961,'Mar20-Aug20 Billed-RETAIL'!$C64,'SBR Mar20 - Aug20'!$B$3:$B$961,'Mar20-Aug20 Billed-RETAIL'!$E64)</f>
        <v>0</v>
      </c>
      <c r="BJ64" s="28">
        <f>SUMIFS('SBR Mar20 - Aug20'!$W$3:$W$961,'SBR Mar20 - Aug20'!$A$3:$A$961,'Mar20-Aug20 Billed-RETAIL'!$C64,'SBR Mar20 - Aug20'!$B$3:$B$961,'Mar20-Aug20 Billed-RETAIL'!$E64)</f>
        <v>111.02</v>
      </c>
      <c r="BK64" s="28">
        <f>SUMIFS('SBR Mar20 - Aug20'!$X$3:$X$961,'SBR Mar20 - Aug20'!$A$3:$A$961,'Mar20-Aug20 Billed-RETAIL'!$C64,'SBR Mar20 - Aug20'!$B$3:$B$961,'Mar20-Aug20 Billed-RETAIL'!$E64)</f>
        <v>498.06</v>
      </c>
      <c r="BL64" s="28">
        <f>SUMIFS('SBR Mar20 - Aug20'!$Z$3:$Z$961,'SBR Mar20 - Aug20'!$A$3:$A$961,'Mar20-Aug20 Billed-RETAIL'!$C64,'SBR Mar20 - Aug20'!$B$3:$B$961,'Mar20-Aug20 Billed-RETAIL'!$E64)</f>
        <v>0</v>
      </c>
      <c r="BM64" s="42">
        <f t="shared" si="96"/>
        <v>0</v>
      </c>
      <c r="BN64" s="42">
        <f t="shared" si="97"/>
        <v>4.3599999999059946E-3</v>
      </c>
    </row>
    <row r="65" spans="1:67" ht="15" customHeight="1" x14ac:dyDescent="0.25">
      <c r="A65" s="57"/>
      <c r="C65" s="307">
        <f t="shared" si="101"/>
        <v>43983</v>
      </c>
      <c r="D65" s="408" t="str">
        <f t="shared" si="83"/>
        <v>870</v>
      </c>
      <c r="E65" s="405" t="str">
        <f>'Retail Rates'!$B$17</f>
        <v>LGCMG870</v>
      </c>
      <c r="F65" s="405"/>
      <c r="G65" s="405" t="str">
        <f>VLOOKUP(E65,'Retail Rates'!$B$7:$D$40,3,FALSE)</f>
        <v>Substitute Gas Sales Service-Commercial</v>
      </c>
      <c r="H65" s="20">
        <f>SUMIFS('Data-Retail'!$F$2:$F$1987,'Data-Retail'!$A$2:$A$1987,'Mar20-Aug20 Billed-RETAIL'!$C65,'Data-Retail'!$B$2:$B$1987,'Mar20-Aug20 Billed-RETAIL'!$E65)</f>
        <v>1</v>
      </c>
      <c r="I65" s="20">
        <v>0</v>
      </c>
      <c r="J65" s="20">
        <v>0</v>
      </c>
      <c r="K65" s="20">
        <f>SUMIFS('Data-Retail'!$H$2:$H$1987,'Data-Retail'!$A$2:$A$1987,'Mar20-Aug20 Billed-RETAIL'!$C65,'Data-Retail'!$B$2:$B$1987,'Mar20-Aug20 Billed-RETAIL'!$E65)</f>
        <v>0</v>
      </c>
      <c r="L65" s="20">
        <v>0</v>
      </c>
      <c r="M65" s="20">
        <f>SUMIFS('Data-Retail'!$G$2:$G$1987,'Data-Retail'!$A$2:$A$1987,'Mar20-Aug20 Billed-RETAIL'!$C65,'Data-Retail'!$B$2:$B$1987,'Mar20-Aug20 Billed-RETAIL'!$E65)/10</f>
        <v>8.6999999999999993</v>
      </c>
      <c r="N65" s="20">
        <v>0</v>
      </c>
      <c r="O65" s="20">
        <f>(SUMIFS('Data-Retail'!$P$2:$P$987,'Data-Retail'!$A$2:$A$987,'Mar20-Aug20 Billed-RETAIL'!$C65,'Data-Retail'!$B$2:$B$987,'Mar20-Aug20 Billed-RETAIL'!$E65)/Y65)</f>
        <v>2418.1006097560976</v>
      </c>
      <c r="P65" s="20">
        <v>0</v>
      </c>
      <c r="Q65" s="20">
        <v>0</v>
      </c>
      <c r="R65" s="21">
        <f>VLOOKUP($E65,'Retail Rates'!$B$7:$P$40,4,FALSE)</f>
        <v>285</v>
      </c>
      <c r="S65" s="21">
        <f>VLOOKUP($E65,'Retail Rates'!$B$7:$P$40,5,FALSE)</f>
        <v>0</v>
      </c>
      <c r="T65" s="22">
        <f>VLOOKUP($E65,'Retail Rates'!$B$7:$P$40,8,FALSE)</f>
        <v>3.603E-2</v>
      </c>
      <c r="U65" s="22">
        <f>VLOOKUP($E65,'Retail Rates'!$B$7:$P$40,9,FALSE)</f>
        <v>0</v>
      </c>
      <c r="V65" s="22">
        <f>VLOOKUP($E65,'Retail Rates'!$B$7:$P$40,14,FALSE)</f>
        <v>0.65599999999999992</v>
      </c>
      <c r="W65" s="22">
        <f>VLOOKUP($E65,'Retail Rates'!$B$7:$P$40,10,FALSE)</f>
        <v>0.36030000000000001</v>
      </c>
      <c r="X65" s="22">
        <f>VLOOKUP($E65,'Retail Rates'!$B$7:$P$40,11,FALSE)</f>
        <v>0</v>
      </c>
      <c r="Y65" s="22">
        <f>VLOOKUP($E65,'Retail Rates'!$B$7:$P$40,15,FALSE)</f>
        <v>6.56</v>
      </c>
      <c r="Z65" s="22">
        <v>0</v>
      </c>
      <c r="AA65" s="411">
        <f t="shared" si="102"/>
        <v>285</v>
      </c>
      <c r="AB65" s="411">
        <f t="shared" si="99"/>
        <v>0</v>
      </c>
      <c r="AC65" s="411">
        <f t="shared" si="103"/>
        <v>3.1346099999999999</v>
      </c>
      <c r="AD65" s="411">
        <f t="shared" si="100"/>
        <v>0</v>
      </c>
      <c r="AE65" s="411">
        <f>O65*Y65</f>
        <v>15862.74</v>
      </c>
      <c r="AF65" s="41">
        <v>0</v>
      </c>
      <c r="AG65" s="41">
        <v>0</v>
      </c>
      <c r="AH65" s="33">
        <v>0</v>
      </c>
      <c r="AI65" s="33">
        <v>0</v>
      </c>
      <c r="AJ65" s="41">
        <v>0</v>
      </c>
      <c r="AK65" s="41">
        <v>0</v>
      </c>
      <c r="AL65" s="33">
        <v>0</v>
      </c>
      <c r="AM65" s="33">
        <v>0</v>
      </c>
      <c r="AN65" s="41">
        <v>0</v>
      </c>
      <c r="AO65" s="33">
        <v>0</v>
      </c>
      <c r="AP65" s="411">
        <f t="shared" si="84"/>
        <v>285</v>
      </c>
      <c r="AQ65" s="411">
        <f t="shared" si="85"/>
        <v>0</v>
      </c>
      <c r="AR65" s="411">
        <f t="shared" si="86"/>
        <v>3.1346099999999999</v>
      </c>
      <c r="AS65" s="411">
        <f t="shared" si="87"/>
        <v>0</v>
      </c>
      <c r="AT65" s="411">
        <f>AE65+AO65</f>
        <v>15862.74</v>
      </c>
      <c r="AU65" s="411">
        <f t="shared" si="89"/>
        <v>0</v>
      </c>
      <c r="AV65" s="28">
        <f t="shared" si="90"/>
        <v>0.04</v>
      </c>
      <c r="AW65" s="28">
        <f t="shared" si="91"/>
        <v>22.11</v>
      </c>
      <c r="AX65" s="28">
        <f t="shared" si="92"/>
        <v>0</v>
      </c>
      <c r="AY65" s="28">
        <f t="shared" si="93"/>
        <v>9.27</v>
      </c>
      <c r="AZ65" s="28">
        <f t="shared" si="81"/>
        <v>1.67</v>
      </c>
      <c r="BA65" s="28">
        <f t="shared" si="56"/>
        <v>16183.96</v>
      </c>
      <c r="BB65" s="28">
        <f t="shared" si="94"/>
        <v>16183.960000000001</v>
      </c>
      <c r="BC65" s="29">
        <f t="shared" si="95"/>
        <v>1</v>
      </c>
      <c r="BD65" s="28">
        <f>SUMIFS('SBR Mar20 - Aug20'!$F$3:$F$961,'SBR Mar20 - Aug20'!$A$3:$A$961,'Mar20-Aug20 Billed-RETAIL'!$C65,'SBR Mar20 - Aug20'!$B$3:$B$961,'Mar20-Aug20 Billed-RETAIL'!$E65)</f>
        <v>285</v>
      </c>
      <c r="BE65" s="28">
        <f>SUMIFS('SBR Mar20 - Aug20'!$H$3:$H$961,'SBR Mar20 - Aug20'!$A$3:$A$961,'Mar20-Aug20 Billed-RETAIL'!$C65,'SBR Mar20 - Aug20'!$B$3:$B$961,'Mar20-Aug20 Billed-RETAIL'!$E65)</f>
        <v>3.13</v>
      </c>
      <c r="BF65" s="28">
        <f>SUMIFS('SBR Mar20 - Aug20'!$G$3:$G$961,'SBR Mar20 - Aug20'!$A$3:$A$961,'Mar20-Aug20 Billed-RETAIL'!$C65,'SBR Mar20 - Aug20'!$B$3:$B$961,'Mar20-Aug20 Billed-RETAIL'!$E65)</f>
        <v>15862.74</v>
      </c>
      <c r="BG65" s="28">
        <f>SUMIFS('SBR Mar20 - Aug20'!$M$3:$M$961,'SBR Mar20 - Aug20'!$A$3:$A$961,'Mar20-Aug20 Billed-RETAIL'!$C65,'SBR Mar20 - Aug20'!$B$3:$B$961,'Mar20-Aug20 Billed-RETAIL'!$E65)</f>
        <v>0.04</v>
      </c>
      <c r="BH65" s="28">
        <f>SUMIFS('SBR Mar20 - Aug20'!$N$3:$N$961,'SBR Mar20 - Aug20'!$A$3:$A$961,'Mar20-Aug20 Billed-RETAIL'!$C65,'SBR Mar20 - Aug20'!$B$3:$B$961,'Mar20-Aug20 Billed-RETAIL'!$E65)</f>
        <v>22.11</v>
      </c>
      <c r="BI65" s="28">
        <f>SUMIFS('SBR Mar20 - Aug20'!$Y$3:$Y$961,'SBR Mar20 - Aug20'!$A$3:$A$961,'Mar20-Aug20 Billed-RETAIL'!$C65,'SBR Mar20 - Aug20'!$B$3:$B$961,'Mar20-Aug20 Billed-RETAIL'!$E65)</f>
        <v>0</v>
      </c>
      <c r="BJ65" s="28">
        <f>SUMIFS('SBR Mar20 - Aug20'!$W$3:$W$961,'SBR Mar20 - Aug20'!$A$3:$A$961,'Mar20-Aug20 Billed-RETAIL'!$C65,'SBR Mar20 - Aug20'!$B$3:$B$961,'Mar20-Aug20 Billed-RETAIL'!$E65)</f>
        <v>9.27</v>
      </c>
      <c r="BK65" s="28">
        <f>SUMIFS('SBR Mar20 - Aug20'!$X$3:$X$961,'SBR Mar20 - Aug20'!$A$3:$A$961,'Mar20-Aug20 Billed-RETAIL'!$C65,'SBR Mar20 - Aug20'!$B$3:$B$961,'Mar20-Aug20 Billed-RETAIL'!$E65)</f>
        <v>1.67</v>
      </c>
      <c r="BL65" s="28">
        <f>SUMIFS('SBR Mar20 - Aug20'!$Z$3:$Z$961,'SBR Mar20 - Aug20'!$A$3:$A$961,'Mar20-Aug20 Billed-RETAIL'!$C65,'SBR Mar20 - Aug20'!$B$3:$B$961,'Mar20-Aug20 Billed-RETAIL'!$E65)</f>
        <v>0</v>
      </c>
      <c r="BM65" s="42">
        <f t="shared" si="96"/>
        <v>0</v>
      </c>
      <c r="BN65" s="42">
        <f t="shared" si="97"/>
        <v>4.610000000000003E-3</v>
      </c>
      <c r="BO65" s="42">
        <f>AT65-BF65</f>
        <v>0</v>
      </c>
    </row>
    <row r="66" spans="1:67" ht="15" customHeight="1" x14ac:dyDescent="0.25">
      <c r="A66" s="57"/>
      <c r="C66" s="307">
        <f t="shared" si="101"/>
        <v>43983</v>
      </c>
      <c r="D66" s="408" t="str">
        <f t="shared" si="83"/>
        <v>871</v>
      </c>
      <c r="E66" s="405" t="str">
        <f>'Retail Rates'!$B$18</f>
        <v>LGING871DO</v>
      </c>
      <c r="F66" s="405"/>
      <c r="G66" s="405" t="str">
        <f>VLOOKUP(E66,'Retail Rates'!$B$7:$D$40,3,FALSE)</f>
        <v>Substitute Gas Sales Service-Industrial Opt Out</v>
      </c>
      <c r="H66" s="20">
        <f>SUMIFS('Data-Retail'!$F$2:$F$1987,'Data-Retail'!$A$2:$A$1987,'Mar20-Aug20 Billed-RETAIL'!$C66,'Data-Retail'!$B$2:$B$1987,'Mar20-Aug20 Billed-RETAIL'!$E66)</f>
        <v>0</v>
      </c>
      <c r="I66" s="20">
        <v>0</v>
      </c>
      <c r="J66" s="20">
        <f>SUMIFS('Data-Retail'!$G$2:$G$1987,'Data-Retail'!$A$2:$A$1987,'Mar20-Aug20 Billed-RETAIL'!$C66,'Data-Retail'!$B$2:$B$1987,'Mar20-Aug20 Billed-RETAIL'!$E66)</f>
        <v>0</v>
      </c>
      <c r="K66" s="20">
        <f>SUMIFS('Data-Retail'!$H$2:$H$1987,'Data-Retail'!$A$2:$A$1987,'Mar20-Aug20 Billed-RETAIL'!$C66,'Data-Retail'!$B$2:$B$1987,'Mar20-Aug20 Billed-RETAIL'!$E66)</f>
        <v>0</v>
      </c>
      <c r="L66" s="20">
        <f>SUMIFS('Data-Retail'!$P$2:$P$987,'Data-Retail'!$A$2:$A$987,'Mar20-Aug20 Billed-RETAIL'!$C66,'Data-Retail'!$B$2:$B$987,'Mar20-Aug20 Billed-RETAIL'!$E66)/V66</f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1">
        <f>VLOOKUP($E66,'Retail Rates'!$B$7:$P$40,4,FALSE)</f>
        <v>750</v>
      </c>
      <c r="S66" s="21">
        <f>VLOOKUP($E66,'Retail Rates'!$B$7:$P$40,5,FALSE)</f>
        <v>0</v>
      </c>
      <c r="T66" s="22">
        <f>VLOOKUP($E66,'Retail Rates'!$B$7:$P$40,8,FALSE)</f>
        <v>2.9919999999999995E-2</v>
      </c>
      <c r="U66" s="22">
        <f>VLOOKUP($E66,'Retail Rates'!$B$7:$P$40,9,FALSE)</f>
        <v>0</v>
      </c>
      <c r="V66" s="22">
        <f>VLOOKUP($E66,'Retail Rates'!$B$7:$P$40,14,FALSE)</f>
        <v>1.0900000000000001</v>
      </c>
      <c r="W66" s="22">
        <f>VLOOKUP($E66,'Retail Rates'!$B$7:$P$40,10,FALSE)</f>
        <v>0.29919999999999997</v>
      </c>
      <c r="X66" s="22">
        <f>VLOOKUP($E66,'Retail Rates'!$B$7:$P$40,11,FALSE)</f>
        <v>0</v>
      </c>
      <c r="Y66" s="22">
        <f>VLOOKUP($E66,'Retail Rates'!$B$7:$P$40,15,FALSE)</f>
        <v>10.9</v>
      </c>
      <c r="Z66" s="22">
        <v>0</v>
      </c>
      <c r="AA66" s="411">
        <f t="shared" si="102"/>
        <v>0</v>
      </c>
      <c r="AB66" s="411">
        <f t="shared" si="99"/>
        <v>0</v>
      </c>
      <c r="AC66" s="411">
        <f t="shared" ref="AC66:AC69" si="104">+J66*T66</f>
        <v>0</v>
      </c>
      <c r="AD66" s="411">
        <f t="shared" si="100"/>
        <v>0</v>
      </c>
      <c r="AE66" s="411">
        <f t="shared" si="80"/>
        <v>0</v>
      </c>
      <c r="AF66" s="41">
        <v>0</v>
      </c>
      <c r="AG66" s="41">
        <v>0</v>
      </c>
      <c r="AH66" s="33">
        <v>0</v>
      </c>
      <c r="AI66" s="33">
        <v>0</v>
      </c>
      <c r="AJ66" s="41">
        <v>0</v>
      </c>
      <c r="AK66" s="41">
        <v>0</v>
      </c>
      <c r="AL66" s="33">
        <v>0</v>
      </c>
      <c r="AM66" s="33">
        <v>0</v>
      </c>
      <c r="AN66" s="41">
        <v>0</v>
      </c>
      <c r="AO66" s="33">
        <v>0</v>
      </c>
      <c r="AP66" s="411">
        <f t="shared" si="84"/>
        <v>0</v>
      </c>
      <c r="AQ66" s="411">
        <f t="shared" si="85"/>
        <v>0</v>
      </c>
      <c r="AR66" s="411">
        <f t="shared" si="86"/>
        <v>0</v>
      </c>
      <c r="AS66" s="411">
        <f t="shared" si="87"/>
        <v>0</v>
      </c>
      <c r="AT66" s="411">
        <f t="shared" si="88"/>
        <v>0</v>
      </c>
      <c r="AU66" s="411">
        <f t="shared" si="89"/>
        <v>0</v>
      </c>
      <c r="AV66" s="28">
        <f t="shared" si="90"/>
        <v>0</v>
      </c>
      <c r="AW66" s="28">
        <f t="shared" si="91"/>
        <v>0</v>
      </c>
      <c r="AX66" s="28">
        <f t="shared" si="92"/>
        <v>0</v>
      </c>
      <c r="AY66" s="28">
        <f t="shared" si="93"/>
        <v>0</v>
      </c>
      <c r="AZ66" s="28">
        <f t="shared" si="81"/>
        <v>0</v>
      </c>
      <c r="BA66" s="28">
        <f t="shared" si="56"/>
        <v>0</v>
      </c>
      <c r="BB66" s="28">
        <f t="shared" si="94"/>
        <v>0</v>
      </c>
      <c r="BC66" s="29">
        <f t="shared" si="95"/>
        <v>0</v>
      </c>
      <c r="BD66" s="28">
        <f>SUMIFS('SBR Mar20 - Aug20'!$F$3:$F$961,'SBR Mar20 - Aug20'!$A$3:$A$961,'Mar20-Aug20 Billed-RETAIL'!$C66,'SBR Mar20 - Aug20'!$B$3:$B$961,'Mar20-Aug20 Billed-RETAIL'!$E66)</f>
        <v>0</v>
      </c>
      <c r="BE66" s="28">
        <f>SUMIFS('SBR Mar20 - Aug20'!$H$3:$H$961,'SBR Mar20 - Aug20'!$A$3:$A$961,'Mar20-Aug20 Billed-RETAIL'!$C66,'SBR Mar20 - Aug20'!$B$3:$B$961,'Mar20-Aug20 Billed-RETAIL'!$E66)</f>
        <v>0</v>
      </c>
      <c r="BF66" s="28">
        <f>SUMIFS('SBR Mar20 - Aug20'!$G$3:$G$961,'SBR Mar20 - Aug20'!$A$3:$A$961,'Mar20-Aug20 Billed-RETAIL'!$C66,'SBR Mar20 - Aug20'!$B$3:$B$961,'Mar20-Aug20 Billed-RETAIL'!$E66)</f>
        <v>0</v>
      </c>
      <c r="BG66" s="28">
        <f>SUMIFS('SBR Mar20 - Aug20'!$M$3:$M$961,'SBR Mar20 - Aug20'!$A$3:$A$961,'Mar20-Aug20 Billed-RETAIL'!$C66,'SBR Mar20 - Aug20'!$B$3:$B$961,'Mar20-Aug20 Billed-RETAIL'!$E66)</f>
        <v>0</v>
      </c>
      <c r="BH66" s="28">
        <f>SUMIFS('SBR Mar20 - Aug20'!$N$3:$N$961,'SBR Mar20 - Aug20'!$A$3:$A$961,'Mar20-Aug20 Billed-RETAIL'!$C66,'SBR Mar20 - Aug20'!$B$3:$B$961,'Mar20-Aug20 Billed-RETAIL'!$E66)</f>
        <v>0</v>
      </c>
      <c r="BI66" s="28">
        <f>SUMIFS('SBR Mar20 - Aug20'!$Y$3:$Y$961,'SBR Mar20 - Aug20'!$A$3:$A$961,'Mar20-Aug20 Billed-RETAIL'!$C66,'SBR Mar20 - Aug20'!$B$3:$B$961,'Mar20-Aug20 Billed-RETAIL'!$E66)</f>
        <v>0</v>
      </c>
      <c r="BJ66" s="28">
        <f>SUMIFS('SBR Mar20 - Aug20'!$W$3:$W$961,'SBR Mar20 - Aug20'!$A$3:$A$961,'Mar20-Aug20 Billed-RETAIL'!$C66,'SBR Mar20 - Aug20'!$B$3:$B$961,'Mar20-Aug20 Billed-RETAIL'!$E66)</f>
        <v>0</v>
      </c>
      <c r="BK66" s="28">
        <f>SUMIFS('SBR Mar20 - Aug20'!$X$3:$X$961,'SBR Mar20 - Aug20'!$A$3:$A$961,'Mar20-Aug20 Billed-RETAIL'!$C66,'SBR Mar20 - Aug20'!$B$3:$B$961,'Mar20-Aug20 Billed-RETAIL'!$E66)</f>
        <v>0</v>
      </c>
      <c r="BL66" s="28">
        <f>SUMIFS('SBR Mar20 - Aug20'!$Z$3:$Z$961,'SBR Mar20 - Aug20'!$A$3:$A$961,'Mar20-Aug20 Billed-RETAIL'!$C66,'SBR Mar20 - Aug20'!$B$3:$B$961,'Mar20-Aug20 Billed-RETAIL'!$E66)</f>
        <v>0</v>
      </c>
      <c r="BM66" s="42">
        <f t="shared" si="96"/>
        <v>0</v>
      </c>
      <c r="BN66" s="42">
        <f t="shared" si="97"/>
        <v>0</v>
      </c>
    </row>
    <row r="67" spans="1:67" ht="15" customHeight="1" x14ac:dyDescent="0.25">
      <c r="A67" s="57"/>
      <c r="C67" s="307">
        <f t="shared" si="101"/>
        <v>43983</v>
      </c>
      <c r="D67" s="408" t="str">
        <f t="shared" si="83"/>
        <v>871</v>
      </c>
      <c r="E67" s="405" t="str">
        <f>'Retail Rates'!$B$19</f>
        <v>LGING871DS</v>
      </c>
      <c r="F67" s="405"/>
      <c r="G67" s="405" t="str">
        <f>VLOOKUP(E67,'Retail Rates'!$B$7:$D$40,3,FALSE)</f>
        <v>Substitute Gas Sales Service-Industrial Opt In</v>
      </c>
      <c r="H67" s="20">
        <f>SUMIFS('Data-Retail'!$F$2:$F$1987,'Data-Retail'!$A$2:$A$1987,'Mar20-Aug20 Billed-RETAIL'!$C67,'Data-Retail'!$B$2:$B$1987,'Mar20-Aug20 Billed-RETAIL'!$E67)</f>
        <v>0</v>
      </c>
      <c r="I67" s="20">
        <v>0</v>
      </c>
      <c r="J67" s="20">
        <f>SUMIFS('Data-Retail'!$G$2:$G$1987,'Data-Retail'!$A$2:$A$1987,'Mar20-Aug20 Billed-RETAIL'!$C67,'Data-Retail'!$B$2:$B$1987,'Mar20-Aug20 Billed-RETAIL'!$E67)</f>
        <v>0</v>
      </c>
      <c r="K67" s="20">
        <f>SUMIFS('Data-Retail'!$H$2:$H$1987,'Data-Retail'!$A$2:$A$1987,'Mar20-Aug20 Billed-RETAIL'!$C67,'Data-Retail'!$B$2:$B$1987,'Mar20-Aug20 Billed-RETAIL'!$E67)</f>
        <v>0</v>
      </c>
      <c r="L67" s="20">
        <f>SUMIFS('Data-Retail'!$P$2:$P$987,'Data-Retail'!$A$2:$A$987,'Mar20-Aug20 Billed-RETAIL'!$C67,'Data-Retail'!$B$2:$B$987,'Mar20-Aug20 Billed-RETAIL'!$E67)/V67</f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1">
        <f>VLOOKUP($E67,'Retail Rates'!$B$7:$P$40,4,FALSE)</f>
        <v>750</v>
      </c>
      <c r="S67" s="21">
        <f>VLOOKUP($E67,'Retail Rates'!$B$7:$P$40,5,FALSE)</f>
        <v>0</v>
      </c>
      <c r="T67" s="22">
        <f>VLOOKUP($E67,'Retail Rates'!$B$7:$P$40,8,FALSE)</f>
        <v>2.9919999999999995E-2</v>
      </c>
      <c r="U67" s="22">
        <f>VLOOKUP($E67,'Retail Rates'!$B$7:$P$40,9,FALSE)</f>
        <v>0</v>
      </c>
      <c r="V67" s="22">
        <f>VLOOKUP($E67,'Retail Rates'!$B$7:$P$40,14,FALSE)</f>
        <v>1.0900000000000001</v>
      </c>
      <c r="W67" s="22">
        <f>VLOOKUP($E67,'Retail Rates'!$B$7:$P$40,10,FALSE)</f>
        <v>0.29919999999999997</v>
      </c>
      <c r="X67" s="22">
        <f>VLOOKUP($E67,'Retail Rates'!$B$7:$P$40,11,FALSE)</f>
        <v>0</v>
      </c>
      <c r="Y67" s="22">
        <f>VLOOKUP($E67,'Retail Rates'!$B$7:$P$40,15,FALSE)</f>
        <v>10.9</v>
      </c>
      <c r="Z67" s="22">
        <v>0</v>
      </c>
      <c r="AA67" s="411">
        <f t="shared" si="102"/>
        <v>0</v>
      </c>
      <c r="AB67" s="411">
        <f t="shared" si="99"/>
        <v>0</v>
      </c>
      <c r="AC67" s="411">
        <f t="shared" si="104"/>
        <v>0</v>
      </c>
      <c r="AD67" s="411">
        <f t="shared" si="100"/>
        <v>0</v>
      </c>
      <c r="AE67" s="411">
        <f t="shared" si="80"/>
        <v>0</v>
      </c>
      <c r="AF67" s="41">
        <v>0</v>
      </c>
      <c r="AG67" s="41">
        <v>0</v>
      </c>
      <c r="AH67" s="33">
        <v>0</v>
      </c>
      <c r="AI67" s="33">
        <v>0</v>
      </c>
      <c r="AJ67" s="41">
        <v>0</v>
      </c>
      <c r="AK67" s="41">
        <v>0</v>
      </c>
      <c r="AL67" s="33">
        <v>0</v>
      </c>
      <c r="AM67" s="33">
        <v>0</v>
      </c>
      <c r="AN67" s="41">
        <v>0</v>
      </c>
      <c r="AO67" s="33">
        <v>0</v>
      </c>
      <c r="AP67" s="411">
        <f t="shared" si="84"/>
        <v>0</v>
      </c>
      <c r="AQ67" s="411">
        <f t="shared" si="85"/>
        <v>0</v>
      </c>
      <c r="AR67" s="411">
        <f t="shared" si="86"/>
        <v>0</v>
      </c>
      <c r="AS67" s="411">
        <f t="shared" si="87"/>
        <v>0</v>
      </c>
      <c r="AT67" s="411">
        <f t="shared" si="88"/>
        <v>0</v>
      </c>
      <c r="AU67" s="411">
        <f t="shared" si="89"/>
        <v>0</v>
      </c>
      <c r="AV67" s="28">
        <f t="shared" si="90"/>
        <v>0</v>
      </c>
      <c r="AW67" s="28">
        <f t="shared" si="91"/>
        <v>0</v>
      </c>
      <c r="AX67" s="28">
        <f t="shared" si="92"/>
        <v>0</v>
      </c>
      <c r="AY67" s="28">
        <f t="shared" si="93"/>
        <v>0</v>
      </c>
      <c r="AZ67" s="28">
        <f t="shared" si="81"/>
        <v>0</v>
      </c>
      <c r="BA67" s="28">
        <f t="shared" si="56"/>
        <v>0</v>
      </c>
      <c r="BB67" s="28">
        <f t="shared" si="94"/>
        <v>0</v>
      </c>
      <c r="BC67" s="29">
        <f t="shared" si="95"/>
        <v>0</v>
      </c>
      <c r="BD67" s="28">
        <f>SUMIFS('SBR Mar20 - Aug20'!$F$3:$F$961,'SBR Mar20 - Aug20'!$A$3:$A$961,'Mar20-Aug20 Billed-RETAIL'!$C67,'SBR Mar20 - Aug20'!$B$3:$B$961,'Mar20-Aug20 Billed-RETAIL'!$E67)</f>
        <v>0</v>
      </c>
      <c r="BE67" s="28">
        <f>SUMIFS('SBR Mar20 - Aug20'!$H$3:$H$961,'SBR Mar20 - Aug20'!$A$3:$A$961,'Mar20-Aug20 Billed-RETAIL'!$C67,'SBR Mar20 - Aug20'!$B$3:$B$961,'Mar20-Aug20 Billed-RETAIL'!$E67)</f>
        <v>0</v>
      </c>
      <c r="BF67" s="28">
        <f>SUMIFS('SBR Mar20 - Aug20'!$G$3:$G$961,'SBR Mar20 - Aug20'!$A$3:$A$961,'Mar20-Aug20 Billed-RETAIL'!$C67,'SBR Mar20 - Aug20'!$B$3:$B$961,'Mar20-Aug20 Billed-RETAIL'!$E67)</f>
        <v>0</v>
      </c>
      <c r="BG67" s="28">
        <f>SUMIFS('SBR Mar20 - Aug20'!$M$3:$M$961,'SBR Mar20 - Aug20'!$A$3:$A$961,'Mar20-Aug20 Billed-RETAIL'!$C67,'SBR Mar20 - Aug20'!$B$3:$B$961,'Mar20-Aug20 Billed-RETAIL'!$E67)</f>
        <v>0</v>
      </c>
      <c r="BH67" s="28">
        <f>SUMIFS('SBR Mar20 - Aug20'!$N$3:$N$961,'SBR Mar20 - Aug20'!$A$3:$A$961,'Mar20-Aug20 Billed-RETAIL'!$C67,'SBR Mar20 - Aug20'!$B$3:$B$961,'Mar20-Aug20 Billed-RETAIL'!$E67)</f>
        <v>0</v>
      </c>
      <c r="BI67" s="28">
        <f>SUMIFS('SBR Mar20 - Aug20'!$Y$3:$Y$961,'SBR Mar20 - Aug20'!$A$3:$A$961,'Mar20-Aug20 Billed-RETAIL'!$C67,'SBR Mar20 - Aug20'!$B$3:$B$961,'Mar20-Aug20 Billed-RETAIL'!$E67)</f>
        <v>0</v>
      </c>
      <c r="BJ67" s="28">
        <f>SUMIFS('SBR Mar20 - Aug20'!$W$3:$W$961,'SBR Mar20 - Aug20'!$A$3:$A$961,'Mar20-Aug20 Billed-RETAIL'!$C67,'SBR Mar20 - Aug20'!$B$3:$B$961,'Mar20-Aug20 Billed-RETAIL'!$E67)</f>
        <v>0</v>
      </c>
      <c r="BK67" s="28">
        <f>SUMIFS('SBR Mar20 - Aug20'!$X$3:$X$961,'SBR Mar20 - Aug20'!$A$3:$A$961,'Mar20-Aug20 Billed-RETAIL'!$C67,'SBR Mar20 - Aug20'!$B$3:$B$961,'Mar20-Aug20 Billed-RETAIL'!$E67)</f>
        <v>0</v>
      </c>
      <c r="BL67" s="28">
        <f>SUMIFS('SBR Mar20 - Aug20'!$Z$3:$Z$961,'SBR Mar20 - Aug20'!$A$3:$A$961,'Mar20-Aug20 Billed-RETAIL'!$C67,'SBR Mar20 - Aug20'!$B$3:$B$961,'Mar20-Aug20 Billed-RETAIL'!$E67)</f>
        <v>0</v>
      </c>
      <c r="BM67" s="42">
        <f t="shared" si="96"/>
        <v>0</v>
      </c>
      <c r="BN67" s="42">
        <f t="shared" si="97"/>
        <v>0</v>
      </c>
    </row>
    <row r="68" spans="1:67" ht="15" customHeight="1" x14ac:dyDescent="0.25">
      <c r="A68" s="57"/>
      <c r="C68" s="307">
        <f t="shared" si="101"/>
        <v>43983</v>
      </c>
      <c r="D68" s="408" t="str">
        <f t="shared" si="83"/>
        <v>875</v>
      </c>
      <c r="E68" s="405" t="str">
        <f>'Retail Rates'!$B$21</f>
        <v>LGCMG875</v>
      </c>
      <c r="F68" s="405"/>
      <c r="G68" s="405" t="str">
        <f>VLOOKUP(E68,'Retail Rates'!$B$7:$D$40,3,FALSE)</f>
        <v>Distributed Generation Gas Service, Commercial</v>
      </c>
      <c r="H68" s="20">
        <f>SUMIFS('Data-Retail'!$F$2:$F$1987,'Data-Retail'!$A$2:$A$1987,'Mar20-Aug20 Billed-RETAIL'!$C68,'Data-Retail'!$B$2:$B$1987,'Mar20-Aug20 Billed-RETAIL'!$E68)</f>
        <v>3</v>
      </c>
      <c r="I68" s="20">
        <v>0</v>
      </c>
      <c r="J68" s="20">
        <f>SUMIFS('Data-Retail'!$G$2:$G$1987,'Data-Retail'!$A$2:$A$1987,'Mar20-Aug20 Billed-RETAIL'!$C68,'Data-Retail'!$B$2:$B$1987,'Mar20-Aug20 Billed-RETAIL'!$E68)</f>
        <v>31</v>
      </c>
      <c r="K68" s="20">
        <f>SUMIFS('Data-Retail'!$H$2:$H$1987,'Data-Retail'!$A$2:$A$1987,'Mar20-Aug20 Billed-RETAIL'!$C68,'Data-Retail'!$B$2:$B$1987,'Mar20-Aug20 Billed-RETAIL'!$E68)</f>
        <v>0</v>
      </c>
      <c r="L68" s="20">
        <f>SUMIFS('Data-Retail'!$P$2:$P$987,'Data-Retail'!$A$2:$A$987,'Mar20-Aug20 Billed-RETAIL'!$C68,'Data-Retail'!$B$2:$B$987,'Mar20-Aug20 Billed-RETAIL'!$E68)/V68</f>
        <v>1607.0399530180405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1">
        <f>VLOOKUP($E68,'Retail Rates'!$B$7:$P$40,4,FALSE)</f>
        <v>165</v>
      </c>
      <c r="S68" s="21">
        <f>VLOOKUP($E68,'Retail Rates'!$B$7:$P$40,5,FALSE)</f>
        <v>750</v>
      </c>
      <c r="T68" s="22">
        <f>VLOOKUP($E68,'Retail Rates'!$B$7:$P$40,8,FALSE)</f>
        <v>2.9919999999999999E-2</v>
      </c>
      <c r="U68" s="22">
        <f>VLOOKUP($E68,'Retail Rates'!$B$7:$P$40,9,FALSE)</f>
        <v>0</v>
      </c>
      <c r="V68" s="22">
        <f>VLOOKUP($E68,'Retail Rates'!$B$7:$P$40,14,FALSE)</f>
        <v>1.08978</v>
      </c>
      <c r="W68" s="22">
        <f>VLOOKUP($E68,'Retail Rates'!$B$7:$P$40,10,FALSE)</f>
        <v>0.29919999999999997</v>
      </c>
      <c r="X68" s="22">
        <f>VLOOKUP($E68,'Retail Rates'!$B$7:$P$40,11,FALSE)</f>
        <v>0</v>
      </c>
      <c r="Y68" s="22">
        <f>VLOOKUP($E68,'Retail Rates'!$B$7:$P$40,15,FALSE)</f>
        <v>10.8978</v>
      </c>
      <c r="Z68" s="22">
        <v>0</v>
      </c>
      <c r="AA68" s="411">
        <f t="shared" si="102"/>
        <v>495</v>
      </c>
      <c r="AB68" s="411">
        <f t="shared" si="99"/>
        <v>0</v>
      </c>
      <c r="AC68" s="411">
        <f t="shared" si="104"/>
        <v>0.92752000000000001</v>
      </c>
      <c r="AD68" s="411">
        <f t="shared" si="100"/>
        <v>0</v>
      </c>
      <c r="AE68" s="411">
        <f t="shared" si="80"/>
        <v>1751.3200000000002</v>
      </c>
      <c r="AF68" s="41">
        <v>0</v>
      </c>
      <c r="AG68" s="41">
        <v>0</v>
      </c>
      <c r="AH68" s="33">
        <v>0</v>
      </c>
      <c r="AI68" s="33">
        <v>0</v>
      </c>
      <c r="AJ68" s="41">
        <v>0</v>
      </c>
      <c r="AK68" s="41">
        <v>0</v>
      </c>
      <c r="AL68" s="33">
        <v>0</v>
      </c>
      <c r="AM68" s="33">
        <v>0</v>
      </c>
      <c r="AN68" s="41">
        <v>0</v>
      </c>
      <c r="AO68" s="33">
        <v>0</v>
      </c>
      <c r="AP68" s="411">
        <f t="shared" si="84"/>
        <v>495</v>
      </c>
      <c r="AQ68" s="411">
        <f t="shared" si="85"/>
        <v>0</v>
      </c>
      <c r="AR68" s="411">
        <f t="shared" si="86"/>
        <v>0.92752000000000001</v>
      </c>
      <c r="AS68" s="411">
        <f t="shared" si="87"/>
        <v>0</v>
      </c>
      <c r="AT68" s="411">
        <f t="shared" si="88"/>
        <v>1751.3200000000002</v>
      </c>
      <c r="AU68" s="411">
        <f t="shared" si="89"/>
        <v>0</v>
      </c>
      <c r="AV68" s="28">
        <f t="shared" si="90"/>
        <v>0</v>
      </c>
      <c r="AW68" s="28">
        <f t="shared" si="91"/>
        <v>7.88</v>
      </c>
      <c r="AX68" s="28">
        <f t="shared" si="92"/>
        <v>0</v>
      </c>
      <c r="AY68" s="28">
        <f t="shared" si="93"/>
        <v>333.06</v>
      </c>
      <c r="AZ68" s="28">
        <f t="shared" si="81"/>
        <v>0.36</v>
      </c>
      <c r="BA68" s="28">
        <f t="shared" si="56"/>
        <v>2588.5500000000002</v>
      </c>
      <c r="BB68" s="28">
        <f t="shared" si="94"/>
        <v>2588.5500000000002</v>
      </c>
      <c r="BC68" s="29">
        <f t="shared" si="95"/>
        <v>1</v>
      </c>
      <c r="BD68" s="28">
        <f>SUMIFS('SBR Mar20 - Aug20'!$F$3:$F$961,'SBR Mar20 - Aug20'!$A$3:$A$961,'Mar20-Aug20 Billed-RETAIL'!$C68,'SBR Mar20 - Aug20'!$B$3:$B$961,'Mar20-Aug20 Billed-RETAIL'!$E68)</f>
        <v>495</v>
      </c>
      <c r="BE68" s="28">
        <f>SUMIFS('SBR Mar20 - Aug20'!$H$3:$H$961,'SBR Mar20 - Aug20'!$A$3:$A$961,'Mar20-Aug20 Billed-RETAIL'!$C68,'SBR Mar20 - Aug20'!$B$3:$B$961,'Mar20-Aug20 Billed-RETAIL'!$E68)</f>
        <v>0.93</v>
      </c>
      <c r="BF68" s="28">
        <f>SUMIFS('SBR Mar20 - Aug20'!$G$3:$G$961,'SBR Mar20 - Aug20'!$A$3:$A$961,'Mar20-Aug20 Billed-RETAIL'!$C68,'SBR Mar20 - Aug20'!$B$3:$B$961,'Mar20-Aug20 Billed-RETAIL'!$E68)</f>
        <v>1751.32</v>
      </c>
      <c r="BG68" s="28">
        <f>SUMIFS('SBR Mar20 - Aug20'!$M$3:$M$961,'SBR Mar20 - Aug20'!$A$3:$A$961,'Mar20-Aug20 Billed-RETAIL'!$C68,'SBR Mar20 - Aug20'!$B$3:$B$961,'Mar20-Aug20 Billed-RETAIL'!$E68)</f>
        <v>0</v>
      </c>
      <c r="BH68" s="28">
        <f>SUMIFS('SBR Mar20 - Aug20'!$N$3:$N$961,'SBR Mar20 - Aug20'!$A$3:$A$961,'Mar20-Aug20 Billed-RETAIL'!$C68,'SBR Mar20 - Aug20'!$B$3:$B$961,'Mar20-Aug20 Billed-RETAIL'!$E68)</f>
        <v>7.88</v>
      </c>
      <c r="BI68" s="28">
        <f>SUMIFS('SBR Mar20 - Aug20'!$Y$3:$Y$961,'SBR Mar20 - Aug20'!$A$3:$A$961,'Mar20-Aug20 Billed-RETAIL'!$C68,'SBR Mar20 - Aug20'!$B$3:$B$961,'Mar20-Aug20 Billed-RETAIL'!$E68)</f>
        <v>0</v>
      </c>
      <c r="BJ68" s="28">
        <f>SUMIFS('SBR Mar20 - Aug20'!$W$3:$W$961,'SBR Mar20 - Aug20'!$A$3:$A$961,'Mar20-Aug20 Billed-RETAIL'!$C68,'SBR Mar20 - Aug20'!$B$3:$B$961,'Mar20-Aug20 Billed-RETAIL'!$E68)</f>
        <v>333.06</v>
      </c>
      <c r="BK68" s="28">
        <f>SUMIFS('SBR Mar20 - Aug20'!$X$3:$X$961,'SBR Mar20 - Aug20'!$A$3:$A$961,'Mar20-Aug20 Billed-RETAIL'!$C68,'SBR Mar20 - Aug20'!$B$3:$B$961,'Mar20-Aug20 Billed-RETAIL'!$E68)</f>
        <v>0.36</v>
      </c>
      <c r="BL68" s="28">
        <f>SUMIFS('SBR Mar20 - Aug20'!$Z$3:$Z$961,'SBR Mar20 - Aug20'!$A$3:$A$961,'Mar20-Aug20 Billed-RETAIL'!$C68,'SBR Mar20 - Aug20'!$B$3:$B$961,'Mar20-Aug20 Billed-RETAIL'!$E68)</f>
        <v>0</v>
      </c>
      <c r="BM68" s="42">
        <f t="shared" si="96"/>
        <v>0</v>
      </c>
      <c r="BN68" s="42">
        <f t="shared" si="97"/>
        <v>-2.4800000000000377E-3</v>
      </c>
    </row>
    <row r="69" spans="1:67" ht="15" customHeight="1" x14ac:dyDescent="0.25">
      <c r="A69" s="57"/>
      <c r="C69" s="307">
        <f>C68</f>
        <v>43983</v>
      </c>
      <c r="D69" s="408">
        <v>996</v>
      </c>
      <c r="E69" s="405" t="s">
        <v>32</v>
      </c>
      <c r="F69" s="405"/>
      <c r="G69" s="405" t="s">
        <v>624</v>
      </c>
      <c r="H69" s="20">
        <v>1</v>
      </c>
      <c r="I69" s="20">
        <v>0</v>
      </c>
      <c r="J69" s="20">
        <f>SUMIFS('Data-Retail'!$G$2:$G$1987,'Data-Retail'!$A$2:$A$1987,'Mar20-Aug20 Billed-RETAIL'!$C69,'Data-Retail'!$B$2:$B$1987,'Mar20-Aug20 Billed-RETAIL'!$E69)</f>
        <v>99971</v>
      </c>
      <c r="K69" s="20">
        <f>SUMIFS('Data-Retail'!$H$2:$H$1987,'Data-Retail'!$A$2:$A$1987,'Mar20-Aug20 Billed-RETAIL'!$C69,'Data-Retail'!$B$2:$B$1987,'Mar20-Aug20 Billed-RETAIL'!$E69)</f>
        <v>0</v>
      </c>
      <c r="L69" s="20">
        <f>SUMIFS('Data-Retail'!$P$2:$P$987,'Data-Retail'!$A$2:$A$987,'Mar20-Aug20 Billed-RETAIL'!$C69,'Data-Retail'!$B$2:$B$987,'Mar20-Aug20 Billed-RETAIL'!$E69)/V69</f>
        <v>-165600.0018352328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1">
        <f>VLOOKUP($E69,'Retail Rates'!$B$7:$P$40,4,FALSE)</f>
        <v>750</v>
      </c>
      <c r="S69" s="21">
        <f>VLOOKUP($E69,'Retail Rates'!$B$7:$P$40,5,FALSE)</f>
        <v>0</v>
      </c>
      <c r="T69" s="22">
        <f>VLOOKUP($E69,'Retail Rates'!$B$7:$P$40,8,FALSE)</f>
        <v>2.9920000000000002E-2</v>
      </c>
      <c r="U69" s="22">
        <f>VLOOKUP($E69,'Retail Rates'!$B$7:$P$40,9,FALSE)</f>
        <v>0</v>
      </c>
      <c r="V69" s="22">
        <f>VLOOKUP($E69,'Retail Rates'!$B$7:$P$40,14,FALSE)</f>
        <v>1.08978</v>
      </c>
      <c r="W69" s="22">
        <f>VLOOKUP($E69,'Retail Rates'!$B$7:$P$40,10,FALSE)</f>
        <v>0.29920000000000002</v>
      </c>
      <c r="X69" s="22">
        <f>VLOOKUP($E69,'Retail Rates'!$B$7:$P$40,11,FALSE)</f>
        <v>0</v>
      </c>
      <c r="Y69" s="22">
        <f>VLOOKUP($E69,'Retail Rates'!$B$7:$P$40,15,FALSE)</f>
        <v>10.8978</v>
      </c>
      <c r="Z69" s="22">
        <v>0</v>
      </c>
      <c r="AA69" s="411">
        <f t="shared" si="102"/>
        <v>750</v>
      </c>
      <c r="AB69" s="411">
        <f t="shared" si="99"/>
        <v>0</v>
      </c>
      <c r="AC69" s="411">
        <f t="shared" si="104"/>
        <v>2991.1323200000002</v>
      </c>
      <c r="AD69" s="411">
        <f t="shared" si="100"/>
        <v>0</v>
      </c>
      <c r="AE69" s="411">
        <f t="shared" si="80"/>
        <v>-180467.57</v>
      </c>
      <c r="AF69" s="41">
        <v>0</v>
      </c>
      <c r="AG69" s="41">
        <v>0</v>
      </c>
      <c r="AH69" s="33">
        <v>-1500</v>
      </c>
      <c r="AI69" s="33">
        <v>0</v>
      </c>
      <c r="AJ69" s="41">
        <v>0</v>
      </c>
      <c r="AK69" s="41">
        <v>0</v>
      </c>
      <c r="AL69" s="33">
        <v>0</v>
      </c>
      <c r="AM69" s="33">
        <v>0</v>
      </c>
      <c r="AN69" s="41">
        <v>0</v>
      </c>
      <c r="AO69" s="33">
        <v>0</v>
      </c>
      <c r="AP69" s="411">
        <f t="shared" si="84"/>
        <v>-750</v>
      </c>
      <c r="AQ69" s="411">
        <f t="shared" si="85"/>
        <v>0</v>
      </c>
      <c r="AR69" s="411">
        <f t="shared" si="86"/>
        <v>2991.1323200000002</v>
      </c>
      <c r="AS69" s="411">
        <f t="shared" si="87"/>
        <v>0</v>
      </c>
      <c r="AT69" s="411">
        <f t="shared" si="88"/>
        <v>-180467.57</v>
      </c>
      <c r="AU69" s="411">
        <f t="shared" si="89"/>
        <v>0</v>
      </c>
      <c r="AV69" s="28">
        <f t="shared" si="90"/>
        <v>0</v>
      </c>
      <c r="AW69" s="28">
        <f t="shared" si="91"/>
        <v>25402.63</v>
      </c>
      <c r="AX69" s="28">
        <f t="shared" si="92"/>
        <v>0</v>
      </c>
      <c r="AY69" s="28">
        <f t="shared" si="93"/>
        <v>-111.02</v>
      </c>
      <c r="AZ69" s="28">
        <f t="shared" si="81"/>
        <v>1169.6600000000001</v>
      </c>
      <c r="BA69" s="28">
        <f>ROUND(SUM(AP69:AZ69),2)</f>
        <v>-151765.17000000001</v>
      </c>
      <c r="BB69" s="28">
        <f t="shared" si="94"/>
        <v>-151765.16999999998</v>
      </c>
      <c r="BC69" s="29">
        <f t="shared" si="95"/>
        <v>1</v>
      </c>
      <c r="BD69" s="28">
        <f>SUMIFS('SBR Mar20 - Aug20'!$F$3:$F$961,'SBR Mar20 - Aug20'!$A$3:$A$961,'Mar20-Aug20 Billed-RETAIL'!$C69,'SBR Mar20 - Aug20'!$B$3:$B$961,'Mar20-Aug20 Billed-RETAIL'!$E69)</f>
        <v>-750</v>
      </c>
      <c r="BE69" s="28">
        <f>SUMIFS('SBR Mar20 - Aug20'!$H$3:$H$961,'SBR Mar20 - Aug20'!$A$3:$A$961,'Mar20-Aug20 Billed-RETAIL'!$C69,'SBR Mar20 - Aug20'!$B$3:$B$961,'Mar20-Aug20 Billed-RETAIL'!$E69)</f>
        <v>2991.13</v>
      </c>
      <c r="BF69" s="28">
        <f>SUMIFS('SBR Mar20 - Aug20'!$G$3:$G$961,'SBR Mar20 - Aug20'!$A$3:$A$961,'Mar20-Aug20 Billed-RETAIL'!$C69,'SBR Mar20 - Aug20'!$B$3:$B$961,'Mar20-Aug20 Billed-RETAIL'!$E69)</f>
        <v>-180467.57</v>
      </c>
      <c r="BG69" s="28">
        <f>SUMIFS('SBR Mar20 - Aug20'!$M$3:$M$961,'SBR Mar20 - Aug20'!$A$3:$A$961,'Mar20-Aug20 Billed-RETAIL'!$C69,'SBR Mar20 - Aug20'!$B$3:$B$961,'Mar20-Aug20 Billed-RETAIL'!$E69)</f>
        <v>0</v>
      </c>
      <c r="BH69" s="28">
        <f>SUMIFS('SBR Mar20 - Aug20'!$N$3:$N$961,'SBR Mar20 - Aug20'!$A$3:$A$961,'Mar20-Aug20 Billed-RETAIL'!$C69,'SBR Mar20 - Aug20'!$B$3:$B$961,'Mar20-Aug20 Billed-RETAIL'!$E69)</f>
        <v>25402.63</v>
      </c>
      <c r="BI69" s="28">
        <f>SUMIFS('SBR Mar20 - Aug20'!$Y$3:$Y$961,'SBR Mar20 - Aug20'!$A$3:$A$961,'Mar20-Aug20 Billed-RETAIL'!$C69,'SBR Mar20 - Aug20'!$B$3:$B$961,'Mar20-Aug20 Billed-RETAIL'!$E69)</f>
        <v>0</v>
      </c>
      <c r="BJ69" s="28">
        <f>SUMIFS('SBR Mar20 - Aug20'!$W$3:$W$961,'SBR Mar20 - Aug20'!$A$3:$A$961,'Mar20-Aug20 Billed-RETAIL'!$C69,'SBR Mar20 - Aug20'!$B$3:$B$961,'Mar20-Aug20 Billed-RETAIL'!$E69)</f>
        <v>-111.02</v>
      </c>
      <c r="BK69" s="28">
        <f>SUMIFS('SBR Mar20 - Aug20'!$X$3:$X$961,'SBR Mar20 - Aug20'!$A$3:$A$961,'Mar20-Aug20 Billed-RETAIL'!$C69,'SBR Mar20 - Aug20'!$B$3:$B$961,'Mar20-Aug20 Billed-RETAIL'!$E69)</f>
        <v>1169.6600000000001</v>
      </c>
      <c r="BL69" s="28">
        <f>SUMIFS('SBR Mar20 - Aug20'!$Z$3:$Z$961,'SBR Mar20 - Aug20'!$A$3:$A$961,'Mar20-Aug20 Billed-RETAIL'!$C69,'SBR Mar20 - Aug20'!$B$3:$B$961,'Mar20-Aug20 Billed-RETAIL'!$E69)</f>
        <v>0</v>
      </c>
      <c r="BM69" s="42">
        <f t="shared" si="96"/>
        <v>0</v>
      </c>
      <c r="BN69" s="42">
        <f t="shared" si="97"/>
        <v>2.3200000000542786E-3</v>
      </c>
    </row>
    <row r="70" spans="1:67" s="279" customFormat="1" ht="15" customHeight="1" x14ac:dyDescent="0.25">
      <c r="A70" s="57"/>
      <c r="B70"/>
      <c r="C70" s="308"/>
      <c r="D70" s="308"/>
      <c r="E70" s="280"/>
      <c r="F70" s="280"/>
      <c r="G70" s="280"/>
      <c r="H70" s="281"/>
      <c r="I70" s="281"/>
      <c r="J70" s="281"/>
      <c r="K70" s="510" t="s">
        <v>950</v>
      </c>
      <c r="L70" s="281"/>
      <c r="M70" s="281"/>
      <c r="N70" s="281"/>
      <c r="O70" s="281"/>
      <c r="P70" s="281"/>
      <c r="Q70" s="281"/>
      <c r="R70" s="282"/>
      <c r="S70" s="282"/>
      <c r="T70" s="283"/>
      <c r="U70" s="283"/>
      <c r="V70" s="282"/>
      <c r="W70" s="282"/>
      <c r="X70" s="282"/>
      <c r="Y70" s="282"/>
      <c r="Z70" s="282"/>
      <c r="AA70" s="284"/>
      <c r="AB70" s="284"/>
      <c r="AC70" s="284"/>
      <c r="AD70" s="284"/>
      <c r="AE70" s="284"/>
      <c r="AF70" s="285"/>
      <c r="AG70" s="285"/>
      <c r="AH70" s="284"/>
      <c r="AI70" s="284"/>
      <c r="AJ70" s="284"/>
      <c r="AK70" s="284"/>
      <c r="AL70" s="284"/>
      <c r="AM70" s="284"/>
      <c r="AN70" s="284"/>
      <c r="AO70" s="284"/>
      <c r="AP70" s="284"/>
      <c r="AQ70" s="284"/>
      <c r="AR70" s="284"/>
      <c r="AS70" s="284"/>
      <c r="AT70" s="284"/>
      <c r="AU70" s="284"/>
      <c r="AV70" s="284"/>
      <c r="AW70" s="284"/>
      <c r="AX70" s="284"/>
      <c r="AY70" s="284"/>
      <c r="AZ70" s="284"/>
      <c r="BA70" s="284"/>
      <c r="BB70" s="284"/>
      <c r="BC70" s="284"/>
      <c r="BD70" s="284"/>
      <c r="BE70" s="284"/>
      <c r="BF70" s="284"/>
      <c r="BG70" s="284"/>
      <c r="BH70" s="284"/>
      <c r="BI70" s="284"/>
      <c r="BJ70" s="284"/>
      <c r="BM70" s="284"/>
      <c r="BN70" s="284"/>
    </row>
    <row r="71" spans="1:67" ht="15" customHeight="1" x14ac:dyDescent="0.25">
      <c r="A71" s="57"/>
      <c r="C71" s="307">
        <f>EDATE(C55,1)</f>
        <v>44013</v>
      </c>
      <c r="D71" s="408" t="str">
        <f>MID(E71,6,3)</f>
        <v>811</v>
      </c>
      <c r="E71" s="405" t="str">
        <f>'Retail Rates'!$B$7</f>
        <v>LGRSG811</v>
      </c>
      <c r="F71" s="405"/>
      <c r="G71" s="405" t="str">
        <f>VLOOKUP(E71,'Retail Rates'!$B$7:$D$40,3,FALSE)</f>
        <v>Residential Gas Service</v>
      </c>
      <c r="H71" s="20">
        <f>SUMIFS('Data-Retail'!$F$2:$F$987,'Data-Retail'!$A$2:$A$987,'Mar20-Aug20 Billed-RETAIL'!$C71,'Data-Retail'!$B$2:$B$987,'Mar20-Aug20 Billed-RETAIL'!$E71)+AF71</f>
        <v>302550</v>
      </c>
      <c r="I71" s="20">
        <v>0</v>
      </c>
      <c r="J71" s="20">
        <f>SUMIFS('Data-Retail'!$G$2:$G$1987,'Data-Retail'!$A$2:$A$1987,'Mar20-Aug20 Billed-RETAIL'!$C71,'Data-Retail'!$B$2:$B$1987,'Mar20-Aug20 Billed-RETAIL'!$E71)+AJ71</f>
        <v>3612000</v>
      </c>
      <c r="K71" s="20">
        <f>SUMIFS('Data-Retail'!$H$2:$H$1987,'Data-Retail'!$A$2:$A$1987,'Mar20-Aug20 Billed-RETAIL'!$C71,'Data-Retail'!$B$2:$B$1987,'Mar20-Aug20 Billed-RETAIL'!$E71)</f>
        <v>0</v>
      </c>
      <c r="L71" s="20">
        <v>0</v>
      </c>
      <c r="M71" s="20">
        <v>0</v>
      </c>
      <c r="N71" s="20">
        <v>0</v>
      </c>
      <c r="O71" s="20">
        <v>0</v>
      </c>
      <c r="P71" s="20">
        <v>9371002</v>
      </c>
      <c r="Q71" s="20">
        <v>0</v>
      </c>
      <c r="R71" s="21">
        <f>VLOOKUP($E71,'Retail Rates'!$B$7:$P$40,4,FALSE)</f>
        <v>0.65</v>
      </c>
      <c r="S71" s="21">
        <f>VLOOKUP($E71,'Retail Rates'!$B$7:$P$40,5,FALSE)</f>
        <v>0</v>
      </c>
      <c r="T71" s="22">
        <f>VLOOKUP($E71,'Retail Rates'!$B$7:$P$40,8,FALSE)</f>
        <v>0.36781999999999998</v>
      </c>
      <c r="U71" s="22">
        <f>VLOOKUP($E71,'Retail Rates'!$B$7:$P$40,9,FALSE)</f>
        <v>0</v>
      </c>
      <c r="V71" s="22">
        <f>VLOOKUP($E71,'Retail Rates'!$B$7:$P$40,14,FALSE)</f>
        <v>0</v>
      </c>
      <c r="W71" s="22">
        <f>VLOOKUP($E71,'Retail Rates'!$B$7:$P$40,10,FALSE)</f>
        <v>3.6781999999999999</v>
      </c>
      <c r="X71" s="22">
        <f>VLOOKUP($E71,'Retail Rates'!$B$7:$P$40,11,FALSE)</f>
        <v>0</v>
      </c>
      <c r="Y71" s="22">
        <f>VLOOKUP($E71,'Retail Rates'!$B$7:$P$40,15,FALSE)</f>
        <v>0</v>
      </c>
      <c r="Z71" s="22">
        <v>0</v>
      </c>
      <c r="AA71" s="411">
        <f t="shared" ref="AA71:AA77" si="105">(+P71*R71)</f>
        <v>6091151.2999999998</v>
      </c>
      <c r="AB71" s="411">
        <f t="shared" ref="AB71:AD72" si="106">+I71*S71</f>
        <v>0</v>
      </c>
      <c r="AC71" s="411">
        <f t="shared" si="106"/>
        <v>1328565.8399999999</v>
      </c>
      <c r="AD71" s="411">
        <f t="shared" si="106"/>
        <v>0</v>
      </c>
      <c r="AE71" s="23">
        <f t="shared" ref="AE71:AE85" si="107">L71*V71</f>
        <v>0</v>
      </c>
      <c r="AF71" s="41">
        <v>-118</v>
      </c>
      <c r="AG71" s="41">
        <v>0</v>
      </c>
      <c r="AH71" s="33">
        <v>-347.62</v>
      </c>
      <c r="AI71" s="33">
        <v>0</v>
      </c>
      <c r="AJ71" s="41">
        <v>-4052</v>
      </c>
      <c r="AK71" s="41">
        <v>0</v>
      </c>
      <c r="AL71" s="33">
        <v>1496.2</v>
      </c>
      <c r="AM71" s="33">
        <v>0</v>
      </c>
      <c r="AN71" s="41">
        <v>0</v>
      </c>
      <c r="AO71" s="33">
        <v>0</v>
      </c>
      <c r="AP71" s="411">
        <f>AA71+AH71</f>
        <v>6090803.6799999997</v>
      </c>
      <c r="AQ71" s="411">
        <f>AB71+AI71</f>
        <v>0</v>
      </c>
      <c r="AR71" s="411">
        <f>AC71+AL71</f>
        <v>1330062.0399999998</v>
      </c>
      <c r="AS71" s="411">
        <f>AD71+AM71</f>
        <v>0</v>
      </c>
      <c r="AT71" s="411">
        <f>AE71+AO71</f>
        <v>0</v>
      </c>
      <c r="AU71" s="411">
        <f>BL71</f>
        <v>-105.33</v>
      </c>
      <c r="AV71" s="28">
        <f>BG71</f>
        <v>-5648.01</v>
      </c>
      <c r="AW71" s="28">
        <f>BH71</f>
        <v>918988.31</v>
      </c>
      <c r="AX71" s="28">
        <f>BI71</f>
        <v>-222.74</v>
      </c>
      <c r="AY71" s="28">
        <f>BJ71</f>
        <v>562162.81999999995</v>
      </c>
      <c r="AZ71" s="28">
        <f t="shared" ref="AZ71:AZ101" si="108">BK71</f>
        <v>86039.59</v>
      </c>
      <c r="BA71" s="28">
        <f>ROUND(SUM(AP71:AZ71),2)</f>
        <v>8982080.3599999994</v>
      </c>
      <c r="BB71" s="28">
        <f>SUM(BD71:BL71)</f>
        <v>8982080.3599999994</v>
      </c>
      <c r="BC71" s="29">
        <f>IF(BB71=0,0,ROUND(BB71/BA71,6))</f>
        <v>1</v>
      </c>
      <c r="BD71" s="28">
        <f>SUMIFS('SBR Mar20 - Aug20'!$F$3:$F$961,'SBR Mar20 - Aug20'!$A$3:$A$961,'Mar20-Aug20 Billed-RETAIL'!$C71,'SBR Mar20 - Aug20'!$B$3:$B$961,'Mar20-Aug20 Billed-RETAIL'!$E71)</f>
        <v>6090803.6799999997</v>
      </c>
      <c r="BE71" s="28">
        <f>SUMIFS('SBR Mar20 - Aug20'!$H$3:$H$961,'SBR Mar20 - Aug20'!$A$3:$A$961,'Mar20-Aug20 Billed-RETAIL'!$C71,'SBR Mar20 - Aug20'!$B$3:$B$961,'Mar20-Aug20 Billed-RETAIL'!$E71)</f>
        <v>1330062.04</v>
      </c>
      <c r="BF71" s="28">
        <f>SUMIFS('SBR Mar20 - Aug20'!$G$3:$G$961,'SBR Mar20 - Aug20'!$A$3:$A$961,'Mar20-Aug20 Billed-RETAIL'!$C71,'SBR Mar20 - Aug20'!$B$3:$B$961,'Mar20-Aug20 Billed-RETAIL'!$E71)</f>
        <v>0</v>
      </c>
      <c r="BG71" s="28">
        <f>SUMIFS('SBR Mar20 - Aug20'!$M$3:$M$961,'SBR Mar20 - Aug20'!$A$3:$A$961,'Mar20-Aug20 Billed-RETAIL'!$C71,'SBR Mar20 - Aug20'!$B$3:$B$961,'Mar20-Aug20 Billed-RETAIL'!$E71)</f>
        <v>-5648.01</v>
      </c>
      <c r="BH71" s="28">
        <f>SUMIFS('SBR Mar20 - Aug20'!$N$3:$N$961,'SBR Mar20 - Aug20'!$A$3:$A$961,'Mar20-Aug20 Billed-RETAIL'!$C71,'SBR Mar20 - Aug20'!$B$3:$B$961,'Mar20-Aug20 Billed-RETAIL'!$E71)</f>
        <v>918988.31</v>
      </c>
      <c r="BI71" s="28">
        <f>SUMIFS('SBR Mar20 - Aug20'!$Y$3:$Y$961,'SBR Mar20 - Aug20'!$A$3:$A$961,'Mar20-Aug20 Billed-RETAIL'!$C71,'SBR Mar20 - Aug20'!$B$3:$B$961,'Mar20-Aug20 Billed-RETAIL'!$E71)</f>
        <v>-222.74</v>
      </c>
      <c r="BJ71" s="28">
        <f>SUMIFS('SBR Mar20 - Aug20'!$W$3:$W$961,'SBR Mar20 - Aug20'!$A$3:$A$961,'Mar20-Aug20 Billed-RETAIL'!$C71,'SBR Mar20 - Aug20'!$B$3:$B$961,'Mar20-Aug20 Billed-RETAIL'!$E71)</f>
        <v>562162.81999999995</v>
      </c>
      <c r="BK71" s="28">
        <f>SUMIFS('SBR Mar20 - Aug20'!$X$3:$X$961,'SBR Mar20 - Aug20'!$A$3:$A$961,'Mar20-Aug20 Billed-RETAIL'!$C71,'SBR Mar20 - Aug20'!$B$3:$B$961,'Mar20-Aug20 Billed-RETAIL'!$E71)</f>
        <v>86039.59</v>
      </c>
      <c r="BL71" s="28">
        <f>SUMIFS('SBR Mar20 - Aug20'!$Z$3:$Z$961,'SBR Mar20 - Aug20'!$A$3:$A$961,'Mar20-Aug20 Billed-RETAIL'!$C71,'SBR Mar20 - Aug20'!$B$3:$B$961,'Mar20-Aug20 Billed-RETAIL'!$E71)</f>
        <v>-105.33</v>
      </c>
      <c r="BM71" s="42">
        <f>+AP71+AQ71-BD71</f>
        <v>0</v>
      </c>
      <c r="BN71" s="42">
        <f>+AR71+AS71-BE71</f>
        <v>0</v>
      </c>
    </row>
    <row r="72" spans="1:67" ht="15" customHeight="1" x14ac:dyDescent="0.25">
      <c r="A72" s="57"/>
      <c r="C72" s="307">
        <f t="shared" ref="C72:C77" si="109">$C$71</f>
        <v>44013</v>
      </c>
      <c r="D72" s="408" t="str">
        <f t="shared" ref="D72:D84" si="110">MID(E72,6,3)</f>
        <v>840</v>
      </c>
      <c r="E72" s="405" t="str">
        <f>'Retail Rates'!$B$8</f>
        <v>LGRSG840</v>
      </c>
      <c r="F72" s="405"/>
      <c r="G72" s="405" t="str">
        <f>VLOOKUP(E72,'Retail Rates'!$B$7:$D$40,3,FALSE)</f>
        <v>Volunteer Fire Department Gas</v>
      </c>
      <c r="H72" s="20">
        <v>3</v>
      </c>
      <c r="I72" s="20">
        <v>0</v>
      </c>
      <c r="J72" s="20">
        <f>SUMIFS('Data-Retail'!$G$2:$G$1987,'Data-Retail'!$A$2:$A$1987,'Mar20-Aug20 Billed-RETAIL'!$C72,'Data-Retail'!$B$2:$B$1987,'Mar20-Aug20 Billed-RETAIL'!$E72)</f>
        <v>299</v>
      </c>
      <c r="K72" s="20">
        <f>SUMIFS('Data-Retail'!$H$2:$H$1987,'Data-Retail'!$A$2:$A$1987,'Mar20-Aug20 Billed-RETAIL'!$C72,'Data-Retail'!$B$2:$B$1987,'Mar20-Aug20 Billed-RETAIL'!$E72)</f>
        <v>0</v>
      </c>
      <c r="L72" s="20">
        <v>0</v>
      </c>
      <c r="M72" s="20">
        <v>0</v>
      </c>
      <c r="N72" s="20">
        <v>0</v>
      </c>
      <c r="O72" s="20">
        <v>0</v>
      </c>
      <c r="P72" s="20">
        <v>94</v>
      </c>
      <c r="Q72" s="20">
        <v>0</v>
      </c>
      <c r="R72" s="21">
        <f>VLOOKUP($E72,'Retail Rates'!$B$7:$P$40,4,FALSE)</f>
        <v>0.65</v>
      </c>
      <c r="S72" s="21">
        <f>VLOOKUP($E72,'Retail Rates'!$B$7:$P$40,5,FALSE)</f>
        <v>0</v>
      </c>
      <c r="T72" s="22">
        <f>VLOOKUP($E72,'Retail Rates'!$B$7:$P$40,8,FALSE)</f>
        <v>0.36781999999999998</v>
      </c>
      <c r="U72" s="22">
        <f>VLOOKUP($E72,'Retail Rates'!$B$7:$P$40,9,FALSE)</f>
        <v>0</v>
      </c>
      <c r="V72" s="22">
        <f>VLOOKUP($E72,'Retail Rates'!$B$7:$P$40,14,FALSE)</f>
        <v>0</v>
      </c>
      <c r="W72" s="22">
        <f>VLOOKUP($E72,'Retail Rates'!$B$7:$P$40,10,FALSE)</f>
        <v>3.6781999999999999</v>
      </c>
      <c r="X72" s="22">
        <f>VLOOKUP($E72,'Retail Rates'!$B$7:$P$40,11,FALSE)</f>
        <v>0</v>
      </c>
      <c r="Y72" s="22">
        <f>VLOOKUP($E72,'Retail Rates'!$B$7:$P$40,15,FALSE)</f>
        <v>0</v>
      </c>
      <c r="Z72" s="22">
        <v>0</v>
      </c>
      <c r="AA72" s="411">
        <f t="shared" si="105"/>
        <v>61.1</v>
      </c>
      <c r="AB72" s="411">
        <f t="shared" si="106"/>
        <v>0</v>
      </c>
      <c r="AC72" s="411">
        <f t="shared" si="106"/>
        <v>109.97817999999999</v>
      </c>
      <c r="AD72" s="411">
        <f t="shared" si="106"/>
        <v>0</v>
      </c>
      <c r="AE72" s="411">
        <f t="shared" si="107"/>
        <v>0</v>
      </c>
      <c r="AF72" s="41">
        <v>0</v>
      </c>
      <c r="AG72" s="41">
        <v>0</v>
      </c>
      <c r="AH72" s="33">
        <v>0</v>
      </c>
      <c r="AI72" s="33">
        <v>0</v>
      </c>
      <c r="AJ72" s="41">
        <v>0</v>
      </c>
      <c r="AK72" s="41">
        <v>0</v>
      </c>
      <c r="AL72" s="33">
        <v>-0.01</v>
      </c>
      <c r="AM72" s="33">
        <v>0</v>
      </c>
      <c r="AN72" s="41">
        <v>0</v>
      </c>
      <c r="AO72" s="33">
        <v>0</v>
      </c>
      <c r="AP72" s="411">
        <f t="shared" ref="AP72:AP85" si="111">AA72+AH72</f>
        <v>61.1</v>
      </c>
      <c r="AQ72" s="411">
        <f t="shared" ref="AQ72:AQ85" si="112">AB72+AI72</f>
        <v>0</v>
      </c>
      <c r="AR72" s="411">
        <f t="shared" ref="AR72:AR85" si="113">AC72+AL72</f>
        <v>109.96817999999999</v>
      </c>
      <c r="AS72" s="411">
        <f t="shared" ref="AS72:AS85" si="114">AD72+AM72</f>
        <v>0</v>
      </c>
      <c r="AT72" s="411">
        <f t="shared" ref="AT72:AT85" si="115">AE72+AO72</f>
        <v>0</v>
      </c>
      <c r="AU72" s="411">
        <f t="shared" ref="AU72:AU101" si="116">BL72</f>
        <v>0</v>
      </c>
      <c r="AV72" s="28">
        <f t="shared" ref="AV72:AV85" si="117">BG72</f>
        <v>-0.47</v>
      </c>
      <c r="AW72" s="28">
        <f t="shared" ref="AW72:AW85" si="118">BH72</f>
        <v>75.97</v>
      </c>
      <c r="AX72" s="28">
        <f t="shared" ref="AX72:AX85" si="119">BI72</f>
        <v>0</v>
      </c>
      <c r="AY72" s="28">
        <f t="shared" ref="AY72:AY85" si="120">BJ72</f>
        <v>5.61</v>
      </c>
      <c r="AZ72" s="28">
        <f t="shared" si="108"/>
        <v>7.11</v>
      </c>
      <c r="BA72" s="28">
        <f t="shared" ref="BA72:BA135" si="121">ROUND(SUM(AP72:AZ72),2)</f>
        <v>259.29000000000002</v>
      </c>
      <c r="BB72" s="28">
        <f t="shared" ref="BB72:BB101" si="122">SUM(BD72:BL72)</f>
        <v>259.29000000000002</v>
      </c>
      <c r="BC72" s="29">
        <f t="shared" ref="BC72:BC85" si="123">IF(BB72=0,0,ROUND(BB72/BA72,6))</f>
        <v>1</v>
      </c>
      <c r="BD72" s="28">
        <f>SUMIFS('SBR Mar20 - Aug20'!$F$3:$F$961,'SBR Mar20 - Aug20'!$A$3:$A$961,'Mar20-Aug20 Billed-RETAIL'!$C72,'SBR Mar20 - Aug20'!$B$3:$B$961,'Mar20-Aug20 Billed-RETAIL'!$E72)</f>
        <v>61.1</v>
      </c>
      <c r="BE72" s="28">
        <f>SUMIFS('SBR Mar20 - Aug20'!$H$3:$H$961,'SBR Mar20 - Aug20'!$A$3:$A$961,'Mar20-Aug20 Billed-RETAIL'!$C72,'SBR Mar20 - Aug20'!$B$3:$B$961,'Mar20-Aug20 Billed-RETAIL'!$E72)</f>
        <v>109.97</v>
      </c>
      <c r="BF72" s="28">
        <f>SUMIFS('SBR Mar20 - Aug20'!$G$3:$G$961,'SBR Mar20 - Aug20'!$A$3:$A$961,'Mar20-Aug20 Billed-RETAIL'!$C72,'SBR Mar20 - Aug20'!$B$3:$B$961,'Mar20-Aug20 Billed-RETAIL'!$E72)</f>
        <v>0</v>
      </c>
      <c r="BG72" s="28">
        <f>SUMIFS('SBR Mar20 - Aug20'!$M$3:$M$961,'SBR Mar20 - Aug20'!$A$3:$A$961,'Mar20-Aug20 Billed-RETAIL'!$C72,'SBR Mar20 - Aug20'!$B$3:$B$961,'Mar20-Aug20 Billed-RETAIL'!$E72)</f>
        <v>-0.47</v>
      </c>
      <c r="BH72" s="28">
        <f>SUMIFS('SBR Mar20 - Aug20'!$N$3:$N$961,'SBR Mar20 - Aug20'!$A$3:$A$961,'Mar20-Aug20 Billed-RETAIL'!$C72,'SBR Mar20 - Aug20'!$B$3:$B$961,'Mar20-Aug20 Billed-RETAIL'!$E72)</f>
        <v>75.97</v>
      </c>
      <c r="BI72" s="28">
        <f>SUMIFS('SBR Mar20 - Aug20'!$Y$3:$Y$961,'SBR Mar20 - Aug20'!$A$3:$A$961,'Mar20-Aug20 Billed-RETAIL'!$C72,'SBR Mar20 - Aug20'!$B$3:$B$961,'Mar20-Aug20 Billed-RETAIL'!$E72)</f>
        <v>0</v>
      </c>
      <c r="BJ72" s="28">
        <f>SUMIFS('SBR Mar20 - Aug20'!$W$3:$W$961,'SBR Mar20 - Aug20'!$A$3:$A$961,'Mar20-Aug20 Billed-RETAIL'!$C72,'SBR Mar20 - Aug20'!$B$3:$B$961,'Mar20-Aug20 Billed-RETAIL'!$E72)</f>
        <v>5.61</v>
      </c>
      <c r="BK72" s="28">
        <f>SUMIFS('SBR Mar20 - Aug20'!$X$3:$X$961,'SBR Mar20 - Aug20'!$A$3:$A$961,'Mar20-Aug20 Billed-RETAIL'!$C72,'SBR Mar20 - Aug20'!$B$3:$B$961,'Mar20-Aug20 Billed-RETAIL'!$E72)</f>
        <v>7.11</v>
      </c>
      <c r="BL72" s="28">
        <f>SUMIFS('SBR Mar20 - Aug20'!$Z$3:$Z$961,'SBR Mar20 - Aug20'!$A$3:$A$961,'Mar20-Aug20 Billed-RETAIL'!$C72,'SBR Mar20 - Aug20'!$B$3:$B$961,'Mar20-Aug20 Billed-RETAIL'!$E72)</f>
        <v>0</v>
      </c>
      <c r="BM72" s="42">
        <f t="shared" ref="BM72:BM85" si="124">+AP72+AQ72-BD72</f>
        <v>0</v>
      </c>
      <c r="BN72" s="42">
        <f t="shared" ref="BN72:BN85" si="125">+AR72+AS72-BE72</f>
        <v>-1.8200000000092587E-3</v>
      </c>
    </row>
    <row r="73" spans="1:67" ht="15" customHeight="1" x14ac:dyDescent="0.25">
      <c r="A73" s="57"/>
      <c r="C73" s="307">
        <f t="shared" si="109"/>
        <v>44013</v>
      </c>
      <c r="D73" s="408" t="str">
        <f t="shared" si="110"/>
        <v>851</v>
      </c>
      <c r="E73" s="405" t="str">
        <f>'Retail Rates'!$B$9</f>
        <v>LGCMG851</v>
      </c>
      <c r="F73" s="405"/>
      <c r="G73" s="405" t="str">
        <f>VLOOKUP(E73,'Retail Rates'!$B$7:$D$40,3,FALSE)</f>
        <v>Firm Commercial Gas Service</v>
      </c>
      <c r="H73" s="20">
        <f>(SUMIFS('Data-Retail'!$F$2:$F$1987,'Data-Retail'!$A$2:$A$1987,'Mar20-Aug20 Billed-RETAIL'!$C73,'Data-Retail'!$B$2:$B$1987,'Mar20-Aug20 Billed-RETAIL'!$E73)-I73)+(AF73+AG73)</f>
        <v>24097</v>
      </c>
      <c r="I73" s="20">
        <v>1184</v>
      </c>
      <c r="J73" s="20">
        <f>SUMIFS('Data-Retail'!$G$2:$G$1987,'Data-Retail'!$A$2:$A$1987,'Mar20-Aug20 Billed-RETAIL'!$C73,'Data-Retail'!$B$2:$B$1987,'Mar20-Aug20 Billed-RETAIL'!$E73)+AJ73</f>
        <v>1717373</v>
      </c>
      <c r="K73" s="20">
        <f>SUMIFS('Data-Retail'!$H$2:$H$1987,'Data-Retail'!$A$2:$A$1987,'Mar20-Aug20 Billed-RETAIL'!$C73,'Data-Retail'!$B$2:$B$1987,'Mar20-Aug20 Billed-RETAIL'!$E73)</f>
        <v>606735</v>
      </c>
      <c r="L73" s="20">
        <v>0</v>
      </c>
      <c r="M73" s="20">
        <v>0</v>
      </c>
      <c r="N73" s="20">
        <v>0</v>
      </c>
      <c r="O73" s="20">
        <v>0</v>
      </c>
      <c r="P73" s="20">
        <v>740475</v>
      </c>
      <c r="Q73" s="20">
        <v>36461.000000000007</v>
      </c>
      <c r="R73" s="21">
        <f>VLOOKUP($E73,'Retail Rates'!$B$7:$P$40,4,FALSE)</f>
        <v>1.97</v>
      </c>
      <c r="S73" s="21">
        <f>VLOOKUP($E73,'Retail Rates'!$B$7:$P$40,5,FALSE)</f>
        <v>9.3699999999999992</v>
      </c>
      <c r="T73" s="22">
        <f>VLOOKUP($E73,'Retail Rates'!$B$7:$P$40,8,FALSE)</f>
        <v>0.30669999999999997</v>
      </c>
      <c r="U73" s="22">
        <f>VLOOKUP($E73,'Retail Rates'!$B$7:$P$40,9,FALSE)</f>
        <v>0.25669999999999998</v>
      </c>
      <c r="V73" s="22">
        <f>VLOOKUP($E73,'Retail Rates'!$B$7:$P$40,14,FALSE)</f>
        <v>0</v>
      </c>
      <c r="W73" s="22">
        <f>VLOOKUP($E73,'Retail Rates'!$B$7:$P$40,10,FALSE)</f>
        <v>3.0669999999999997</v>
      </c>
      <c r="X73" s="22">
        <f>VLOOKUP($E73,'Retail Rates'!$B$7:$P$40,11,FALSE)</f>
        <v>2.5669999999999997</v>
      </c>
      <c r="Y73" s="22">
        <f>VLOOKUP($E73,'Retail Rates'!$B$7:$P$40,15,FALSE)</f>
        <v>0</v>
      </c>
      <c r="Z73" s="22">
        <v>0</v>
      </c>
      <c r="AA73" s="411">
        <f t="shared" si="105"/>
        <v>1458735.75</v>
      </c>
      <c r="AB73" s="411">
        <f>+Q73*S73</f>
        <v>341639.57000000007</v>
      </c>
      <c r="AC73" s="411">
        <f t="shared" ref="AC73:AD76" si="126">+J73*T73</f>
        <v>526718.29909999995</v>
      </c>
      <c r="AD73" s="411">
        <f t="shared" si="126"/>
        <v>155748.87449999998</v>
      </c>
      <c r="AE73" s="411">
        <f t="shared" si="107"/>
        <v>0</v>
      </c>
      <c r="AF73" s="41">
        <v>-38</v>
      </c>
      <c r="AG73" s="41">
        <v>0</v>
      </c>
      <c r="AH73" s="33">
        <v>-1417.02</v>
      </c>
      <c r="AI73" s="33">
        <v>0</v>
      </c>
      <c r="AJ73" s="41">
        <v>7951</v>
      </c>
      <c r="AK73" s="41">
        <v>0</v>
      </c>
      <c r="AL73" s="33">
        <v>-2439.04</v>
      </c>
      <c r="AM73" s="33">
        <v>0</v>
      </c>
      <c r="AN73" s="41">
        <v>0</v>
      </c>
      <c r="AO73" s="33">
        <v>0</v>
      </c>
      <c r="AP73" s="411">
        <f t="shared" si="111"/>
        <v>1457318.73</v>
      </c>
      <c r="AQ73" s="411">
        <f t="shared" si="112"/>
        <v>341639.57000000007</v>
      </c>
      <c r="AR73" s="411">
        <f t="shared" si="113"/>
        <v>524279.25909999997</v>
      </c>
      <c r="AS73" s="411">
        <f t="shared" si="114"/>
        <v>155748.87449999998</v>
      </c>
      <c r="AT73" s="411">
        <f t="shared" si="115"/>
        <v>0</v>
      </c>
      <c r="AU73" s="411">
        <f t="shared" si="116"/>
        <v>0</v>
      </c>
      <c r="AV73" s="28">
        <f t="shared" si="117"/>
        <v>1116.58</v>
      </c>
      <c r="AW73" s="28">
        <f t="shared" si="118"/>
        <v>582149.32999999996</v>
      </c>
      <c r="AX73" s="28">
        <f t="shared" si="119"/>
        <v>-3166.94</v>
      </c>
      <c r="AY73" s="28">
        <f t="shared" si="120"/>
        <v>229911.48</v>
      </c>
      <c r="AZ73" s="28">
        <f t="shared" si="108"/>
        <v>45355.35</v>
      </c>
      <c r="BA73" s="28">
        <f t="shared" si="121"/>
        <v>3334352.23</v>
      </c>
      <c r="BB73" s="28">
        <f t="shared" si="122"/>
        <v>3334352.2300000004</v>
      </c>
      <c r="BC73" s="29">
        <f t="shared" si="123"/>
        <v>1</v>
      </c>
      <c r="BD73" s="28">
        <f>SUMIFS('SBR Mar20 - Aug20'!$F$3:$F$961,'SBR Mar20 - Aug20'!$A$3:$A$961,'Mar20-Aug20 Billed-RETAIL'!$C73,'SBR Mar20 - Aug20'!$B$3:$B$961,'Mar20-Aug20 Billed-RETAIL'!$E73)</f>
        <v>1798958.3</v>
      </c>
      <c r="BE73" s="28">
        <f>SUMIFS('SBR Mar20 - Aug20'!$H$3:$H$961,'SBR Mar20 - Aug20'!$A$3:$A$961,'Mar20-Aug20 Billed-RETAIL'!$C73,'SBR Mar20 - Aug20'!$B$3:$B$961,'Mar20-Aug20 Billed-RETAIL'!$E73)</f>
        <v>680028.13</v>
      </c>
      <c r="BF73" s="28">
        <f>SUMIFS('SBR Mar20 - Aug20'!$G$3:$G$961,'SBR Mar20 - Aug20'!$A$3:$A$961,'Mar20-Aug20 Billed-RETAIL'!$C73,'SBR Mar20 - Aug20'!$B$3:$B$961,'Mar20-Aug20 Billed-RETAIL'!$E73)</f>
        <v>0</v>
      </c>
      <c r="BG73" s="28">
        <f>SUMIFS('SBR Mar20 - Aug20'!$M$3:$M$961,'SBR Mar20 - Aug20'!$A$3:$A$961,'Mar20-Aug20 Billed-RETAIL'!$C73,'SBR Mar20 - Aug20'!$B$3:$B$961,'Mar20-Aug20 Billed-RETAIL'!$E73)</f>
        <v>1116.58</v>
      </c>
      <c r="BH73" s="28">
        <f>SUMIFS('SBR Mar20 - Aug20'!$N$3:$N$961,'SBR Mar20 - Aug20'!$A$3:$A$961,'Mar20-Aug20 Billed-RETAIL'!$C73,'SBR Mar20 - Aug20'!$B$3:$B$961,'Mar20-Aug20 Billed-RETAIL'!$E73)</f>
        <v>582149.32999999996</v>
      </c>
      <c r="BI73" s="28">
        <f>SUMIFS('SBR Mar20 - Aug20'!$Y$3:$Y$961,'SBR Mar20 - Aug20'!$A$3:$A$961,'Mar20-Aug20 Billed-RETAIL'!$C73,'SBR Mar20 - Aug20'!$B$3:$B$961,'Mar20-Aug20 Billed-RETAIL'!$E73)</f>
        <v>-3166.94</v>
      </c>
      <c r="BJ73" s="28">
        <f>SUMIFS('SBR Mar20 - Aug20'!$W$3:$W$961,'SBR Mar20 - Aug20'!$A$3:$A$961,'Mar20-Aug20 Billed-RETAIL'!$C73,'SBR Mar20 - Aug20'!$B$3:$B$961,'Mar20-Aug20 Billed-RETAIL'!$E73)</f>
        <v>229911.48</v>
      </c>
      <c r="BK73" s="28">
        <f>SUMIFS('SBR Mar20 - Aug20'!$X$3:$X$961,'SBR Mar20 - Aug20'!$A$3:$A$961,'Mar20-Aug20 Billed-RETAIL'!$C73,'SBR Mar20 - Aug20'!$B$3:$B$961,'Mar20-Aug20 Billed-RETAIL'!$E73)</f>
        <v>45355.35</v>
      </c>
      <c r="BL73" s="28">
        <f>SUMIFS('SBR Mar20 - Aug20'!$Z$3:$Z$961,'SBR Mar20 - Aug20'!$A$3:$A$961,'Mar20-Aug20 Billed-RETAIL'!$C73,'SBR Mar20 - Aug20'!$B$3:$B$961,'Mar20-Aug20 Billed-RETAIL'!$E73)</f>
        <v>0</v>
      </c>
      <c r="BM73" s="42">
        <f t="shared" si="124"/>
        <v>0</v>
      </c>
      <c r="BN73" s="42">
        <f t="shared" si="125"/>
        <v>3.599999938160181E-3</v>
      </c>
    </row>
    <row r="74" spans="1:67" ht="15" customHeight="1" x14ac:dyDescent="0.25">
      <c r="A74" s="57"/>
      <c r="C74" s="307">
        <f t="shared" si="109"/>
        <v>44013</v>
      </c>
      <c r="D74" s="408" t="str">
        <f t="shared" si="110"/>
        <v>851</v>
      </c>
      <c r="E74" s="405" t="str">
        <f>'Retail Rates'!$B$10</f>
        <v>LGCMG851LT</v>
      </c>
      <c r="F74" s="405"/>
      <c r="G74" s="405" t="str">
        <f>VLOOKUP(E74,'Retail Rates'!$B$7:$D$40,3,FALSE)</f>
        <v>Commercial Gas Service (Lights)</v>
      </c>
      <c r="H74" s="20">
        <v>1</v>
      </c>
      <c r="I74" s="20">
        <v>0</v>
      </c>
      <c r="J74" s="20">
        <f>SUMIFS('Data-Retail'!$G$2:$G$1987,'Data-Retail'!$A$2:$A$1987,'Mar20-Aug20 Billed-RETAIL'!$C74,'Data-Retail'!$B$2:$B$1987,'Mar20-Aug20 Billed-RETAIL'!$E74)</f>
        <v>344</v>
      </c>
      <c r="K74" s="20">
        <f>SUMIFS('Data-Retail'!$H$2:$H$1987,'Data-Retail'!$A$2:$A$1987,'Mar20-Aug20 Billed-RETAIL'!$C74,'Data-Retail'!$B$2:$B$1987,'Mar20-Aug20 Billed-RETAIL'!$E74)</f>
        <v>0</v>
      </c>
      <c r="L74" s="20">
        <v>0</v>
      </c>
      <c r="M74" s="20">
        <v>0</v>
      </c>
      <c r="N74" s="20">
        <v>0</v>
      </c>
      <c r="O74" s="20">
        <v>0</v>
      </c>
      <c r="P74" s="20">
        <v>29</v>
      </c>
      <c r="Q74" s="20">
        <v>0</v>
      </c>
      <c r="R74" s="21">
        <f>VLOOKUP($E74,'Retail Rates'!$B$7:$P$40,4,FALSE)</f>
        <v>1.97</v>
      </c>
      <c r="S74" s="21">
        <f>VLOOKUP($E74,'Retail Rates'!$B$7:$P$40,5,FALSE)</f>
        <v>9.3699999999999992</v>
      </c>
      <c r="T74" s="22">
        <f>VLOOKUP($E74,'Retail Rates'!$B$7:$P$40,8,FALSE)</f>
        <v>0.30669999999999997</v>
      </c>
      <c r="U74" s="22">
        <f>VLOOKUP($E74,'Retail Rates'!$B$7:$P$40,9,FALSE)</f>
        <v>0.25669999999999998</v>
      </c>
      <c r="V74" s="22">
        <f>VLOOKUP($E74,'Retail Rates'!$B$7:$P$40,14,FALSE)</f>
        <v>0</v>
      </c>
      <c r="W74" s="22">
        <f>VLOOKUP($E74,'Retail Rates'!$B$7:$P$40,10,FALSE)</f>
        <v>3.0669999999999997</v>
      </c>
      <c r="X74" s="22">
        <f>VLOOKUP($E74,'Retail Rates'!$B$7:$P$40,11,FALSE)</f>
        <v>2.5669999999999997</v>
      </c>
      <c r="Y74" s="22">
        <f>VLOOKUP($E74,'Retail Rates'!$B$7:$P$40,15,FALSE)</f>
        <v>0</v>
      </c>
      <c r="Z74" s="22">
        <v>0</v>
      </c>
      <c r="AA74" s="411">
        <f t="shared" si="105"/>
        <v>57.13</v>
      </c>
      <c r="AB74" s="411">
        <f>+Q74*S74</f>
        <v>0</v>
      </c>
      <c r="AC74" s="411">
        <f t="shared" si="126"/>
        <v>105.50479999999999</v>
      </c>
      <c r="AD74" s="411">
        <f t="shared" si="126"/>
        <v>0</v>
      </c>
      <c r="AE74" s="411">
        <f t="shared" si="107"/>
        <v>0</v>
      </c>
      <c r="AF74" s="41">
        <v>0</v>
      </c>
      <c r="AG74" s="41">
        <v>0</v>
      </c>
      <c r="AH74" s="33">
        <v>0</v>
      </c>
      <c r="AI74" s="33">
        <v>0</v>
      </c>
      <c r="AJ74" s="41">
        <v>0</v>
      </c>
      <c r="AK74" s="41">
        <v>0</v>
      </c>
      <c r="AL74" s="33">
        <v>0</v>
      </c>
      <c r="AM74" s="33">
        <v>0</v>
      </c>
      <c r="AN74" s="41">
        <v>0</v>
      </c>
      <c r="AO74" s="33">
        <v>0</v>
      </c>
      <c r="AP74" s="411">
        <f t="shared" si="111"/>
        <v>57.13</v>
      </c>
      <c r="AQ74" s="411">
        <f t="shared" si="112"/>
        <v>0</v>
      </c>
      <c r="AR74" s="411">
        <f t="shared" si="113"/>
        <v>105.50479999999999</v>
      </c>
      <c r="AS74" s="411">
        <f t="shared" si="114"/>
        <v>0</v>
      </c>
      <c r="AT74" s="411">
        <f t="shared" si="115"/>
        <v>0</v>
      </c>
      <c r="AU74" s="411">
        <f t="shared" si="116"/>
        <v>0</v>
      </c>
      <c r="AV74" s="28">
        <f t="shared" si="117"/>
        <v>0.17</v>
      </c>
      <c r="AW74" s="28">
        <f t="shared" si="118"/>
        <v>87.41</v>
      </c>
      <c r="AX74" s="28">
        <f t="shared" si="119"/>
        <v>0</v>
      </c>
      <c r="AY74" s="28">
        <f t="shared" si="120"/>
        <v>9.27</v>
      </c>
      <c r="AZ74" s="28">
        <f t="shared" si="108"/>
        <v>6.6</v>
      </c>
      <c r="BA74" s="28">
        <f t="shared" si="121"/>
        <v>266.08</v>
      </c>
      <c r="BB74" s="28">
        <f t="shared" si="122"/>
        <v>266.08</v>
      </c>
      <c r="BC74" s="29">
        <f t="shared" si="123"/>
        <v>1</v>
      </c>
      <c r="BD74" s="28">
        <f>SUMIFS('SBR Mar20 - Aug20'!$F$3:$F$961,'SBR Mar20 - Aug20'!$A$3:$A$961,'Mar20-Aug20 Billed-RETAIL'!$C74,'SBR Mar20 - Aug20'!$B$3:$B$961,'Mar20-Aug20 Billed-RETAIL'!$E74)</f>
        <v>57.13</v>
      </c>
      <c r="BE74" s="28">
        <f>SUMIFS('SBR Mar20 - Aug20'!$H$3:$H$961,'SBR Mar20 - Aug20'!$A$3:$A$961,'Mar20-Aug20 Billed-RETAIL'!$C74,'SBR Mar20 - Aug20'!$B$3:$B$961,'Mar20-Aug20 Billed-RETAIL'!$E74)</f>
        <v>105.5</v>
      </c>
      <c r="BF74" s="28">
        <f>SUMIFS('SBR Mar20 - Aug20'!$G$3:$G$961,'SBR Mar20 - Aug20'!$A$3:$A$961,'Mar20-Aug20 Billed-RETAIL'!$C74,'SBR Mar20 - Aug20'!$B$3:$B$961,'Mar20-Aug20 Billed-RETAIL'!$E74)</f>
        <v>0</v>
      </c>
      <c r="BG74" s="28">
        <f>SUMIFS('SBR Mar20 - Aug20'!$M$3:$M$961,'SBR Mar20 - Aug20'!$A$3:$A$961,'Mar20-Aug20 Billed-RETAIL'!$C74,'SBR Mar20 - Aug20'!$B$3:$B$961,'Mar20-Aug20 Billed-RETAIL'!$E74)</f>
        <v>0.17</v>
      </c>
      <c r="BH74" s="28">
        <f>SUMIFS('SBR Mar20 - Aug20'!$N$3:$N$961,'SBR Mar20 - Aug20'!$A$3:$A$961,'Mar20-Aug20 Billed-RETAIL'!$C74,'SBR Mar20 - Aug20'!$B$3:$B$961,'Mar20-Aug20 Billed-RETAIL'!$E74)</f>
        <v>87.41</v>
      </c>
      <c r="BI74" s="28">
        <f>SUMIFS('SBR Mar20 - Aug20'!$Y$3:$Y$961,'SBR Mar20 - Aug20'!$A$3:$A$961,'Mar20-Aug20 Billed-RETAIL'!$C74,'SBR Mar20 - Aug20'!$B$3:$B$961,'Mar20-Aug20 Billed-RETAIL'!$E74)</f>
        <v>0</v>
      </c>
      <c r="BJ74" s="28">
        <f>SUMIFS('SBR Mar20 - Aug20'!$W$3:$W$961,'SBR Mar20 - Aug20'!$A$3:$A$961,'Mar20-Aug20 Billed-RETAIL'!$C74,'SBR Mar20 - Aug20'!$B$3:$B$961,'Mar20-Aug20 Billed-RETAIL'!$E74)</f>
        <v>9.27</v>
      </c>
      <c r="BK74" s="28">
        <f>SUMIFS('SBR Mar20 - Aug20'!$X$3:$X$961,'SBR Mar20 - Aug20'!$A$3:$A$961,'Mar20-Aug20 Billed-RETAIL'!$C74,'SBR Mar20 - Aug20'!$B$3:$B$961,'Mar20-Aug20 Billed-RETAIL'!$E74)</f>
        <v>6.6</v>
      </c>
      <c r="BL74" s="28">
        <f>SUMIFS('SBR Mar20 - Aug20'!$Z$3:$Z$961,'SBR Mar20 - Aug20'!$A$3:$A$961,'Mar20-Aug20 Billed-RETAIL'!$C74,'SBR Mar20 - Aug20'!$B$3:$B$961,'Mar20-Aug20 Billed-RETAIL'!$E74)</f>
        <v>0</v>
      </c>
      <c r="BM74" s="42">
        <f t="shared" si="124"/>
        <v>0</v>
      </c>
      <c r="BN74" s="42">
        <f t="shared" si="125"/>
        <v>4.7999999999888132E-3</v>
      </c>
    </row>
    <row r="75" spans="1:67" ht="15" customHeight="1" x14ac:dyDescent="0.25">
      <c r="C75" s="307">
        <f t="shared" si="109"/>
        <v>44013</v>
      </c>
      <c r="D75" s="408" t="str">
        <f t="shared" si="110"/>
        <v>855</v>
      </c>
      <c r="E75" s="405" t="str">
        <f>'Retail Rates'!$B$11</f>
        <v>LGING855</v>
      </c>
      <c r="F75" s="405"/>
      <c r="G75" s="405" t="str">
        <f>VLOOKUP(E75,'Retail Rates'!$B$7:$D$40,3,FALSE)</f>
        <v>Firm Industrial Gas Service-DSM Opt-Out</v>
      </c>
      <c r="H75" s="20">
        <v>40</v>
      </c>
      <c r="I75" s="20">
        <v>49</v>
      </c>
      <c r="J75" s="20">
        <f>SUMIFS('Data-Retail'!$G$2:$G$1987,'Data-Retail'!$A$2:$A$1987,'Mar20-Aug20 Billed-RETAIL'!$C75,'Data-Retail'!$B$2:$B$1987,'Mar20-Aug20 Billed-RETAIL'!$E75)</f>
        <v>39237</v>
      </c>
      <c r="K75" s="20">
        <f>SUMIFS('Data-Retail'!$H$2:$H$1987,'Data-Retail'!$A$2:$A$1987,'Mar20-Aug20 Billed-RETAIL'!$C75,'Data-Retail'!$B$2:$B$1987,'Mar20-Aug20 Billed-RETAIL'!$E75)</f>
        <v>317233</v>
      </c>
      <c r="L75" s="20">
        <v>0</v>
      </c>
      <c r="M75" s="20">
        <v>0</v>
      </c>
      <c r="N75" s="20">
        <v>0</v>
      </c>
      <c r="O75" s="20">
        <v>0</v>
      </c>
      <c r="P75" s="20">
        <v>1256</v>
      </c>
      <c r="Q75" s="20">
        <v>1516.9999999999995</v>
      </c>
      <c r="R75" s="21">
        <f>VLOOKUP($E75,'Retail Rates'!$B$7:$P$40,4,FALSE)</f>
        <v>5.42</v>
      </c>
      <c r="S75" s="21">
        <f>VLOOKUP($E75,'Retail Rates'!$B$7:$P$40,5,FALSE)</f>
        <v>24.64</v>
      </c>
      <c r="T75" s="22">
        <f>VLOOKUP($E75,'Retail Rates'!$B$7:$P$40,8,FALSE)</f>
        <v>0.21929000000000001</v>
      </c>
      <c r="U75" s="22">
        <f>VLOOKUP($E75,'Retail Rates'!$B$7:$P$40,9,FALSE)</f>
        <v>0.16929</v>
      </c>
      <c r="V75" s="22">
        <f>VLOOKUP($E75,'Retail Rates'!$B$7:$P$40,14,FALSE)</f>
        <v>0</v>
      </c>
      <c r="W75" s="22">
        <f>VLOOKUP($E75,'Retail Rates'!$B$7:$P$40,10,FALSE)</f>
        <v>2.1929000000000003</v>
      </c>
      <c r="X75" s="22">
        <f>VLOOKUP($E75,'Retail Rates'!$B$7:$P$40,11,FALSE)</f>
        <v>1.6928999999999998</v>
      </c>
      <c r="Y75" s="22">
        <f>VLOOKUP($E75,'Retail Rates'!$B$7:$P$40,15,FALSE)</f>
        <v>0</v>
      </c>
      <c r="Z75" s="22">
        <v>0</v>
      </c>
      <c r="AA75" s="411">
        <f t="shared" si="105"/>
        <v>6807.5199999999995</v>
      </c>
      <c r="AB75" s="411">
        <f>+Q75*S75</f>
        <v>37378.87999999999</v>
      </c>
      <c r="AC75" s="411">
        <f t="shared" si="126"/>
        <v>8604.2817300000006</v>
      </c>
      <c r="AD75" s="411">
        <f t="shared" si="126"/>
        <v>53704.37457</v>
      </c>
      <c r="AE75" s="411">
        <f t="shared" si="107"/>
        <v>0</v>
      </c>
      <c r="AF75" s="41">
        <v>0</v>
      </c>
      <c r="AG75" s="41">
        <v>0</v>
      </c>
      <c r="AH75" s="33">
        <v>0</v>
      </c>
      <c r="AI75" s="33">
        <v>0</v>
      </c>
      <c r="AJ75" s="41">
        <v>0</v>
      </c>
      <c r="AK75" s="41">
        <v>0</v>
      </c>
      <c r="AL75" s="33">
        <v>0</v>
      </c>
      <c r="AM75" s="33">
        <v>0</v>
      </c>
      <c r="AN75" s="41">
        <v>0</v>
      </c>
      <c r="AO75" s="33">
        <v>0</v>
      </c>
      <c r="AP75" s="411">
        <f t="shared" si="111"/>
        <v>6807.5199999999995</v>
      </c>
      <c r="AQ75" s="411">
        <f t="shared" si="112"/>
        <v>37378.87999999999</v>
      </c>
      <c r="AR75" s="411">
        <f t="shared" si="113"/>
        <v>8604.2817300000006</v>
      </c>
      <c r="AS75" s="411">
        <f t="shared" si="114"/>
        <v>53704.37457</v>
      </c>
      <c r="AT75" s="411">
        <f t="shared" si="115"/>
        <v>0</v>
      </c>
      <c r="AU75" s="411">
        <f t="shared" si="116"/>
        <v>0</v>
      </c>
      <c r="AV75" s="28">
        <f t="shared" si="117"/>
        <v>0</v>
      </c>
      <c r="AW75" s="28">
        <f t="shared" si="118"/>
        <v>90578.98</v>
      </c>
      <c r="AX75" s="28">
        <f t="shared" si="119"/>
        <v>0</v>
      </c>
      <c r="AY75" s="28">
        <f t="shared" si="120"/>
        <v>9880.7800000000007</v>
      </c>
      <c r="AZ75" s="28">
        <f t="shared" si="108"/>
        <v>4170.71</v>
      </c>
      <c r="BA75" s="28">
        <f t="shared" si="121"/>
        <v>211125.53</v>
      </c>
      <c r="BB75" s="28">
        <f t="shared" si="122"/>
        <v>211125.51</v>
      </c>
      <c r="BC75" s="29">
        <f t="shared" si="123"/>
        <v>1</v>
      </c>
      <c r="BD75" s="28">
        <f>SUMIFS('SBR Mar20 - Aug20'!$F$3:$F$961,'SBR Mar20 - Aug20'!$A$3:$A$961,'Mar20-Aug20 Billed-RETAIL'!$C75,'SBR Mar20 - Aug20'!$B$3:$B$961,'Mar20-Aug20 Billed-RETAIL'!$E75)</f>
        <v>44186.400000000001</v>
      </c>
      <c r="BE75" s="28">
        <f>SUMIFS('SBR Mar20 - Aug20'!$H$3:$H$961,'SBR Mar20 - Aug20'!$A$3:$A$961,'Mar20-Aug20 Billed-RETAIL'!$C75,'SBR Mar20 - Aug20'!$B$3:$B$961,'Mar20-Aug20 Billed-RETAIL'!$E75)</f>
        <v>62308.639999999999</v>
      </c>
      <c r="BF75" s="28">
        <f>SUMIFS('SBR Mar20 - Aug20'!$G$3:$G$961,'SBR Mar20 - Aug20'!$A$3:$A$961,'Mar20-Aug20 Billed-RETAIL'!$C75,'SBR Mar20 - Aug20'!$B$3:$B$961,'Mar20-Aug20 Billed-RETAIL'!$E75)</f>
        <v>0</v>
      </c>
      <c r="BG75" s="28">
        <f>SUMIFS('SBR Mar20 - Aug20'!$M$3:$M$961,'SBR Mar20 - Aug20'!$A$3:$A$961,'Mar20-Aug20 Billed-RETAIL'!$C75,'SBR Mar20 - Aug20'!$B$3:$B$961,'Mar20-Aug20 Billed-RETAIL'!$E75)</f>
        <v>0</v>
      </c>
      <c r="BH75" s="28">
        <f>SUMIFS('SBR Mar20 - Aug20'!$N$3:$N$961,'SBR Mar20 - Aug20'!$A$3:$A$961,'Mar20-Aug20 Billed-RETAIL'!$C75,'SBR Mar20 - Aug20'!$B$3:$B$961,'Mar20-Aug20 Billed-RETAIL'!$E75)</f>
        <v>90578.98</v>
      </c>
      <c r="BI75" s="28">
        <f>SUMIFS('SBR Mar20 - Aug20'!$Y$3:$Y$961,'SBR Mar20 - Aug20'!$A$3:$A$961,'Mar20-Aug20 Billed-RETAIL'!$C75,'SBR Mar20 - Aug20'!$B$3:$B$961,'Mar20-Aug20 Billed-RETAIL'!$E75)</f>
        <v>0</v>
      </c>
      <c r="BJ75" s="28">
        <f>SUMIFS('SBR Mar20 - Aug20'!$W$3:$W$961,'SBR Mar20 - Aug20'!$A$3:$A$961,'Mar20-Aug20 Billed-RETAIL'!$C75,'SBR Mar20 - Aug20'!$B$3:$B$961,'Mar20-Aug20 Billed-RETAIL'!$E75)</f>
        <v>9880.7800000000007</v>
      </c>
      <c r="BK75" s="28">
        <f>SUMIFS('SBR Mar20 - Aug20'!$X$3:$X$961,'SBR Mar20 - Aug20'!$A$3:$A$961,'Mar20-Aug20 Billed-RETAIL'!$C75,'SBR Mar20 - Aug20'!$B$3:$B$961,'Mar20-Aug20 Billed-RETAIL'!$E75)</f>
        <v>4170.71</v>
      </c>
      <c r="BL75" s="28">
        <f>SUMIFS('SBR Mar20 - Aug20'!$Z$3:$Z$961,'SBR Mar20 - Aug20'!$A$3:$A$961,'Mar20-Aug20 Billed-RETAIL'!$C75,'SBR Mar20 - Aug20'!$B$3:$B$961,'Mar20-Aug20 Billed-RETAIL'!$E75)</f>
        <v>0</v>
      </c>
      <c r="BM75" s="42">
        <f t="shared" si="124"/>
        <v>0</v>
      </c>
      <c r="BN75" s="42">
        <f t="shared" si="125"/>
        <v>1.6300000002956949E-2</v>
      </c>
    </row>
    <row r="76" spans="1:67" ht="15" customHeight="1" x14ac:dyDescent="0.25">
      <c r="C76" s="307">
        <f t="shared" si="109"/>
        <v>44013</v>
      </c>
      <c r="D76" s="408" t="str">
        <f t="shared" si="110"/>
        <v>855</v>
      </c>
      <c r="E76" s="405" t="str">
        <f>'Retail Rates'!$B$12</f>
        <v>LGING855DS</v>
      </c>
      <c r="F76" s="405"/>
      <c r="G76" s="405" t="str">
        <f>VLOOKUP(E76,'Retail Rates'!$B$7:$D$40,3,FALSE)</f>
        <v>Firm Industrial Gas Service-DSM Opt-In</v>
      </c>
      <c r="H76" s="20">
        <v>72</v>
      </c>
      <c r="I76" s="20">
        <v>59</v>
      </c>
      <c r="J76" s="20">
        <f>SUMIFS('Data-Retail'!$G$2:$G$1987,'Data-Retail'!$A$2:$A$1987,'Mar20-Aug20 Billed-RETAIL'!$C76,'Data-Retail'!$B$2:$B$1987,'Mar20-Aug20 Billed-RETAIL'!$E76)</f>
        <v>46761</v>
      </c>
      <c r="K76" s="20">
        <f>SUMIFS('Data-Retail'!$H$2:$H$1987,'Data-Retail'!$A$2:$A$1987,'Mar20-Aug20 Billed-RETAIL'!$C76,'Data-Retail'!$B$2:$B$1987,'Mar20-Aug20 Billed-RETAIL'!$E76)</f>
        <v>309254</v>
      </c>
      <c r="L76" s="20">
        <v>0</v>
      </c>
      <c r="M76" s="20">
        <v>0</v>
      </c>
      <c r="N76" s="20">
        <v>0</v>
      </c>
      <c r="O76" s="20">
        <v>0</v>
      </c>
      <c r="P76" s="20">
        <v>2209</v>
      </c>
      <c r="Q76" s="20">
        <v>1836.0000000000002</v>
      </c>
      <c r="R76" s="21">
        <f>VLOOKUP($E76,'Retail Rates'!$B$7:$P$40,4,FALSE)</f>
        <v>5.42</v>
      </c>
      <c r="S76" s="21">
        <f>VLOOKUP($E76,'Retail Rates'!$B$7:$P$40,5,FALSE)</f>
        <v>24.64</v>
      </c>
      <c r="T76" s="22">
        <f>VLOOKUP($E76,'Retail Rates'!$B$7:$P$40,8,FALSE)</f>
        <v>0.21929000000000001</v>
      </c>
      <c r="U76" s="22">
        <f>VLOOKUP($E76,'Retail Rates'!$B$7:$P$40,9,FALSE)</f>
        <v>0.16929</v>
      </c>
      <c r="V76" s="22">
        <f>VLOOKUP($E76,'Retail Rates'!$B$7:$P$40,14,FALSE)</f>
        <v>0</v>
      </c>
      <c r="W76" s="22">
        <f>VLOOKUP($E76,'Retail Rates'!$B$7:$P$40,10,FALSE)</f>
        <v>2.1929000000000003</v>
      </c>
      <c r="X76" s="22">
        <f>VLOOKUP($E76,'Retail Rates'!$B$7:$P$40,11,FALSE)</f>
        <v>1.6928999999999998</v>
      </c>
      <c r="Y76" s="22">
        <f>VLOOKUP($E76,'Retail Rates'!$B$7:$P$40,15,FALSE)</f>
        <v>0</v>
      </c>
      <c r="Z76" s="22">
        <v>0</v>
      </c>
      <c r="AA76" s="411">
        <f t="shared" si="105"/>
        <v>11972.78</v>
      </c>
      <c r="AB76" s="411">
        <f>+Q76*S76</f>
        <v>45239.040000000008</v>
      </c>
      <c r="AC76" s="411">
        <f t="shared" si="126"/>
        <v>10254.21969</v>
      </c>
      <c r="AD76" s="411">
        <f t="shared" si="126"/>
        <v>52353.609660000002</v>
      </c>
      <c r="AE76" s="411">
        <f t="shared" si="107"/>
        <v>0</v>
      </c>
      <c r="AF76" s="41">
        <v>0</v>
      </c>
      <c r="AG76" s="41">
        <v>0</v>
      </c>
      <c r="AH76" s="33">
        <v>0</v>
      </c>
      <c r="AI76" s="33">
        <v>0</v>
      </c>
      <c r="AJ76" s="41">
        <v>0</v>
      </c>
      <c r="AK76" s="41">
        <v>0</v>
      </c>
      <c r="AL76" s="33">
        <v>0</v>
      </c>
      <c r="AM76" s="33">
        <v>0</v>
      </c>
      <c r="AN76" s="41">
        <v>0</v>
      </c>
      <c r="AO76" s="33">
        <v>0</v>
      </c>
      <c r="AP76" s="411">
        <f t="shared" si="111"/>
        <v>11972.78</v>
      </c>
      <c r="AQ76" s="411">
        <f t="shared" si="112"/>
        <v>45239.040000000008</v>
      </c>
      <c r="AR76" s="411">
        <f t="shared" si="113"/>
        <v>10254.21969</v>
      </c>
      <c r="AS76" s="411">
        <f t="shared" si="114"/>
        <v>52353.609660000002</v>
      </c>
      <c r="AT76" s="411">
        <f t="shared" si="115"/>
        <v>0</v>
      </c>
      <c r="AU76" s="411">
        <f t="shared" si="116"/>
        <v>0</v>
      </c>
      <c r="AV76" s="28">
        <f t="shared" si="117"/>
        <v>170.83</v>
      </c>
      <c r="AW76" s="28">
        <f t="shared" si="118"/>
        <v>90463.38</v>
      </c>
      <c r="AX76" s="28">
        <f t="shared" si="119"/>
        <v>0</v>
      </c>
      <c r="AY76" s="28">
        <f t="shared" si="120"/>
        <v>14432.6</v>
      </c>
      <c r="AZ76" s="28">
        <f t="shared" si="108"/>
        <v>4165.42</v>
      </c>
      <c r="BA76" s="28">
        <f t="shared" si="121"/>
        <v>229051.88</v>
      </c>
      <c r="BB76" s="28">
        <f t="shared" si="122"/>
        <v>229051.91000000003</v>
      </c>
      <c r="BC76" s="29">
        <f t="shared" si="123"/>
        <v>1</v>
      </c>
      <c r="BD76" s="28">
        <f>SUMIFS('SBR Mar20 - Aug20'!$F$3:$F$961,'SBR Mar20 - Aug20'!$A$3:$A$961,'Mar20-Aug20 Billed-RETAIL'!$C76,'SBR Mar20 - Aug20'!$B$3:$B$961,'Mar20-Aug20 Billed-RETAIL'!$E76)</f>
        <v>57211.82</v>
      </c>
      <c r="BE76" s="28">
        <f>SUMIFS('SBR Mar20 - Aug20'!$H$3:$H$961,'SBR Mar20 - Aug20'!$A$3:$A$961,'Mar20-Aug20 Billed-RETAIL'!$C76,'SBR Mar20 - Aug20'!$B$3:$B$961,'Mar20-Aug20 Billed-RETAIL'!$E76)</f>
        <v>62607.86</v>
      </c>
      <c r="BF76" s="28">
        <f>SUMIFS('SBR Mar20 - Aug20'!$G$3:$G$961,'SBR Mar20 - Aug20'!$A$3:$A$961,'Mar20-Aug20 Billed-RETAIL'!$C76,'SBR Mar20 - Aug20'!$B$3:$B$961,'Mar20-Aug20 Billed-RETAIL'!$E76)</f>
        <v>0</v>
      </c>
      <c r="BG76" s="28">
        <f>SUMIFS('SBR Mar20 - Aug20'!$M$3:$M$961,'SBR Mar20 - Aug20'!$A$3:$A$961,'Mar20-Aug20 Billed-RETAIL'!$C76,'SBR Mar20 - Aug20'!$B$3:$B$961,'Mar20-Aug20 Billed-RETAIL'!$E76)</f>
        <v>170.83</v>
      </c>
      <c r="BH76" s="28">
        <f>SUMIFS('SBR Mar20 - Aug20'!$N$3:$N$961,'SBR Mar20 - Aug20'!$A$3:$A$961,'Mar20-Aug20 Billed-RETAIL'!$C76,'SBR Mar20 - Aug20'!$B$3:$B$961,'Mar20-Aug20 Billed-RETAIL'!$E76)</f>
        <v>90463.38</v>
      </c>
      <c r="BI76" s="28">
        <f>SUMIFS('SBR Mar20 - Aug20'!$Y$3:$Y$961,'SBR Mar20 - Aug20'!$A$3:$A$961,'Mar20-Aug20 Billed-RETAIL'!$C76,'SBR Mar20 - Aug20'!$B$3:$B$961,'Mar20-Aug20 Billed-RETAIL'!$E76)</f>
        <v>0</v>
      </c>
      <c r="BJ76" s="28">
        <f>SUMIFS('SBR Mar20 - Aug20'!$W$3:$W$961,'SBR Mar20 - Aug20'!$A$3:$A$961,'Mar20-Aug20 Billed-RETAIL'!$C76,'SBR Mar20 - Aug20'!$B$3:$B$961,'Mar20-Aug20 Billed-RETAIL'!$E76)</f>
        <v>14432.6</v>
      </c>
      <c r="BK76" s="28">
        <f>SUMIFS('SBR Mar20 - Aug20'!$X$3:$X$961,'SBR Mar20 - Aug20'!$A$3:$A$961,'Mar20-Aug20 Billed-RETAIL'!$C76,'SBR Mar20 - Aug20'!$B$3:$B$961,'Mar20-Aug20 Billed-RETAIL'!$E76)</f>
        <v>4165.42</v>
      </c>
      <c r="BL76" s="28">
        <f>SUMIFS('SBR Mar20 - Aug20'!$Z$3:$Z$961,'SBR Mar20 - Aug20'!$A$3:$A$961,'Mar20-Aug20 Billed-RETAIL'!$C76,'SBR Mar20 - Aug20'!$B$3:$B$961,'Mar20-Aug20 Billed-RETAIL'!$E76)</f>
        <v>0</v>
      </c>
      <c r="BM76" s="42">
        <f t="shared" si="124"/>
        <v>0</v>
      </c>
      <c r="BN76" s="42">
        <f t="shared" si="125"/>
        <v>-3.065000000060536E-2</v>
      </c>
    </row>
    <row r="77" spans="1:67" ht="15" customHeight="1" x14ac:dyDescent="0.25">
      <c r="C77" s="307">
        <f t="shared" si="109"/>
        <v>44013</v>
      </c>
      <c r="D77" s="408" t="str">
        <f t="shared" si="110"/>
        <v>863</v>
      </c>
      <c r="E77" s="405" t="str">
        <f>'Retail Rates'!$B$13</f>
        <v>LGCMG863</v>
      </c>
      <c r="F77" s="405"/>
      <c r="G77" s="405" t="str">
        <f>VLOOKUP(E77,'Retail Rates'!$B$7:$D$40,3,FALSE)</f>
        <v>Unmetered Insight Gas Generators</v>
      </c>
      <c r="H77" s="20">
        <v>607</v>
      </c>
      <c r="I77" s="20">
        <v>0</v>
      </c>
      <c r="J77" s="20">
        <f>SUMIFS('Data-Retail'!$G$2:$G$1987,'Data-Retail'!$A$2:$A$1987,'Mar20-Aug20 Billed-RETAIL'!$C77,'Data-Retail'!$B$2:$B$1987,'Mar20-Aug20 Billed-RETAIL'!$E77)</f>
        <v>601</v>
      </c>
      <c r="K77" s="20">
        <f>SUMIFS('Data-Retail'!$H$2:$H$1987,'Data-Retail'!$A$2:$A$1987,'Mar20-Aug20 Billed-RETAIL'!$C77,'Data-Retail'!$B$2:$B$1987,'Mar20-Aug20 Billed-RETAIL'!$E77)</f>
        <v>0</v>
      </c>
      <c r="L77" s="20">
        <v>0</v>
      </c>
      <c r="M77" s="20">
        <v>0</v>
      </c>
      <c r="N77" s="20">
        <v>0</v>
      </c>
      <c r="O77" s="20">
        <v>0</v>
      </c>
      <c r="P77" s="20">
        <v>18669</v>
      </c>
      <c r="Q77" s="20">
        <v>0</v>
      </c>
      <c r="R77" s="21">
        <f>VLOOKUP($E77,'Retail Rates'!$B$7:$P$40,4,FALSE)</f>
        <v>1.97</v>
      </c>
      <c r="S77" s="21">
        <f>VLOOKUP($E77,'Retail Rates'!$B$7:$P$40,5,FALSE)</f>
        <v>9.3699999999999992</v>
      </c>
      <c r="T77" s="22">
        <f>VLOOKUP($E77,'Retail Rates'!$B$7:$P$40,8,FALSE)</f>
        <v>0.30669999999999997</v>
      </c>
      <c r="U77" s="22">
        <f>VLOOKUP($E77,'Retail Rates'!$B$7:$P$40,9,FALSE)</f>
        <v>0.25669999999999998</v>
      </c>
      <c r="V77" s="22">
        <f>VLOOKUP($E77,'Retail Rates'!$B$7:$P$40,14,FALSE)</f>
        <v>0</v>
      </c>
      <c r="W77" s="22">
        <f>VLOOKUP($E77,'Retail Rates'!$B$7:$P$40,10,FALSE)</f>
        <v>3.0669999999999997</v>
      </c>
      <c r="X77" s="22">
        <f>VLOOKUP($E77,'Retail Rates'!$B$7:$P$40,11,FALSE)</f>
        <v>2.5669999999999997</v>
      </c>
      <c r="Y77" s="22">
        <f>VLOOKUP($E77,'Retail Rates'!$B$7:$P$40,15,FALSE)</f>
        <v>0</v>
      </c>
      <c r="Z77" s="22">
        <v>0</v>
      </c>
      <c r="AA77" s="411">
        <f t="shared" si="105"/>
        <v>36777.93</v>
      </c>
      <c r="AB77" s="411">
        <f>+Q77*S77</f>
        <v>0</v>
      </c>
      <c r="AC77" s="411">
        <f>ROUND(T77,2)*J77</f>
        <v>186.31</v>
      </c>
      <c r="AD77" s="411">
        <f t="shared" ref="AD77:AD85" si="127">+K77*U77</f>
        <v>0</v>
      </c>
      <c r="AE77" s="411">
        <f t="shared" si="107"/>
        <v>0</v>
      </c>
      <c r="AF77" s="41">
        <v>0</v>
      </c>
      <c r="AG77" s="41">
        <v>0</v>
      </c>
      <c r="AH77" s="33">
        <v>0</v>
      </c>
      <c r="AI77" s="33">
        <v>0</v>
      </c>
      <c r="AJ77" s="41">
        <v>0</v>
      </c>
      <c r="AK77" s="41">
        <v>0</v>
      </c>
      <c r="AL77" s="33">
        <v>0</v>
      </c>
      <c r="AM77" s="33">
        <v>0</v>
      </c>
      <c r="AN77" s="41">
        <v>0</v>
      </c>
      <c r="AO77" s="33">
        <v>0</v>
      </c>
      <c r="AP77" s="411">
        <f t="shared" si="111"/>
        <v>36777.93</v>
      </c>
      <c r="AQ77" s="411">
        <f t="shared" si="112"/>
        <v>0</v>
      </c>
      <c r="AR77" s="411">
        <f t="shared" si="113"/>
        <v>186.31</v>
      </c>
      <c r="AS77" s="411">
        <f t="shared" si="114"/>
        <v>0</v>
      </c>
      <c r="AT77" s="411">
        <f t="shared" si="115"/>
        <v>0</v>
      </c>
      <c r="AU77" s="411">
        <f t="shared" si="116"/>
        <v>0</v>
      </c>
      <c r="AV77" s="28">
        <f t="shared" si="117"/>
        <v>0</v>
      </c>
      <c r="AW77" s="28">
        <f t="shared" si="118"/>
        <v>150.25</v>
      </c>
      <c r="AX77" s="28">
        <f t="shared" si="119"/>
        <v>0</v>
      </c>
      <c r="AY77" s="28">
        <f t="shared" si="120"/>
        <v>5636.16</v>
      </c>
      <c r="AZ77" s="28">
        <f t="shared" si="108"/>
        <v>12.02</v>
      </c>
      <c r="BA77" s="28">
        <f t="shared" si="121"/>
        <v>42762.67</v>
      </c>
      <c r="BB77" s="28">
        <f t="shared" si="122"/>
        <v>42762.669999999991</v>
      </c>
      <c r="BC77" s="29">
        <f t="shared" si="123"/>
        <v>1</v>
      </c>
      <c r="BD77" s="28">
        <f>SUMIFS('SBR Mar20 - Aug20'!$F$3:$F$961,'SBR Mar20 - Aug20'!$A$3:$A$961,'Mar20-Aug20 Billed-RETAIL'!$C77,'SBR Mar20 - Aug20'!$B$3:$B$961,'Mar20-Aug20 Billed-RETAIL'!$E77)</f>
        <v>36777.93</v>
      </c>
      <c r="BE77" s="28">
        <f>SUMIFS('SBR Mar20 - Aug20'!$H$3:$H$961,'SBR Mar20 - Aug20'!$A$3:$A$961,'Mar20-Aug20 Billed-RETAIL'!$C77,'SBR Mar20 - Aug20'!$B$3:$B$961,'Mar20-Aug20 Billed-RETAIL'!$E77)</f>
        <v>186.31</v>
      </c>
      <c r="BF77" s="28">
        <f>SUMIFS('SBR Mar20 - Aug20'!$G$3:$G$961,'SBR Mar20 - Aug20'!$A$3:$A$961,'Mar20-Aug20 Billed-RETAIL'!$C77,'SBR Mar20 - Aug20'!$B$3:$B$961,'Mar20-Aug20 Billed-RETAIL'!$E77)</f>
        <v>0</v>
      </c>
      <c r="BG77" s="28">
        <f>SUMIFS('SBR Mar20 - Aug20'!$M$3:$M$961,'SBR Mar20 - Aug20'!$A$3:$A$961,'Mar20-Aug20 Billed-RETAIL'!$C77,'SBR Mar20 - Aug20'!$B$3:$B$961,'Mar20-Aug20 Billed-RETAIL'!$E77)</f>
        <v>0</v>
      </c>
      <c r="BH77" s="28">
        <f>SUMIFS('SBR Mar20 - Aug20'!$N$3:$N$961,'SBR Mar20 - Aug20'!$A$3:$A$961,'Mar20-Aug20 Billed-RETAIL'!$C77,'SBR Mar20 - Aug20'!$B$3:$B$961,'Mar20-Aug20 Billed-RETAIL'!$E77)</f>
        <v>150.25</v>
      </c>
      <c r="BI77" s="28">
        <f>SUMIFS('SBR Mar20 - Aug20'!$Y$3:$Y$961,'SBR Mar20 - Aug20'!$A$3:$A$961,'Mar20-Aug20 Billed-RETAIL'!$C77,'SBR Mar20 - Aug20'!$B$3:$B$961,'Mar20-Aug20 Billed-RETAIL'!$E77)</f>
        <v>0</v>
      </c>
      <c r="BJ77" s="28">
        <f>SUMIFS('SBR Mar20 - Aug20'!$W$3:$W$961,'SBR Mar20 - Aug20'!$A$3:$A$961,'Mar20-Aug20 Billed-RETAIL'!$C77,'SBR Mar20 - Aug20'!$B$3:$B$961,'Mar20-Aug20 Billed-RETAIL'!$E77)</f>
        <v>5636.16</v>
      </c>
      <c r="BK77" s="28">
        <f>SUMIFS('SBR Mar20 - Aug20'!$X$3:$X$961,'SBR Mar20 - Aug20'!$A$3:$A$961,'Mar20-Aug20 Billed-RETAIL'!$C77,'SBR Mar20 - Aug20'!$B$3:$B$961,'Mar20-Aug20 Billed-RETAIL'!$E77)</f>
        <v>12.02</v>
      </c>
      <c r="BL77" s="28">
        <f>SUMIFS('SBR Mar20 - Aug20'!$Z$3:$Z$961,'SBR Mar20 - Aug20'!$A$3:$A$961,'Mar20-Aug20 Billed-RETAIL'!$C77,'SBR Mar20 - Aug20'!$B$3:$B$961,'Mar20-Aug20 Billed-RETAIL'!$E77)</f>
        <v>0</v>
      </c>
      <c r="BM77" s="42">
        <f t="shared" si="124"/>
        <v>0</v>
      </c>
      <c r="BN77" s="42">
        <f t="shared" si="125"/>
        <v>0</v>
      </c>
    </row>
    <row r="78" spans="1:67" x14ac:dyDescent="0.25">
      <c r="C78" s="307">
        <f t="shared" ref="C78:C84" si="128">$C$71</f>
        <v>44013</v>
      </c>
      <c r="D78" s="408" t="str">
        <f t="shared" si="110"/>
        <v>865</v>
      </c>
      <c r="E78" s="405" t="str">
        <f>'Retail Rates'!$B$14</f>
        <v>LGCMG865</v>
      </c>
      <c r="F78" s="405"/>
      <c r="G78" s="405" t="str">
        <f>VLOOKUP(E78,'Retail Rates'!$B$7:$D$40,3,FALSE)</f>
        <v>As-Available Gas Service, Commercial</v>
      </c>
      <c r="H78" s="20">
        <f>SUMIFS('Data-Retail'!$F$2:$F$1987,'Data-Retail'!$A$2:$A$1987,'Mar20-Aug20 Billed-RETAIL'!$C78,'Data-Retail'!$B$2:$B$1987,'Mar20-Aug20 Billed-RETAIL'!$E78)</f>
        <v>2</v>
      </c>
      <c r="I78" s="20">
        <v>0</v>
      </c>
      <c r="J78" s="20">
        <v>0</v>
      </c>
      <c r="K78" s="20">
        <f>SUMIFS('Data-Retail'!$H$2:$H$1987,'Data-Retail'!$A$2:$A$1987,'Mar20-Aug20 Billed-RETAIL'!$C78,'Data-Retail'!$B$2:$B$1987,'Mar20-Aug20 Billed-RETAIL'!$E78)</f>
        <v>0</v>
      </c>
      <c r="L78" s="20">
        <v>0</v>
      </c>
      <c r="M78" s="20">
        <f>SUMIFS('Data-Retail'!$G$2:$G$1987,'Data-Retail'!$A$2:$A$1987,'Mar20-Aug20 Billed-RETAIL'!$C78,'Data-Retail'!$B$2:$B$1987,'Mar20-Aug20 Billed-RETAIL'!$E78)/10</f>
        <v>4309.3999999999996</v>
      </c>
      <c r="N78" s="20">
        <v>0</v>
      </c>
      <c r="O78" s="20">
        <v>0</v>
      </c>
      <c r="P78" s="20">
        <v>0</v>
      </c>
      <c r="Q78" s="20">
        <v>0</v>
      </c>
      <c r="R78" s="21">
        <f>VLOOKUP($E78,'Retail Rates'!$B$7:$P$40,4,FALSE)</f>
        <v>500</v>
      </c>
      <c r="S78" s="21">
        <f>VLOOKUP($E78,'Retail Rates'!$B$7:$P$40,5,FALSE)</f>
        <v>0</v>
      </c>
      <c r="T78" s="22">
        <f>VLOOKUP($E78,'Retail Rates'!$B$7:$P$40,8,FALSE)</f>
        <v>0.10644000000000001</v>
      </c>
      <c r="U78" s="22">
        <f>VLOOKUP($E78,'Retail Rates'!$B$7:$P$40,9,FALSE)</f>
        <v>0</v>
      </c>
      <c r="V78" s="22">
        <f>VLOOKUP($E78,'Retail Rates'!$B$7:$P$40,14,FALSE)</f>
        <v>0</v>
      </c>
      <c r="W78" s="22">
        <f>VLOOKUP($E78,'Retail Rates'!$B$7:$P$40,10,FALSE)</f>
        <v>1.0644</v>
      </c>
      <c r="X78" s="22">
        <f>VLOOKUP($E78,'Retail Rates'!$B$7:$P$40,11,FALSE)</f>
        <v>0</v>
      </c>
      <c r="Y78" s="22">
        <f>VLOOKUP($E78,'Retail Rates'!$B$7:$P$40,15,FALSE)</f>
        <v>0</v>
      </c>
      <c r="Z78" s="22">
        <v>0</v>
      </c>
      <c r="AA78" s="411">
        <f t="shared" ref="AA78:AA85" si="129">(+H78*R78)</f>
        <v>1000</v>
      </c>
      <c r="AB78" s="411">
        <f t="shared" ref="AB78:AC85" si="130">+I78*S78</f>
        <v>0</v>
      </c>
      <c r="AC78" s="411">
        <f>+M78*W78</f>
        <v>4586.9253599999993</v>
      </c>
      <c r="AD78" s="411">
        <f t="shared" si="127"/>
        <v>0</v>
      </c>
      <c r="AE78" s="411">
        <f t="shared" si="107"/>
        <v>0</v>
      </c>
      <c r="AF78" s="41">
        <v>0</v>
      </c>
      <c r="AG78" s="41">
        <v>0</v>
      </c>
      <c r="AH78" s="33">
        <v>0</v>
      </c>
      <c r="AI78" s="33">
        <v>0</v>
      </c>
      <c r="AJ78" s="41">
        <v>0</v>
      </c>
      <c r="AK78" s="41">
        <v>0</v>
      </c>
      <c r="AL78" s="33">
        <v>0</v>
      </c>
      <c r="AM78" s="33">
        <v>0</v>
      </c>
      <c r="AN78" s="41">
        <v>0</v>
      </c>
      <c r="AO78" s="33">
        <v>0</v>
      </c>
      <c r="AP78" s="411">
        <f t="shared" si="111"/>
        <v>1000</v>
      </c>
      <c r="AQ78" s="411">
        <f t="shared" si="112"/>
        <v>0</v>
      </c>
      <c r="AR78" s="411">
        <f t="shared" si="113"/>
        <v>4586.9253599999993</v>
      </c>
      <c r="AS78" s="411">
        <f t="shared" si="114"/>
        <v>0</v>
      </c>
      <c r="AT78" s="411">
        <f t="shared" si="115"/>
        <v>0</v>
      </c>
      <c r="AU78" s="411">
        <f t="shared" si="116"/>
        <v>0</v>
      </c>
      <c r="AV78" s="28">
        <f t="shared" si="117"/>
        <v>20.69</v>
      </c>
      <c r="AW78" s="28">
        <f t="shared" si="118"/>
        <v>10950.19</v>
      </c>
      <c r="AX78" s="28">
        <f t="shared" si="119"/>
        <v>0</v>
      </c>
      <c r="AY78" s="28">
        <f t="shared" si="120"/>
        <v>222.04</v>
      </c>
      <c r="AZ78" s="28">
        <f t="shared" si="108"/>
        <v>504.2</v>
      </c>
      <c r="BA78" s="28">
        <f t="shared" si="121"/>
        <v>17284.05</v>
      </c>
      <c r="BB78" s="28">
        <f t="shared" si="122"/>
        <v>17284.050000000003</v>
      </c>
      <c r="BC78" s="29">
        <f t="shared" si="123"/>
        <v>1</v>
      </c>
      <c r="BD78" s="28">
        <f>SUMIFS('SBR Mar20 - Aug20'!$F$3:$F$961,'SBR Mar20 - Aug20'!$A$3:$A$961,'Mar20-Aug20 Billed-RETAIL'!$C78,'SBR Mar20 - Aug20'!$B$3:$B$961,'Mar20-Aug20 Billed-RETAIL'!$E78)</f>
        <v>1000</v>
      </c>
      <c r="BE78" s="28">
        <f>SUMIFS('SBR Mar20 - Aug20'!$H$3:$H$961,'SBR Mar20 - Aug20'!$A$3:$A$961,'Mar20-Aug20 Billed-RETAIL'!$C78,'SBR Mar20 - Aug20'!$B$3:$B$961,'Mar20-Aug20 Billed-RETAIL'!$E78)</f>
        <v>4586.93</v>
      </c>
      <c r="BF78" s="28">
        <f>SUMIFS('SBR Mar20 - Aug20'!$G$3:$G$961,'SBR Mar20 - Aug20'!$A$3:$A$961,'Mar20-Aug20 Billed-RETAIL'!$C78,'SBR Mar20 - Aug20'!$B$3:$B$961,'Mar20-Aug20 Billed-RETAIL'!$E78)</f>
        <v>0</v>
      </c>
      <c r="BG78" s="28">
        <f>SUMIFS('SBR Mar20 - Aug20'!$M$3:$M$961,'SBR Mar20 - Aug20'!$A$3:$A$961,'Mar20-Aug20 Billed-RETAIL'!$C78,'SBR Mar20 - Aug20'!$B$3:$B$961,'Mar20-Aug20 Billed-RETAIL'!$E78)</f>
        <v>20.69</v>
      </c>
      <c r="BH78" s="28">
        <f>SUMIFS('SBR Mar20 - Aug20'!$N$3:$N$961,'SBR Mar20 - Aug20'!$A$3:$A$961,'Mar20-Aug20 Billed-RETAIL'!$C78,'SBR Mar20 - Aug20'!$B$3:$B$961,'Mar20-Aug20 Billed-RETAIL'!$E78)</f>
        <v>10950.19</v>
      </c>
      <c r="BI78" s="28">
        <f>SUMIFS('SBR Mar20 - Aug20'!$Y$3:$Y$961,'SBR Mar20 - Aug20'!$A$3:$A$961,'Mar20-Aug20 Billed-RETAIL'!$C78,'SBR Mar20 - Aug20'!$B$3:$B$961,'Mar20-Aug20 Billed-RETAIL'!$E78)</f>
        <v>0</v>
      </c>
      <c r="BJ78" s="28">
        <f>SUMIFS('SBR Mar20 - Aug20'!$W$3:$W$961,'SBR Mar20 - Aug20'!$A$3:$A$961,'Mar20-Aug20 Billed-RETAIL'!$C78,'SBR Mar20 - Aug20'!$B$3:$B$961,'Mar20-Aug20 Billed-RETAIL'!$E78)</f>
        <v>222.04</v>
      </c>
      <c r="BK78" s="28">
        <f>SUMIFS('SBR Mar20 - Aug20'!$X$3:$X$961,'SBR Mar20 - Aug20'!$A$3:$A$961,'Mar20-Aug20 Billed-RETAIL'!$C78,'SBR Mar20 - Aug20'!$B$3:$B$961,'Mar20-Aug20 Billed-RETAIL'!$E78)</f>
        <v>504.2</v>
      </c>
      <c r="BL78" s="28">
        <f>SUMIFS('SBR Mar20 - Aug20'!$Z$3:$Z$961,'SBR Mar20 - Aug20'!$A$3:$A$961,'Mar20-Aug20 Billed-RETAIL'!$C78,'SBR Mar20 - Aug20'!$B$3:$B$961,'Mar20-Aug20 Billed-RETAIL'!$E78)</f>
        <v>0</v>
      </c>
      <c r="BM78" s="42">
        <f t="shared" si="124"/>
        <v>0</v>
      </c>
      <c r="BN78" s="42">
        <f t="shared" si="125"/>
        <v>-4.640000001018052E-3</v>
      </c>
    </row>
    <row r="79" spans="1:67" x14ac:dyDescent="0.25">
      <c r="C79" s="307">
        <f t="shared" si="128"/>
        <v>44013</v>
      </c>
      <c r="D79" s="408" t="str">
        <f t="shared" si="110"/>
        <v>866</v>
      </c>
      <c r="E79" s="405" t="str">
        <f>'Retail Rates'!$B$15</f>
        <v>LGING866</v>
      </c>
      <c r="F79" s="405"/>
      <c r="G79" s="405" t="str">
        <f>VLOOKUP(E79,'Retail Rates'!$B$7:$D$40,3,FALSE)</f>
        <v>As-Available Gas Service, Industrial Opt Out</v>
      </c>
      <c r="H79" s="20">
        <f>SUMIFS('Data-Retail'!$F$2:$F$1987,'Data-Retail'!$A$2:$A$1987,'Mar20-Aug20 Billed-RETAIL'!$C79,'Data-Retail'!$B$2:$B$1987,'Mar20-Aug20 Billed-RETAIL'!$E79)</f>
        <v>0</v>
      </c>
      <c r="I79" s="20">
        <v>0</v>
      </c>
      <c r="J79" s="20">
        <f>SUMIFS('Data-Retail'!$G$2:$G$1987,'Data-Retail'!$A$2:$A$1987,'Mar20-Aug20 Billed-RETAIL'!$C79,'Data-Retail'!$B$2:$B$1987,'Mar20-Aug20 Billed-RETAIL'!$E79)</f>
        <v>0</v>
      </c>
      <c r="K79" s="20">
        <f>SUMIFS('Data-Retail'!$H$2:$H$1987,'Data-Retail'!$A$2:$A$1987,'Mar20-Aug20 Billed-RETAIL'!$C79,'Data-Retail'!$B$2:$B$1987,'Mar20-Aug20 Billed-RETAIL'!$E79)</f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1">
        <f>VLOOKUP($E79,'Retail Rates'!$B$7:$P$40,4,FALSE)</f>
        <v>500</v>
      </c>
      <c r="S79" s="21">
        <f>VLOOKUP($E79,'Retail Rates'!$B$7:$P$40,5,FALSE)</f>
        <v>0</v>
      </c>
      <c r="T79" s="22">
        <f>VLOOKUP($E79,'Retail Rates'!$B$7:$P$40,8,FALSE)</f>
        <v>0.10644000000000001</v>
      </c>
      <c r="U79" s="22">
        <f>VLOOKUP($E79,'Retail Rates'!$B$7:$P$40,9,FALSE)</f>
        <v>0</v>
      </c>
      <c r="V79" s="22">
        <f>VLOOKUP($E79,'Retail Rates'!$B$7:$P$40,14,FALSE)</f>
        <v>0</v>
      </c>
      <c r="W79" s="22">
        <f>VLOOKUP($E79,'Retail Rates'!$B$7:$P$40,10,FALSE)</f>
        <v>1.0644</v>
      </c>
      <c r="X79" s="22">
        <f>VLOOKUP($E79,'Retail Rates'!$B$7:$P$40,11,FALSE)</f>
        <v>0</v>
      </c>
      <c r="Y79" s="22">
        <f>VLOOKUP($E79,'Retail Rates'!$B$7:$P$40,15,FALSE)</f>
        <v>0</v>
      </c>
      <c r="Z79" s="22">
        <v>0</v>
      </c>
      <c r="AA79" s="411">
        <f t="shared" si="129"/>
        <v>0</v>
      </c>
      <c r="AB79" s="411">
        <f t="shared" si="130"/>
        <v>0</v>
      </c>
      <c r="AC79" s="411">
        <f t="shared" ref="AC79:AC81" si="131">+M79*W79</f>
        <v>0</v>
      </c>
      <c r="AD79" s="411">
        <f t="shared" si="127"/>
        <v>0</v>
      </c>
      <c r="AE79" s="411">
        <f t="shared" si="107"/>
        <v>0</v>
      </c>
      <c r="AF79" s="41">
        <v>0</v>
      </c>
      <c r="AG79" s="41">
        <v>0</v>
      </c>
      <c r="AH79" s="33">
        <v>0</v>
      </c>
      <c r="AI79" s="33">
        <v>0</v>
      </c>
      <c r="AJ79" s="41">
        <v>0</v>
      </c>
      <c r="AK79" s="41">
        <v>0</v>
      </c>
      <c r="AL79" s="33">
        <v>0</v>
      </c>
      <c r="AM79" s="33">
        <v>0</v>
      </c>
      <c r="AN79" s="41">
        <v>0</v>
      </c>
      <c r="AO79" s="33">
        <v>0</v>
      </c>
      <c r="AP79" s="411">
        <f t="shared" si="111"/>
        <v>0</v>
      </c>
      <c r="AQ79" s="411">
        <f t="shared" si="112"/>
        <v>0</v>
      </c>
      <c r="AR79" s="411">
        <f t="shared" si="113"/>
        <v>0</v>
      </c>
      <c r="AS79" s="411">
        <f t="shared" si="114"/>
        <v>0</v>
      </c>
      <c r="AT79" s="411">
        <f t="shared" si="115"/>
        <v>0</v>
      </c>
      <c r="AU79" s="411">
        <f t="shared" si="116"/>
        <v>0</v>
      </c>
      <c r="AV79" s="28">
        <f t="shared" si="117"/>
        <v>0</v>
      </c>
      <c r="AW79" s="28">
        <f t="shared" si="118"/>
        <v>0</v>
      </c>
      <c r="AX79" s="28">
        <f t="shared" si="119"/>
        <v>0</v>
      </c>
      <c r="AY79" s="28">
        <f t="shared" si="120"/>
        <v>0</v>
      </c>
      <c r="AZ79" s="28">
        <f t="shared" si="108"/>
        <v>0</v>
      </c>
      <c r="BA79" s="28">
        <f t="shared" si="121"/>
        <v>0</v>
      </c>
      <c r="BB79" s="28">
        <f t="shared" si="122"/>
        <v>0</v>
      </c>
      <c r="BC79" s="29">
        <f t="shared" si="123"/>
        <v>0</v>
      </c>
      <c r="BD79" s="28">
        <f>SUMIFS('SBR Mar20 - Aug20'!$F$3:$F$961,'SBR Mar20 - Aug20'!$A$3:$A$961,'Mar20-Aug20 Billed-RETAIL'!$C79,'SBR Mar20 - Aug20'!$B$3:$B$961,'Mar20-Aug20 Billed-RETAIL'!$E79)</f>
        <v>0</v>
      </c>
      <c r="BE79" s="28">
        <f>SUMIFS('SBR Mar20 - Aug20'!$H$3:$H$961,'SBR Mar20 - Aug20'!$A$3:$A$961,'Mar20-Aug20 Billed-RETAIL'!$C79,'SBR Mar20 - Aug20'!$B$3:$B$961,'Mar20-Aug20 Billed-RETAIL'!$E79)</f>
        <v>0</v>
      </c>
      <c r="BF79" s="28">
        <f>SUMIFS('SBR Mar20 - Aug20'!$G$3:$G$961,'SBR Mar20 - Aug20'!$A$3:$A$961,'Mar20-Aug20 Billed-RETAIL'!$C79,'SBR Mar20 - Aug20'!$B$3:$B$961,'Mar20-Aug20 Billed-RETAIL'!$E79)</f>
        <v>0</v>
      </c>
      <c r="BG79" s="28">
        <f>SUMIFS('SBR Mar20 - Aug20'!$M$3:$M$961,'SBR Mar20 - Aug20'!$A$3:$A$961,'Mar20-Aug20 Billed-RETAIL'!$C79,'SBR Mar20 - Aug20'!$B$3:$B$961,'Mar20-Aug20 Billed-RETAIL'!$E79)</f>
        <v>0</v>
      </c>
      <c r="BH79" s="28">
        <f>SUMIFS('SBR Mar20 - Aug20'!$N$3:$N$961,'SBR Mar20 - Aug20'!$A$3:$A$961,'Mar20-Aug20 Billed-RETAIL'!$C79,'SBR Mar20 - Aug20'!$B$3:$B$961,'Mar20-Aug20 Billed-RETAIL'!$E79)</f>
        <v>0</v>
      </c>
      <c r="BI79" s="28">
        <f>SUMIFS('SBR Mar20 - Aug20'!$Y$3:$Y$961,'SBR Mar20 - Aug20'!$A$3:$A$961,'Mar20-Aug20 Billed-RETAIL'!$C79,'SBR Mar20 - Aug20'!$B$3:$B$961,'Mar20-Aug20 Billed-RETAIL'!$E79)</f>
        <v>0</v>
      </c>
      <c r="BJ79" s="28">
        <f>SUMIFS('SBR Mar20 - Aug20'!$W$3:$W$961,'SBR Mar20 - Aug20'!$A$3:$A$961,'Mar20-Aug20 Billed-RETAIL'!$C79,'SBR Mar20 - Aug20'!$B$3:$B$961,'Mar20-Aug20 Billed-RETAIL'!$E79)</f>
        <v>0</v>
      </c>
      <c r="BK79" s="28">
        <f>SUMIFS('SBR Mar20 - Aug20'!$X$3:$X$961,'SBR Mar20 - Aug20'!$A$3:$A$961,'Mar20-Aug20 Billed-RETAIL'!$C79,'SBR Mar20 - Aug20'!$B$3:$B$961,'Mar20-Aug20 Billed-RETAIL'!$E79)</f>
        <v>0</v>
      </c>
      <c r="BL79" s="28">
        <f>SUMIFS('SBR Mar20 - Aug20'!$Z$3:$Z$961,'SBR Mar20 - Aug20'!$A$3:$A$961,'Mar20-Aug20 Billed-RETAIL'!$C79,'SBR Mar20 - Aug20'!$B$3:$B$961,'Mar20-Aug20 Billed-RETAIL'!$E79)</f>
        <v>0</v>
      </c>
      <c r="BM79" s="42">
        <f t="shared" si="124"/>
        <v>0</v>
      </c>
      <c r="BN79" s="42">
        <f t="shared" si="125"/>
        <v>0</v>
      </c>
    </row>
    <row r="80" spans="1:67" ht="15" customHeight="1" x14ac:dyDescent="0.25">
      <c r="C80" s="307">
        <f t="shared" si="128"/>
        <v>44013</v>
      </c>
      <c r="D80" s="408" t="str">
        <f t="shared" si="110"/>
        <v>866</v>
      </c>
      <c r="E80" s="405" t="str">
        <f>'Retail Rates'!$B$16</f>
        <v>LGING866DS</v>
      </c>
      <c r="F80" s="405"/>
      <c r="G80" s="405" t="str">
        <f>VLOOKUP(E80,'Retail Rates'!$B$7:$D$40,3,FALSE)</f>
        <v>As-Available Gas Service, Industrial Opt In</v>
      </c>
      <c r="H80" s="20">
        <f>SUMIFS('Data-Retail'!$F$2:$F$1987,'Data-Retail'!$A$2:$A$1987,'Mar20-Aug20 Billed-RETAIL'!$C80,'Data-Retail'!$B$2:$B$1987,'Mar20-Aug20 Billed-RETAIL'!$E80)</f>
        <v>1</v>
      </c>
      <c r="I80" s="20">
        <v>0</v>
      </c>
      <c r="J80" s="20">
        <v>0</v>
      </c>
      <c r="K80" s="20">
        <f>SUMIFS('Data-Retail'!$H$2:$H$1987,'Data-Retail'!$A$2:$A$1987,'Mar20-Aug20 Billed-RETAIL'!$C80,'Data-Retail'!$B$2:$B$1987,'Mar20-Aug20 Billed-RETAIL'!$E80)</f>
        <v>0</v>
      </c>
      <c r="L80" s="20">
        <v>0</v>
      </c>
      <c r="M80" s="20">
        <f>SUMIFS('Data-Retail'!$G$2:$G$1987,'Data-Retail'!$A$2:$A$1987,'Mar20-Aug20 Billed-RETAIL'!$C80,'Data-Retail'!$B$2:$B$1987,'Mar20-Aug20 Billed-RETAIL'!$E80)/10</f>
        <v>4546.5</v>
      </c>
      <c r="N80" s="20">
        <v>0</v>
      </c>
      <c r="O80" s="20">
        <v>0</v>
      </c>
      <c r="P80" s="20">
        <v>0</v>
      </c>
      <c r="Q80" s="20">
        <v>0</v>
      </c>
      <c r="R80" s="21">
        <f>VLOOKUP($E80,'Retail Rates'!$B$7:$P$40,4,FALSE)</f>
        <v>500</v>
      </c>
      <c r="S80" s="21">
        <f>VLOOKUP($E80,'Retail Rates'!$B$7:$P$40,5,FALSE)</f>
        <v>0</v>
      </c>
      <c r="T80" s="22">
        <f>VLOOKUP($E80,'Retail Rates'!$B$7:$P$40,8,FALSE)</f>
        <v>0.10644000000000001</v>
      </c>
      <c r="U80" s="22">
        <f>VLOOKUP($E80,'Retail Rates'!$B$7:$P$40,9,FALSE)</f>
        <v>0</v>
      </c>
      <c r="V80" s="22">
        <f>VLOOKUP($E80,'Retail Rates'!$B$7:$P$40,14,FALSE)</f>
        <v>0</v>
      </c>
      <c r="W80" s="22">
        <f>VLOOKUP($E80,'Retail Rates'!$B$7:$P$40,10,FALSE)</f>
        <v>1.0644</v>
      </c>
      <c r="X80" s="22">
        <f>VLOOKUP($E80,'Retail Rates'!$B$7:$P$40,11,FALSE)</f>
        <v>0</v>
      </c>
      <c r="Y80" s="22">
        <f>VLOOKUP($E80,'Retail Rates'!$B$7:$P$40,15,FALSE)</f>
        <v>0</v>
      </c>
      <c r="Z80" s="22">
        <v>0</v>
      </c>
      <c r="AA80" s="411">
        <f t="shared" si="129"/>
        <v>500</v>
      </c>
      <c r="AB80" s="411">
        <f t="shared" si="130"/>
        <v>0</v>
      </c>
      <c r="AC80" s="411">
        <f t="shared" si="131"/>
        <v>4839.2946000000002</v>
      </c>
      <c r="AD80" s="411">
        <f t="shared" si="127"/>
        <v>0</v>
      </c>
      <c r="AE80" s="411">
        <f t="shared" si="107"/>
        <v>0</v>
      </c>
      <c r="AF80" s="41">
        <v>0</v>
      </c>
      <c r="AG80" s="41">
        <v>0</v>
      </c>
      <c r="AH80" s="33">
        <v>0</v>
      </c>
      <c r="AI80" s="33">
        <v>0</v>
      </c>
      <c r="AJ80" s="41">
        <v>0</v>
      </c>
      <c r="AK80" s="41">
        <v>0</v>
      </c>
      <c r="AL80" s="33">
        <v>0</v>
      </c>
      <c r="AM80" s="33">
        <v>0</v>
      </c>
      <c r="AN80" s="41">
        <v>0</v>
      </c>
      <c r="AO80" s="33">
        <v>0</v>
      </c>
      <c r="AP80" s="411">
        <f t="shared" si="111"/>
        <v>500</v>
      </c>
      <c r="AQ80" s="411">
        <f t="shared" si="112"/>
        <v>0</v>
      </c>
      <c r="AR80" s="411">
        <f t="shared" si="113"/>
        <v>4839.2946000000002</v>
      </c>
      <c r="AS80" s="411">
        <f t="shared" si="114"/>
        <v>0</v>
      </c>
      <c r="AT80" s="411">
        <f t="shared" si="115"/>
        <v>0</v>
      </c>
      <c r="AU80" s="411">
        <f t="shared" si="116"/>
        <v>0</v>
      </c>
      <c r="AV80" s="28">
        <f t="shared" si="117"/>
        <v>21.82</v>
      </c>
      <c r="AW80" s="28">
        <f t="shared" si="118"/>
        <v>11552.66</v>
      </c>
      <c r="AX80" s="28">
        <f t="shared" si="119"/>
        <v>0</v>
      </c>
      <c r="AY80" s="28">
        <f t="shared" si="120"/>
        <v>111.02</v>
      </c>
      <c r="AZ80" s="28">
        <f t="shared" si="108"/>
        <v>531.94000000000005</v>
      </c>
      <c r="BA80" s="28">
        <f t="shared" si="121"/>
        <v>17556.73</v>
      </c>
      <c r="BB80" s="28">
        <f t="shared" si="122"/>
        <v>17556.73</v>
      </c>
      <c r="BC80" s="29">
        <f t="shared" si="123"/>
        <v>1</v>
      </c>
      <c r="BD80" s="28">
        <f>SUMIFS('SBR Mar20 - Aug20'!$F$3:$F$961,'SBR Mar20 - Aug20'!$A$3:$A$961,'Mar20-Aug20 Billed-RETAIL'!$C80,'SBR Mar20 - Aug20'!$B$3:$B$961,'Mar20-Aug20 Billed-RETAIL'!$E80)</f>
        <v>500</v>
      </c>
      <c r="BE80" s="28">
        <f>SUMIFS('SBR Mar20 - Aug20'!$H$3:$H$961,'SBR Mar20 - Aug20'!$A$3:$A$961,'Mar20-Aug20 Billed-RETAIL'!$C80,'SBR Mar20 - Aug20'!$B$3:$B$961,'Mar20-Aug20 Billed-RETAIL'!$E80)</f>
        <v>4839.29</v>
      </c>
      <c r="BF80" s="28">
        <f>SUMIFS('SBR Mar20 - Aug20'!$G$3:$G$961,'SBR Mar20 - Aug20'!$A$3:$A$961,'Mar20-Aug20 Billed-RETAIL'!$C80,'SBR Mar20 - Aug20'!$B$3:$B$961,'Mar20-Aug20 Billed-RETAIL'!$E80)</f>
        <v>0</v>
      </c>
      <c r="BG80" s="28">
        <f>SUMIFS('SBR Mar20 - Aug20'!$M$3:$M$961,'SBR Mar20 - Aug20'!$A$3:$A$961,'Mar20-Aug20 Billed-RETAIL'!$C80,'SBR Mar20 - Aug20'!$B$3:$B$961,'Mar20-Aug20 Billed-RETAIL'!$E80)</f>
        <v>21.82</v>
      </c>
      <c r="BH80" s="28">
        <f>SUMIFS('SBR Mar20 - Aug20'!$N$3:$N$961,'SBR Mar20 - Aug20'!$A$3:$A$961,'Mar20-Aug20 Billed-RETAIL'!$C80,'SBR Mar20 - Aug20'!$B$3:$B$961,'Mar20-Aug20 Billed-RETAIL'!$E80)</f>
        <v>11552.66</v>
      </c>
      <c r="BI80" s="28">
        <f>SUMIFS('SBR Mar20 - Aug20'!$Y$3:$Y$961,'SBR Mar20 - Aug20'!$A$3:$A$961,'Mar20-Aug20 Billed-RETAIL'!$C80,'SBR Mar20 - Aug20'!$B$3:$B$961,'Mar20-Aug20 Billed-RETAIL'!$E80)</f>
        <v>0</v>
      </c>
      <c r="BJ80" s="28">
        <f>SUMIFS('SBR Mar20 - Aug20'!$W$3:$W$961,'SBR Mar20 - Aug20'!$A$3:$A$961,'Mar20-Aug20 Billed-RETAIL'!$C80,'SBR Mar20 - Aug20'!$B$3:$B$961,'Mar20-Aug20 Billed-RETAIL'!$E80)</f>
        <v>111.02</v>
      </c>
      <c r="BK80" s="28">
        <f>SUMIFS('SBR Mar20 - Aug20'!$X$3:$X$961,'SBR Mar20 - Aug20'!$A$3:$A$961,'Mar20-Aug20 Billed-RETAIL'!$C80,'SBR Mar20 - Aug20'!$B$3:$B$961,'Mar20-Aug20 Billed-RETAIL'!$E80)</f>
        <v>531.94000000000005</v>
      </c>
      <c r="BL80" s="28">
        <f>SUMIFS('SBR Mar20 - Aug20'!$Z$3:$Z$961,'SBR Mar20 - Aug20'!$A$3:$A$961,'Mar20-Aug20 Billed-RETAIL'!$C80,'SBR Mar20 - Aug20'!$B$3:$B$961,'Mar20-Aug20 Billed-RETAIL'!$E80)</f>
        <v>0</v>
      </c>
      <c r="BM80" s="42">
        <f t="shared" si="124"/>
        <v>0</v>
      </c>
      <c r="BN80" s="42">
        <f t="shared" si="125"/>
        <v>4.6000000002095476E-3</v>
      </c>
    </row>
    <row r="81" spans="1:66" ht="15" customHeight="1" x14ac:dyDescent="0.25">
      <c r="C81" s="307">
        <f t="shared" si="128"/>
        <v>44013</v>
      </c>
      <c r="D81" s="408" t="str">
        <f t="shared" si="110"/>
        <v>870</v>
      </c>
      <c r="E81" s="405" t="str">
        <f>'Retail Rates'!$B$17</f>
        <v>LGCMG870</v>
      </c>
      <c r="F81" s="405"/>
      <c r="G81" s="405" t="str">
        <f>VLOOKUP(E81,'Retail Rates'!$B$7:$D$40,3,FALSE)</f>
        <v>Substitute Gas Sales Service-Commercial</v>
      </c>
      <c r="H81" s="20">
        <f>SUMIFS('Data-Retail'!$F$2:$F$1987,'Data-Retail'!$A$2:$A$1987,'Mar20-Aug20 Billed-RETAIL'!$C81,'Data-Retail'!$B$2:$B$1987,'Mar20-Aug20 Billed-RETAIL'!$E81)</f>
        <v>1</v>
      </c>
      <c r="I81" s="20">
        <v>0</v>
      </c>
      <c r="J81" s="20">
        <v>0</v>
      </c>
      <c r="K81" s="20">
        <f>SUMIFS('Data-Retail'!$H$2:$H$1987,'Data-Retail'!$A$2:$A$1987,'Mar20-Aug20 Billed-RETAIL'!$C81,'Data-Retail'!$B$2:$B$1987,'Mar20-Aug20 Billed-RETAIL'!$E81)</f>
        <v>0</v>
      </c>
      <c r="L81" s="20">
        <v>0</v>
      </c>
      <c r="M81" s="20">
        <f>SUMIFS('Data-Retail'!$G$2:$G$1987,'Data-Retail'!$A$2:$A$1987,'Mar20-Aug20 Billed-RETAIL'!$C81,'Data-Retail'!$B$2:$B$1987,'Mar20-Aug20 Billed-RETAIL'!$E81)/10</f>
        <v>1.2</v>
      </c>
      <c r="N81" s="20">
        <v>0</v>
      </c>
      <c r="O81" s="20">
        <f>(SUMIFS('Data-Retail'!$P$2:$P$987,'Data-Retail'!$A$2:$A$987,'Mar20-Aug20 Billed-RETAIL'!$C81,'Data-Retail'!$B$2:$B$987,'Mar20-Aug20 Billed-RETAIL'!$E81)/Y81)</f>
        <v>2418.1006097560976</v>
      </c>
      <c r="P81" s="20">
        <v>0</v>
      </c>
      <c r="Q81" s="20">
        <v>0</v>
      </c>
      <c r="R81" s="21">
        <f>VLOOKUP($E81,'Retail Rates'!$B$7:$P$40,4,FALSE)</f>
        <v>285</v>
      </c>
      <c r="S81" s="21">
        <f>VLOOKUP($E81,'Retail Rates'!$B$7:$P$40,5,FALSE)</f>
        <v>0</v>
      </c>
      <c r="T81" s="22">
        <f>VLOOKUP($E81,'Retail Rates'!$B$7:$P$40,8,FALSE)</f>
        <v>3.603E-2</v>
      </c>
      <c r="U81" s="22">
        <f>VLOOKUP($E81,'Retail Rates'!$B$7:$P$40,9,FALSE)</f>
        <v>0</v>
      </c>
      <c r="V81" s="22">
        <f>VLOOKUP($E81,'Retail Rates'!$B$7:$P$40,14,FALSE)</f>
        <v>0.65599999999999992</v>
      </c>
      <c r="W81" s="22">
        <f>VLOOKUP($E81,'Retail Rates'!$B$7:$P$40,10,FALSE)</f>
        <v>0.36030000000000001</v>
      </c>
      <c r="X81" s="22">
        <f>VLOOKUP($E81,'Retail Rates'!$B$7:$P$40,11,FALSE)</f>
        <v>0</v>
      </c>
      <c r="Y81" s="22">
        <f>VLOOKUP($E81,'Retail Rates'!$B$7:$P$40,15,FALSE)</f>
        <v>6.56</v>
      </c>
      <c r="Z81" s="22">
        <v>0</v>
      </c>
      <c r="AA81" s="411">
        <f t="shared" si="129"/>
        <v>285</v>
      </c>
      <c r="AB81" s="411">
        <f t="shared" si="130"/>
        <v>0</v>
      </c>
      <c r="AC81" s="411">
        <f t="shared" si="131"/>
        <v>0.43236000000000002</v>
      </c>
      <c r="AD81" s="411">
        <f t="shared" si="127"/>
        <v>0</v>
      </c>
      <c r="AE81" s="411">
        <f>O81*Y81</f>
        <v>15862.74</v>
      </c>
      <c r="AF81" s="41">
        <v>0</v>
      </c>
      <c r="AG81" s="41">
        <v>0</v>
      </c>
      <c r="AH81" s="33">
        <v>0</v>
      </c>
      <c r="AI81" s="33">
        <v>0</v>
      </c>
      <c r="AJ81" s="41">
        <v>0</v>
      </c>
      <c r="AK81" s="41">
        <v>0</v>
      </c>
      <c r="AL81" s="33">
        <v>0</v>
      </c>
      <c r="AM81" s="33">
        <v>0</v>
      </c>
      <c r="AN81" s="41">
        <v>0</v>
      </c>
      <c r="AO81" s="33">
        <v>0</v>
      </c>
      <c r="AP81" s="411">
        <f t="shared" si="111"/>
        <v>285</v>
      </c>
      <c r="AQ81" s="411">
        <f t="shared" si="112"/>
        <v>0</v>
      </c>
      <c r="AR81" s="411">
        <f t="shared" si="113"/>
        <v>0.43236000000000002</v>
      </c>
      <c r="AS81" s="411">
        <f t="shared" si="114"/>
        <v>0</v>
      </c>
      <c r="AT81" s="411">
        <f t="shared" si="115"/>
        <v>15862.74</v>
      </c>
      <c r="AU81" s="411">
        <f t="shared" si="116"/>
        <v>0</v>
      </c>
      <c r="AV81" s="28">
        <f t="shared" si="117"/>
        <v>0.01</v>
      </c>
      <c r="AW81" s="28">
        <f t="shared" si="118"/>
        <v>3.05</v>
      </c>
      <c r="AX81" s="28">
        <f t="shared" si="119"/>
        <v>0</v>
      </c>
      <c r="AY81" s="28">
        <f t="shared" si="120"/>
        <v>9.27</v>
      </c>
      <c r="AZ81" s="28">
        <f t="shared" si="108"/>
        <v>0.23</v>
      </c>
      <c r="BA81" s="28">
        <f t="shared" si="121"/>
        <v>16160.73</v>
      </c>
      <c r="BB81" s="28">
        <f t="shared" si="122"/>
        <v>16160.73</v>
      </c>
      <c r="BC81" s="29">
        <f t="shared" si="123"/>
        <v>1</v>
      </c>
      <c r="BD81" s="28">
        <f>SUMIFS('SBR Mar20 - Aug20'!$F$3:$F$961,'SBR Mar20 - Aug20'!$A$3:$A$961,'Mar20-Aug20 Billed-RETAIL'!$C81,'SBR Mar20 - Aug20'!$B$3:$B$961,'Mar20-Aug20 Billed-RETAIL'!$E81)</f>
        <v>285</v>
      </c>
      <c r="BE81" s="28">
        <f>SUMIFS('SBR Mar20 - Aug20'!$H$3:$H$961,'SBR Mar20 - Aug20'!$A$3:$A$961,'Mar20-Aug20 Billed-RETAIL'!$C81,'SBR Mar20 - Aug20'!$B$3:$B$961,'Mar20-Aug20 Billed-RETAIL'!$E81)</f>
        <v>0.43</v>
      </c>
      <c r="BF81" s="28">
        <f>SUMIFS('SBR Mar20 - Aug20'!$G$3:$G$961,'SBR Mar20 - Aug20'!$A$3:$A$961,'Mar20-Aug20 Billed-RETAIL'!$C81,'SBR Mar20 - Aug20'!$B$3:$B$961,'Mar20-Aug20 Billed-RETAIL'!$E81)</f>
        <v>15862.74</v>
      </c>
      <c r="BG81" s="28">
        <f>SUMIFS('SBR Mar20 - Aug20'!$M$3:$M$961,'SBR Mar20 - Aug20'!$A$3:$A$961,'Mar20-Aug20 Billed-RETAIL'!$C81,'SBR Mar20 - Aug20'!$B$3:$B$961,'Mar20-Aug20 Billed-RETAIL'!$E81)</f>
        <v>0.01</v>
      </c>
      <c r="BH81" s="28">
        <f>SUMIFS('SBR Mar20 - Aug20'!$N$3:$N$961,'SBR Mar20 - Aug20'!$A$3:$A$961,'Mar20-Aug20 Billed-RETAIL'!$C81,'SBR Mar20 - Aug20'!$B$3:$B$961,'Mar20-Aug20 Billed-RETAIL'!$E81)</f>
        <v>3.05</v>
      </c>
      <c r="BI81" s="28">
        <f>SUMIFS('SBR Mar20 - Aug20'!$Y$3:$Y$961,'SBR Mar20 - Aug20'!$A$3:$A$961,'Mar20-Aug20 Billed-RETAIL'!$C81,'SBR Mar20 - Aug20'!$B$3:$B$961,'Mar20-Aug20 Billed-RETAIL'!$E81)</f>
        <v>0</v>
      </c>
      <c r="BJ81" s="28">
        <f>SUMIFS('SBR Mar20 - Aug20'!$W$3:$W$961,'SBR Mar20 - Aug20'!$A$3:$A$961,'Mar20-Aug20 Billed-RETAIL'!$C81,'SBR Mar20 - Aug20'!$B$3:$B$961,'Mar20-Aug20 Billed-RETAIL'!$E81)</f>
        <v>9.27</v>
      </c>
      <c r="BK81" s="28">
        <f>SUMIFS('SBR Mar20 - Aug20'!$X$3:$X$961,'SBR Mar20 - Aug20'!$A$3:$A$961,'Mar20-Aug20 Billed-RETAIL'!$C81,'SBR Mar20 - Aug20'!$B$3:$B$961,'Mar20-Aug20 Billed-RETAIL'!$E81)</f>
        <v>0.23</v>
      </c>
      <c r="BL81" s="28">
        <f>SUMIFS('SBR Mar20 - Aug20'!$Z$3:$Z$961,'SBR Mar20 - Aug20'!$A$3:$A$961,'Mar20-Aug20 Billed-RETAIL'!$C81,'SBR Mar20 - Aug20'!$B$3:$B$961,'Mar20-Aug20 Billed-RETAIL'!$E81)</f>
        <v>0</v>
      </c>
      <c r="BM81" s="42">
        <f t="shared" si="124"/>
        <v>0</v>
      </c>
      <c r="BN81" s="42">
        <f t="shared" si="125"/>
        <v>2.3600000000000287E-3</v>
      </c>
    </row>
    <row r="82" spans="1:66" ht="15" customHeight="1" x14ac:dyDescent="0.25">
      <c r="C82" s="307">
        <f t="shared" si="128"/>
        <v>44013</v>
      </c>
      <c r="D82" s="408" t="str">
        <f t="shared" si="110"/>
        <v>871</v>
      </c>
      <c r="E82" s="405" t="str">
        <f>'Retail Rates'!$B$18</f>
        <v>LGING871DO</v>
      </c>
      <c r="F82" s="405"/>
      <c r="G82" s="405" t="str">
        <f>VLOOKUP(E82,'Retail Rates'!$B$7:$D$40,3,FALSE)</f>
        <v>Substitute Gas Sales Service-Industrial Opt Out</v>
      </c>
      <c r="H82" s="20">
        <f>SUMIFS('Data-Retail'!$F$2:$F$1987,'Data-Retail'!$A$2:$A$1987,'Mar20-Aug20 Billed-RETAIL'!$C82,'Data-Retail'!$B$2:$B$1987,'Mar20-Aug20 Billed-RETAIL'!$E82)</f>
        <v>0</v>
      </c>
      <c r="I82" s="20">
        <v>0</v>
      </c>
      <c r="J82" s="20">
        <f>SUMIFS('Data-Retail'!$G$2:$G$1987,'Data-Retail'!$A$2:$A$1987,'Mar20-Aug20 Billed-RETAIL'!$C82,'Data-Retail'!$B$2:$B$1987,'Mar20-Aug20 Billed-RETAIL'!$E82)</f>
        <v>0</v>
      </c>
      <c r="K82" s="20">
        <f>SUMIFS('Data-Retail'!$H$2:$H$1987,'Data-Retail'!$A$2:$A$1987,'Mar20-Aug20 Billed-RETAIL'!$C82,'Data-Retail'!$B$2:$B$1987,'Mar20-Aug20 Billed-RETAIL'!$E82)</f>
        <v>0</v>
      </c>
      <c r="L82" s="20">
        <f>SUMIFS('Data-Retail'!$P$2:$P$987,'Data-Retail'!$A$2:$A$987,'Mar20-Aug20 Billed-RETAIL'!$C82,'Data-Retail'!$B$2:$B$987,'Mar20-Aug20 Billed-RETAIL'!$E82)/V82</f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1">
        <f>VLOOKUP($E82,'Retail Rates'!$B$7:$P$40,4,FALSE)</f>
        <v>750</v>
      </c>
      <c r="S82" s="21">
        <f>VLOOKUP($E82,'Retail Rates'!$B$7:$P$40,5,FALSE)</f>
        <v>0</v>
      </c>
      <c r="T82" s="22">
        <f>VLOOKUP($E82,'Retail Rates'!$B$7:$P$40,8,FALSE)</f>
        <v>2.9919999999999995E-2</v>
      </c>
      <c r="U82" s="22">
        <f>VLOOKUP($E82,'Retail Rates'!$B$7:$P$40,9,FALSE)</f>
        <v>0</v>
      </c>
      <c r="V82" s="22">
        <f>VLOOKUP($E82,'Retail Rates'!$B$7:$P$40,14,FALSE)</f>
        <v>1.0900000000000001</v>
      </c>
      <c r="W82" s="22">
        <f>VLOOKUP($E82,'Retail Rates'!$B$7:$P$40,10,FALSE)</f>
        <v>0.29919999999999997</v>
      </c>
      <c r="X82" s="22">
        <f>VLOOKUP($E82,'Retail Rates'!$B$7:$P$40,11,FALSE)</f>
        <v>0</v>
      </c>
      <c r="Y82" s="22">
        <f>VLOOKUP($E82,'Retail Rates'!$B$7:$P$40,15,FALSE)</f>
        <v>10.9</v>
      </c>
      <c r="Z82" s="22">
        <v>0</v>
      </c>
      <c r="AA82" s="411">
        <f t="shared" si="129"/>
        <v>0</v>
      </c>
      <c r="AB82" s="411">
        <f t="shared" si="130"/>
        <v>0</v>
      </c>
      <c r="AC82" s="411">
        <f t="shared" si="130"/>
        <v>0</v>
      </c>
      <c r="AD82" s="411">
        <f t="shared" si="127"/>
        <v>0</v>
      </c>
      <c r="AE82" s="411">
        <f t="shared" si="107"/>
        <v>0</v>
      </c>
      <c r="AF82" s="41">
        <v>0</v>
      </c>
      <c r="AG82" s="41">
        <v>0</v>
      </c>
      <c r="AH82" s="33">
        <v>0</v>
      </c>
      <c r="AI82" s="33">
        <v>0</v>
      </c>
      <c r="AJ82" s="41">
        <v>0</v>
      </c>
      <c r="AK82" s="41">
        <v>0</v>
      </c>
      <c r="AL82" s="33">
        <v>0</v>
      </c>
      <c r="AM82" s="33">
        <v>0</v>
      </c>
      <c r="AN82" s="41">
        <v>0</v>
      </c>
      <c r="AO82" s="33">
        <v>0</v>
      </c>
      <c r="AP82" s="411">
        <f t="shared" si="111"/>
        <v>0</v>
      </c>
      <c r="AQ82" s="411">
        <f t="shared" si="112"/>
        <v>0</v>
      </c>
      <c r="AR82" s="411">
        <f t="shared" si="113"/>
        <v>0</v>
      </c>
      <c r="AS82" s="411">
        <f t="shared" si="114"/>
        <v>0</v>
      </c>
      <c r="AT82" s="411">
        <f t="shared" si="115"/>
        <v>0</v>
      </c>
      <c r="AU82" s="411">
        <f t="shared" si="116"/>
        <v>0</v>
      </c>
      <c r="AV82" s="28">
        <f t="shared" si="117"/>
        <v>0</v>
      </c>
      <c r="AW82" s="28">
        <f t="shared" si="118"/>
        <v>0</v>
      </c>
      <c r="AX82" s="28">
        <f t="shared" si="119"/>
        <v>0</v>
      </c>
      <c r="AY82" s="28">
        <f t="shared" si="120"/>
        <v>0</v>
      </c>
      <c r="AZ82" s="28">
        <f t="shared" si="108"/>
        <v>0</v>
      </c>
      <c r="BA82" s="28">
        <f t="shared" si="121"/>
        <v>0</v>
      </c>
      <c r="BB82" s="28">
        <f t="shared" si="122"/>
        <v>0</v>
      </c>
      <c r="BC82" s="29">
        <f t="shared" si="123"/>
        <v>0</v>
      </c>
      <c r="BD82" s="28">
        <f>SUMIFS('SBR Mar20 - Aug20'!$F$3:$F$961,'SBR Mar20 - Aug20'!$A$3:$A$961,'Mar20-Aug20 Billed-RETAIL'!$C82,'SBR Mar20 - Aug20'!$B$3:$B$961,'Mar20-Aug20 Billed-RETAIL'!$E82)</f>
        <v>0</v>
      </c>
      <c r="BE82" s="28">
        <f>SUMIFS('SBR Mar20 - Aug20'!$H$3:$H$961,'SBR Mar20 - Aug20'!$A$3:$A$961,'Mar20-Aug20 Billed-RETAIL'!$C82,'SBR Mar20 - Aug20'!$B$3:$B$961,'Mar20-Aug20 Billed-RETAIL'!$E82)</f>
        <v>0</v>
      </c>
      <c r="BF82" s="28">
        <f>SUMIFS('SBR Mar20 - Aug20'!$G$3:$G$961,'SBR Mar20 - Aug20'!$A$3:$A$961,'Mar20-Aug20 Billed-RETAIL'!$C82,'SBR Mar20 - Aug20'!$B$3:$B$961,'Mar20-Aug20 Billed-RETAIL'!$E82)</f>
        <v>0</v>
      </c>
      <c r="BG82" s="28">
        <f>SUMIFS('SBR Mar20 - Aug20'!$M$3:$M$961,'SBR Mar20 - Aug20'!$A$3:$A$961,'Mar20-Aug20 Billed-RETAIL'!$C82,'SBR Mar20 - Aug20'!$B$3:$B$961,'Mar20-Aug20 Billed-RETAIL'!$E82)</f>
        <v>0</v>
      </c>
      <c r="BH82" s="28">
        <f>SUMIFS('SBR Mar20 - Aug20'!$N$3:$N$961,'SBR Mar20 - Aug20'!$A$3:$A$961,'Mar20-Aug20 Billed-RETAIL'!$C82,'SBR Mar20 - Aug20'!$B$3:$B$961,'Mar20-Aug20 Billed-RETAIL'!$E82)</f>
        <v>0</v>
      </c>
      <c r="BI82" s="28">
        <f>SUMIFS('SBR Mar20 - Aug20'!$Y$3:$Y$961,'SBR Mar20 - Aug20'!$A$3:$A$961,'Mar20-Aug20 Billed-RETAIL'!$C82,'SBR Mar20 - Aug20'!$B$3:$B$961,'Mar20-Aug20 Billed-RETAIL'!$E82)</f>
        <v>0</v>
      </c>
      <c r="BJ82" s="28">
        <f>SUMIFS('SBR Mar20 - Aug20'!$W$3:$W$961,'SBR Mar20 - Aug20'!$A$3:$A$961,'Mar20-Aug20 Billed-RETAIL'!$C82,'SBR Mar20 - Aug20'!$B$3:$B$961,'Mar20-Aug20 Billed-RETAIL'!$E82)</f>
        <v>0</v>
      </c>
      <c r="BK82" s="28">
        <f>SUMIFS('SBR Mar20 - Aug20'!$X$3:$X$961,'SBR Mar20 - Aug20'!$A$3:$A$961,'Mar20-Aug20 Billed-RETAIL'!$C82,'SBR Mar20 - Aug20'!$B$3:$B$961,'Mar20-Aug20 Billed-RETAIL'!$E82)</f>
        <v>0</v>
      </c>
      <c r="BL82" s="28">
        <f>SUMIFS('SBR Mar20 - Aug20'!$Z$3:$Z$961,'SBR Mar20 - Aug20'!$A$3:$A$961,'Mar20-Aug20 Billed-RETAIL'!$C82,'SBR Mar20 - Aug20'!$B$3:$B$961,'Mar20-Aug20 Billed-RETAIL'!$E82)</f>
        <v>0</v>
      </c>
      <c r="BM82" s="42">
        <f t="shared" si="124"/>
        <v>0</v>
      </c>
      <c r="BN82" s="42">
        <f t="shared" si="125"/>
        <v>0</v>
      </c>
    </row>
    <row r="83" spans="1:66" ht="15" customHeight="1" x14ac:dyDescent="0.25">
      <c r="C83" s="307">
        <f t="shared" si="128"/>
        <v>44013</v>
      </c>
      <c r="D83" s="408" t="str">
        <f t="shared" si="110"/>
        <v>871</v>
      </c>
      <c r="E83" s="405" t="str">
        <f>'Retail Rates'!$B$19</f>
        <v>LGING871DS</v>
      </c>
      <c r="F83" s="405"/>
      <c r="G83" s="405" t="str">
        <f>VLOOKUP(E83,'Retail Rates'!$B$7:$D$40,3,FALSE)</f>
        <v>Substitute Gas Sales Service-Industrial Opt In</v>
      </c>
      <c r="H83" s="20">
        <f>SUMIFS('Data-Retail'!$F$2:$F$1987,'Data-Retail'!$A$2:$A$1987,'Mar20-Aug20 Billed-RETAIL'!$C83,'Data-Retail'!$B$2:$B$1987,'Mar20-Aug20 Billed-RETAIL'!$E83)</f>
        <v>0</v>
      </c>
      <c r="I83" s="20">
        <v>0</v>
      </c>
      <c r="J83" s="20">
        <f>SUMIFS('Data-Retail'!$G$2:$G$1987,'Data-Retail'!$A$2:$A$1987,'Mar20-Aug20 Billed-RETAIL'!$C83,'Data-Retail'!$B$2:$B$1987,'Mar20-Aug20 Billed-RETAIL'!$E83)</f>
        <v>0</v>
      </c>
      <c r="K83" s="20">
        <f>SUMIFS('Data-Retail'!$H$2:$H$1987,'Data-Retail'!$A$2:$A$1987,'Mar20-Aug20 Billed-RETAIL'!$C83,'Data-Retail'!$B$2:$B$1987,'Mar20-Aug20 Billed-RETAIL'!$E83)</f>
        <v>0</v>
      </c>
      <c r="L83" s="20">
        <f>SUMIFS('Data-Retail'!$P$2:$P$987,'Data-Retail'!$A$2:$A$987,'Mar20-Aug20 Billed-RETAIL'!$C83,'Data-Retail'!$B$2:$B$987,'Mar20-Aug20 Billed-RETAIL'!$E83)/V83</f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1">
        <f>VLOOKUP($E83,'Retail Rates'!$B$7:$P$40,4,FALSE)</f>
        <v>750</v>
      </c>
      <c r="S83" s="21">
        <f>VLOOKUP($E83,'Retail Rates'!$B$7:$P$40,5,FALSE)</f>
        <v>0</v>
      </c>
      <c r="T83" s="22">
        <f>VLOOKUP($E83,'Retail Rates'!$B$7:$P$40,8,FALSE)</f>
        <v>2.9919999999999995E-2</v>
      </c>
      <c r="U83" s="22">
        <f>VLOOKUP($E83,'Retail Rates'!$B$7:$P$40,9,FALSE)</f>
        <v>0</v>
      </c>
      <c r="V83" s="22">
        <f>VLOOKUP($E83,'Retail Rates'!$B$7:$P$40,14,FALSE)</f>
        <v>1.0900000000000001</v>
      </c>
      <c r="W83" s="22">
        <f>VLOOKUP($E83,'Retail Rates'!$B$7:$P$40,10,FALSE)</f>
        <v>0.29919999999999997</v>
      </c>
      <c r="X83" s="22">
        <f>VLOOKUP($E83,'Retail Rates'!$B$7:$P$40,11,FALSE)</f>
        <v>0</v>
      </c>
      <c r="Y83" s="22">
        <f>VLOOKUP($E83,'Retail Rates'!$B$7:$P$40,15,FALSE)</f>
        <v>10.9</v>
      </c>
      <c r="Z83" s="22">
        <v>0</v>
      </c>
      <c r="AA83" s="411">
        <f t="shared" si="129"/>
        <v>0</v>
      </c>
      <c r="AB83" s="411">
        <f t="shared" si="130"/>
        <v>0</v>
      </c>
      <c r="AC83" s="411">
        <f t="shared" si="130"/>
        <v>0</v>
      </c>
      <c r="AD83" s="411">
        <f t="shared" si="127"/>
        <v>0</v>
      </c>
      <c r="AE83" s="411">
        <f t="shared" si="107"/>
        <v>0</v>
      </c>
      <c r="AF83" s="41">
        <v>0</v>
      </c>
      <c r="AG83" s="41">
        <v>0</v>
      </c>
      <c r="AH83" s="33">
        <v>0</v>
      </c>
      <c r="AI83" s="33">
        <v>0</v>
      </c>
      <c r="AJ83" s="41">
        <v>0</v>
      </c>
      <c r="AK83" s="41">
        <v>0</v>
      </c>
      <c r="AL83" s="33">
        <v>0</v>
      </c>
      <c r="AM83" s="33">
        <v>0</v>
      </c>
      <c r="AN83" s="41">
        <v>0</v>
      </c>
      <c r="AO83" s="33">
        <v>0</v>
      </c>
      <c r="AP83" s="411">
        <f t="shared" si="111"/>
        <v>0</v>
      </c>
      <c r="AQ83" s="411">
        <f t="shared" si="112"/>
        <v>0</v>
      </c>
      <c r="AR83" s="411">
        <f t="shared" si="113"/>
        <v>0</v>
      </c>
      <c r="AS83" s="411">
        <f t="shared" si="114"/>
        <v>0</v>
      </c>
      <c r="AT83" s="411">
        <f t="shared" si="115"/>
        <v>0</v>
      </c>
      <c r="AU83" s="411">
        <f t="shared" si="116"/>
        <v>0</v>
      </c>
      <c r="AV83" s="28">
        <f t="shared" si="117"/>
        <v>0</v>
      </c>
      <c r="AW83" s="28">
        <f t="shared" si="118"/>
        <v>0</v>
      </c>
      <c r="AX83" s="28">
        <f t="shared" si="119"/>
        <v>0</v>
      </c>
      <c r="AY83" s="28">
        <f t="shared" si="120"/>
        <v>0</v>
      </c>
      <c r="AZ83" s="28">
        <f t="shared" si="108"/>
        <v>0</v>
      </c>
      <c r="BA83" s="28">
        <f t="shared" si="121"/>
        <v>0</v>
      </c>
      <c r="BB83" s="28">
        <f t="shared" si="122"/>
        <v>0</v>
      </c>
      <c r="BC83" s="29">
        <f t="shared" si="123"/>
        <v>0</v>
      </c>
      <c r="BD83" s="28">
        <f>SUMIFS('SBR Mar20 - Aug20'!$F$3:$F$961,'SBR Mar20 - Aug20'!$A$3:$A$961,'Mar20-Aug20 Billed-RETAIL'!$C83,'SBR Mar20 - Aug20'!$B$3:$B$961,'Mar20-Aug20 Billed-RETAIL'!$E83)</f>
        <v>0</v>
      </c>
      <c r="BE83" s="28">
        <f>SUMIFS('SBR Mar20 - Aug20'!$H$3:$H$961,'SBR Mar20 - Aug20'!$A$3:$A$961,'Mar20-Aug20 Billed-RETAIL'!$C83,'SBR Mar20 - Aug20'!$B$3:$B$961,'Mar20-Aug20 Billed-RETAIL'!$E83)</f>
        <v>0</v>
      </c>
      <c r="BF83" s="28">
        <f>SUMIFS('SBR Mar20 - Aug20'!$G$3:$G$961,'SBR Mar20 - Aug20'!$A$3:$A$961,'Mar20-Aug20 Billed-RETAIL'!$C83,'SBR Mar20 - Aug20'!$B$3:$B$961,'Mar20-Aug20 Billed-RETAIL'!$E83)</f>
        <v>0</v>
      </c>
      <c r="BG83" s="28">
        <f>SUMIFS('SBR Mar20 - Aug20'!$M$3:$M$961,'SBR Mar20 - Aug20'!$A$3:$A$961,'Mar20-Aug20 Billed-RETAIL'!$C83,'SBR Mar20 - Aug20'!$B$3:$B$961,'Mar20-Aug20 Billed-RETAIL'!$E83)</f>
        <v>0</v>
      </c>
      <c r="BH83" s="28">
        <f>SUMIFS('SBR Mar20 - Aug20'!$N$3:$N$961,'SBR Mar20 - Aug20'!$A$3:$A$961,'Mar20-Aug20 Billed-RETAIL'!$C83,'SBR Mar20 - Aug20'!$B$3:$B$961,'Mar20-Aug20 Billed-RETAIL'!$E83)</f>
        <v>0</v>
      </c>
      <c r="BI83" s="28">
        <f>SUMIFS('SBR Mar20 - Aug20'!$Y$3:$Y$961,'SBR Mar20 - Aug20'!$A$3:$A$961,'Mar20-Aug20 Billed-RETAIL'!$C83,'SBR Mar20 - Aug20'!$B$3:$B$961,'Mar20-Aug20 Billed-RETAIL'!$E83)</f>
        <v>0</v>
      </c>
      <c r="BJ83" s="28">
        <f>SUMIFS('SBR Mar20 - Aug20'!$W$3:$W$961,'SBR Mar20 - Aug20'!$A$3:$A$961,'Mar20-Aug20 Billed-RETAIL'!$C83,'SBR Mar20 - Aug20'!$B$3:$B$961,'Mar20-Aug20 Billed-RETAIL'!$E83)</f>
        <v>0</v>
      </c>
      <c r="BK83" s="28">
        <f>SUMIFS('SBR Mar20 - Aug20'!$X$3:$X$961,'SBR Mar20 - Aug20'!$A$3:$A$961,'Mar20-Aug20 Billed-RETAIL'!$C83,'SBR Mar20 - Aug20'!$B$3:$B$961,'Mar20-Aug20 Billed-RETAIL'!$E83)</f>
        <v>0</v>
      </c>
      <c r="BL83" s="28">
        <f>SUMIFS('SBR Mar20 - Aug20'!$Z$3:$Z$961,'SBR Mar20 - Aug20'!$A$3:$A$961,'Mar20-Aug20 Billed-RETAIL'!$C83,'SBR Mar20 - Aug20'!$B$3:$B$961,'Mar20-Aug20 Billed-RETAIL'!$E83)</f>
        <v>0</v>
      </c>
      <c r="BM83" s="42">
        <f t="shared" si="124"/>
        <v>0</v>
      </c>
      <c r="BN83" s="42">
        <f t="shared" si="125"/>
        <v>0</v>
      </c>
    </row>
    <row r="84" spans="1:66" ht="15" customHeight="1" x14ac:dyDescent="0.25">
      <c r="C84" s="307">
        <f t="shared" si="128"/>
        <v>44013</v>
      </c>
      <c r="D84" s="408" t="str">
        <f t="shared" si="110"/>
        <v>875</v>
      </c>
      <c r="E84" s="405" t="str">
        <f>'Retail Rates'!$B$21</f>
        <v>LGCMG875</v>
      </c>
      <c r="F84" s="405"/>
      <c r="G84" s="405" t="str">
        <f>VLOOKUP(E84,'Retail Rates'!$B$7:$D$40,3,FALSE)</f>
        <v>Distributed Generation Gas Service, Commercial</v>
      </c>
      <c r="H84" s="20">
        <f>SUMIFS('Data-Retail'!$F$2:$F$1987,'Data-Retail'!$A$2:$A$1987,'Mar20-Aug20 Billed-RETAIL'!$C84,'Data-Retail'!$B$2:$B$1987,'Mar20-Aug20 Billed-RETAIL'!$E84)</f>
        <v>3</v>
      </c>
      <c r="I84" s="20">
        <v>0</v>
      </c>
      <c r="J84" s="20">
        <f>SUMIFS('Data-Retail'!$G$2:$G$1987,'Data-Retail'!$A$2:$A$1987,'Mar20-Aug20 Billed-RETAIL'!$C84,'Data-Retail'!$B$2:$B$1987,'Mar20-Aug20 Billed-RETAIL'!$E84)</f>
        <v>21</v>
      </c>
      <c r="K84" s="20">
        <f>SUMIFS('Data-Retail'!$H$2:$H$1987,'Data-Retail'!$A$2:$A$1987,'Mar20-Aug20 Billed-RETAIL'!$C84,'Data-Retail'!$B$2:$B$1987,'Mar20-Aug20 Billed-RETAIL'!$E84)</f>
        <v>0</v>
      </c>
      <c r="L84" s="20">
        <f>SUMIFS('Data-Retail'!$P$2:$P$987,'Data-Retail'!$A$2:$A$987,'Mar20-Aug20 Billed-RETAIL'!$C84,'Data-Retail'!$B$2:$B$987,'Mar20-Aug20 Billed-RETAIL'!$E84)/V84</f>
        <v>1607.0399530180405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1">
        <f>VLOOKUP($E84,'Retail Rates'!$B$7:$P$40,4,FALSE)</f>
        <v>165</v>
      </c>
      <c r="S84" s="21">
        <f>VLOOKUP($E84,'Retail Rates'!$B$7:$P$40,5,FALSE)</f>
        <v>750</v>
      </c>
      <c r="T84" s="22">
        <f>VLOOKUP($E84,'Retail Rates'!$B$7:$P$40,8,FALSE)</f>
        <v>2.9919999999999999E-2</v>
      </c>
      <c r="U84" s="22">
        <f>VLOOKUP($E84,'Retail Rates'!$B$7:$P$40,9,FALSE)</f>
        <v>0</v>
      </c>
      <c r="V84" s="22">
        <f>VLOOKUP($E84,'Retail Rates'!$B$7:$P$40,14,FALSE)</f>
        <v>1.08978</v>
      </c>
      <c r="W84" s="22">
        <f>VLOOKUP($E84,'Retail Rates'!$B$7:$P$40,10,FALSE)</f>
        <v>0.29919999999999997</v>
      </c>
      <c r="X84" s="22">
        <f>VLOOKUP($E84,'Retail Rates'!$B$7:$P$40,11,FALSE)</f>
        <v>0</v>
      </c>
      <c r="Y84" s="22">
        <f>VLOOKUP($E84,'Retail Rates'!$B$7:$P$40,15,FALSE)</f>
        <v>10.8978</v>
      </c>
      <c r="Z84" s="22">
        <v>0</v>
      </c>
      <c r="AA84" s="411">
        <f t="shared" si="129"/>
        <v>495</v>
      </c>
      <c r="AB84" s="411">
        <f t="shared" si="130"/>
        <v>0</v>
      </c>
      <c r="AC84" s="411">
        <f t="shared" si="130"/>
        <v>0.62831999999999999</v>
      </c>
      <c r="AD84" s="411">
        <f t="shared" si="127"/>
        <v>0</v>
      </c>
      <c r="AE84" s="411">
        <f t="shared" si="107"/>
        <v>1751.3200000000002</v>
      </c>
      <c r="AF84" s="41">
        <v>0</v>
      </c>
      <c r="AG84" s="41">
        <v>0</v>
      </c>
      <c r="AH84" s="33">
        <v>0</v>
      </c>
      <c r="AI84" s="33">
        <v>0</v>
      </c>
      <c r="AJ84" s="41">
        <v>0</v>
      </c>
      <c r="AK84" s="41">
        <v>0</v>
      </c>
      <c r="AL84" s="33">
        <v>0</v>
      </c>
      <c r="AM84" s="33">
        <v>0</v>
      </c>
      <c r="AN84" s="41">
        <v>0</v>
      </c>
      <c r="AO84" s="33">
        <v>0</v>
      </c>
      <c r="AP84" s="411">
        <f t="shared" si="111"/>
        <v>495</v>
      </c>
      <c r="AQ84" s="411">
        <f t="shared" si="112"/>
        <v>0</v>
      </c>
      <c r="AR84" s="411">
        <f t="shared" si="113"/>
        <v>0.62831999999999999</v>
      </c>
      <c r="AS84" s="411">
        <f t="shared" si="114"/>
        <v>0</v>
      </c>
      <c r="AT84" s="411">
        <f t="shared" si="115"/>
        <v>1751.3200000000002</v>
      </c>
      <c r="AU84" s="411">
        <f t="shared" si="116"/>
        <v>0</v>
      </c>
      <c r="AV84" s="28">
        <f t="shared" si="117"/>
        <v>0</v>
      </c>
      <c r="AW84" s="28">
        <f t="shared" si="118"/>
        <v>5.33</v>
      </c>
      <c r="AX84" s="28">
        <f t="shared" si="119"/>
        <v>0</v>
      </c>
      <c r="AY84" s="28">
        <f t="shared" si="120"/>
        <v>333.06</v>
      </c>
      <c r="AZ84" s="28">
        <f t="shared" si="108"/>
        <v>0.25</v>
      </c>
      <c r="BA84" s="28">
        <f t="shared" si="121"/>
        <v>2585.59</v>
      </c>
      <c r="BB84" s="28">
        <f t="shared" si="122"/>
        <v>2585.5899999999997</v>
      </c>
      <c r="BC84" s="29">
        <f t="shared" si="123"/>
        <v>1</v>
      </c>
      <c r="BD84" s="28">
        <f>SUMIFS('SBR Mar20 - Aug20'!$F$3:$F$961,'SBR Mar20 - Aug20'!$A$3:$A$961,'Mar20-Aug20 Billed-RETAIL'!$C84,'SBR Mar20 - Aug20'!$B$3:$B$961,'Mar20-Aug20 Billed-RETAIL'!$E84)</f>
        <v>495</v>
      </c>
      <c r="BE84" s="28">
        <f>SUMIFS('SBR Mar20 - Aug20'!$H$3:$H$961,'SBR Mar20 - Aug20'!$A$3:$A$961,'Mar20-Aug20 Billed-RETAIL'!$C84,'SBR Mar20 - Aug20'!$B$3:$B$961,'Mar20-Aug20 Billed-RETAIL'!$E84)</f>
        <v>0.63</v>
      </c>
      <c r="BF84" s="28">
        <f>SUMIFS('SBR Mar20 - Aug20'!$G$3:$G$961,'SBR Mar20 - Aug20'!$A$3:$A$961,'Mar20-Aug20 Billed-RETAIL'!$C84,'SBR Mar20 - Aug20'!$B$3:$B$961,'Mar20-Aug20 Billed-RETAIL'!$E84)</f>
        <v>1751.32</v>
      </c>
      <c r="BG84" s="28">
        <f>SUMIFS('SBR Mar20 - Aug20'!$M$3:$M$961,'SBR Mar20 - Aug20'!$A$3:$A$961,'Mar20-Aug20 Billed-RETAIL'!$C84,'SBR Mar20 - Aug20'!$B$3:$B$961,'Mar20-Aug20 Billed-RETAIL'!$E84)</f>
        <v>0</v>
      </c>
      <c r="BH84" s="28">
        <f>SUMIFS('SBR Mar20 - Aug20'!$N$3:$N$961,'SBR Mar20 - Aug20'!$A$3:$A$961,'Mar20-Aug20 Billed-RETAIL'!$C84,'SBR Mar20 - Aug20'!$B$3:$B$961,'Mar20-Aug20 Billed-RETAIL'!$E84)</f>
        <v>5.33</v>
      </c>
      <c r="BI84" s="28">
        <f>SUMIFS('SBR Mar20 - Aug20'!$Y$3:$Y$961,'SBR Mar20 - Aug20'!$A$3:$A$961,'Mar20-Aug20 Billed-RETAIL'!$C84,'SBR Mar20 - Aug20'!$B$3:$B$961,'Mar20-Aug20 Billed-RETAIL'!$E84)</f>
        <v>0</v>
      </c>
      <c r="BJ84" s="28">
        <f>SUMIFS('SBR Mar20 - Aug20'!$W$3:$W$961,'SBR Mar20 - Aug20'!$A$3:$A$961,'Mar20-Aug20 Billed-RETAIL'!$C84,'SBR Mar20 - Aug20'!$B$3:$B$961,'Mar20-Aug20 Billed-RETAIL'!$E84)</f>
        <v>333.06</v>
      </c>
      <c r="BK84" s="28">
        <f>SUMIFS('SBR Mar20 - Aug20'!$X$3:$X$961,'SBR Mar20 - Aug20'!$A$3:$A$961,'Mar20-Aug20 Billed-RETAIL'!$C84,'SBR Mar20 - Aug20'!$B$3:$B$961,'Mar20-Aug20 Billed-RETAIL'!$E84)</f>
        <v>0.25</v>
      </c>
      <c r="BL84" s="28">
        <f>SUMIFS('SBR Mar20 - Aug20'!$Z$3:$Z$961,'SBR Mar20 - Aug20'!$A$3:$A$961,'Mar20-Aug20 Billed-RETAIL'!$C84,'SBR Mar20 - Aug20'!$B$3:$B$961,'Mar20-Aug20 Billed-RETAIL'!$E84)</f>
        <v>0</v>
      </c>
      <c r="BM84" s="42">
        <f t="shared" si="124"/>
        <v>0</v>
      </c>
      <c r="BN84" s="42">
        <f t="shared" si="125"/>
        <v>-1.6800000000000148E-3</v>
      </c>
    </row>
    <row r="85" spans="1:66" ht="15" customHeight="1" x14ac:dyDescent="0.25">
      <c r="C85" s="307">
        <f>C84</f>
        <v>44013</v>
      </c>
      <c r="D85" s="408">
        <v>996</v>
      </c>
      <c r="E85" s="405" t="s">
        <v>32</v>
      </c>
      <c r="F85" s="405"/>
      <c r="G85" s="405" t="s">
        <v>624</v>
      </c>
      <c r="H85" s="20">
        <f>SUMIFS('Data-Retail'!$F$2:$F$1987,'Data-Retail'!$A$2:$A$1987,'Mar20-Aug20 Billed-RETAIL'!$C85,'Data-Retail'!$B$2:$B$1987,'Mar20-Aug20 Billed-RETAIL'!$E85)</f>
        <v>1</v>
      </c>
      <c r="I85" s="20">
        <v>0</v>
      </c>
      <c r="J85" s="20">
        <f>SUMIFS('Data-Retail'!$G$2:$G$1987,'Data-Retail'!$A$2:$A$1987,'Mar20-Aug20 Billed-RETAIL'!$C85,'Data-Retail'!$B$2:$B$1987,'Mar20-Aug20 Billed-RETAIL'!$E85)</f>
        <v>137726</v>
      </c>
      <c r="K85" s="20">
        <f>SUMIFS('Data-Retail'!$H$2:$H$1987,'Data-Retail'!$A$2:$A$1987,'Mar20-Aug20 Billed-RETAIL'!$C85,'Data-Retail'!$B$2:$B$1987,'Mar20-Aug20 Billed-RETAIL'!$E85)</f>
        <v>0</v>
      </c>
      <c r="L85" s="20">
        <f>SUMIFS('Data-Retail'!$P$2:$P$987,'Data-Retail'!$A$2:$A$987,'Mar20-Aug20 Billed-RETAIL'!$C85,'Data-Retail'!$B$2:$B$987,'Mar20-Aug20 Billed-RETAIL'!$E85)/V85</f>
        <v>165600.0018352328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1">
        <f>VLOOKUP($E85,'Retail Rates'!$B$7:$P$40,4,FALSE)</f>
        <v>750</v>
      </c>
      <c r="S85" s="21">
        <f>VLOOKUP($E85,'Retail Rates'!$B$7:$P$40,5,FALSE)</f>
        <v>0</v>
      </c>
      <c r="T85" s="22">
        <f>VLOOKUP($E85,'Retail Rates'!$B$7:$P$40,8,FALSE)</f>
        <v>2.9920000000000002E-2</v>
      </c>
      <c r="U85" s="22">
        <f>VLOOKUP($E85,'Retail Rates'!$B$7:$P$40,9,FALSE)</f>
        <v>0</v>
      </c>
      <c r="V85" s="22">
        <f>VLOOKUP($E85,'Retail Rates'!$B$7:$P$40,14,FALSE)</f>
        <v>1.08978</v>
      </c>
      <c r="W85" s="22">
        <f>VLOOKUP($E85,'Retail Rates'!$B$7:$P$40,10,FALSE)</f>
        <v>0.29920000000000002</v>
      </c>
      <c r="X85" s="22">
        <f>VLOOKUP($E85,'Retail Rates'!$B$7:$P$40,11,FALSE)</f>
        <v>0</v>
      </c>
      <c r="Y85" s="22">
        <f>VLOOKUP($E85,'Retail Rates'!$B$7:$P$40,15,FALSE)</f>
        <v>10.8978</v>
      </c>
      <c r="Z85" s="22">
        <v>0</v>
      </c>
      <c r="AA85" s="411">
        <f t="shared" si="129"/>
        <v>750</v>
      </c>
      <c r="AB85" s="411">
        <f t="shared" si="130"/>
        <v>0</v>
      </c>
      <c r="AC85" s="411">
        <f t="shared" si="130"/>
        <v>4120.7619199999999</v>
      </c>
      <c r="AD85" s="411">
        <f t="shared" si="127"/>
        <v>0</v>
      </c>
      <c r="AE85" s="411">
        <f t="shared" si="107"/>
        <v>180467.57</v>
      </c>
      <c r="AF85" s="41">
        <v>0</v>
      </c>
      <c r="AG85" s="41">
        <v>0</v>
      </c>
      <c r="AH85" s="33">
        <v>0</v>
      </c>
      <c r="AI85" s="33">
        <v>0</v>
      </c>
      <c r="AJ85" s="41">
        <v>0</v>
      </c>
      <c r="AK85" s="41">
        <v>0</v>
      </c>
      <c r="AL85" s="33">
        <v>0</v>
      </c>
      <c r="AM85" s="33">
        <v>0</v>
      </c>
      <c r="AN85" s="41">
        <v>0</v>
      </c>
      <c r="AO85" s="33">
        <v>0</v>
      </c>
      <c r="AP85" s="411">
        <f t="shared" si="111"/>
        <v>750</v>
      </c>
      <c r="AQ85" s="411">
        <f t="shared" si="112"/>
        <v>0</v>
      </c>
      <c r="AR85" s="411">
        <f t="shared" si="113"/>
        <v>4120.7619199999999</v>
      </c>
      <c r="AS85" s="411">
        <f t="shared" si="114"/>
        <v>0</v>
      </c>
      <c r="AT85" s="411">
        <f t="shared" si="115"/>
        <v>180467.57</v>
      </c>
      <c r="AU85" s="411">
        <f t="shared" si="116"/>
        <v>0</v>
      </c>
      <c r="AV85" s="28">
        <f t="shared" si="117"/>
        <v>0</v>
      </c>
      <c r="AW85" s="28">
        <f t="shared" si="118"/>
        <v>34996.18</v>
      </c>
      <c r="AX85" s="28">
        <f t="shared" si="119"/>
        <v>0</v>
      </c>
      <c r="AY85" s="28">
        <f t="shared" si="120"/>
        <v>111.02</v>
      </c>
      <c r="AZ85" s="28">
        <f t="shared" si="108"/>
        <v>1611.39</v>
      </c>
      <c r="BA85" s="28">
        <f t="shared" si="121"/>
        <v>222056.92</v>
      </c>
      <c r="BB85" s="28">
        <f t="shared" si="122"/>
        <v>222056.92</v>
      </c>
      <c r="BC85" s="29">
        <f t="shared" si="123"/>
        <v>1</v>
      </c>
      <c r="BD85" s="28">
        <f>SUMIFS('SBR Mar20 - Aug20'!$F$3:$F$961,'SBR Mar20 - Aug20'!$A$3:$A$961,'Mar20-Aug20 Billed-RETAIL'!$C85,'SBR Mar20 - Aug20'!$B$3:$B$961,'Mar20-Aug20 Billed-RETAIL'!$E85)</f>
        <v>750</v>
      </c>
      <c r="BE85" s="28">
        <f>SUMIFS('SBR Mar20 - Aug20'!$H$3:$H$961,'SBR Mar20 - Aug20'!$A$3:$A$961,'Mar20-Aug20 Billed-RETAIL'!$C85,'SBR Mar20 - Aug20'!$B$3:$B$961,'Mar20-Aug20 Billed-RETAIL'!$E85)</f>
        <v>4120.76</v>
      </c>
      <c r="BF85" s="28">
        <f>SUMIFS('SBR Mar20 - Aug20'!$G$3:$G$961,'SBR Mar20 - Aug20'!$A$3:$A$961,'Mar20-Aug20 Billed-RETAIL'!$C85,'SBR Mar20 - Aug20'!$B$3:$B$961,'Mar20-Aug20 Billed-RETAIL'!$E85)</f>
        <v>180467.57</v>
      </c>
      <c r="BG85" s="28">
        <f>SUMIFS('SBR Mar20 - Aug20'!$M$3:$M$961,'SBR Mar20 - Aug20'!$A$3:$A$961,'Mar20-Aug20 Billed-RETAIL'!$C85,'SBR Mar20 - Aug20'!$B$3:$B$961,'Mar20-Aug20 Billed-RETAIL'!$E85)</f>
        <v>0</v>
      </c>
      <c r="BH85" s="28">
        <f>SUMIFS('SBR Mar20 - Aug20'!$N$3:$N$961,'SBR Mar20 - Aug20'!$A$3:$A$961,'Mar20-Aug20 Billed-RETAIL'!$C85,'SBR Mar20 - Aug20'!$B$3:$B$961,'Mar20-Aug20 Billed-RETAIL'!$E85)</f>
        <v>34996.18</v>
      </c>
      <c r="BI85" s="28">
        <f>SUMIFS('SBR Mar20 - Aug20'!$Y$3:$Y$961,'SBR Mar20 - Aug20'!$A$3:$A$961,'Mar20-Aug20 Billed-RETAIL'!$C85,'SBR Mar20 - Aug20'!$B$3:$B$961,'Mar20-Aug20 Billed-RETAIL'!$E85)</f>
        <v>0</v>
      </c>
      <c r="BJ85" s="28">
        <f>SUMIFS('SBR Mar20 - Aug20'!$W$3:$W$961,'SBR Mar20 - Aug20'!$A$3:$A$961,'Mar20-Aug20 Billed-RETAIL'!$C85,'SBR Mar20 - Aug20'!$B$3:$B$961,'Mar20-Aug20 Billed-RETAIL'!$E85)</f>
        <v>111.02</v>
      </c>
      <c r="BK85" s="28">
        <f>SUMIFS('SBR Mar20 - Aug20'!$X$3:$X$961,'SBR Mar20 - Aug20'!$A$3:$A$961,'Mar20-Aug20 Billed-RETAIL'!$C85,'SBR Mar20 - Aug20'!$B$3:$B$961,'Mar20-Aug20 Billed-RETAIL'!$E85)</f>
        <v>1611.39</v>
      </c>
      <c r="BL85" s="28">
        <f>SUMIFS('SBR Mar20 - Aug20'!$Z$3:$Z$961,'SBR Mar20 - Aug20'!$A$3:$A$961,'Mar20-Aug20 Billed-RETAIL'!$C85,'SBR Mar20 - Aug20'!$B$3:$B$961,'Mar20-Aug20 Billed-RETAIL'!$E85)</f>
        <v>0</v>
      </c>
      <c r="BM85" s="42">
        <f t="shared" si="124"/>
        <v>0</v>
      </c>
      <c r="BN85" s="42">
        <f t="shared" si="125"/>
        <v>1.9199999996999395E-3</v>
      </c>
    </row>
    <row r="86" spans="1:66" s="279" customFormat="1" ht="15" customHeight="1" x14ac:dyDescent="0.25">
      <c r="A86" s="57"/>
      <c r="B86"/>
      <c r="C86" s="308"/>
      <c r="D86" s="308"/>
      <c r="E86" s="280"/>
      <c r="F86" s="280"/>
      <c r="G86" s="280"/>
      <c r="H86" s="281"/>
      <c r="I86" s="281"/>
      <c r="J86" s="281"/>
      <c r="K86" s="510" t="s">
        <v>950</v>
      </c>
      <c r="L86" s="281"/>
      <c r="M86" s="281"/>
      <c r="N86" s="281"/>
      <c r="O86" s="281"/>
      <c r="P86" s="281"/>
      <c r="Q86" s="281"/>
      <c r="R86" s="282"/>
      <c r="S86" s="282"/>
      <c r="T86" s="283"/>
      <c r="U86" s="283"/>
      <c r="V86" s="282"/>
      <c r="W86" s="282"/>
      <c r="X86" s="282"/>
      <c r="Y86" s="282"/>
      <c r="Z86" s="282"/>
      <c r="AA86" s="284"/>
      <c r="AB86" s="284"/>
      <c r="AC86" s="284"/>
      <c r="AD86" s="284"/>
      <c r="AE86" s="284"/>
      <c r="AF86" s="285"/>
      <c r="AG86" s="285"/>
      <c r="AH86" s="284"/>
      <c r="AI86" s="284"/>
      <c r="AJ86" s="284"/>
      <c r="AK86" s="284"/>
      <c r="AL86" s="284"/>
      <c r="AM86" s="284"/>
      <c r="AN86" s="284"/>
      <c r="AO86" s="284"/>
      <c r="AP86" s="284"/>
      <c r="AQ86" s="284"/>
      <c r="AR86" s="284"/>
      <c r="AS86" s="284"/>
      <c r="AT86" s="284"/>
      <c r="AU86" s="284"/>
      <c r="AV86" s="284"/>
      <c r="AW86" s="284"/>
      <c r="AX86" s="284"/>
      <c r="AY86" s="284"/>
      <c r="AZ86" s="284"/>
      <c r="BA86" s="284"/>
      <c r="BB86" s="284"/>
      <c r="BC86" s="286"/>
      <c r="BD86" s="284"/>
      <c r="BE86" s="284"/>
      <c r="BF86" s="284"/>
      <c r="BG86" s="284"/>
      <c r="BH86" s="284"/>
      <c r="BI86" s="284"/>
      <c r="BJ86" s="284"/>
      <c r="BM86" s="284"/>
      <c r="BN86" s="284"/>
    </row>
    <row r="87" spans="1:66" x14ac:dyDescent="0.25">
      <c r="A87" s="57"/>
      <c r="C87" s="307">
        <f>EDATE(C71,1)</f>
        <v>44044</v>
      </c>
      <c r="D87" s="408" t="str">
        <f>MID(E87,6,3)</f>
        <v>811</v>
      </c>
      <c r="E87" s="405" t="str">
        <f>'Retail Rates'!$B$7</f>
        <v>LGRSG811</v>
      </c>
      <c r="F87" s="405"/>
      <c r="G87" s="405" t="str">
        <f>VLOOKUP(E87,'Retail Rates'!$B$7:$D$40,3,FALSE)</f>
        <v>Residential Gas Service</v>
      </c>
      <c r="H87" s="20">
        <f>SUMIFS('Data-Retail'!$F$2:$F$987,'Data-Retail'!$A$2:$A$987,'Mar20-Aug20 Billed-RETAIL'!$C87,'Data-Retail'!$B$2:$B$987,'Mar20-Aug20 Billed-RETAIL'!$E87)+AF87</f>
        <v>302484</v>
      </c>
      <c r="I87" s="20">
        <v>0</v>
      </c>
      <c r="J87" s="20">
        <f>SUMIFS('Data-Retail'!$G$2:$G$1987,'Data-Retail'!$A$2:$A$1987,'Mar20-Aug20 Billed-RETAIL'!$C87,'Data-Retail'!$B$2:$B$1987,'Mar20-Aug20 Billed-RETAIL'!$E87)+AJ87</f>
        <v>3230780</v>
      </c>
      <c r="K87" s="20">
        <f>SUMIFS('Data-Retail'!$H$2:$H$244,'Data-Retail'!$A$2:$A$244,'Mar20-Aug20 Billed-RETAIL'!$C87,'Data-Retail'!$B$2:$B$244,'Mar20-Aug20 Billed-RETAIL'!$E87)</f>
        <v>0</v>
      </c>
      <c r="L87" s="20">
        <v>0</v>
      </c>
      <c r="M87" s="20">
        <v>0</v>
      </c>
      <c r="N87" s="20">
        <v>0</v>
      </c>
      <c r="O87" s="20">
        <v>0</v>
      </c>
      <c r="P87" s="20">
        <v>9020685</v>
      </c>
      <c r="Q87" s="20">
        <v>0</v>
      </c>
      <c r="R87" s="21">
        <f>VLOOKUP($E87,'Retail Rates'!$B$7:$P$40,4,FALSE)</f>
        <v>0.65</v>
      </c>
      <c r="S87" s="21">
        <f>VLOOKUP($E87,'Retail Rates'!$B$7:$P$40,5,FALSE)</f>
        <v>0</v>
      </c>
      <c r="T87" s="22">
        <f>VLOOKUP($E87,'Retail Rates'!$B$7:$P$40,8,FALSE)</f>
        <v>0.36781999999999998</v>
      </c>
      <c r="U87" s="22">
        <f>VLOOKUP($E87,'Retail Rates'!$B$7:$P$40,9,FALSE)</f>
        <v>0</v>
      </c>
      <c r="V87" s="22">
        <f>VLOOKUP($E87,'Retail Rates'!$B$7:$P$40,14,FALSE)</f>
        <v>0</v>
      </c>
      <c r="W87" s="22">
        <f>VLOOKUP($E87,'Retail Rates'!$B$7:$P$40,10,FALSE)</f>
        <v>3.6781999999999999</v>
      </c>
      <c r="X87" s="22">
        <f>VLOOKUP($E87,'Retail Rates'!$B$7:$P$40,11,FALSE)</f>
        <v>0</v>
      </c>
      <c r="Y87" s="22">
        <f>VLOOKUP($E87,'Retail Rates'!$B$7:$P$40,15,FALSE)</f>
        <v>0</v>
      </c>
      <c r="Z87" s="22">
        <v>0</v>
      </c>
      <c r="AA87" s="411">
        <f t="shared" ref="AA87:AA93" si="132">(+P87*R87)</f>
        <v>5863445.25</v>
      </c>
      <c r="AB87" s="411">
        <f t="shared" ref="AB87:AD88" si="133">+I87*S87</f>
        <v>0</v>
      </c>
      <c r="AC87" s="411">
        <f t="shared" si="133"/>
        <v>1188345.4996</v>
      </c>
      <c r="AD87" s="411">
        <f t="shared" si="133"/>
        <v>0</v>
      </c>
      <c r="AE87" s="23">
        <f t="shared" ref="AE87:AE101" si="134">L87*V87</f>
        <v>0</v>
      </c>
      <c r="AF87" s="41">
        <v>-86</v>
      </c>
      <c r="AG87" s="41">
        <v>0</v>
      </c>
      <c r="AH87" s="33">
        <v>-434.02</v>
      </c>
      <c r="AI87" s="33">
        <v>0</v>
      </c>
      <c r="AJ87" s="41">
        <v>368</v>
      </c>
      <c r="AK87" s="41">
        <v>0</v>
      </c>
      <c r="AL87" s="33">
        <v>-141.37</v>
      </c>
      <c r="AM87" s="33">
        <v>0</v>
      </c>
      <c r="AN87" s="41">
        <v>0</v>
      </c>
      <c r="AO87" s="33">
        <v>0</v>
      </c>
      <c r="AP87" s="411">
        <f>AA87+AH87</f>
        <v>5863011.2300000004</v>
      </c>
      <c r="AQ87" s="411">
        <f>AB87+AI87</f>
        <v>0</v>
      </c>
      <c r="AR87" s="411">
        <f>AC87+AL87</f>
        <v>1188204.1295999999</v>
      </c>
      <c r="AS87" s="411">
        <f>AD87+AM87</f>
        <v>0</v>
      </c>
      <c r="AT87" s="411">
        <f>AE87+AO87</f>
        <v>0</v>
      </c>
      <c r="AU87" s="411">
        <f t="shared" si="116"/>
        <v>-5.89</v>
      </c>
      <c r="AV87" s="28">
        <f>BG87</f>
        <v>-5070.0200000000004</v>
      </c>
      <c r="AW87" s="28">
        <f>BH87</f>
        <v>906603.69</v>
      </c>
      <c r="AX87" s="28">
        <f>BI87</f>
        <v>-181.16</v>
      </c>
      <c r="AY87" s="28">
        <f>BJ87</f>
        <v>561569.71</v>
      </c>
      <c r="AZ87" s="28">
        <f t="shared" si="108"/>
        <v>76940.350000000006</v>
      </c>
      <c r="BA87" s="28">
        <f t="shared" si="121"/>
        <v>8591072.0399999991</v>
      </c>
      <c r="BB87" s="28">
        <f t="shared" si="122"/>
        <v>8591072.040000001</v>
      </c>
      <c r="BC87" s="29">
        <f>IF(BB87=0,0,ROUND(BB87/BA87,6))</f>
        <v>1</v>
      </c>
      <c r="BD87" s="28">
        <f>SUMIFS('SBR Mar20 - Aug20'!$F$3:$F$961,'SBR Mar20 - Aug20'!$A$3:$A$961,'Mar20-Aug20 Billed-RETAIL'!$C87,'SBR Mar20 - Aug20'!$B$3:$B$961,'Mar20-Aug20 Billed-RETAIL'!$E87)</f>
        <v>5863011.2300000004</v>
      </c>
      <c r="BE87" s="28">
        <f>SUMIFS('SBR Mar20 - Aug20'!$H$3:$H$961,'SBR Mar20 - Aug20'!$A$3:$A$961,'Mar20-Aug20 Billed-RETAIL'!$C87,'SBR Mar20 - Aug20'!$B$3:$B$961,'Mar20-Aug20 Billed-RETAIL'!$E87)</f>
        <v>1188204.1299999999</v>
      </c>
      <c r="BF87" s="28">
        <f>SUMIFS('SBR Mar20 - Aug20'!$G$3:$G$961,'SBR Mar20 - Aug20'!$A$3:$A$961,'Mar20-Aug20 Billed-RETAIL'!$C87,'SBR Mar20 - Aug20'!$B$3:$B$961,'Mar20-Aug20 Billed-RETAIL'!$E87)</f>
        <v>0</v>
      </c>
      <c r="BG87" s="28">
        <f>SUMIFS('SBR Mar20 - Aug20'!$M$3:$M$961,'SBR Mar20 - Aug20'!$A$3:$A$961,'Mar20-Aug20 Billed-RETAIL'!$C87,'SBR Mar20 - Aug20'!$B$3:$B$961,'Mar20-Aug20 Billed-RETAIL'!$E87)</f>
        <v>-5070.0200000000004</v>
      </c>
      <c r="BH87" s="28">
        <f>SUMIFS('SBR Mar20 - Aug20'!$N$3:$N$961,'SBR Mar20 - Aug20'!$A$3:$A$961,'Mar20-Aug20 Billed-RETAIL'!$C87,'SBR Mar20 - Aug20'!$B$3:$B$961,'Mar20-Aug20 Billed-RETAIL'!$E87)</f>
        <v>906603.69</v>
      </c>
      <c r="BI87" s="28">
        <f>SUMIFS('SBR Mar20 - Aug20'!$Y$3:$Y$961,'SBR Mar20 - Aug20'!$A$3:$A$961,'Mar20-Aug20 Billed-RETAIL'!$C87,'SBR Mar20 - Aug20'!$B$3:$B$961,'Mar20-Aug20 Billed-RETAIL'!$E87)</f>
        <v>-181.16</v>
      </c>
      <c r="BJ87" s="28">
        <f>SUMIFS('SBR Mar20 - Aug20'!$W$3:$W$961,'SBR Mar20 - Aug20'!$A$3:$A$961,'Mar20-Aug20 Billed-RETAIL'!$C87,'SBR Mar20 - Aug20'!$B$3:$B$961,'Mar20-Aug20 Billed-RETAIL'!$E87)</f>
        <v>561569.71</v>
      </c>
      <c r="BK87" s="28">
        <f>SUMIFS('SBR Mar20 - Aug20'!$X$3:$X$961,'SBR Mar20 - Aug20'!$A$3:$A$961,'Mar20-Aug20 Billed-RETAIL'!$C87,'SBR Mar20 - Aug20'!$B$3:$B$961,'Mar20-Aug20 Billed-RETAIL'!$E87)</f>
        <v>76940.350000000006</v>
      </c>
      <c r="BL87" s="28">
        <f>SUMIFS('SBR Mar20 - Aug20'!$Z$3:$Z$961,'SBR Mar20 - Aug20'!$A$3:$A$961,'Mar20-Aug20 Billed-RETAIL'!$C87,'SBR Mar20 - Aug20'!$B$3:$B$961,'Mar20-Aug20 Billed-RETAIL'!$E87)</f>
        <v>-5.89</v>
      </c>
      <c r="BM87" s="42">
        <f>+AP87+AQ87-BD87</f>
        <v>0</v>
      </c>
      <c r="BN87" s="42">
        <f>+AR87+AS87-BE87</f>
        <v>-4.0000001899898052E-4</v>
      </c>
    </row>
    <row r="88" spans="1:66" x14ac:dyDescent="0.25">
      <c r="A88" s="57"/>
      <c r="C88" s="307">
        <f t="shared" ref="C88:C93" si="135">$C$87</f>
        <v>44044</v>
      </c>
      <c r="D88" s="408" t="str">
        <f t="shared" ref="D88:D100" si="136">MID(E88,6,3)</f>
        <v>840</v>
      </c>
      <c r="E88" s="405" t="str">
        <f>'Retail Rates'!$B$8</f>
        <v>LGRSG840</v>
      </c>
      <c r="F88" s="405"/>
      <c r="G88" s="405" t="str">
        <f>VLOOKUP(E88,'Retail Rates'!$B$7:$D$40,3,FALSE)</f>
        <v>Volunteer Fire Department Gas</v>
      </c>
      <c r="H88" s="20">
        <v>3</v>
      </c>
      <c r="I88" s="20">
        <v>0</v>
      </c>
      <c r="J88" s="20">
        <f>SUMIFS('Data-Retail'!$G$2:$G$1987,'Data-Retail'!$A$2:$A$1987,'Mar20-Aug20 Billed-RETAIL'!$C88,'Data-Retail'!$B$2:$B$1987,'Mar20-Aug20 Billed-RETAIL'!$E88)</f>
        <v>274</v>
      </c>
      <c r="K88" s="20">
        <f>SUMIFS('Data-Retail'!$H$2:$H$244,'Data-Retail'!$A$2:$A$244,'Mar20-Aug20 Billed-RETAIL'!$C88,'Data-Retail'!$B$2:$B$244,'Mar20-Aug20 Billed-RETAIL'!$E88)</f>
        <v>0</v>
      </c>
      <c r="L88" s="20">
        <v>0</v>
      </c>
      <c r="M88" s="20">
        <v>0</v>
      </c>
      <c r="N88" s="20">
        <v>0</v>
      </c>
      <c r="O88" s="20">
        <v>0</v>
      </c>
      <c r="P88" s="20">
        <v>92.999999999999986</v>
      </c>
      <c r="Q88" s="20">
        <v>0</v>
      </c>
      <c r="R88" s="21">
        <f>VLOOKUP($E88,'Retail Rates'!$B$7:$P$40,4,FALSE)</f>
        <v>0.65</v>
      </c>
      <c r="S88" s="21">
        <f>VLOOKUP($E88,'Retail Rates'!$B$7:$P$40,5,FALSE)</f>
        <v>0</v>
      </c>
      <c r="T88" s="22">
        <f>VLOOKUP($E88,'Retail Rates'!$B$7:$P$40,8,FALSE)</f>
        <v>0.36781999999999998</v>
      </c>
      <c r="U88" s="22">
        <f>VLOOKUP($E88,'Retail Rates'!$B$7:$P$40,9,FALSE)</f>
        <v>0</v>
      </c>
      <c r="V88" s="22">
        <f>VLOOKUP($E88,'Retail Rates'!$B$7:$P$40,14,FALSE)</f>
        <v>0</v>
      </c>
      <c r="W88" s="22">
        <f>VLOOKUP($E88,'Retail Rates'!$B$7:$P$40,10,FALSE)</f>
        <v>3.6781999999999999</v>
      </c>
      <c r="X88" s="22">
        <f>VLOOKUP($E88,'Retail Rates'!$B$7:$P$40,11,FALSE)</f>
        <v>0</v>
      </c>
      <c r="Y88" s="22">
        <f>VLOOKUP($E88,'Retail Rates'!$B$7:$P$40,15,FALSE)</f>
        <v>0</v>
      </c>
      <c r="Z88" s="22">
        <v>0</v>
      </c>
      <c r="AA88" s="411">
        <f t="shared" si="132"/>
        <v>60.449999999999996</v>
      </c>
      <c r="AB88" s="411">
        <f t="shared" si="133"/>
        <v>0</v>
      </c>
      <c r="AC88" s="411">
        <f t="shared" si="133"/>
        <v>100.78268</v>
      </c>
      <c r="AD88" s="411">
        <f t="shared" si="133"/>
        <v>0</v>
      </c>
      <c r="AE88" s="411">
        <f t="shared" si="134"/>
        <v>0</v>
      </c>
      <c r="AF88" s="41">
        <v>0</v>
      </c>
      <c r="AG88" s="41">
        <v>0</v>
      </c>
      <c r="AH88" s="33">
        <v>0</v>
      </c>
      <c r="AI88" s="33">
        <v>0</v>
      </c>
      <c r="AJ88" s="41">
        <v>0</v>
      </c>
      <c r="AK88" s="41">
        <v>0</v>
      </c>
      <c r="AL88" s="33">
        <v>0</v>
      </c>
      <c r="AM88" s="33">
        <v>0</v>
      </c>
      <c r="AN88" s="41">
        <v>0</v>
      </c>
      <c r="AO88" s="33">
        <v>0</v>
      </c>
      <c r="AP88" s="411">
        <f t="shared" ref="AP88:AP101" si="137">AA88+AH88</f>
        <v>60.449999999999996</v>
      </c>
      <c r="AQ88" s="411">
        <f t="shared" ref="AQ88:AQ101" si="138">AB88+AI88</f>
        <v>0</v>
      </c>
      <c r="AR88" s="411">
        <f t="shared" ref="AR88:AR101" si="139">AC88+AL88</f>
        <v>100.78268</v>
      </c>
      <c r="AS88" s="411">
        <f t="shared" ref="AS88:AS101" si="140">AD88+AM88</f>
        <v>0</v>
      </c>
      <c r="AT88" s="411">
        <f t="shared" ref="AT88:AT101" si="141">AE88+AO88</f>
        <v>0</v>
      </c>
      <c r="AU88" s="411">
        <f t="shared" si="116"/>
        <v>0</v>
      </c>
      <c r="AV88" s="28">
        <f t="shared" ref="AV88:AV101" si="142">BG88</f>
        <v>-0.43</v>
      </c>
      <c r="AW88" s="28">
        <f t="shared" ref="AW88:AW101" si="143">BH88</f>
        <v>77.489999999999995</v>
      </c>
      <c r="AX88" s="28">
        <f t="shared" ref="AX88:AX101" si="144">BI88</f>
        <v>0</v>
      </c>
      <c r="AY88" s="28">
        <f t="shared" ref="AY88:AY101" si="145">BJ88</f>
        <v>5.61</v>
      </c>
      <c r="AZ88" s="28">
        <f t="shared" si="108"/>
        <v>6.52</v>
      </c>
      <c r="BA88" s="28">
        <f t="shared" si="121"/>
        <v>250.42</v>
      </c>
      <c r="BB88" s="28">
        <f t="shared" si="122"/>
        <v>250.42000000000004</v>
      </c>
      <c r="BC88" s="29">
        <f t="shared" ref="BC88:BC101" si="146">IF(BB88=0,0,ROUND(BB88/BA88,6))</f>
        <v>1</v>
      </c>
      <c r="BD88" s="28">
        <f>SUMIFS('SBR Mar20 - Aug20'!$F$3:$F$961,'SBR Mar20 - Aug20'!$A$3:$A$961,'Mar20-Aug20 Billed-RETAIL'!$C88,'SBR Mar20 - Aug20'!$B$3:$B$961,'Mar20-Aug20 Billed-RETAIL'!$E88)</f>
        <v>60.45</v>
      </c>
      <c r="BE88" s="28">
        <f>SUMIFS('SBR Mar20 - Aug20'!$H$3:$H$961,'SBR Mar20 - Aug20'!$A$3:$A$961,'Mar20-Aug20 Billed-RETAIL'!$C88,'SBR Mar20 - Aug20'!$B$3:$B$961,'Mar20-Aug20 Billed-RETAIL'!$E88)</f>
        <v>100.78</v>
      </c>
      <c r="BF88" s="28">
        <f>SUMIFS('SBR Mar20 - Aug20'!$G$3:$G$961,'SBR Mar20 - Aug20'!$A$3:$A$961,'Mar20-Aug20 Billed-RETAIL'!$C88,'SBR Mar20 - Aug20'!$B$3:$B$961,'Mar20-Aug20 Billed-RETAIL'!$E88)</f>
        <v>0</v>
      </c>
      <c r="BG88" s="28">
        <f>SUMIFS('SBR Mar20 - Aug20'!$M$3:$M$961,'SBR Mar20 - Aug20'!$A$3:$A$961,'Mar20-Aug20 Billed-RETAIL'!$C88,'SBR Mar20 - Aug20'!$B$3:$B$961,'Mar20-Aug20 Billed-RETAIL'!$E88)</f>
        <v>-0.43</v>
      </c>
      <c r="BH88" s="28">
        <f>SUMIFS('SBR Mar20 - Aug20'!$N$3:$N$961,'SBR Mar20 - Aug20'!$A$3:$A$961,'Mar20-Aug20 Billed-RETAIL'!$C88,'SBR Mar20 - Aug20'!$B$3:$B$961,'Mar20-Aug20 Billed-RETAIL'!$E88)</f>
        <v>77.489999999999995</v>
      </c>
      <c r="BI88" s="28">
        <f>SUMIFS('SBR Mar20 - Aug20'!$Y$3:$Y$961,'SBR Mar20 - Aug20'!$A$3:$A$961,'Mar20-Aug20 Billed-RETAIL'!$C88,'SBR Mar20 - Aug20'!$B$3:$B$961,'Mar20-Aug20 Billed-RETAIL'!$E88)</f>
        <v>0</v>
      </c>
      <c r="BJ88" s="28">
        <f>SUMIFS('SBR Mar20 - Aug20'!$W$3:$W$961,'SBR Mar20 - Aug20'!$A$3:$A$961,'Mar20-Aug20 Billed-RETAIL'!$C88,'SBR Mar20 - Aug20'!$B$3:$B$961,'Mar20-Aug20 Billed-RETAIL'!$E88)</f>
        <v>5.61</v>
      </c>
      <c r="BK88" s="28">
        <f>SUMIFS('SBR Mar20 - Aug20'!$X$3:$X$961,'SBR Mar20 - Aug20'!$A$3:$A$961,'Mar20-Aug20 Billed-RETAIL'!$C88,'SBR Mar20 - Aug20'!$B$3:$B$961,'Mar20-Aug20 Billed-RETAIL'!$E88)</f>
        <v>6.52</v>
      </c>
      <c r="BL88" s="28">
        <f>SUMIFS('SBR Mar20 - Aug20'!$Z$3:$Z$961,'SBR Mar20 - Aug20'!$A$3:$A$961,'Mar20-Aug20 Billed-RETAIL'!$C88,'SBR Mar20 - Aug20'!$B$3:$B$961,'Mar20-Aug20 Billed-RETAIL'!$E88)</f>
        <v>0</v>
      </c>
      <c r="BM88" s="42">
        <f t="shared" ref="BM88:BM101" si="147">+AP88+AQ88-BD88</f>
        <v>0</v>
      </c>
      <c r="BN88" s="42">
        <f t="shared" ref="BN88:BN101" si="148">+AR88+AS88-BE88</f>
        <v>2.6799999999980173E-3</v>
      </c>
    </row>
    <row r="89" spans="1:66" x14ac:dyDescent="0.25">
      <c r="A89" s="57"/>
      <c r="C89" s="307">
        <f t="shared" si="135"/>
        <v>44044</v>
      </c>
      <c r="D89" s="408" t="str">
        <f t="shared" si="136"/>
        <v>851</v>
      </c>
      <c r="E89" s="405" t="str">
        <f>'Retail Rates'!$B$9</f>
        <v>LGCMG851</v>
      </c>
      <c r="F89" s="405"/>
      <c r="G89" s="405" t="str">
        <f>VLOOKUP(E89,'Retail Rates'!$B$7:$D$40,3,FALSE)</f>
        <v>Firm Commercial Gas Service</v>
      </c>
      <c r="H89" s="20">
        <f>(SUMIFS('Data-Retail'!$F$2:$F$1987,'Data-Retail'!$A$2:$A$1987,'Mar20-Aug20 Billed-RETAIL'!$C89,'Data-Retail'!$B$2:$B$1987,'Mar20-Aug20 Billed-RETAIL'!$E89)-I89)+(AF89+AG89)</f>
        <v>23779</v>
      </c>
      <c r="I89" s="20">
        <v>1189</v>
      </c>
      <c r="J89" s="20">
        <f>SUMIFS('Data-Retail'!$G$2:$G$1987,'Data-Retail'!$A$2:$A$1987,'Mar20-Aug20 Billed-RETAIL'!$C89,'Data-Retail'!$B$2:$B$1987,'Mar20-Aug20 Billed-RETAIL'!$E89)+AJ89</f>
        <v>1657025</v>
      </c>
      <c r="K89" s="20">
        <f>SUMIFS('Data-Retail'!$H$2:$H$1987,'Data-Retail'!$A$2:$A$1987,'Mar20-Aug20 Billed-RETAIL'!$C89,'Data-Retail'!$B$2:$B$1987,'Mar20-Aug20 Billed-RETAIL'!$E89)</f>
        <v>610180</v>
      </c>
      <c r="L89" s="20">
        <v>0</v>
      </c>
      <c r="M89" s="20">
        <v>0</v>
      </c>
      <c r="N89" s="20">
        <v>0</v>
      </c>
      <c r="O89" s="20">
        <v>0</v>
      </c>
      <c r="P89" s="20">
        <v>704319.00000000012</v>
      </c>
      <c r="Q89" s="20">
        <v>35457.000000000007</v>
      </c>
      <c r="R89" s="21">
        <f>VLOOKUP($E89,'Retail Rates'!$B$7:$P$40,4,FALSE)</f>
        <v>1.97</v>
      </c>
      <c r="S89" s="21">
        <f>VLOOKUP($E89,'Retail Rates'!$B$7:$P$40,5,FALSE)</f>
        <v>9.3699999999999992</v>
      </c>
      <c r="T89" s="22">
        <f>VLOOKUP($E89,'Retail Rates'!$B$7:$P$40,8,FALSE)</f>
        <v>0.30669999999999997</v>
      </c>
      <c r="U89" s="22">
        <f>VLOOKUP($E89,'Retail Rates'!$B$7:$P$40,9,FALSE)</f>
        <v>0.25669999999999998</v>
      </c>
      <c r="V89" s="22">
        <f>VLOOKUP($E89,'Retail Rates'!$B$7:$P$40,14,FALSE)</f>
        <v>0</v>
      </c>
      <c r="W89" s="22">
        <f>VLOOKUP($E89,'Retail Rates'!$B$7:$P$40,10,FALSE)</f>
        <v>3.0669999999999997</v>
      </c>
      <c r="X89" s="22">
        <f>VLOOKUP($E89,'Retail Rates'!$B$7:$P$40,11,FALSE)</f>
        <v>2.5669999999999997</v>
      </c>
      <c r="Y89" s="22">
        <f>VLOOKUP($E89,'Retail Rates'!$B$7:$P$40,15,FALSE)</f>
        <v>0</v>
      </c>
      <c r="Z89" s="22">
        <v>0</v>
      </c>
      <c r="AA89" s="411">
        <f t="shared" si="132"/>
        <v>1387508.4300000002</v>
      </c>
      <c r="AB89" s="411">
        <f>+Q89*S89</f>
        <v>332232.09000000003</v>
      </c>
      <c r="AC89" s="411">
        <f t="shared" ref="AC89:AD92" si="149">+J89*T89</f>
        <v>508209.56749999995</v>
      </c>
      <c r="AD89" s="411">
        <f t="shared" si="149"/>
        <v>156633.20599999998</v>
      </c>
      <c r="AE89" s="411">
        <f t="shared" si="134"/>
        <v>0</v>
      </c>
      <c r="AF89" s="41">
        <v>-8</v>
      </c>
      <c r="AG89" s="41">
        <v>0</v>
      </c>
      <c r="AH89" s="33">
        <v>0</v>
      </c>
      <c r="AI89" s="33">
        <v>0</v>
      </c>
      <c r="AJ89" s="41">
        <v>1049</v>
      </c>
      <c r="AK89" s="41">
        <v>0</v>
      </c>
      <c r="AL89" s="33">
        <v>-322.52</v>
      </c>
      <c r="AM89" s="33">
        <v>0</v>
      </c>
      <c r="AN89" s="41">
        <v>0</v>
      </c>
      <c r="AO89" s="33">
        <v>0</v>
      </c>
      <c r="AP89" s="411">
        <f t="shared" si="137"/>
        <v>1387508.4300000002</v>
      </c>
      <c r="AQ89" s="411">
        <f t="shared" si="138"/>
        <v>332232.09000000003</v>
      </c>
      <c r="AR89" s="411">
        <f t="shared" si="139"/>
        <v>507887.04749999993</v>
      </c>
      <c r="AS89" s="411">
        <f t="shared" si="140"/>
        <v>156633.20599999998</v>
      </c>
      <c r="AT89" s="411">
        <f t="shared" si="141"/>
        <v>0</v>
      </c>
      <c r="AU89" s="411">
        <f t="shared" si="116"/>
        <v>0</v>
      </c>
      <c r="AV89" s="28">
        <f t="shared" si="142"/>
        <v>1081.6199999999999</v>
      </c>
      <c r="AW89" s="28">
        <f t="shared" si="143"/>
        <v>632417.86</v>
      </c>
      <c r="AX89" s="28">
        <f t="shared" si="144"/>
        <v>-631.28</v>
      </c>
      <c r="AY89" s="28">
        <f t="shared" si="145"/>
        <v>228753.86</v>
      </c>
      <c r="AZ89" s="28">
        <f t="shared" si="108"/>
        <v>43698.400000000001</v>
      </c>
      <c r="BA89" s="28">
        <f t="shared" si="121"/>
        <v>3289581.23</v>
      </c>
      <c r="BB89" s="28">
        <f t="shared" si="122"/>
        <v>3289581.24</v>
      </c>
      <c r="BC89" s="29">
        <f t="shared" si="146"/>
        <v>1</v>
      </c>
      <c r="BD89" s="28">
        <f>SUMIFS('SBR Mar20 - Aug20'!$F$3:$F$961,'SBR Mar20 - Aug20'!$A$3:$A$961,'Mar20-Aug20 Billed-RETAIL'!$C89,'SBR Mar20 - Aug20'!$B$3:$B$961,'Mar20-Aug20 Billed-RETAIL'!$E89)</f>
        <v>1719740.52</v>
      </c>
      <c r="BE89" s="28">
        <f>SUMIFS('SBR Mar20 - Aug20'!$H$3:$H$961,'SBR Mar20 - Aug20'!$A$3:$A$961,'Mar20-Aug20 Billed-RETAIL'!$C89,'SBR Mar20 - Aug20'!$B$3:$B$961,'Mar20-Aug20 Billed-RETAIL'!$E89)</f>
        <v>664520.26</v>
      </c>
      <c r="BF89" s="28">
        <f>SUMIFS('SBR Mar20 - Aug20'!$G$3:$G$961,'SBR Mar20 - Aug20'!$A$3:$A$961,'Mar20-Aug20 Billed-RETAIL'!$C89,'SBR Mar20 - Aug20'!$B$3:$B$961,'Mar20-Aug20 Billed-RETAIL'!$E89)</f>
        <v>0</v>
      </c>
      <c r="BG89" s="28">
        <f>SUMIFS('SBR Mar20 - Aug20'!$M$3:$M$961,'SBR Mar20 - Aug20'!$A$3:$A$961,'Mar20-Aug20 Billed-RETAIL'!$C89,'SBR Mar20 - Aug20'!$B$3:$B$961,'Mar20-Aug20 Billed-RETAIL'!$E89)</f>
        <v>1081.6199999999999</v>
      </c>
      <c r="BH89" s="28">
        <f>SUMIFS('SBR Mar20 - Aug20'!$N$3:$N$961,'SBR Mar20 - Aug20'!$A$3:$A$961,'Mar20-Aug20 Billed-RETAIL'!$C89,'SBR Mar20 - Aug20'!$B$3:$B$961,'Mar20-Aug20 Billed-RETAIL'!$E89)</f>
        <v>632417.86</v>
      </c>
      <c r="BI89" s="28">
        <f>SUMIFS('SBR Mar20 - Aug20'!$Y$3:$Y$961,'SBR Mar20 - Aug20'!$A$3:$A$961,'Mar20-Aug20 Billed-RETAIL'!$C89,'SBR Mar20 - Aug20'!$B$3:$B$961,'Mar20-Aug20 Billed-RETAIL'!$E89)</f>
        <v>-631.28</v>
      </c>
      <c r="BJ89" s="28">
        <f>SUMIFS('SBR Mar20 - Aug20'!$W$3:$W$961,'SBR Mar20 - Aug20'!$A$3:$A$961,'Mar20-Aug20 Billed-RETAIL'!$C89,'SBR Mar20 - Aug20'!$B$3:$B$961,'Mar20-Aug20 Billed-RETAIL'!$E89)</f>
        <v>228753.86</v>
      </c>
      <c r="BK89" s="28">
        <f>SUMIFS('SBR Mar20 - Aug20'!$X$3:$X$961,'SBR Mar20 - Aug20'!$A$3:$A$961,'Mar20-Aug20 Billed-RETAIL'!$C89,'SBR Mar20 - Aug20'!$B$3:$B$961,'Mar20-Aug20 Billed-RETAIL'!$E89)</f>
        <v>43698.400000000001</v>
      </c>
      <c r="BL89" s="28">
        <f>SUMIFS('SBR Mar20 - Aug20'!$Z$3:$Z$961,'SBR Mar20 - Aug20'!$A$3:$A$961,'Mar20-Aug20 Billed-RETAIL'!$C89,'SBR Mar20 - Aug20'!$B$3:$B$961,'Mar20-Aug20 Billed-RETAIL'!$E89)</f>
        <v>0</v>
      </c>
      <c r="BM89" s="42">
        <f t="shared" si="147"/>
        <v>0</v>
      </c>
      <c r="BN89" s="42">
        <f t="shared" si="148"/>
        <v>-6.5000001341104507E-3</v>
      </c>
    </row>
    <row r="90" spans="1:66" x14ac:dyDescent="0.25">
      <c r="A90" s="57"/>
      <c r="C90" s="307">
        <f t="shared" si="135"/>
        <v>44044</v>
      </c>
      <c r="D90" s="408" t="str">
        <f t="shared" si="136"/>
        <v>851</v>
      </c>
      <c r="E90" s="405" t="str">
        <f>'Retail Rates'!$B$10</f>
        <v>LGCMG851LT</v>
      </c>
      <c r="F90" s="405"/>
      <c r="G90" s="405" t="str">
        <f>VLOOKUP(E90,'Retail Rates'!$B$7:$D$40,3,FALSE)</f>
        <v>Commercial Gas Service (Lights)</v>
      </c>
      <c r="H90" s="20">
        <v>1</v>
      </c>
      <c r="I90" s="20">
        <v>0</v>
      </c>
      <c r="J90" s="20">
        <f>SUMIFS('Data-Retail'!$G$2:$G$1987,'Data-Retail'!$A$2:$A$1987,'Mar20-Aug20 Billed-RETAIL'!$C90,'Data-Retail'!$B$2:$B$1987,'Mar20-Aug20 Billed-RETAIL'!$E90)</f>
        <v>212</v>
      </c>
      <c r="K90" s="20">
        <f>SUMIFS('Data-Retail'!$H$2:$H$1987,'Data-Retail'!$A$2:$A$1987,'Mar20-Aug20 Billed-RETAIL'!$C90,'Data-Retail'!$B$2:$B$1987,'Mar20-Aug20 Billed-RETAIL'!$E90)</f>
        <v>0</v>
      </c>
      <c r="L90" s="20">
        <v>0</v>
      </c>
      <c r="M90" s="20">
        <v>0</v>
      </c>
      <c r="N90" s="20">
        <v>0</v>
      </c>
      <c r="O90" s="20">
        <v>0</v>
      </c>
      <c r="P90" s="20">
        <v>33</v>
      </c>
      <c r="Q90" s="20">
        <v>0</v>
      </c>
      <c r="R90" s="21">
        <f>VLOOKUP($E90,'Retail Rates'!$B$7:$P$40,4,FALSE)</f>
        <v>1.97</v>
      </c>
      <c r="S90" s="21">
        <f>VLOOKUP($E90,'Retail Rates'!$B$7:$P$40,5,FALSE)</f>
        <v>9.3699999999999992</v>
      </c>
      <c r="T90" s="22">
        <f>VLOOKUP($E90,'Retail Rates'!$B$7:$P$40,8,FALSE)</f>
        <v>0.30669999999999997</v>
      </c>
      <c r="U90" s="22">
        <f>VLOOKUP($E90,'Retail Rates'!$B$7:$P$40,9,FALSE)</f>
        <v>0.25669999999999998</v>
      </c>
      <c r="V90" s="22">
        <f>VLOOKUP($E90,'Retail Rates'!$B$7:$P$40,14,FALSE)</f>
        <v>0</v>
      </c>
      <c r="W90" s="22">
        <f>VLOOKUP($E90,'Retail Rates'!$B$7:$P$40,10,FALSE)</f>
        <v>3.0669999999999997</v>
      </c>
      <c r="X90" s="22">
        <f>VLOOKUP($E90,'Retail Rates'!$B$7:$P$40,11,FALSE)</f>
        <v>2.5669999999999997</v>
      </c>
      <c r="Y90" s="22">
        <f>VLOOKUP($E90,'Retail Rates'!$B$7:$P$40,15,FALSE)</f>
        <v>0</v>
      </c>
      <c r="Z90" s="22">
        <v>0</v>
      </c>
      <c r="AA90" s="411">
        <f t="shared" si="132"/>
        <v>65.010000000000005</v>
      </c>
      <c r="AB90" s="411">
        <f>+Q90*S90</f>
        <v>0</v>
      </c>
      <c r="AC90" s="411">
        <f t="shared" si="149"/>
        <v>65.020399999999995</v>
      </c>
      <c r="AD90" s="411">
        <f t="shared" si="149"/>
        <v>0</v>
      </c>
      <c r="AE90" s="411">
        <f t="shared" si="134"/>
        <v>0</v>
      </c>
      <c r="AF90" s="41">
        <v>0</v>
      </c>
      <c r="AG90" s="41">
        <v>0</v>
      </c>
      <c r="AH90" s="33">
        <v>0</v>
      </c>
      <c r="AI90" s="33">
        <v>0</v>
      </c>
      <c r="AJ90" s="41">
        <v>0</v>
      </c>
      <c r="AK90" s="41">
        <v>0</v>
      </c>
      <c r="AL90" s="33">
        <v>0</v>
      </c>
      <c r="AM90" s="33">
        <v>0</v>
      </c>
      <c r="AN90" s="41">
        <v>0</v>
      </c>
      <c r="AO90" s="33">
        <v>0</v>
      </c>
      <c r="AP90" s="411">
        <f t="shared" si="137"/>
        <v>65.010000000000005</v>
      </c>
      <c r="AQ90" s="411">
        <f t="shared" si="138"/>
        <v>0</v>
      </c>
      <c r="AR90" s="411">
        <f t="shared" si="139"/>
        <v>65.020399999999995</v>
      </c>
      <c r="AS90" s="411">
        <f t="shared" si="140"/>
        <v>0</v>
      </c>
      <c r="AT90" s="411">
        <f t="shared" si="141"/>
        <v>0</v>
      </c>
      <c r="AU90" s="411">
        <f t="shared" si="116"/>
        <v>0</v>
      </c>
      <c r="AV90" s="28">
        <f t="shared" si="142"/>
        <v>0.1</v>
      </c>
      <c r="AW90" s="28">
        <f t="shared" si="143"/>
        <v>62.04</v>
      </c>
      <c r="AX90" s="28">
        <f t="shared" si="144"/>
        <v>0</v>
      </c>
      <c r="AY90" s="28">
        <f t="shared" si="145"/>
        <v>9.27</v>
      </c>
      <c r="AZ90" s="28">
        <f t="shared" si="108"/>
        <v>4.07</v>
      </c>
      <c r="BA90" s="28">
        <f t="shared" si="121"/>
        <v>205.51</v>
      </c>
      <c r="BB90" s="28">
        <f t="shared" si="122"/>
        <v>205.51</v>
      </c>
      <c r="BC90" s="29">
        <f t="shared" si="146"/>
        <v>1</v>
      </c>
      <c r="BD90" s="28">
        <f>SUMIFS('SBR Mar20 - Aug20'!$F$3:$F$961,'SBR Mar20 - Aug20'!$A$3:$A$961,'Mar20-Aug20 Billed-RETAIL'!$C90,'SBR Mar20 - Aug20'!$B$3:$B$961,'Mar20-Aug20 Billed-RETAIL'!$E90)</f>
        <v>65.010000000000005</v>
      </c>
      <c r="BE90" s="28">
        <f>SUMIFS('SBR Mar20 - Aug20'!$H$3:$H$961,'SBR Mar20 - Aug20'!$A$3:$A$961,'Mar20-Aug20 Billed-RETAIL'!$C90,'SBR Mar20 - Aug20'!$B$3:$B$961,'Mar20-Aug20 Billed-RETAIL'!$E90)</f>
        <v>65.02</v>
      </c>
      <c r="BF90" s="28">
        <f>SUMIFS('SBR Mar20 - Aug20'!$G$3:$G$961,'SBR Mar20 - Aug20'!$A$3:$A$961,'Mar20-Aug20 Billed-RETAIL'!$C90,'SBR Mar20 - Aug20'!$B$3:$B$961,'Mar20-Aug20 Billed-RETAIL'!$E90)</f>
        <v>0</v>
      </c>
      <c r="BG90" s="28">
        <f>SUMIFS('SBR Mar20 - Aug20'!$M$3:$M$961,'SBR Mar20 - Aug20'!$A$3:$A$961,'Mar20-Aug20 Billed-RETAIL'!$C90,'SBR Mar20 - Aug20'!$B$3:$B$961,'Mar20-Aug20 Billed-RETAIL'!$E90)</f>
        <v>0.1</v>
      </c>
      <c r="BH90" s="28">
        <f>SUMIFS('SBR Mar20 - Aug20'!$N$3:$N$961,'SBR Mar20 - Aug20'!$A$3:$A$961,'Mar20-Aug20 Billed-RETAIL'!$C90,'SBR Mar20 - Aug20'!$B$3:$B$961,'Mar20-Aug20 Billed-RETAIL'!$E90)</f>
        <v>62.04</v>
      </c>
      <c r="BI90" s="28">
        <f>SUMIFS('SBR Mar20 - Aug20'!$Y$3:$Y$961,'SBR Mar20 - Aug20'!$A$3:$A$961,'Mar20-Aug20 Billed-RETAIL'!$C90,'SBR Mar20 - Aug20'!$B$3:$B$961,'Mar20-Aug20 Billed-RETAIL'!$E90)</f>
        <v>0</v>
      </c>
      <c r="BJ90" s="28">
        <f>SUMIFS('SBR Mar20 - Aug20'!$W$3:$W$961,'SBR Mar20 - Aug20'!$A$3:$A$961,'Mar20-Aug20 Billed-RETAIL'!$C90,'SBR Mar20 - Aug20'!$B$3:$B$961,'Mar20-Aug20 Billed-RETAIL'!$E90)</f>
        <v>9.27</v>
      </c>
      <c r="BK90" s="28">
        <f>SUMIFS('SBR Mar20 - Aug20'!$X$3:$X$961,'SBR Mar20 - Aug20'!$A$3:$A$961,'Mar20-Aug20 Billed-RETAIL'!$C90,'SBR Mar20 - Aug20'!$B$3:$B$961,'Mar20-Aug20 Billed-RETAIL'!$E90)</f>
        <v>4.07</v>
      </c>
      <c r="BL90" s="28">
        <f>SUMIFS('SBR Mar20 - Aug20'!$Z$3:$Z$961,'SBR Mar20 - Aug20'!$A$3:$A$961,'Mar20-Aug20 Billed-RETAIL'!$C90,'SBR Mar20 - Aug20'!$B$3:$B$961,'Mar20-Aug20 Billed-RETAIL'!$E90)</f>
        <v>0</v>
      </c>
      <c r="BM90" s="42">
        <f t="shared" si="147"/>
        <v>0</v>
      </c>
      <c r="BN90" s="42">
        <f t="shared" si="148"/>
        <v>3.9999999999906777E-4</v>
      </c>
    </row>
    <row r="91" spans="1:66" x14ac:dyDescent="0.25">
      <c r="A91" s="57"/>
      <c r="C91" s="307">
        <f t="shared" si="135"/>
        <v>44044</v>
      </c>
      <c r="D91" s="408" t="str">
        <f t="shared" si="136"/>
        <v>855</v>
      </c>
      <c r="E91" s="405" t="str">
        <f>'Retail Rates'!$B$11</f>
        <v>LGING855</v>
      </c>
      <c r="F91" s="405"/>
      <c r="G91" s="405" t="str">
        <f>VLOOKUP(E91,'Retail Rates'!$B$7:$D$40,3,FALSE)</f>
        <v>Firm Industrial Gas Service-DSM Opt-Out</v>
      </c>
      <c r="H91" s="20">
        <v>40</v>
      </c>
      <c r="I91" s="20">
        <v>48</v>
      </c>
      <c r="J91" s="20">
        <f>SUMIFS('Data-Retail'!$G$2:$G$1987,'Data-Retail'!$A$2:$A$1987,'Mar20-Aug20 Billed-RETAIL'!$C91,'Data-Retail'!$B$2:$B$1987,'Mar20-Aug20 Billed-RETAIL'!$E91)</f>
        <v>36494</v>
      </c>
      <c r="K91" s="20">
        <f>SUMIFS('Data-Retail'!$H$2:$H$1987,'Data-Retail'!$A$2:$A$1987,'Mar20-Aug20 Billed-RETAIL'!$C91,'Data-Retail'!$B$2:$B$1987,'Mar20-Aug20 Billed-RETAIL'!$E91)</f>
        <v>189263</v>
      </c>
      <c r="L91" s="20">
        <v>0</v>
      </c>
      <c r="M91" s="20">
        <v>0</v>
      </c>
      <c r="N91" s="20">
        <v>0</v>
      </c>
      <c r="O91" s="20">
        <v>0</v>
      </c>
      <c r="P91" s="20">
        <v>1139.9999999999998</v>
      </c>
      <c r="Q91" s="20">
        <v>1419</v>
      </c>
      <c r="R91" s="21">
        <f>VLOOKUP($E91,'Retail Rates'!$B$7:$P$40,4,FALSE)</f>
        <v>5.42</v>
      </c>
      <c r="S91" s="21">
        <f>VLOOKUP($E91,'Retail Rates'!$B$7:$P$40,5,FALSE)</f>
        <v>24.64</v>
      </c>
      <c r="T91" s="22">
        <f>VLOOKUP($E91,'Retail Rates'!$B$7:$P$40,8,FALSE)</f>
        <v>0.21929000000000001</v>
      </c>
      <c r="U91" s="22">
        <f>VLOOKUP($E91,'Retail Rates'!$B$7:$P$40,9,FALSE)</f>
        <v>0.16929</v>
      </c>
      <c r="V91" s="22">
        <f>VLOOKUP($E91,'Retail Rates'!$B$7:$P$40,14,FALSE)</f>
        <v>0</v>
      </c>
      <c r="W91" s="22">
        <f>VLOOKUP($E91,'Retail Rates'!$B$7:$P$40,10,FALSE)</f>
        <v>2.1929000000000003</v>
      </c>
      <c r="X91" s="22">
        <f>VLOOKUP($E91,'Retail Rates'!$B$7:$P$40,11,FALSE)</f>
        <v>1.6928999999999998</v>
      </c>
      <c r="Y91" s="22">
        <f>VLOOKUP($E91,'Retail Rates'!$B$7:$P$40,15,FALSE)</f>
        <v>0</v>
      </c>
      <c r="Z91" s="22">
        <v>0</v>
      </c>
      <c r="AA91" s="411">
        <f t="shared" si="132"/>
        <v>6178.7999999999984</v>
      </c>
      <c r="AB91" s="411">
        <f>+Q91*S91</f>
        <v>34964.160000000003</v>
      </c>
      <c r="AC91" s="411">
        <f t="shared" si="149"/>
        <v>8002.76926</v>
      </c>
      <c r="AD91" s="411">
        <f t="shared" si="149"/>
        <v>32040.333269999999</v>
      </c>
      <c r="AE91" s="411">
        <f t="shared" si="134"/>
        <v>0</v>
      </c>
      <c r="AF91" s="41">
        <v>0</v>
      </c>
      <c r="AG91" s="41">
        <v>0</v>
      </c>
      <c r="AH91" s="33">
        <v>0</v>
      </c>
      <c r="AI91" s="33">
        <v>0</v>
      </c>
      <c r="AJ91" s="41">
        <v>0</v>
      </c>
      <c r="AK91" s="41">
        <v>0</v>
      </c>
      <c r="AL91" s="33">
        <v>0</v>
      </c>
      <c r="AM91" s="33">
        <v>0</v>
      </c>
      <c r="AN91" s="41">
        <v>0</v>
      </c>
      <c r="AO91" s="33">
        <v>0</v>
      </c>
      <c r="AP91" s="411">
        <f t="shared" si="137"/>
        <v>6178.7999999999984</v>
      </c>
      <c r="AQ91" s="411">
        <f t="shared" si="138"/>
        <v>34964.160000000003</v>
      </c>
      <c r="AR91" s="411">
        <f t="shared" si="139"/>
        <v>8002.76926</v>
      </c>
      <c r="AS91" s="411">
        <f t="shared" si="140"/>
        <v>32040.333269999999</v>
      </c>
      <c r="AT91" s="411">
        <f t="shared" si="141"/>
        <v>0</v>
      </c>
      <c r="AU91" s="411">
        <f t="shared" si="116"/>
        <v>0</v>
      </c>
      <c r="AV91" s="28">
        <f t="shared" si="142"/>
        <v>0</v>
      </c>
      <c r="AW91" s="28">
        <f t="shared" si="143"/>
        <v>64990.03</v>
      </c>
      <c r="AX91" s="28">
        <f t="shared" si="144"/>
        <v>0</v>
      </c>
      <c r="AY91" s="28">
        <f t="shared" si="145"/>
        <v>9658.74</v>
      </c>
      <c r="AZ91" s="28">
        <f t="shared" si="108"/>
        <v>2641.36</v>
      </c>
      <c r="BA91" s="28">
        <f>ROUND(SUM(AP91:AZ91),2)</f>
        <v>158476.19</v>
      </c>
      <c r="BB91" s="28">
        <f t="shared" si="122"/>
        <v>158476.24</v>
      </c>
      <c r="BC91" s="29">
        <f t="shared" si="146"/>
        <v>1</v>
      </c>
      <c r="BD91" s="28">
        <f>SUMIFS('SBR Mar20 - Aug20'!$F$3:$F$961,'SBR Mar20 - Aug20'!$A$3:$A$961,'Mar20-Aug20 Billed-RETAIL'!$C91,'SBR Mar20 - Aug20'!$B$3:$B$961,'Mar20-Aug20 Billed-RETAIL'!$E91)</f>
        <v>41142.959999999999</v>
      </c>
      <c r="BE91" s="28">
        <f>SUMIFS('SBR Mar20 - Aug20'!$H$3:$H$961,'SBR Mar20 - Aug20'!$A$3:$A$961,'Mar20-Aug20 Billed-RETAIL'!$C91,'SBR Mar20 - Aug20'!$B$3:$B$961,'Mar20-Aug20 Billed-RETAIL'!$E91)</f>
        <v>40043.15</v>
      </c>
      <c r="BF91" s="28">
        <f>SUMIFS('SBR Mar20 - Aug20'!$G$3:$G$961,'SBR Mar20 - Aug20'!$A$3:$A$961,'Mar20-Aug20 Billed-RETAIL'!$C91,'SBR Mar20 - Aug20'!$B$3:$B$961,'Mar20-Aug20 Billed-RETAIL'!$E91)</f>
        <v>0</v>
      </c>
      <c r="BG91" s="28">
        <f>SUMIFS('SBR Mar20 - Aug20'!$M$3:$M$961,'SBR Mar20 - Aug20'!$A$3:$A$961,'Mar20-Aug20 Billed-RETAIL'!$C91,'SBR Mar20 - Aug20'!$B$3:$B$961,'Mar20-Aug20 Billed-RETAIL'!$E91)</f>
        <v>0</v>
      </c>
      <c r="BH91" s="28">
        <f>SUMIFS('SBR Mar20 - Aug20'!$N$3:$N$961,'SBR Mar20 - Aug20'!$A$3:$A$961,'Mar20-Aug20 Billed-RETAIL'!$C91,'SBR Mar20 - Aug20'!$B$3:$B$961,'Mar20-Aug20 Billed-RETAIL'!$E91)</f>
        <v>64990.03</v>
      </c>
      <c r="BI91" s="28">
        <f>SUMIFS('SBR Mar20 - Aug20'!$Y$3:$Y$961,'SBR Mar20 - Aug20'!$A$3:$A$961,'Mar20-Aug20 Billed-RETAIL'!$C91,'SBR Mar20 - Aug20'!$B$3:$B$961,'Mar20-Aug20 Billed-RETAIL'!$E91)</f>
        <v>0</v>
      </c>
      <c r="BJ91" s="28">
        <f>SUMIFS('SBR Mar20 - Aug20'!$W$3:$W$961,'SBR Mar20 - Aug20'!$A$3:$A$961,'Mar20-Aug20 Billed-RETAIL'!$C91,'SBR Mar20 - Aug20'!$B$3:$B$961,'Mar20-Aug20 Billed-RETAIL'!$E91)</f>
        <v>9658.74</v>
      </c>
      <c r="BK91" s="28">
        <f>SUMIFS('SBR Mar20 - Aug20'!$X$3:$X$961,'SBR Mar20 - Aug20'!$A$3:$A$961,'Mar20-Aug20 Billed-RETAIL'!$C91,'SBR Mar20 - Aug20'!$B$3:$B$961,'Mar20-Aug20 Billed-RETAIL'!$E91)</f>
        <v>2641.36</v>
      </c>
      <c r="BL91" s="28">
        <f>SUMIFS('SBR Mar20 - Aug20'!$Z$3:$Z$961,'SBR Mar20 - Aug20'!$A$3:$A$961,'Mar20-Aug20 Billed-RETAIL'!$C91,'SBR Mar20 - Aug20'!$B$3:$B$961,'Mar20-Aug20 Billed-RETAIL'!$E91)</f>
        <v>0</v>
      </c>
      <c r="BM91" s="42">
        <f t="shared" si="147"/>
        <v>0</v>
      </c>
      <c r="BN91" s="42">
        <f t="shared" si="148"/>
        <v>-4.7470000004977919E-2</v>
      </c>
    </row>
    <row r="92" spans="1:66" x14ac:dyDescent="0.25">
      <c r="A92" s="57"/>
      <c r="C92" s="307">
        <f t="shared" si="135"/>
        <v>44044</v>
      </c>
      <c r="D92" s="408" t="str">
        <f t="shared" si="136"/>
        <v>855</v>
      </c>
      <c r="E92" s="405" t="str">
        <f>'Retail Rates'!$B$12</f>
        <v>LGING855DS</v>
      </c>
      <c r="F92" s="405"/>
      <c r="G92" s="405" t="str">
        <f>VLOOKUP(E92,'Retail Rates'!$B$7:$D$40,3,FALSE)</f>
        <v>Firm Industrial Gas Service-DSM Opt-In</v>
      </c>
      <c r="H92" s="20">
        <v>77</v>
      </c>
      <c r="I92" s="20">
        <v>58</v>
      </c>
      <c r="J92" s="20">
        <f>SUMIFS('Data-Retail'!$G$2:$G$1987,'Data-Retail'!$A$2:$A$1987,'Mar20-Aug20 Billed-RETAIL'!$C92,'Data-Retail'!$B$2:$B$1987,'Mar20-Aug20 Billed-RETAIL'!$E92)</f>
        <v>45399</v>
      </c>
      <c r="K92" s="20">
        <f>SUMIFS('Data-Retail'!$H$2:$H$1987,'Data-Retail'!$A$2:$A$1987,'Mar20-Aug20 Billed-RETAIL'!$C92,'Data-Retail'!$B$2:$B$1987,'Mar20-Aug20 Billed-RETAIL'!$E92)</f>
        <v>336184</v>
      </c>
      <c r="L92" s="20">
        <v>0</v>
      </c>
      <c r="M92" s="20">
        <v>0</v>
      </c>
      <c r="N92" s="20">
        <v>0</v>
      </c>
      <c r="O92" s="20">
        <v>0</v>
      </c>
      <c r="P92" s="20">
        <v>2179.9999999999995</v>
      </c>
      <c r="Q92" s="20">
        <v>1711</v>
      </c>
      <c r="R92" s="21">
        <f>VLOOKUP($E92,'Retail Rates'!$B$7:$P$40,4,FALSE)</f>
        <v>5.42</v>
      </c>
      <c r="S92" s="21">
        <f>VLOOKUP($E92,'Retail Rates'!$B$7:$P$40,5,FALSE)</f>
        <v>24.64</v>
      </c>
      <c r="T92" s="22">
        <f>VLOOKUP($E92,'Retail Rates'!$B$7:$P$40,8,FALSE)</f>
        <v>0.21929000000000001</v>
      </c>
      <c r="U92" s="22">
        <f>VLOOKUP($E92,'Retail Rates'!$B$7:$P$40,9,FALSE)</f>
        <v>0.16929</v>
      </c>
      <c r="V92" s="22">
        <f>VLOOKUP($E92,'Retail Rates'!$B$7:$P$40,14,FALSE)</f>
        <v>0</v>
      </c>
      <c r="W92" s="22">
        <f>VLOOKUP($E92,'Retail Rates'!$B$7:$P$40,10,FALSE)</f>
        <v>2.1929000000000003</v>
      </c>
      <c r="X92" s="22">
        <f>VLOOKUP($E92,'Retail Rates'!$B$7:$P$40,11,FALSE)</f>
        <v>1.6928999999999998</v>
      </c>
      <c r="Y92" s="22">
        <f>VLOOKUP($E92,'Retail Rates'!$B$7:$P$40,15,FALSE)</f>
        <v>0</v>
      </c>
      <c r="Z92" s="22">
        <v>0</v>
      </c>
      <c r="AA92" s="411">
        <f t="shared" si="132"/>
        <v>11815.599999999997</v>
      </c>
      <c r="AB92" s="411">
        <f>+Q92*S92</f>
        <v>42159.040000000001</v>
      </c>
      <c r="AC92" s="411">
        <f t="shared" si="149"/>
        <v>9955.5467100000005</v>
      </c>
      <c r="AD92" s="411">
        <f t="shared" si="149"/>
        <v>56912.589359999998</v>
      </c>
      <c r="AE92" s="411">
        <f t="shared" si="134"/>
        <v>0</v>
      </c>
      <c r="AF92" s="41">
        <v>0</v>
      </c>
      <c r="AG92" s="41">
        <v>0</v>
      </c>
      <c r="AH92" s="33">
        <v>0</v>
      </c>
      <c r="AI92" s="33">
        <v>0</v>
      </c>
      <c r="AJ92" s="41">
        <v>0</v>
      </c>
      <c r="AK92" s="41">
        <v>0</v>
      </c>
      <c r="AL92" s="33">
        <v>0</v>
      </c>
      <c r="AM92" s="33">
        <v>0</v>
      </c>
      <c r="AN92" s="41">
        <v>0</v>
      </c>
      <c r="AO92" s="33">
        <v>0</v>
      </c>
      <c r="AP92" s="411">
        <f t="shared" si="137"/>
        <v>11815.599999999997</v>
      </c>
      <c r="AQ92" s="411">
        <f t="shared" si="138"/>
        <v>42159.040000000001</v>
      </c>
      <c r="AR92" s="411">
        <f t="shared" si="139"/>
        <v>9955.5467100000005</v>
      </c>
      <c r="AS92" s="411">
        <f t="shared" si="140"/>
        <v>56912.589359999998</v>
      </c>
      <c r="AT92" s="411">
        <f t="shared" si="141"/>
        <v>0</v>
      </c>
      <c r="AU92" s="411">
        <f t="shared" si="116"/>
        <v>0</v>
      </c>
      <c r="AV92" s="28">
        <f t="shared" si="142"/>
        <v>183.11</v>
      </c>
      <c r="AW92" s="28">
        <f t="shared" si="143"/>
        <v>107159.42</v>
      </c>
      <c r="AX92" s="28">
        <f t="shared" si="144"/>
        <v>0</v>
      </c>
      <c r="AY92" s="28">
        <f t="shared" si="145"/>
        <v>14636.14</v>
      </c>
      <c r="AZ92" s="28">
        <f t="shared" si="108"/>
        <v>4464.5600000000004</v>
      </c>
      <c r="BA92" s="28">
        <f t="shared" si="121"/>
        <v>247286.01</v>
      </c>
      <c r="BB92" s="28">
        <f t="shared" si="122"/>
        <v>247286</v>
      </c>
      <c r="BC92" s="29">
        <f t="shared" si="146"/>
        <v>1</v>
      </c>
      <c r="BD92" s="28">
        <f>SUMIFS('SBR Mar20 - Aug20'!$F$3:$F$961,'SBR Mar20 - Aug20'!$A$3:$A$961,'Mar20-Aug20 Billed-RETAIL'!$C92,'SBR Mar20 - Aug20'!$B$3:$B$961,'Mar20-Aug20 Billed-RETAIL'!$E92)</f>
        <v>53974.64</v>
      </c>
      <c r="BE92" s="28">
        <f>SUMIFS('SBR Mar20 - Aug20'!$H$3:$H$961,'SBR Mar20 - Aug20'!$A$3:$A$961,'Mar20-Aug20 Billed-RETAIL'!$C92,'SBR Mar20 - Aug20'!$B$3:$B$961,'Mar20-Aug20 Billed-RETAIL'!$E92)</f>
        <v>66868.13</v>
      </c>
      <c r="BF92" s="28">
        <f>SUMIFS('SBR Mar20 - Aug20'!$G$3:$G$961,'SBR Mar20 - Aug20'!$A$3:$A$961,'Mar20-Aug20 Billed-RETAIL'!$C92,'SBR Mar20 - Aug20'!$B$3:$B$961,'Mar20-Aug20 Billed-RETAIL'!$E92)</f>
        <v>0</v>
      </c>
      <c r="BG92" s="28">
        <f>SUMIFS('SBR Mar20 - Aug20'!$M$3:$M$961,'SBR Mar20 - Aug20'!$A$3:$A$961,'Mar20-Aug20 Billed-RETAIL'!$C92,'SBR Mar20 - Aug20'!$B$3:$B$961,'Mar20-Aug20 Billed-RETAIL'!$E92)</f>
        <v>183.11</v>
      </c>
      <c r="BH92" s="28">
        <f>SUMIFS('SBR Mar20 - Aug20'!$N$3:$N$961,'SBR Mar20 - Aug20'!$A$3:$A$961,'Mar20-Aug20 Billed-RETAIL'!$C92,'SBR Mar20 - Aug20'!$B$3:$B$961,'Mar20-Aug20 Billed-RETAIL'!$E92)</f>
        <v>107159.42</v>
      </c>
      <c r="BI92" s="28">
        <f>SUMIFS('SBR Mar20 - Aug20'!$Y$3:$Y$961,'SBR Mar20 - Aug20'!$A$3:$A$961,'Mar20-Aug20 Billed-RETAIL'!$C92,'SBR Mar20 - Aug20'!$B$3:$B$961,'Mar20-Aug20 Billed-RETAIL'!$E92)</f>
        <v>0</v>
      </c>
      <c r="BJ92" s="28">
        <f>SUMIFS('SBR Mar20 - Aug20'!$W$3:$W$961,'SBR Mar20 - Aug20'!$A$3:$A$961,'Mar20-Aug20 Billed-RETAIL'!$C92,'SBR Mar20 - Aug20'!$B$3:$B$961,'Mar20-Aug20 Billed-RETAIL'!$E92)</f>
        <v>14636.14</v>
      </c>
      <c r="BK92" s="28">
        <f>SUMIFS('SBR Mar20 - Aug20'!$X$3:$X$961,'SBR Mar20 - Aug20'!$A$3:$A$961,'Mar20-Aug20 Billed-RETAIL'!$C92,'SBR Mar20 - Aug20'!$B$3:$B$961,'Mar20-Aug20 Billed-RETAIL'!$E92)</f>
        <v>4464.5600000000004</v>
      </c>
      <c r="BL92" s="28">
        <f>SUMIFS('SBR Mar20 - Aug20'!$Z$3:$Z$961,'SBR Mar20 - Aug20'!$A$3:$A$961,'Mar20-Aug20 Billed-RETAIL'!$C92,'SBR Mar20 - Aug20'!$B$3:$B$961,'Mar20-Aug20 Billed-RETAIL'!$E92)</f>
        <v>0</v>
      </c>
      <c r="BM92" s="42">
        <f t="shared" si="147"/>
        <v>0</v>
      </c>
      <c r="BN92" s="42">
        <f t="shared" si="148"/>
        <v>6.0699999885400757E-3</v>
      </c>
    </row>
    <row r="93" spans="1:66" x14ac:dyDescent="0.25">
      <c r="A93" s="57"/>
      <c r="C93" s="307">
        <f t="shared" si="135"/>
        <v>44044</v>
      </c>
      <c r="D93" s="408" t="str">
        <f t="shared" si="136"/>
        <v>863</v>
      </c>
      <c r="E93" s="405" t="str">
        <f>'Retail Rates'!$B$13</f>
        <v>LGCMG863</v>
      </c>
      <c r="F93" s="405"/>
      <c r="G93" s="405" t="str">
        <f>VLOOKUP(E93,'Retail Rates'!$B$7:$D$40,3,FALSE)</f>
        <v>Unmetered Insight Gas Generators</v>
      </c>
      <c r="H93" s="20">
        <v>608</v>
      </c>
      <c r="I93" s="20">
        <v>0</v>
      </c>
      <c r="J93" s="20">
        <f>SUMIFS('Data-Retail'!$G$2:$G$1987,'Data-Retail'!$A$2:$A$1987,'Mar20-Aug20 Billed-RETAIL'!$C93,'Data-Retail'!$B$2:$B$1987,'Mar20-Aug20 Billed-RETAIL'!$E93)</f>
        <v>601</v>
      </c>
      <c r="K93" s="20">
        <f>SUMIFS('Data-Retail'!$H$2:$H$1987,'Data-Retail'!$A$2:$A$1987,'Mar20-Aug20 Billed-RETAIL'!$C93,'Data-Retail'!$B$2:$B$1987,'Mar20-Aug20 Billed-RETAIL'!$E93)</f>
        <v>0</v>
      </c>
      <c r="L93" s="20">
        <v>0</v>
      </c>
      <c r="M93" s="20">
        <v>0</v>
      </c>
      <c r="N93" s="20">
        <v>0</v>
      </c>
      <c r="O93" s="20">
        <v>0</v>
      </c>
      <c r="P93" s="20">
        <v>17915</v>
      </c>
      <c r="Q93" s="20">
        <v>0</v>
      </c>
      <c r="R93" s="21">
        <f>VLOOKUP($E93,'Retail Rates'!$B$7:$P$40,4,FALSE)</f>
        <v>1.97</v>
      </c>
      <c r="S93" s="21">
        <f>VLOOKUP($E93,'Retail Rates'!$B$7:$P$40,5,FALSE)</f>
        <v>9.3699999999999992</v>
      </c>
      <c r="T93" s="22">
        <f>VLOOKUP($E93,'Retail Rates'!$B$7:$P$40,8,FALSE)</f>
        <v>0.30669999999999997</v>
      </c>
      <c r="U93" s="22">
        <f>VLOOKUP($E93,'Retail Rates'!$B$7:$P$40,9,FALSE)</f>
        <v>0.25669999999999998</v>
      </c>
      <c r="V93" s="22">
        <f>VLOOKUP($E93,'Retail Rates'!$B$7:$P$40,14,FALSE)</f>
        <v>0</v>
      </c>
      <c r="W93" s="22">
        <f>VLOOKUP($E93,'Retail Rates'!$B$7:$P$40,10,FALSE)</f>
        <v>3.0669999999999997</v>
      </c>
      <c r="X93" s="22">
        <f>VLOOKUP($E93,'Retail Rates'!$B$7:$P$40,11,FALSE)</f>
        <v>2.5669999999999997</v>
      </c>
      <c r="Y93" s="22">
        <f>VLOOKUP($E93,'Retail Rates'!$B$7:$P$40,15,FALSE)</f>
        <v>0</v>
      </c>
      <c r="Z93" s="22">
        <v>0</v>
      </c>
      <c r="AA93" s="411">
        <f t="shared" si="132"/>
        <v>35292.550000000003</v>
      </c>
      <c r="AB93" s="411">
        <f t="shared" ref="AB93:AB101" si="150">+I93*S93</f>
        <v>0</v>
      </c>
      <c r="AC93" s="411">
        <f>ROUND(T93,2)*J93</f>
        <v>186.31</v>
      </c>
      <c r="AD93" s="411">
        <f t="shared" ref="AD93:AD101" si="151">+K93*U93</f>
        <v>0</v>
      </c>
      <c r="AE93" s="411">
        <f t="shared" si="134"/>
        <v>0</v>
      </c>
      <c r="AF93" s="41">
        <v>0</v>
      </c>
      <c r="AG93" s="41">
        <v>0</v>
      </c>
      <c r="AH93" s="33">
        <v>0</v>
      </c>
      <c r="AI93" s="33">
        <v>0</v>
      </c>
      <c r="AJ93" s="41">
        <v>0</v>
      </c>
      <c r="AK93" s="41">
        <v>0</v>
      </c>
      <c r="AL93" s="33">
        <v>0</v>
      </c>
      <c r="AM93" s="33">
        <v>0</v>
      </c>
      <c r="AN93" s="41">
        <v>0</v>
      </c>
      <c r="AO93" s="33">
        <v>0</v>
      </c>
      <c r="AP93" s="411">
        <f t="shared" si="137"/>
        <v>35292.550000000003</v>
      </c>
      <c r="AQ93" s="411">
        <f t="shared" si="138"/>
        <v>0</v>
      </c>
      <c r="AR93" s="411">
        <f>AC93+AL93</f>
        <v>186.31</v>
      </c>
      <c r="AS93" s="411">
        <f t="shared" si="140"/>
        <v>0</v>
      </c>
      <c r="AT93" s="411">
        <f t="shared" si="141"/>
        <v>0</v>
      </c>
      <c r="AU93" s="411">
        <f t="shared" si="116"/>
        <v>0</v>
      </c>
      <c r="AV93" s="28">
        <f t="shared" si="142"/>
        <v>0</v>
      </c>
      <c r="AW93" s="28">
        <f t="shared" si="143"/>
        <v>163.63</v>
      </c>
      <c r="AX93" s="28">
        <f t="shared" si="144"/>
        <v>0</v>
      </c>
      <c r="AY93" s="28">
        <f t="shared" si="145"/>
        <v>5636.16</v>
      </c>
      <c r="AZ93" s="28">
        <f t="shared" si="108"/>
        <v>12.02</v>
      </c>
      <c r="BA93" s="28">
        <f t="shared" si="121"/>
        <v>41290.67</v>
      </c>
      <c r="BB93" s="28">
        <f t="shared" si="122"/>
        <v>41290.669999999991</v>
      </c>
      <c r="BC93" s="29">
        <f t="shared" si="146"/>
        <v>1</v>
      </c>
      <c r="BD93" s="28">
        <f>SUMIFS('SBR Mar20 - Aug20'!$F$3:$F$961,'SBR Mar20 - Aug20'!$A$3:$A$961,'Mar20-Aug20 Billed-RETAIL'!$C93,'SBR Mar20 - Aug20'!$B$3:$B$961,'Mar20-Aug20 Billed-RETAIL'!$E93)</f>
        <v>35292.550000000003</v>
      </c>
      <c r="BE93" s="28">
        <f>SUMIFS('SBR Mar20 - Aug20'!$H$3:$H$961,'SBR Mar20 - Aug20'!$A$3:$A$961,'Mar20-Aug20 Billed-RETAIL'!$C93,'SBR Mar20 - Aug20'!$B$3:$B$961,'Mar20-Aug20 Billed-RETAIL'!$E93)</f>
        <v>186.31</v>
      </c>
      <c r="BF93" s="28">
        <f>SUMIFS('SBR Mar20 - Aug20'!$G$3:$G$961,'SBR Mar20 - Aug20'!$A$3:$A$961,'Mar20-Aug20 Billed-RETAIL'!$C93,'SBR Mar20 - Aug20'!$B$3:$B$961,'Mar20-Aug20 Billed-RETAIL'!$E93)</f>
        <v>0</v>
      </c>
      <c r="BG93" s="28">
        <f>SUMIFS('SBR Mar20 - Aug20'!$M$3:$M$961,'SBR Mar20 - Aug20'!$A$3:$A$961,'Mar20-Aug20 Billed-RETAIL'!$C93,'SBR Mar20 - Aug20'!$B$3:$B$961,'Mar20-Aug20 Billed-RETAIL'!$E93)</f>
        <v>0</v>
      </c>
      <c r="BH93" s="28">
        <f>SUMIFS('SBR Mar20 - Aug20'!$N$3:$N$961,'SBR Mar20 - Aug20'!$A$3:$A$961,'Mar20-Aug20 Billed-RETAIL'!$C93,'SBR Mar20 - Aug20'!$B$3:$B$961,'Mar20-Aug20 Billed-RETAIL'!$E93)</f>
        <v>163.63</v>
      </c>
      <c r="BI93" s="28">
        <f>SUMIFS('SBR Mar20 - Aug20'!$Y$3:$Y$961,'SBR Mar20 - Aug20'!$A$3:$A$961,'Mar20-Aug20 Billed-RETAIL'!$C93,'SBR Mar20 - Aug20'!$B$3:$B$961,'Mar20-Aug20 Billed-RETAIL'!$E93)</f>
        <v>0</v>
      </c>
      <c r="BJ93" s="28">
        <f>SUMIFS('SBR Mar20 - Aug20'!$W$3:$W$961,'SBR Mar20 - Aug20'!$A$3:$A$961,'Mar20-Aug20 Billed-RETAIL'!$C93,'SBR Mar20 - Aug20'!$B$3:$B$961,'Mar20-Aug20 Billed-RETAIL'!$E93)</f>
        <v>5636.16</v>
      </c>
      <c r="BK93" s="28">
        <f>SUMIFS('SBR Mar20 - Aug20'!$X$3:$X$961,'SBR Mar20 - Aug20'!$A$3:$A$961,'Mar20-Aug20 Billed-RETAIL'!$C93,'SBR Mar20 - Aug20'!$B$3:$B$961,'Mar20-Aug20 Billed-RETAIL'!$E93)</f>
        <v>12.02</v>
      </c>
      <c r="BL93" s="28">
        <f>SUMIFS('SBR Mar20 - Aug20'!$Z$3:$Z$961,'SBR Mar20 - Aug20'!$A$3:$A$961,'Mar20-Aug20 Billed-RETAIL'!$C93,'SBR Mar20 - Aug20'!$B$3:$B$961,'Mar20-Aug20 Billed-RETAIL'!$E93)</f>
        <v>0</v>
      </c>
      <c r="BM93" s="42">
        <f t="shared" si="147"/>
        <v>0</v>
      </c>
      <c r="BN93" s="42">
        <f t="shared" si="148"/>
        <v>0</v>
      </c>
    </row>
    <row r="94" spans="1:66" x14ac:dyDescent="0.25">
      <c r="A94" s="57"/>
      <c r="C94" s="307">
        <f t="shared" ref="C94:C100" si="152">$C$87</f>
        <v>44044</v>
      </c>
      <c r="D94" s="408" t="str">
        <f t="shared" si="136"/>
        <v>865</v>
      </c>
      <c r="E94" s="405" t="str">
        <f>'Retail Rates'!$B$14</f>
        <v>LGCMG865</v>
      </c>
      <c r="F94" s="405"/>
      <c r="G94" s="405" t="str">
        <f>VLOOKUP(E94,'Retail Rates'!$B$7:$D$40,3,FALSE)</f>
        <v>As-Available Gas Service, Commercial</v>
      </c>
      <c r="H94" s="20">
        <f>SUMIFS('Data-Retail'!$F$2:$F$1987,'Data-Retail'!$A$2:$A$1987,'Mar20-Aug20 Billed-RETAIL'!$C94,'Data-Retail'!$B$2:$B$1987,'Mar20-Aug20 Billed-RETAIL'!$E94)</f>
        <v>2</v>
      </c>
      <c r="I94" s="20">
        <v>0</v>
      </c>
      <c r="J94" s="20">
        <v>0</v>
      </c>
      <c r="K94" s="20">
        <f>SUMIFS('Data-Retail'!$H$2:$H$1987,'Data-Retail'!$A$2:$A$1987,'Mar20-Aug20 Billed-RETAIL'!$C94,'Data-Retail'!$B$2:$B$1987,'Mar20-Aug20 Billed-RETAIL'!$E94)</f>
        <v>0</v>
      </c>
      <c r="L94" s="20">
        <v>0</v>
      </c>
      <c r="M94" s="20">
        <f>SUMIFS('Data-Retail'!$G$2:$G$1987,'Data-Retail'!$A$2:$A$1987,'Mar20-Aug20 Billed-RETAIL'!$C94,'Data-Retail'!$B$2:$B$1987,'Mar20-Aug20 Billed-RETAIL'!$E94)/10</f>
        <v>4259.3</v>
      </c>
      <c r="N94" s="20">
        <v>0</v>
      </c>
      <c r="O94" s="20">
        <v>0</v>
      </c>
      <c r="P94" s="20">
        <v>0</v>
      </c>
      <c r="Q94" s="20">
        <v>0</v>
      </c>
      <c r="R94" s="21">
        <f>VLOOKUP($E94,'Retail Rates'!$B$7:$P$40,4,FALSE)</f>
        <v>500</v>
      </c>
      <c r="S94" s="21">
        <f>VLOOKUP($E94,'Retail Rates'!$B$7:$P$40,5,FALSE)</f>
        <v>0</v>
      </c>
      <c r="T94" s="22">
        <f>VLOOKUP($E94,'Retail Rates'!$B$7:$P$40,8,FALSE)</f>
        <v>0.10644000000000001</v>
      </c>
      <c r="U94" s="22">
        <f>VLOOKUP($E94,'Retail Rates'!$B$7:$P$40,9,FALSE)</f>
        <v>0</v>
      </c>
      <c r="V94" s="22">
        <f>VLOOKUP($E94,'Retail Rates'!$B$7:$P$40,14,FALSE)</f>
        <v>0</v>
      </c>
      <c r="W94" s="22">
        <f>VLOOKUP($E94,'Retail Rates'!$B$7:$P$40,10,FALSE)</f>
        <v>1.0644</v>
      </c>
      <c r="X94" s="22">
        <f>VLOOKUP($E94,'Retail Rates'!$B$7:$P$40,11,FALSE)</f>
        <v>0</v>
      </c>
      <c r="Y94" s="22">
        <f>VLOOKUP($E94,'Retail Rates'!$B$7:$P$40,15,FALSE)</f>
        <v>0</v>
      </c>
      <c r="Z94" s="22">
        <v>0</v>
      </c>
      <c r="AA94" s="411">
        <f t="shared" ref="AA94:AA101" si="153">(+H94*R94)</f>
        <v>1000</v>
      </c>
      <c r="AB94" s="411">
        <f t="shared" si="150"/>
        <v>0</v>
      </c>
      <c r="AC94" s="411">
        <f>+M94*W94</f>
        <v>4533.5989200000004</v>
      </c>
      <c r="AD94" s="411">
        <f t="shared" si="151"/>
        <v>0</v>
      </c>
      <c r="AE94" s="411">
        <f t="shared" si="134"/>
        <v>0</v>
      </c>
      <c r="AF94" s="41">
        <v>0</v>
      </c>
      <c r="AG94" s="41">
        <v>0</v>
      </c>
      <c r="AH94" s="33">
        <v>0</v>
      </c>
      <c r="AI94" s="33">
        <v>0</v>
      </c>
      <c r="AJ94" s="41">
        <v>0</v>
      </c>
      <c r="AK94" s="41">
        <v>0</v>
      </c>
      <c r="AL94" s="33">
        <v>0</v>
      </c>
      <c r="AM94" s="33">
        <v>0</v>
      </c>
      <c r="AN94" s="41">
        <v>0</v>
      </c>
      <c r="AO94" s="33">
        <v>0</v>
      </c>
      <c r="AP94" s="411">
        <f t="shared" si="137"/>
        <v>1000</v>
      </c>
      <c r="AQ94" s="411">
        <f t="shared" si="138"/>
        <v>0</v>
      </c>
      <c r="AR94" s="411">
        <f t="shared" si="139"/>
        <v>4533.5989200000004</v>
      </c>
      <c r="AS94" s="411">
        <f t="shared" si="140"/>
        <v>0</v>
      </c>
      <c r="AT94" s="411">
        <f t="shared" si="141"/>
        <v>0</v>
      </c>
      <c r="AU94" s="411">
        <f t="shared" si="116"/>
        <v>0</v>
      </c>
      <c r="AV94" s="28">
        <f t="shared" si="142"/>
        <v>20.440000000000001</v>
      </c>
      <c r="AW94" s="28">
        <f t="shared" si="143"/>
        <v>12127.77</v>
      </c>
      <c r="AX94" s="28">
        <f t="shared" si="144"/>
        <v>0</v>
      </c>
      <c r="AY94" s="28">
        <f t="shared" si="145"/>
        <v>222.04</v>
      </c>
      <c r="AZ94" s="28">
        <f t="shared" si="108"/>
        <v>498.34</v>
      </c>
      <c r="BA94" s="28">
        <f t="shared" si="121"/>
        <v>18402.189999999999</v>
      </c>
      <c r="BB94" s="28">
        <f t="shared" si="122"/>
        <v>18402.190000000002</v>
      </c>
      <c r="BC94" s="29">
        <f t="shared" si="146"/>
        <v>1</v>
      </c>
      <c r="BD94" s="28">
        <f>SUMIFS('SBR Mar20 - Aug20'!$F$3:$F$961,'SBR Mar20 - Aug20'!$A$3:$A$961,'Mar20-Aug20 Billed-RETAIL'!$C94,'SBR Mar20 - Aug20'!$B$3:$B$961,'Mar20-Aug20 Billed-RETAIL'!$E94)</f>
        <v>1000</v>
      </c>
      <c r="BE94" s="28">
        <f>SUMIFS('SBR Mar20 - Aug20'!$H$3:$H$961,'SBR Mar20 - Aug20'!$A$3:$A$961,'Mar20-Aug20 Billed-RETAIL'!$C94,'SBR Mar20 - Aug20'!$B$3:$B$961,'Mar20-Aug20 Billed-RETAIL'!$E94)</f>
        <v>4533.6000000000004</v>
      </c>
      <c r="BF94" s="28">
        <f>SUMIFS('SBR Mar20 - Aug20'!$G$3:$G$961,'SBR Mar20 - Aug20'!$A$3:$A$961,'Mar20-Aug20 Billed-RETAIL'!$C94,'SBR Mar20 - Aug20'!$B$3:$B$961,'Mar20-Aug20 Billed-RETAIL'!$E94)</f>
        <v>0</v>
      </c>
      <c r="BG94" s="28">
        <f>SUMIFS('SBR Mar20 - Aug20'!$M$3:$M$961,'SBR Mar20 - Aug20'!$A$3:$A$961,'Mar20-Aug20 Billed-RETAIL'!$C94,'SBR Mar20 - Aug20'!$B$3:$B$961,'Mar20-Aug20 Billed-RETAIL'!$E94)</f>
        <v>20.440000000000001</v>
      </c>
      <c r="BH94" s="28">
        <f>SUMIFS('SBR Mar20 - Aug20'!$N$3:$N$961,'SBR Mar20 - Aug20'!$A$3:$A$961,'Mar20-Aug20 Billed-RETAIL'!$C94,'SBR Mar20 - Aug20'!$B$3:$B$961,'Mar20-Aug20 Billed-RETAIL'!$E94)</f>
        <v>12127.77</v>
      </c>
      <c r="BI94" s="28">
        <f>SUMIFS('SBR Mar20 - Aug20'!$Y$3:$Y$961,'SBR Mar20 - Aug20'!$A$3:$A$961,'Mar20-Aug20 Billed-RETAIL'!$C94,'SBR Mar20 - Aug20'!$B$3:$B$961,'Mar20-Aug20 Billed-RETAIL'!$E94)</f>
        <v>0</v>
      </c>
      <c r="BJ94" s="28">
        <f>SUMIFS('SBR Mar20 - Aug20'!$W$3:$W$961,'SBR Mar20 - Aug20'!$A$3:$A$961,'Mar20-Aug20 Billed-RETAIL'!$C94,'SBR Mar20 - Aug20'!$B$3:$B$961,'Mar20-Aug20 Billed-RETAIL'!$E94)</f>
        <v>222.04</v>
      </c>
      <c r="BK94" s="28">
        <f>SUMIFS('SBR Mar20 - Aug20'!$X$3:$X$961,'SBR Mar20 - Aug20'!$A$3:$A$961,'Mar20-Aug20 Billed-RETAIL'!$C94,'SBR Mar20 - Aug20'!$B$3:$B$961,'Mar20-Aug20 Billed-RETAIL'!$E94)</f>
        <v>498.34</v>
      </c>
      <c r="BL94" s="28">
        <f>SUMIFS('SBR Mar20 - Aug20'!$Z$3:$Z$961,'SBR Mar20 - Aug20'!$A$3:$A$961,'Mar20-Aug20 Billed-RETAIL'!$C94,'SBR Mar20 - Aug20'!$B$3:$B$961,'Mar20-Aug20 Billed-RETAIL'!$E94)</f>
        <v>0</v>
      </c>
      <c r="BM94" s="42">
        <f t="shared" si="147"/>
        <v>0</v>
      </c>
      <c r="BN94" s="42">
        <f t="shared" si="148"/>
        <v>-1.0800000000017462E-3</v>
      </c>
    </row>
    <row r="95" spans="1:66" x14ac:dyDescent="0.25">
      <c r="A95" s="57"/>
      <c r="C95" s="307">
        <f t="shared" si="152"/>
        <v>44044</v>
      </c>
      <c r="D95" s="408" t="str">
        <f t="shared" si="136"/>
        <v>866</v>
      </c>
      <c r="E95" s="405" t="str">
        <f>'Retail Rates'!$B$15</f>
        <v>LGING866</v>
      </c>
      <c r="F95" s="405"/>
      <c r="G95" s="405" t="str">
        <f>VLOOKUP(E95,'Retail Rates'!$B$7:$D$40,3,FALSE)</f>
        <v>As-Available Gas Service, Industrial Opt Out</v>
      </c>
      <c r="H95" s="20">
        <f>SUMIFS('Data-Retail'!$F$2:$F$1987,'Data-Retail'!$A$2:$A$1987,'Mar20-Aug20 Billed-RETAIL'!$C95,'Data-Retail'!$B$2:$B$1987,'Mar20-Aug20 Billed-RETAIL'!$E95)</f>
        <v>0</v>
      </c>
      <c r="I95" s="20">
        <v>0</v>
      </c>
      <c r="J95" s="20">
        <f>SUMIFS('Data-Retail'!$G$2:$G$244,'Data-Retail'!$A$2:$A$244,'Mar20-Aug20 Billed-RETAIL'!$C95,'Data-Retail'!$B$2:$B$244,'Mar20-Aug20 Billed-RETAIL'!$E95)</f>
        <v>0</v>
      </c>
      <c r="K95" s="20">
        <f>SUMIFS('Data-Retail'!$H$2:$H$244,'Data-Retail'!$A$2:$A$244,'Mar20-Aug20 Billed-RETAIL'!$C95,'Data-Retail'!$B$2:$B$244,'Mar20-Aug20 Billed-RETAIL'!$E95)</f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1">
        <f>VLOOKUP($E95,'Retail Rates'!$B$7:$P$40,4,FALSE)</f>
        <v>500</v>
      </c>
      <c r="S95" s="21">
        <f>VLOOKUP($E95,'Retail Rates'!$B$7:$P$40,5,FALSE)</f>
        <v>0</v>
      </c>
      <c r="T95" s="22">
        <f>VLOOKUP($E95,'Retail Rates'!$B$7:$P$40,8,FALSE)</f>
        <v>0.10644000000000001</v>
      </c>
      <c r="U95" s="22">
        <f>VLOOKUP($E95,'Retail Rates'!$B$7:$P$40,9,FALSE)</f>
        <v>0</v>
      </c>
      <c r="V95" s="22">
        <f>VLOOKUP($E95,'Retail Rates'!$B$7:$P$40,14,FALSE)</f>
        <v>0</v>
      </c>
      <c r="W95" s="22">
        <f>VLOOKUP($E95,'Retail Rates'!$B$7:$P$40,10,FALSE)</f>
        <v>1.0644</v>
      </c>
      <c r="X95" s="22">
        <f>VLOOKUP($E95,'Retail Rates'!$B$7:$P$40,11,FALSE)</f>
        <v>0</v>
      </c>
      <c r="Y95" s="22">
        <f>VLOOKUP($E95,'Retail Rates'!$B$7:$P$40,15,FALSE)</f>
        <v>0</v>
      </c>
      <c r="Z95" s="22">
        <v>0</v>
      </c>
      <c r="AA95" s="411">
        <f t="shared" si="153"/>
        <v>0</v>
      </c>
      <c r="AB95" s="411">
        <f t="shared" si="150"/>
        <v>0</v>
      </c>
      <c r="AC95" s="411">
        <f t="shared" ref="AC95:AC97" si="154">+M95*W95</f>
        <v>0</v>
      </c>
      <c r="AD95" s="411">
        <f t="shared" si="151"/>
        <v>0</v>
      </c>
      <c r="AE95" s="411">
        <f t="shared" si="134"/>
        <v>0</v>
      </c>
      <c r="AF95" s="41">
        <v>0</v>
      </c>
      <c r="AG95" s="41">
        <v>0</v>
      </c>
      <c r="AH95" s="33">
        <v>0</v>
      </c>
      <c r="AI95" s="33">
        <v>0</v>
      </c>
      <c r="AJ95" s="41">
        <v>0</v>
      </c>
      <c r="AK95" s="41">
        <v>0</v>
      </c>
      <c r="AL95" s="33">
        <v>0</v>
      </c>
      <c r="AM95" s="33">
        <v>0</v>
      </c>
      <c r="AN95" s="41">
        <v>0</v>
      </c>
      <c r="AO95" s="33">
        <v>0</v>
      </c>
      <c r="AP95" s="411">
        <f t="shared" si="137"/>
        <v>0</v>
      </c>
      <c r="AQ95" s="411">
        <f t="shared" si="138"/>
        <v>0</v>
      </c>
      <c r="AR95" s="411">
        <f t="shared" si="139"/>
        <v>0</v>
      </c>
      <c r="AS95" s="411">
        <f t="shared" si="140"/>
        <v>0</v>
      </c>
      <c r="AT95" s="411">
        <f t="shared" si="141"/>
        <v>0</v>
      </c>
      <c r="AU95" s="411">
        <f t="shared" si="116"/>
        <v>0</v>
      </c>
      <c r="AV95" s="28">
        <f t="shared" si="142"/>
        <v>0</v>
      </c>
      <c r="AW95" s="28">
        <f t="shared" si="143"/>
        <v>0</v>
      </c>
      <c r="AX95" s="28">
        <f t="shared" si="144"/>
        <v>0</v>
      </c>
      <c r="AY95" s="28">
        <f t="shared" si="145"/>
        <v>0</v>
      </c>
      <c r="AZ95" s="28">
        <f t="shared" si="108"/>
        <v>0</v>
      </c>
      <c r="BA95" s="28">
        <f t="shared" si="121"/>
        <v>0</v>
      </c>
      <c r="BB95" s="28">
        <f t="shared" si="122"/>
        <v>0</v>
      </c>
      <c r="BC95" s="29">
        <f t="shared" si="146"/>
        <v>0</v>
      </c>
      <c r="BD95" s="28">
        <f>SUMIFS('SBR Mar20 - Aug20'!$F$3:$F$961,'SBR Mar20 - Aug20'!$A$3:$A$961,'Mar20-Aug20 Billed-RETAIL'!$C95,'SBR Mar20 - Aug20'!$B$3:$B$961,'Mar20-Aug20 Billed-RETAIL'!$E95)</f>
        <v>0</v>
      </c>
      <c r="BE95" s="28">
        <f>SUMIFS('SBR Mar20 - Aug20'!$H$3:$H$961,'SBR Mar20 - Aug20'!$A$3:$A$961,'Mar20-Aug20 Billed-RETAIL'!$C95,'SBR Mar20 - Aug20'!$B$3:$B$961,'Mar20-Aug20 Billed-RETAIL'!$E95)</f>
        <v>0</v>
      </c>
      <c r="BF95" s="28">
        <f>SUMIFS('SBR Mar20 - Aug20'!$G$3:$G$961,'SBR Mar20 - Aug20'!$A$3:$A$961,'Mar20-Aug20 Billed-RETAIL'!$C95,'SBR Mar20 - Aug20'!$B$3:$B$961,'Mar20-Aug20 Billed-RETAIL'!$E95)</f>
        <v>0</v>
      </c>
      <c r="BG95" s="28">
        <f>SUMIFS('SBR Mar20 - Aug20'!$M$3:$M$961,'SBR Mar20 - Aug20'!$A$3:$A$961,'Mar20-Aug20 Billed-RETAIL'!$C95,'SBR Mar20 - Aug20'!$B$3:$B$961,'Mar20-Aug20 Billed-RETAIL'!$E95)</f>
        <v>0</v>
      </c>
      <c r="BH95" s="28">
        <f>SUMIFS('SBR Mar20 - Aug20'!$N$3:$N$961,'SBR Mar20 - Aug20'!$A$3:$A$961,'Mar20-Aug20 Billed-RETAIL'!$C95,'SBR Mar20 - Aug20'!$B$3:$B$961,'Mar20-Aug20 Billed-RETAIL'!$E95)</f>
        <v>0</v>
      </c>
      <c r="BI95" s="28">
        <f>SUMIFS('SBR Mar20 - Aug20'!$Y$3:$Y$961,'SBR Mar20 - Aug20'!$A$3:$A$961,'Mar20-Aug20 Billed-RETAIL'!$C95,'SBR Mar20 - Aug20'!$B$3:$B$961,'Mar20-Aug20 Billed-RETAIL'!$E95)</f>
        <v>0</v>
      </c>
      <c r="BJ95" s="28">
        <f>SUMIFS('SBR Mar20 - Aug20'!$W$3:$W$961,'SBR Mar20 - Aug20'!$A$3:$A$961,'Mar20-Aug20 Billed-RETAIL'!$C95,'SBR Mar20 - Aug20'!$B$3:$B$961,'Mar20-Aug20 Billed-RETAIL'!$E95)</f>
        <v>0</v>
      </c>
      <c r="BK95" s="28">
        <f>SUMIFS('SBR Mar20 - Aug20'!$X$3:$X$961,'SBR Mar20 - Aug20'!$A$3:$A$961,'Mar20-Aug20 Billed-RETAIL'!$C95,'SBR Mar20 - Aug20'!$B$3:$B$961,'Mar20-Aug20 Billed-RETAIL'!$E95)</f>
        <v>0</v>
      </c>
      <c r="BL95" s="28">
        <f>SUMIFS('SBR Mar20 - Aug20'!$Z$3:$Z$961,'SBR Mar20 - Aug20'!$A$3:$A$961,'Mar20-Aug20 Billed-RETAIL'!$C95,'SBR Mar20 - Aug20'!$B$3:$B$961,'Mar20-Aug20 Billed-RETAIL'!$E95)</f>
        <v>0</v>
      </c>
      <c r="BM95" s="42">
        <f t="shared" si="147"/>
        <v>0</v>
      </c>
      <c r="BN95" s="42">
        <f t="shared" si="148"/>
        <v>0</v>
      </c>
    </row>
    <row r="96" spans="1:66" x14ac:dyDescent="0.25">
      <c r="A96" s="57"/>
      <c r="C96" s="307">
        <f t="shared" si="152"/>
        <v>44044</v>
      </c>
      <c r="D96" s="408" t="str">
        <f t="shared" si="136"/>
        <v>866</v>
      </c>
      <c r="E96" s="405" t="str">
        <f>'Retail Rates'!$B$16</f>
        <v>LGING866DS</v>
      </c>
      <c r="F96" s="405"/>
      <c r="G96" s="405" t="str">
        <f>VLOOKUP(E96,'Retail Rates'!$B$7:$D$40,3,FALSE)</f>
        <v>As-Available Gas Service, Industrial Opt In</v>
      </c>
      <c r="H96" s="20">
        <f>SUMIFS('Data-Retail'!$F$2:$F$1987,'Data-Retail'!$A$2:$A$1987,'Mar20-Aug20 Billed-RETAIL'!$C96,'Data-Retail'!$B$2:$B$1987,'Mar20-Aug20 Billed-RETAIL'!$E96)</f>
        <v>1</v>
      </c>
      <c r="I96" s="20">
        <v>0</v>
      </c>
      <c r="J96" s="20">
        <v>0</v>
      </c>
      <c r="K96" s="20">
        <f>SUMIFS('Data-Retail'!$H$2:$H$244,'Data-Retail'!$A$2:$A$244,'Mar20-Aug20 Billed-RETAIL'!$C96,'Data-Retail'!$B$2:$B$244,'Mar20-Aug20 Billed-RETAIL'!$E96)</f>
        <v>0</v>
      </c>
      <c r="L96" s="20">
        <v>0</v>
      </c>
      <c r="M96" s="20">
        <f>SUMIFS('Data-Retail'!$G$2:$G$1987,'Data-Retail'!$A$2:$A$1987,'Mar20-Aug20 Billed-RETAIL'!$C96,'Data-Retail'!$B$2:$B$1987,'Mar20-Aug20 Billed-RETAIL'!$E96)/10</f>
        <v>3329.7</v>
      </c>
      <c r="N96" s="20">
        <v>0</v>
      </c>
      <c r="O96" s="20">
        <v>0</v>
      </c>
      <c r="P96" s="20">
        <v>0</v>
      </c>
      <c r="Q96" s="20">
        <v>0</v>
      </c>
      <c r="R96" s="21">
        <f>VLOOKUP($E96,'Retail Rates'!$B$7:$P$40,4,FALSE)</f>
        <v>500</v>
      </c>
      <c r="S96" s="21">
        <f>VLOOKUP($E96,'Retail Rates'!$B$7:$P$40,5,FALSE)</f>
        <v>0</v>
      </c>
      <c r="T96" s="22">
        <f>VLOOKUP($E96,'Retail Rates'!$B$7:$P$40,8,FALSE)</f>
        <v>0.10644000000000001</v>
      </c>
      <c r="U96" s="22">
        <f>VLOOKUP($E96,'Retail Rates'!$B$7:$P$40,9,FALSE)</f>
        <v>0</v>
      </c>
      <c r="V96" s="22">
        <f>VLOOKUP($E96,'Retail Rates'!$B$7:$P$40,14,FALSE)</f>
        <v>0</v>
      </c>
      <c r="W96" s="22">
        <f>VLOOKUP($E96,'Retail Rates'!$B$7:$P$40,10,FALSE)</f>
        <v>1.0644</v>
      </c>
      <c r="X96" s="22">
        <f>VLOOKUP($E96,'Retail Rates'!$B$7:$P$40,11,FALSE)</f>
        <v>0</v>
      </c>
      <c r="Y96" s="22">
        <f>VLOOKUP($E96,'Retail Rates'!$B$7:$P$40,15,FALSE)</f>
        <v>0</v>
      </c>
      <c r="Z96" s="22">
        <v>0</v>
      </c>
      <c r="AA96" s="411">
        <f t="shared" si="153"/>
        <v>500</v>
      </c>
      <c r="AB96" s="411">
        <f t="shared" si="150"/>
        <v>0</v>
      </c>
      <c r="AC96" s="411">
        <f t="shared" si="154"/>
        <v>3544.1326799999997</v>
      </c>
      <c r="AD96" s="411">
        <f t="shared" si="151"/>
        <v>0</v>
      </c>
      <c r="AE96" s="411">
        <f t="shared" si="134"/>
        <v>0</v>
      </c>
      <c r="AF96" s="41">
        <v>0</v>
      </c>
      <c r="AG96" s="41">
        <v>0</v>
      </c>
      <c r="AH96" s="33">
        <v>0</v>
      </c>
      <c r="AI96" s="33">
        <v>0</v>
      </c>
      <c r="AJ96" s="41">
        <v>0</v>
      </c>
      <c r="AK96" s="41">
        <v>0</v>
      </c>
      <c r="AL96" s="33">
        <v>0</v>
      </c>
      <c r="AM96" s="33">
        <v>0</v>
      </c>
      <c r="AN96" s="41">
        <v>0</v>
      </c>
      <c r="AO96" s="33">
        <v>0</v>
      </c>
      <c r="AP96" s="411">
        <f t="shared" si="137"/>
        <v>500</v>
      </c>
      <c r="AQ96" s="411">
        <f t="shared" si="138"/>
        <v>0</v>
      </c>
      <c r="AR96" s="411">
        <f t="shared" si="139"/>
        <v>3544.1326799999997</v>
      </c>
      <c r="AS96" s="411">
        <f t="shared" si="140"/>
        <v>0</v>
      </c>
      <c r="AT96" s="411">
        <f t="shared" si="141"/>
        <v>0</v>
      </c>
      <c r="AU96" s="411">
        <f t="shared" si="116"/>
        <v>0</v>
      </c>
      <c r="AV96" s="28">
        <f t="shared" si="142"/>
        <v>15.98</v>
      </c>
      <c r="AW96" s="28">
        <f t="shared" si="143"/>
        <v>10045.27</v>
      </c>
      <c r="AX96" s="28">
        <f t="shared" si="144"/>
        <v>0</v>
      </c>
      <c r="AY96" s="28">
        <f t="shared" si="145"/>
        <v>111.02</v>
      </c>
      <c r="AZ96" s="28">
        <f t="shared" si="108"/>
        <v>389.57</v>
      </c>
      <c r="BA96" s="28">
        <f t="shared" si="121"/>
        <v>14605.97</v>
      </c>
      <c r="BB96" s="28">
        <f t="shared" si="122"/>
        <v>14605.970000000001</v>
      </c>
      <c r="BC96" s="29">
        <f t="shared" si="146"/>
        <v>1</v>
      </c>
      <c r="BD96" s="28">
        <f>SUMIFS('SBR Mar20 - Aug20'!$F$3:$F$961,'SBR Mar20 - Aug20'!$A$3:$A$961,'Mar20-Aug20 Billed-RETAIL'!$C96,'SBR Mar20 - Aug20'!$B$3:$B$961,'Mar20-Aug20 Billed-RETAIL'!$E96)</f>
        <v>500</v>
      </c>
      <c r="BE96" s="28">
        <f>SUMIFS('SBR Mar20 - Aug20'!$H$3:$H$961,'SBR Mar20 - Aug20'!$A$3:$A$961,'Mar20-Aug20 Billed-RETAIL'!$C96,'SBR Mar20 - Aug20'!$B$3:$B$961,'Mar20-Aug20 Billed-RETAIL'!$E96)</f>
        <v>3544.13</v>
      </c>
      <c r="BF96" s="28">
        <f>SUMIFS('SBR Mar20 - Aug20'!$G$3:$G$961,'SBR Mar20 - Aug20'!$A$3:$A$961,'Mar20-Aug20 Billed-RETAIL'!$C96,'SBR Mar20 - Aug20'!$B$3:$B$961,'Mar20-Aug20 Billed-RETAIL'!$E96)</f>
        <v>0</v>
      </c>
      <c r="BG96" s="28">
        <f>SUMIFS('SBR Mar20 - Aug20'!$M$3:$M$961,'SBR Mar20 - Aug20'!$A$3:$A$961,'Mar20-Aug20 Billed-RETAIL'!$C96,'SBR Mar20 - Aug20'!$B$3:$B$961,'Mar20-Aug20 Billed-RETAIL'!$E96)</f>
        <v>15.98</v>
      </c>
      <c r="BH96" s="28">
        <f>SUMIFS('SBR Mar20 - Aug20'!$N$3:$N$961,'SBR Mar20 - Aug20'!$A$3:$A$961,'Mar20-Aug20 Billed-RETAIL'!$C96,'SBR Mar20 - Aug20'!$B$3:$B$961,'Mar20-Aug20 Billed-RETAIL'!$E96)</f>
        <v>10045.27</v>
      </c>
      <c r="BI96" s="28">
        <f>SUMIFS('SBR Mar20 - Aug20'!$Y$3:$Y$961,'SBR Mar20 - Aug20'!$A$3:$A$961,'Mar20-Aug20 Billed-RETAIL'!$C96,'SBR Mar20 - Aug20'!$B$3:$B$961,'Mar20-Aug20 Billed-RETAIL'!$E96)</f>
        <v>0</v>
      </c>
      <c r="BJ96" s="28">
        <f>SUMIFS('SBR Mar20 - Aug20'!$W$3:$W$961,'SBR Mar20 - Aug20'!$A$3:$A$961,'Mar20-Aug20 Billed-RETAIL'!$C96,'SBR Mar20 - Aug20'!$B$3:$B$961,'Mar20-Aug20 Billed-RETAIL'!$E96)</f>
        <v>111.02</v>
      </c>
      <c r="BK96" s="28">
        <f>SUMIFS('SBR Mar20 - Aug20'!$X$3:$X$961,'SBR Mar20 - Aug20'!$A$3:$A$961,'Mar20-Aug20 Billed-RETAIL'!$C96,'SBR Mar20 - Aug20'!$B$3:$B$961,'Mar20-Aug20 Billed-RETAIL'!$E96)</f>
        <v>389.57</v>
      </c>
      <c r="BL96" s="28">
        <f>SUMIFS('SBR Mar20 - Aug20'!$Z$3:$Z$961,'SBR Mar20 - Aug20'!$A$3:$A$961,'Mar20-Aug20 Billed-RETAIL'!$C96,'SBR Mar20 - Aug20'!$B$3:$B$961,'Mar20-Aug20 Billed-RETAIL'!$E96)</f>
        <v>0</v>
      </c>
      <c r="BM96" s="42">
        <f t="shared" si="147"/>
        <v>0</v>
      </c>
      <c r="BN96" s="42">
        <f t="shared" si="148"/>
        <v>2.6799999996001134E-3</v>
      </c>
    </row>
    <row r="97" spans="1:66" x14ac:dyDescent="0.25">
      <c r="A97" s="57"/>
      <c r="C97" s="307">
        <f t="shared" si="152"/>
        <v>44044</v>
      </c>
      <c r="D97" s="408" t="str">
        <f t="shared" si="136"/>
        <v>870</v>
      </c>
      <c r="E97" s="405" t="str">
        <f>'Retail Rates'!$B$17</f>
        <v>LGCMG870</v>
      </c>
      <c r="F97" s="405"/>
      <c r="G97" s="405" t="str">
        <f>VLOOKUP(E97,'Retail Rates'!$B$7:$D$40,3,FALSE)</f>
        <v>Substitute Gas Sales Service-Commercial</v>
      </c>
      <c r="H97" s="20">
        <f>SUMIFS('Data-Retail'!$F$2:$F$1987,'Data-Retail'!$A$2:$A$1987,'Mar20-Aug20 Billed-RETAIL'!$C97,'Data-Retail'!$B$2:$B$1987,'Mar20-Aug20 Billed-RETAIL'!$E97)</f>
        <v>1</v>
      </c>
      <c r="I97" s="20">
        <v>0</v>
      </c>
      <c r="J97" s="20">
        <v>0</v>
      </c>
      <c r="K97" s="20">
        <f>SUMIFS('Data-Retail'!$H$2:$H$244,'Data-Retail'!$A$2:$A$244,'Mar20-Aug20 Billed-RETAIL'!$C97,'Data-Retail'!$B$2:$B$244,'Mar20-Aug20 Billed-RETAIL'!$E97)</f>
        <v>0</v>
      </c>
      <c r="L97" s="20">
        <v>0</v>
      </c>
      <c r="M97" s="20">
        <f>SUMIFS('Data-Retail'!$G$2:$G$1987,'Data-Retail'!$A$2:$A$1987,'Mar20-Aug20 Billed-RETAIL'!$C97,'Data-Retail'!$B$2:$B$1987,'Mar20-Aug20 Billed-RETAIL'!$E97)/10</f>
        <v>15.2</v>
      </c>
      <c r="N97" s="20">
        <v>0</v>
      </c>
      <c r="O97" s="20">
        <f>(SUMIFS('Data-Retail'!$P$2:$P$1987,'Data-Retail'!$A$2:$A$1987,'Mar20-Aug20 Billed-RETAIL'!$C97,'Data-Retail'!$B$2:$B$1987,'Mar20-Aug20 Billed-RETAIL'!$E97)/Y97)</f>
        <v>2418.1006097560976</v>
      </c>
      <c r="P97" s="20">
        <v>0</v>
      </c>
      <c r="Q97" s="20">
        <v>0</v>
      </c>
      <c r="R97" s="21">
        <f>VLOOKUP($E97,'Retail Rates'!$B$7:$P$40,4,FALSE)</f>
        <v>285</v>
      </c>
      <c r="S97" s="21">
        <f>VLOOKUP($E97,'Retail Rates'!$B$7:$P$40,5,FALSE)</f>
        <v>0</v>
      </c>
      <c r="T97" s="22">
        <f>VLOOKUP($E97,'Retail Rates'!$B$7:$P$40,8,FALSE)</f>
        <v>3.603E-2</v>
      </c>
      <c r="U97" s="22">
        <f>VLOOKUP($E97,'Retail Rates'!$B$7:$P$40,9,FALSE)</f>
        <v>0</v>
      </c>
      <c r="V97" s="22">
        <f>VLOOKUP($E97,'Retail Rates'!$B$7:$P$40,14,FALSE)</f>
        <v>0.65599999999999992</v>
      </c>
      <c r="W97" s="22">
        <f>VLOOKUP($E97,'Retail Rates'!$B$7:$P$40,10,FALSE)</f>
        <v>0.36030000000000001</v>
      </c>
      <c r="X97" s="22">
        <f>VLOOKUP($E97,'Retail Rates'!$B$7:$P$40,11,FALSE)</f>
        <v>0</v>
      </c>
      <c r="Y97" s="22">
        <f>VLOOKUP($E97,'Retail Rates'!$B$7:$P$40,15,FALSE)</f>
        <v>6.56</v>
      </c>
      <c r="Z97" s="22">
        <v>0</v>
      </c>
      <c r="AA97" s="411">
        <f t="shared" si="153"/>
        <v>285</v>
      </c>
      <c r="AB97" s="411">
        <f t="shared" si="150"/>
        <v>0</v>
      </c>
      <c r="AC97" s="411">
        <f t="shared" si="154"/>
        <v>5.4765600000000001</v>
      </c>
      <c r="AD97" s="411">
        <f t="shared" si="151"/>
        <v>0</v>
      </c>
      <c r="AE97" s="411">
        <f>O97*Y97</f>
        <v>15862.74</v>
      </c>
      <c r="AF97" s="41">
        <v>0</v>
      </c>
      <c r="AG97" s="41">
        <v>0</v>
      </c>
      <c r="AH97" s="33">
        <v>0</v>
      </c>
      <c r="AI97" s="33">
        <v>0</v>
      </c>
      <c r="AJ97" s="41">
        <v>0</v>
      </c>
      <c r="AK97" s="41">
        <v>0</v>
      </c>
      <c r="AL97" s="33">
        <v>0</v>
      </c>
      <c r="AM97" s="33">
        <v>0</v>
      </c>
      <c r="AN97" s="41">
        <v>0</v>
      </c>
      <c r="AO97" s="33">
        <v>0</v>
      </c>
      <c r="AP97" s="411">
        <f t="shared" si="137"/>
        <v>285</v>
      </c>
      <c r="AQ97" s="411">
        <f t="shared" si="138"/>
        <v>0</v>
      </c>
      <c r="AR97" s="411">
        <f t="shared" si="139"/>
        <v>5.4765600000000001</v>
      </c>
      <c r="AS97" s="411">
        <f t="shared" si="140"/>
        <v>0</v>
      </c>
      <c r="AT97" s="411">
        <f t="shared" si="141"/>
        <v>15862.74</v>
      </c>
      <c r="AU97" s="411">
        <f t="shared" si="116"/>
        <v>0</v>
      </c>
      <c r="AV97" s="28">
        <f t="shared" si="142"/>
        <v>7.0000000000000007E-2</v>
      </c>
      <c r="AW97" s="28">
        <f t="shared" si="143"/>
        <v>46.38</v>
      </c>
      <c r="AX97" s="28">
        <f t="shared" si="144"/>
        <v>0</v>
      </c>
      <c r="AY97" s="28">
        <f t="shared" si="145"/>
        <v>9.27</v>
      </c>
      <c r="AZ97" s="28">
        <f t="shared" si="108"/>
        <v>2.92</v>
      </c>
      <c r="BA97" s="28">
        <f t="shared" si="121"/>
        <v>16211.86</v>
      </c>
      <c r="BB97" s="28">
        <f t="shared" si="122"/>
        <v>16211.859999999999</v>
      </c>
      <c r="BC97" s="29">
        <f t="shared" si="146"/>
        <v>1</v>
      </c>
      <c r="BD97" s="28">
        <f>SUMIFS('SBR Mar20 - Aug20'!$F$3:$F$961,'SBR Mar20 - Aug20'!$A$3:$A$961,'Mar20-Aug20 Billed-RETAIL'!$C97,'SBR Mar20 - Aug20'!$B$3:$B$961,'Mar20-Aug20 Billed-RETAIL'!$E97)</f>
        <v>285</v>
      </c>
      <c r="BE97" s="28">
        <f>SUMIFS('SBR Mar20 - Aug20'!$H$3:$H$961,'SBR Mar20 - Aug20'!$A$3:$A$961,'Mar20-Aug20 Billed-RETAIL'!$C97,'SBR Mar20 - Aug20'!$B$3:$B$961,'Mar20-Aug20 Billed-RETAIL'!$E97)</f>
        <v>5.48</v>
      </c>
      <c r="BF97" s="28">
        <f>SUMIFS('SBR Mar20 - Aug20'!$G$3:$G$961,'SBR Mar20 - Aug20'!$A$3:$A$961,'Mar20-Aug20 Billed-RETAIL'!$C97,'SBR Mar20 - Aug20'!$B$3:$B$961,'Mar20-Aug20 Billed-RETAIL'!$E97)</f>
        <v>15862.74</v>
      </c>
      <c r="BG97" s="28">
        <f>SUMIFS('SBR Mar20 - Aug20'!$M$3:$M$961,'SBR Mar20 - Aug20'!$A$3:$A$961,'Mar20-Aug20 Billed-RETAIL'!$C97,'SBR Mar20 - Aug20'!$B$3:$B$961,'Mar20-Aug20 Billed-RETAIL'!$E97)</f>
        <v>7.0000000000000007E-2</v>
      </c>
      <c r="BH97" s="28">
        <f>SUMIFS('SBR Mar20 - Aug20'!$N$3:$N$961,'SBR Mar20 - Aug20'!$A$3:$A$961,'Mar20-Aug20 Billed-RETAIL'!$C97,'SBR Mar20 - Aug20'!$B$3:$B$961,'Mar20-Aug20 Billed-RETAIL'!$E97)</f>
        <v>46.38</v>
      </c>
      <c r="BI97" s="28">
        <f>SUMIFS('SBR Mar20 - Aug20'!$Y$3:$Y$961,'SBR Mar20 - Aug20'!$A$3:$A$961,'Mar20-Aug20 Billed-RETAIL'!$C97,'SBR Mar20 - Aug20'!$B$3:$B$961,'Mar20-Aug20 Billed-RETAIL'!$E97)</f>
        <v>0</v>
      </c>
      <c r="BJ97" s="28">
        <f>SUMIFS('SBR Mar20 - Aug20'!$W$3:$W$961,'SBR Mar20 - Aug20'!$A$3:$A$961,'Mar20-Aug20 Billed-RETAIL'!$C97,'SBR Mar20 - Aug20'!$B$3:$B$961,'Mar20-Aug20 Billed-RETAIL'!$E97)</f>
        <v>9.27</v>
      </c>
      <c r="BK97" s="28">
        <f>SUMIFS('SBR Mar20 - Aug20'!$X$3:$X$961,'SBR Mar20 - Aug20'!$A$3:$A$961,'Mar20-Aug20 Billed-RETAIL'!$C97,'SBR Mar20 - Aug20'!$B$3:$B$961,'Mar20-Aug20 Billed-RETAIL'!$E97)</f>
        <v>2.92</v>
      </c>
      <c r="BL97" s="28">
        <f>SUMIFS('SBR Mar20 - Aug20'!$Z$3:$Z$961,'SBR Mar20 - Aug20'!$A$3:$A$961,'Mar20-Aug20 Billed-RETAIL'!$C97,'SBR Mar20 - Aug20'!$B$3:$B$961,'Mar20-Aug20 Billed-RETAIL'!$E97)</f>
        <v>0</v>
      </c>
      <c r="BM97" s="42">
        <f t="shared" si="147"/>
        <v>0</v>
      </c>
      <c r="BN97" s="42">
        <f t="shared" si="148"/>
        <v>-3.4400000000003317E-3</v>
      </c>
    </row>
    <row r="98" spans="1:66" x14ac:dyDescent="0.25">
      <c r="A98" s="57"/>
      <c r="C98" s="307">
        <f t="shared" si="152"/>
        <v>44044</v>
      </c>
      <c r="D98" s="408" t="str">
        <f t="shared" si="136"/>
        <v>871</v>
      </c>
      <c r="E98" s="405" t="str">
        <f>'Retail Rates'!$B$18</f>
        <v>LGING871DO</v>
      </c>
      <c r="F98" s="405"/>
      <c r="G98" s="405" t="str">
        <f>VLOOKUP(E98,'Retail Rates'!$B$7:$D$40,3,FALSE)</f>
        <v>Substitute Gas Sales Service-Industrial Opt Out</v>
      </c>
      <c r="H98" s="20">
        <f>SUMIFS('Data-Retail'!$F$2:$F$1987,'Data-Retail'!$A$2:$A$1987,'Mar20-Aug20 Billed-RETAIL'!$C98,'Data-Retail'!$B$2:$B$1987,'Mar20-Aug20 Billed-RETAIL'!$E98)</f>
        <v>0</v>
      </c>
      <c r="I98" s="20">
        <v>0</v>
      </c>
      <c r="J98" s="20">
        <f>SUMIFS('Data-Retail'!$G$2:$G$244,'Data-Retail'!$A$2:$A$244,'Mar20-Aug20 Billed-RETAIL'!$C98,'Data-Retail'!$B$2:$B$244,'Mar20-Aug20 Billed-RETAIL'!$E98)</f>
        <v>0</v>
      </c>
      <c r="K98" s="20">
        <f>SUMIFS('Data-Retail'!$H$2:$H$244,'Data-Retail'!$A$2:$A$244,'Mar20-Aug20 Billed-RETAIL'!$C98,'Data-Retail'!$B$2:$B$244,'Mar20-Aug20 Billed-RETAIL'!$E98)</f>
        <v>0</v>
      </c>
      <c r="L98" s="20">
        <f>SUMIFS('Data-Retail'!$P$2:$P$1987,'Data-Retail'!$A$2:$A$1987,'Mar20-Aug20 Billed-RETAIL'!$C98,'Data-Retail'!$B$2:$B$1987,'Mar20-Aug20 Billed-RETAIL'!$E98)/V98</f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1">
        <f>VLOOKUP($E98,'Retail Rates'!$B$7:$P$40,4,FALSE)</f>
        <v>750</v>
      </c>
      <c r="S98" s="21">
        <f>VLOOKUP($E98,'Retail Rates'!$B$7:$P$40,5,FALSE)</f>
        <v>0</v>
      </c>
      <c r="T98" s="22">
        <f>VLOOKUP($E98,'Retail Rates'!$B$7:$P$40,8,FALSE)</f>
        <v>2.9919999999999995E-2</v>
      </c>
      <c r="U98" s="22">
        <f>VLOOKUP($E98,'Retail Rates'!$B$7:$P$40,9,FALSE)</f>
        <v>0</v>
      </c>
      <c r="V98" s="22">
        <f>VLOOKUP($E98,'Retail Rates'!$B$7:$P$40,14,FALSE)</f>
        <v>1.0900000000000001</v>
      </c>
      <c r="W98" s="22">
        <f>VLOOKUP($E98,'Retail Rates'!$B$7:$P$40,10,FALSE)</f>
        <v>0.29919999999999997</v>
      </c>
      <c r="X98" s="22">
        <f>VLOOKUP($E98,'Retail Rates'!$B$7:$P$40,11,FALSE)</f>
        <v>0</v>
      </c>
      <c r="Y98" s="22">
        <f>VLOOKUP($E98,'Retail Rates'!$B$7:$P$40,15,FALSE)</f>
        <v>10.9</v>
      </c>
      <c r="Z98" s="22">
        <v>0</v>
      </c>
      <c r="AA98" s="411">
        <f t="shared" si="153"/>
        <v>0</v>
      </c>
      <c r="AB98" s="411">
        <f t="shared" si="150"/>
        <v>0</v>
      </c>
      <c r="AC98" s="411">
        <f t="shared" ref="AC98:AC101" si="155">+J98*T98</f>
        <v>0</v>
      </c>
      <c r="AD98" s="411">
        <f t="shared" si="151"/>
        <v>0</v>
      </c>
      <c r="AE98" s="411">
        <f t="shared" si="134"/>
        <v>0</v>
      </c>
      <c r="AF98" s="41">
        <v>0</v>
      </c>
      <c r="AG98" s="41">
        <v>0</v>
      </c>
      <c r="AH98" s="33">
        <v>0</v>
      </c>
      <c r="AI98" s="33">
        <v>0</v>
      </c>
      <c r="AJ98" s="41">
        <v>0</v>
      </c>
      <c r="AK98" s="41">
        <v>0</v>
      </c>
      <c r="AL98" s="33">
        <v>0</v>
      </c>
      <c r="AM98" s="33">
        <v>0</v>
      </c>
      <c r="AN98" s="41">
        <v>0</v>
      </c>
      <c r="AO98" s="33">
        <v>0</v>
      </c>
      <c r="AP98" s="411">
        <f t="shared" si="137"/>
        <v>0</v>
      </c>
      <c r="AQ98" s="411">
        <f t="shared" si="138"/>
        <v>0</v>
      </c>
      <c r="AR98" s="411">
        <f t="shared" si="139"/>
        <v>0</v>
      </c>
      <c r="AS98" s="411">
        <f t="shared" si="140"/>
        <v>0</v>
      </c>
      <c r="AT98" s="411">
        <f t="shared" si="141"/>
        <v>0</v>
      </c>
      <c r="AU98" s="411">
        <f t="shared" si="116"/>
        <v>0</v>
      </c>
      <c r="AV98" s="28">
        <f t="shared" si="142"/>
        <v>0</v>
      </c>
      <c r="AW98" s="28">
        <f t="shared" si="143"/>
        <v>0</v>
      </c>
      <c r="AX98" s="28">
        <f t="shared" si="144"/>
        <v>0</v>
      </c>
      <c r="AY98" s="28">
        <f t="shared" si="145"/>
        <v>0</v>
      </c>
      <c r="AZ98" s="28">
        <f t="shared" si="108"/>
        <v>0</v>
      </c>
      <c r="BA98" s="28">
        <f t="shared" si="121"/>
        <v>0</v>
      </c>
      <c r="BB98" s="28">
        <f t="shared" si="122"/>
        <v>0</v>
      </c>
      <c r="BC98" s="29">
        <f t="shared" si="146"/>
        <v>0</v>
      </c>
      <c r="BD98" s="28">
        <f>SUMIFS('SBR Mar20 - Aug20'!$F$3:$F$961,'SBR Mar20 - Aug20'!$A$3:$A$961,'Mar20-Aug20 Billed-RETAIL'!$C98,'SBR Mar20 - Aug20'!$B$3:$B$961,'Mar20-Aug20 Billed-RETAIL'!$E98)</f>
        <v>0</v>
      </c>
      <c r="BE98" s="28">
        <f>SUMIFS('SBR Mar20 - Aug20'!$H$3:$H$961,'SBR Mar20 - Aug20'!$A$3:$A$961,'Mar20-Aug20 Billed-RETAIL'!$C98,'SBR Mar20 - Aug20'!$B$3:$B$961,'Mar20-Aug20 Billed-RETAIL'!$E98)</f>
        <v>0</v>
      </c>
      <c r="BF98" s="28">
        <f>SUMIFS('SBR Mar20 - Aug20'!$G$3:$G$961,'SBR Mar20 - Aug20'!$A$3:$A$961,'Mar20-Aug20 Billed-RETAIL'!$C98,'SBR Mar20 - Aug20'!$B$3:$B$961,'Mar20-Aug20 Billed-RETAIL'!$E98)</f>
        <v>0</v>
      </c>
      <c r="BG98" s="28">
        <f>SUMIFS('SBR Mar20 - Aug20'!$M$3:$M$961,'SBR Mar20 - Aug20'!$A$3:$A$961,'Mar20-Aug20 Billed-RETAIL'!$C98,'SBR Mar20 - Aug20'!$B$3:$B$961,'Mar20-Aug20 Billed-RETAIL'!$E98)</f>
        <v>0</v>
      </c>
      <c r="BH98" s="28">
        <f>SUMIFS('SBR Mar20 - Aug20'!$N$3:$N$961,'SBR Mar20 - Aug20'!$A$3:$A$961,'Mar20-Aug20 Billed-RETAIL'!$C98,'SBR Mar20 - Aug20'!$B$3:$B$961,'Mar20-Aug20 Billed-RETAIL'!$E98)</f>
        <v>0</v>
      </c>
      <c r="BI98" s="28">
        <f>SUMIFS('SBR Mar20 - Aug20'!$Y$3:$Y$961,'SBR Mar20 - Aug20'!$A$3:$A$961,'Mar20-Aug20 Billed-RETAIL'!$C98,'SBR Mar20 - Aug20'!$B$3:$B$961,'Mar20-Aug20 Billed-RETAIL'!$E98)</f>
        <v>0</v>
      </c>
      <c r="BJ98" s="28">
        <f>SUMIFS('SBR Mar20 - Aug20'!$W$3:$W$961,'SBR Mar20 - Aug20'!$A$3:$A$961,'Mar20-Aug20 Billed-RETAIL'!$C98,'SBR Mar20 - Aug20'!$B$3:$B$961,'Mar20-Aug20 Billed-RETAIL'!$E98)</f>
        <v>0</v>
      </c>
      <c r="BK98" s="28">
        <f>SUMIFS('SBR Mar20 - Aug20'!$X$3:$X$961,'SBR Mar20 - Aug20'!$A$3:$A$961,'Mar20-Aug20 Billed-RETAIL'!$C98,'SBR Mar20 - Aug20'!$B$3:$B$961,'Mar20-Aug20 Billed-RETAIL'!$E98)</f>
        <v>0</v>
      </c>
      <c r="BL98" s="28">
        <f>SUMIFS('SBR Mar20 - Aug20'!$Z$3:$Z$961,'SBR Mar20 - Aug20'!$A$3:$A$961,'Mar20-Aug20 Billed-RETAIL'!$C98,'SBR Mar20 - Aug20'!$B$3:$B$961,'Mar20-Aug20 Billed-RETAIL'!$E98)</f>
        <v>0</v>
      </c>
      <c r="BM98" s="42">
        <f t="shared" si="147"/>
        <v>0</v>
      </c>
      <c r="BN98" s="42">
        <f t="shared" si="148"/>
        <v>0</v>
      </c>
    </row>
    <row r="99" spans="1:66" x14ac:dyDescent="0.25">
      <c r="A99" s="57"/>
      <c r="C99" s="307">
        <f t="shared" si="152"/>
        <v>44044</v>
      </c>
      <c r="D99" s="408" t="str">
        <f t="shared" si="136"/>
        <v>871</v>
      </c>
      <c r="E99" s="405" t="str">
        <f>'Retail Rates'!$B$19</f>
        <v>LGING871DS</v>
      </c>
      <c r="F99" s="405"/>
      <c r="G99" s="405" t="str">
        <f>VLOOKUP(E99,'Retail Rates'!$B$7:$D$40,3,FALSE)</f>
        <v>Substitute Gas Sales Service-Industrial Opt In</v>
      </c>
      <c r="H99" s="20">
        <f>SUMIFS('Data-Retail'!$F$2:$F$1987,'Data-Retail'!$A$2:$A$1987,'Mar20-Aug20 Billed-RETAIL'!$C99,'Data-Retail'!$B$2:$B$1987,'Mar20-Aug20 Billed-RETAIL'!$E99)</f>
        <v>0</v>
      </c>
      <c r="I99" s="20">
        <v>0</v>
      </c>
      <c r="J99" s="20">
        <f>SUMIFS('Data-Retail'!$G$2:$G$244,'Data-Retail'!$A$2:$A$244,'Mar20-Aug20 Billed-RETAIL'!$C99,'Data-Retail'!$B$2:$B$244,'Mar20-Aug20 Billed-RETAIL'!$E99)</f>
        <v>0</v>
      </c>
      <c r="K99" s="20">
        <f>SUMIFS('Data-Retail'!$H$2:$H$244,'Data-Retail'!$A$2:$A$244,'Mar20-Aug20 Billed-RETAIL'!$C99,'Data-Retail'!$B$2:$B$244,'Mar20-Aug20 Billed-RETAIL'!$E99)</f>
        <v>0</v>
      </c>
      <c r="L99" s="20">
        <f>SUMIFS('Data-Retail'!$P$2:$P$1987,'Data-Retail'!$A$2:$A$1987,'Mar20-Aug20 Billed-RETAIL'!$C99,'Data-Retail'!$B$2:$B$1987,'Mar20-Aug20 Billed-RETAIL'!$E99)/V99</f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1">
        <f>VLOOKUP($E99,'Retail Rates'!$B$7:$P$40,4,FALSE)</f>
        <v>750</v>
      </c>
      <c r="S99" s="21">
        <f>VLOOKUP($E99,'Retail Rates'!$B$7:$P$40,5,FALSE)</f>
        <v>0</v>
      </c>
      <c r="T99" s="22">
        <f>VLOOKUP($E99,'Retail Rates'!$B$7:$P$40,8,FALSE)</f>
        <v>2.9919999999999995E-2</v>
      </c>
      <c r="U99" s="22">
        <f>VLOOKUP($E99,'Retail Rates'!$B$7:$P$40,9,FALSE)</f>
        <v>0</v>
      </c>
      <c r="V99" s="22">
        <f>VLOOKUP($E99,'Retail Rates'!$B$7:$P$40,14,FALSE)</f>
        <v>1.0900000000000001</v>
      </c>
      <c r="W99" s="22">
        <f>VLOOKUP($E99,'Retail Rates'!$B$7:$P$40,10,FALSE)</f>
        <v>0.29919999999999997</v>
      </c>
      <c r="X99" s="22">
        <f>VLOOKUP($E99,'Retail Rates'!$B$7:$P$40,11,FALSE)</f>
        <v>0</v>
      </c>
      <c r="Y99" s="22">
        <f>VLOOKUP($E99,'Retail Rates'!$B$7:$P$40,15,FALSE)</f>
        <v>10.9</v>
      </c>
      <c r="Z99" s="22">
        <v>0</v>
      </c>
      <c r="AA99" s="411">
        <f t="shared" si="153"/>
        <v>0</v>
      </c>
      <c r="AB99" s="411">
        <f t="shared" si="150"/>
        <v>0</v>
      </c>
      <c r="AC99" s="411">
        <f t="shared" si="155"/>
        <v>0</v>
      </c>
      <c r="AD99" s="411">
        <f t="shared" si="151"/>
        <v>0</v>
      </c>
      <c r="AE99" s="411">
        <f t="shared" si="134"/>
        <v>0</v>
      </c>
      <c r="AF99" s="41">
        <v>0</v>
      </c>
      <c r="AG99" s="41">
        <v>0</v>
      </c>
      <c r="AH99" s="33">
        <v>0</v>
      </c>
      <c r="AI99" s="33">
        <v>0</v>
      </c>
      <c r="AJ99" s="41">
        <v>0</v>
      </c>
      <c r="AK99" s="41">
        <v>0</v>
      </c>
      <c r="AL99" s="33">
        <v>0</v>
      </c>
      <c r="AM99" s="33">
        <v>0</v>
      </c>
      <c r="AN99" s="41">
        <v>0</v>
      </c>
      <c r="AO99" s="33">
        <v>0</v>
      </c>
      <c r="AP99" s="411">
        <f t="shared" si="137"/>
        <v>0</v>
      </c>
      <c r="AQ99" s="411">
        <f t="shared" si="138"/>
        <v>0</v>
      </c>
      <c r="AR99" s="411">
        <f t="shared" si="139"/>
        <v>0</v>
      </c>
      <c r="AS99" s="411">
        <f t="shared" si="140"/>
        <v>0</v>
      </c>
      <c r="AT99" s="411">
        <f t="shared" si="141"/>
        <v>0</v>
      </c>
      <c r="AU99" s="411">
        <f t="shared" si="116"/>
        <v>0</v>
      </c>
      <c r="AV99" s="28">
        <f t="shared" si="142"/>
        <v>0</v>
      </c>
      <c r="AW99" s="28">
        <f t="shared" si="143"/>
        <v>0</v>
      </c>
      <c r="AX99" s="28">
        <f t="shared" si="144"/>
        <v>0</v>
      </c>
      <c r="AY99" s="28">
        <f t="shared" si="145"/>
        <v>0</v>
      </c>
      <c r="AZ99" s="28">
        <f t="shared" si="108"/>
        <v>0</v>
      </c>
      <c r="BA99" s="28">
        <f t="shared" si="121"/>
        <v>0</v>
      </c>
      <c r="BB99" s="28">
        <f t="shared" si="122"/>
        <v>0</v>
      </c>
      <c r="BC99" s="29">
        <f t="shared" si="146"/>
        <v>0</v>
      </c>
      <c r="BD99" s="28">
        <f>SUMIFS('SBR Mar20 - Aug20'!$F$3:$F$961,'SBR Mar20 - Aug20'!$A$3:$A$961,'Mar20-Aug20 Billed-RETAIL'!$C99,'SBR Mar20 - Aug20'!$B$3:$B$961,'Mar20-Aug20 Billed-RETAIL'!$E99)</f>
        <v>0</v>
      </c>
      <c r="BE99" s="28">
        <f>SUMIFS('SBR Mar20 - Aug20'!$H$3:$H$961,'SBR Mar20 - Aug20'!$A$3:$A$961,'Mar20-Aug20 Billed-RETAIL'!$C99,'SBR Mar20 - Aug20'!$B$3:$B$961,'Mar20-Aug20 Billed-RETAIL'!$E99)</f>
        <v>0</v>
      </c>
      <c r="BF99" s="28">
        <f>SUMIFS('SBR Mar20 - Aug20'!$G$3:$G$961,'SBR Mar20 - Aug20'!$A$3:$A$961,'Mar20-Aug20 Billed-RETAIL'!$C99,'SBR Mar20 - Aug20'!$B$3:$B$961,'Mar20-Aug20 Billed-RETAIL'!$E99)</f>
        <v>0</v>
      </c>
      <c r="BG99" s="28">
        <f>SUMIFS('SBR Mar20 - Aug20'!$M$3:$M$961,'SBR Mar20 - Aug20'!$A$3:$A$961,'Mar20-Aug20 Billed-RETAIL'!$C99,'SBR Mar20 - Aug20'!$B$3:$B$961,'Mar20-Aug20 Billed-RETAIL'!$E99)</f>
        <v>0</v>
      </c>
      <c r="BH99" s="28">
        <f>SUMIFS('SBR Mar20 - Aug20'!$N$3:$N$961,'SBR Mar20 - Aug20'!$A$3:$A$961,'Mar20-Aug20 Billed-RETAIL'!$C99,'SBR Mar20 - Aug20'!$B$3:$B$961,'Mar20-Aug20 Billed-RETAIL'!$E99)</f>
        <v>0</v>
      </c>
      <c r="BI99" s="28">
        <f>SUMIFS('SBR Mar20 - Aug20'!$Y$3:$Y$961,'SBR Mar20 - Aug20'!$A$3:$A$961,'Mar20-Aug20 Billed-RETAIL'!$C99,'SBR Mar20 - Aug20'!$B$3:$B$961,'Mar20-Aug20 Billed-RETAIL'!$E99)</f>
        <v>0</v>
      </c>
      <c r="BJ99" s="28">
        <f>SUMIFS('SBR Mar20 - Aug20'!$W$3:$W$961,'SBR Mar20 - Aug20'!$A$3:$A$961,'Mar20-Aug20 Billed-RETAIL'!$C99,'SBR Mar20 - Aug20'!$B$3:$B$961,'Mar20-Aug20 Billed-RETAIL'!$E99)</f>
        <v>0</v>
      </c>
      <c r="BK99" s="28">
        <f>SUMIFS('SBR Mar20 - Aug20'!$X$3:$X$961,'SBR Mar20 - Aug20'!$A$3:$A$961,'Mar20-Aug20 Billed-RETAIL'!$C99,'SBR Mar20 - Aug20'!$B$3:$B$961,'Mar20-Aug20 Billed-RETAIL'!$E99)</f>
        <v>0</v>
      </c>
      <c r="BL99" s="28">
        <f>SUMIFS('SBR Mar20 - Aug20'!$Z$3:$Z$961,'SBR Mar20 - Aug20'!$A$3:$A$961,'Mar20-Aug20 Billed-RETAIL'!$C99,'SBR Mar20 - Aug20'!$B$3:$B$961,'Mar20-Aug20 Billed-RETAIL'!$E99)</f>
        <v>0</v>
      </c>
      <c r="BM99" s="42">
        <f t="shared" si="147"/>
        <v>0</v>
      </c>
      <c r="BN99" s="42">
        <f t="shared" si="148"/>
        <v>0</v>
      </c>
    </row>
    <row r="100" spans="1:66" x14ac:dyDescent="0.25">
      <c r="A100" s="57"/>
      <c r="C100" s="307">
        <f t="shared" si="152"/>
        <v>44044</v>
      </c>
      <c r="D100" s="408" t="str">
        <f t="shared" si="136"/>
        <v>875</v>
      </c>
      <c r="E100" s="405" t="str">
        <f>'Retail Rates'!$B$21</f>
        <v>LGCMG875</v>
      </c>
      <c r="F100" s="405"/>
      <c r="G100" s="405" t="str">
        <f>VLOOKUP(E100,'Retail Rates'!$B$7:$D$40,3,FALSE)</f>
        <v>Distributed Generation Gas Service, Commercial</v>
      </c>
      <c r="H100" s="20">
        <f>SUMIFS('Data-Retail'!$F$2:$F$1987,'Data-Retail'!$A$2:$A$1987,'Mar20-Aug20 Billed-RETAIL'!$C100,'Data-Retail'!$B$2:$B$1987,'Mar20-Aug20 Billed-RETAIL'!$E100)</f>
        <v>3</v>
      </c>
      <c r="I100" s="20">
        <v>0</v>
      </c>
      <c r="J100" s="20">
        <f>SUMIFS('Data-Retail'!$G$2:$G$1987,'Data-Retail'!$A$2:$A$1987,'Mar20-Aug20 Billed-RETAIL'!$C100,'Data-Retail'!$B$2:$B$1987,'Mar20-Aug20 Billed-RETAIL'!$E100)</f>
        <v>70</v>
      </c>
      <c r="K100" s="20">
        <f>SUMIFS('Data-Retail'!$H$2:$H$244,'Data-Retail'!$A$2:$A$244,'Mar20-Aug20 Billed-RETAIL'!$C100,'Data-Retail'!$B$2:$B$244,'Mar20-Aug20 Billed-RETAIL'!$E100)</f>
        <v>0</v>
      </c>
      <c r="L100" s="20">
        <f>SUMIFS('Data-Retail'!$P$2:$P$1987,'Data-Retail'!$A$2:$A$1987,'Mar20-Aug20 Billed-RETAIL'!$C100,'Data-Retail'!$B$2:$B$1987,'Mar20-Aug20 Billed-RETAIL'!$E100)/V100</f>
        <v>1607.0399530180405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1">
        <f>VLOOKUP($E100,'Retail Rates'!$B$7:$P$40,4,FALSE)</f>
        <v>165</v>
      </c>
      <c r="S100" s="21">
        <f>VLOOKUP($E100,'Retail Rates'!$B$7:$P$40,5,FALSE)</f>
        <v>750</v>
      </c>
      <c r="T100" s="22">
        <f>VLOOKUP($E100,'Retail Rates'!$B$7:$P$40,8,FALSE)</f>
        <v>2.9919999999999999E-2</v>
      </c>
      <c r="U100" s="22">
        <f>VLOOKUP($E100,'Retail Rates'!$B$7:$P$40,9,FALSE)</f>
        <v>0</v>
      </c>
      <c r="V100" s="22">
        <f>VLOOKUP($E100,'Retail Rates'!$B$7:$P$40,14,FALSE)</f>
        <v>1.08978</v>
      </c>
      <c r="W100" s="22">
        <f>VLOOKUP($E100,'Retail Rates'!$B$7:$P$40,10,FALSE)</f>
        <v>0.29919999999999997</v>
      </c>
      <c r="X100" s="22">
        <f>VLOOKUP($E100,'Retail Rates'!$B$7:$P$40,11,FALSE)</f>
        <v>0</v>
      </c>
      <c r="Y100" s="22">
        <f>VLOOKUP($E100,'Retail Rates'!$B$7:$P$40,15,FALSE)</f>
        <v>10.8978</v>
      </c>
      <c r="Z100" s="22">
        <v>0</v>
      </c>
      <c r="AA100" s="411">
        <f t="shared" si="153"/>
        <v>495</v>
      </c>
      <c r="AB100" s="411">
        <f t="shared" si="150"/>
        <v>0</v>
      </c>
      <c r="AC100" s="411">
        <f t="shared" si="155"/>
        <v>2.0943999999999998</v>
      </c>
      <c r="AD100" s="411">
        <f t="shared" si="151"/>
        <v>0</v>
      </c>
      <c r="AE100" s="411">
        <f t="shared" si="134"/>
        <v>1751.3200000000002</v>
      </c>
      <c r="AF100" s="41">
        <v>0</v>
      </c>
      <c r="AG100" s="41">
        <v>0</v>
      </c>
      <c r="AH100" s="33">
        <v>0</v>
      </c>
      <c r="AI100" s="33">
        <v>0</v>
      </c>
      <c r="AJ100" s="41">
        <v>0</v>
      </c>
      <c r="AK100" s="41">
        <v>0</v>
      </c>
      <c r="AL100" s="33">
        <v>0</v>
      </c>
      <c r="AM100" s="33">
        <v>0</v>
      </c>
      <c r="AN100" s="41">
        <v>0</v>
      </c>
      <c r="AO100" s="33">
        <v>0</v>
      </c>
      <c r="AP100" s="411">
        <f>AA100+AH100</f>
        <v>495</v>
      </c>
      <c r="AQ100" s="411">
        <f t="shared" si="138"/>
        <v>0</v>
      </c>
      <c r="AR100" s="23">
        <f>AC100+AL100</f>
        <v>2.0943999999999998</v>
      </c>
      <c r="AS100" s="411">
        <f t="shared" si="140"/>
        <v>0</v>
      </c>
      <c r="AT100" s="411">
        <f t="shared" si="141"/>
        <v>1751.3200000000002</v>
      </c>
      <c r="AU100" s="23">
        <f t="shared" si="116"/>
        <v>0</v>
      </c>
      <c r="AV100" s="28">
        <f t="shared" si="142"/>
        <v>0</v>
      </c>
      <c r="AW100" s="28">
        <f t="shared" si="143"/>
        <v>19.940000000000001</v>
      </c>
      <c r="AX100" s="28">
        <f t="shared" si="144"/>
        <v>0</v>
      </c>
      <c r="AY100" s="28">
        <f t="shared" si="145"/>
        <v>333.06</v>
      </c>
      <c r="AZ100" s="28">
        <f t="shared" si="108"/>
        <v>0.82</v>
      </c>
      <c r="BA100" s="28">
        <f>ROUND(SUM(AP100:AZ100),2)</f>
        <v>2602.23</v>
      </c>
      <c r="BB100" s="28">
        <f t="shared" si="122"/>
        <v>2602.2400000000002</v>
      </c>
      <c r="BC100" s="29">
        <f t="shared" si="146"/>
        <v>1.0000039999999999</v>
      </c>
      <c r="BD100" s="28">
        <f>SUMIFS('SBR Mar20 - Aug20'!$F$3:$F$961,'SBR Mar20 - Aug20'!$A$3:$A$961,'Mar20-Aug20 Billed-RETAIL'!$C100,'SBR Mar20 - Aug20'!$B$3:$B$961,'Mar20-Aug20 Billed-RETAIL'!$E100)</f>
        <v>495</v>
      </c>
      <c r="BE100" s="28">
        <f>SUMIFS('SBR Mar20 - Aug20'!$H$3:$H$961,'SBR Mar20 - Aug20'!$A$3:$A$961,'Mar20-Aug20 Billed-RETAIL'!$C100,'SBR Mar20 - Aug20'!$B$3:$B$961,'Mar20-Aug20 Billed-RETAIL'!$E100)</f>
        <v>2.1</v>
      </c>
      <c r="BF100" s="28">
        <f>SUMIFS('SBR Mar20 - Aug20'!$G$3:$G$961,'SBR Mar20 - Aug20'!$A$3:$A$961,'Mar20-Aug20 Billed-RETAIL'!$C100,'SBR Mar20 - Aug20'!$B$3:$B$961,'Mar20-Aug20 Billed-RETAIL'!$E100)</f>
        <v>1751.32</v>
      </c>
      <c r="BG100" s="28">
        <f>SUMIFS('SBR Mar20 - Aug20'!$M$3:$M$961,'SBR Mar20 - Aug20'!$A$3:$A$961,'Mar20-Aug20 Billed-RETAIL'!$C100,'SBR Mar20 - Aug20'!$B$3:$B$961,'Mar20-Aug20 Billed-RETAIL'!$E100)</f>
        <v>0</v>
      </c>
      <c r="BH100" s="28">
        <f>SUMIFS('SBR Mar20 - Aug20'!$N$3:$N$961,'SBR Mar20 - Aug20'!$A$3:$A$961,'Mar20-Aug20 Billed-RETAIL'!$C100,'SBR Mar20 - Aug20'!$B$3:$B$961,'Mar20-Aug20 Billed-RETAIL'!$E100)</f>
        <v>19.940000000000001</v>
      </c>
      <c r="BI100" s="28">
        <f>SUMIFS('SBR Mar20 - Aug20'!$Y$3:$Y$961,'SBR Mar20 - Aug20'!$A$3:$A$961,'Mar20-Aug20 Billed-RETAIL'!$C100,'SBR Mar20 - Aug20'!$B$3:$B$961,'Mar20-Aug20 Billed-RETAIL'!$E100)</f>
        <v>0</v>
      </c>
      <c r="BJ100" s="28">
        <f>SUMIFS('SBR Mar20 - Aug20'!$W$3:$W$961,'SBR Mar20 - Aug20'!$A$3:$A$961,'Mar20-Aug20 Billed-RETAIL'!$C100,'SBR Mar20 - Aug20'!$B$3:$B$961,'Mar20-Aug20 Billed-RETAIL'!$E100)</f>
        <v>333.06</v>
      </c>
      <c r="BK100" s="28">
        <f>SUMIFS('SBR Mar20 - Aug20'!$X$3:$X$961,'SBR Mar20 - Aug20'!$A$3:$A$961,'Mar20-Aug20 Billed-RETAIL'!$C100,'SBR Mar20 - Aug20'!$B$3:$B$961,'Mar20-Aug20 Billed-RETAIL'!$E100)</f>
        <v>0.82</v>
      </c>
      <c r="BL100" s="28">
        <f>SUMIFS('SBR Mar20 - Aug20'!$Z$3:$Z$961,'SBR Mar20 - Aug20'!$A$3:$A$961,'Mar20-Aug20 Billed-RETAIL'!$C100,'SBR Mar20 - Aug20'!$B$3:$B$961,'Mar20-Aug20 Billed-RETAIL'!$E100)</f>
        <v>0</v>
      </c>
      <c r="BM100" s="42">
        <f t="shared" si="147"/>
        <v>0</v>
      </c>
      <c r="BN100" s="42">
        <f t="shared" si="148"/>
        <v>-5.6000000000002714E-3</v>
      </c>
    </row>
    <row r="101" spans="1:66" x14ac:dyDescent="0.25">
      <c r="A101" s="57"/>
      <c r="C101" s="307">
        <f>C100</f>
        <v>44044</v>
      </c>
      <c r="D101" s="408">
        <v>996</v>
      </c>
      <c r="E101" s="405" t="s">
        <v>32</v>
      </c>
      <c r="F101" s="405"/>
      <c r="G101" s="405" t="s">
        <v>624</v>
      </c>
      <c r="H101" s="20">
        <f>SUMIFS('Data-Retail'!$F$2:$F$1987,'Data-Retail'!$A$2:$A$1987,'Mar20-Aug20 Billed-RETAIL'!$C101,'Data-Retail'!$B$2:$B$1987,'Mar20-Aug20 Billed-RETAIL'!$E101)</f>
        <v>1</v>
      </c>
      <c r="I101" s="20">
        <v>0</v>
      </c>
      <c r="J101" s="20">
        <f>SUMIFS('Data-Retail'!$G$2:$G$1987,'Data-Retail'!$A$2:$A$1987,'Mar20-Aug20 Billed-RETAIL'!$C101,'Data-Retail'!$B$2:$B$1987,'Mar20-Aug20 Billed-RETAIL'!$E101)</f>
        <v>125866</v>
      </c>
      <c r="K101" s="20"/>
      <c r="L101" s="20">
        <f>SUMIFS('Data-Retail'!$P$2:$P$1987,'Data-Retail'!$A$2:$A$1987,'Mar20-Aug20 Billed-RETAIL'!$C101,'Data-Retail'!$B$2:$B$1987,'Mar20-Aug20 Billed-RETAIL'!$E101)/V101</f>
        <v>165600.0018352328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1">
        <f>VLOOKUP($E101,'Retail Rates'!$B$7:$P$40,4,FALSE)</f>
        <v>750</v>
      </c>
      <c r="S101" s="21">
        <f>VLOOKUP($E101,'Retail Rates'!$B$7:$P$40,5,FALSE)</f>
        <v>0</v>
      </c>
      <c r="T101" s="22">
        <f>VLOOKUP($E101,'Retail Rates'!$B$7:$P$40,8,FALSE)</f>
        <v>2.9920000000000002E-2</v>
      </c>
      <c r="U101" s="22">
        <f>VLOOKUP($E101,'Retail Rates'!$B$7:$P$40,9,FALSE)</f>
        <v>0</v>
      </c>
      <c r="V101" s="22">
        <f>VLOOKUP($E101,'Retail Rates'!$B$7:$P$40,14,FALSE)</f>
        <v>1.08978</v>
      </c>
      <c r="W101" s="22">
        <f>VLOOKUP($E101,'Retail Rates'!$B$7:$P$40,10,FALSE)</f>
        <v>0.29920000000000002</v>
      </c>
      <c r="X101" s="22">
        <f>VLOOKUP($E101,'Retail Rates'!$B$7:$P$40,11,FALSE)</f>
        <v>0</v>
      </c>
      <c r="Y101" s="22">
        <f>VLOOKUP($E101,'Retail Rates'!$B$7:$P$40,15,FALSE)</f>
        <v>10.8978</v>
      </c>
      <c r="Z101" s="22">
        <v>0</v>
      </c>
      <c r="AA101" s="411">
        <f t="shared" si="153"/>
        <v>750</v>
      </c>
      <c r="AB101" s="411">
        <f t="shared" si="150"/>
        <v>0</v>
      </c>
      <c r="AC101" s="411">
        <f t="shared" si="155"/>
        <v>3765.9107200000003</v>
      </c>
      <c r="AD101" s="411">
        <f t="shared" si="151"/>
        <v>0</v>
      </c>
      <c r="AE101" s="411">
        <f t="shared" si="134"/>
        <v>180467.57</v>
      </c>
      <c r="AF101" s="41">
        <v>0</v>
      </c>
      <c r="AG101" s="41">
        <v>0</v>
      </c>
      <c r="AH101" s="33">
        <v>0</v>
      </c>
      <c r="AI101" s="33">
        <v>0</v>
      </c>
      <c r="AJ101" s="41">
        <v>0</v>
      </c>
      <c r="AK101" s="41">
        <v>0</v>
      </c>
      <c r="AL101" s="33">
        <v>0</v>
      </c>
      <c r="AM101" s="33">
        <v>0</v>
      </c>
      <c r="AN101" s="41">
        <v>0</v>
      </c>
      <c r="AO101" s="33">
        <v>0</v>
      </c>
      <c r="AP101" s="411">
        <f t="shared" si="137"/>
        <v>750</v>
      </c>
      <c r="AQ101" s="411">
        <f t="shared" si="138"/>
        <v>0</v>
      </c>
      <c r="AR101" s="411">
        <f t="shared" si="139"/>
        <v>3765.9107200000003</v>
      </c>
      <c r="AS101" s="411">
        <f t="shared" si="140"/>
        <v>0</v>
      </c>
      <c r="AT101" s="411">
        <f t="shared" si="141"/>
        <v>180467.57</v>
      </c>
      <c r="AU101" s="411">
        <f t="shared" si="116"/>
        <v>0</v>
      </c>
      <c r="AV101" s="28">
        <f t="shared" si="142"/>
        <v>0</v>
      </c>
      <c r="AW101" s="28">
        <f t="shared" si="143"/>
        <v>38409.269999999997</v>
      </c>
      <c r="AX101" s="28">
        <f t="shared" si="144"/>
        <v>0</v>
      </c>
      <c r="AY101" s="28">
        <f t="shared" si="145"/>
        <v>111.02</v>
      </c>
      <c r="AZ101" s="28">
        <f t="shared" si="108"/>
        <v>1472.63</v>
      </c>
      <c r="BA101" s="28">
        <f t="shared" si="121"/>
        <v>224976.4</v>
      </c>
      <c r="BB101" s="28">
        <f t="shared" si="122"/>
        <v>224976.4</v>
      </c>
      <c r="BC101" s="29">
        <f t="shared" si="146"/>
        <v>1</v>
      </c>
      <c r="BD101" s="28">
        <f>SUMIFS('SBR Mar20 - Aug20'!$F$3:$F$961,'SBR Mar20 - Aug20'!$A$3:$A$961,'Mar20-Aug20 Billed-RETAIL'!$C101,'SBR Mar20 - Aug20'!$B$3:$B$961,'Mar20-Aug20 Billed-RETAIL'!$E101)</f>
        <v>750</v>
      </c>
      <c r="BE101" s="28">
        <f>SUMIFS('SBR Mar20 - Aug20'!$H$3:$H$961,'SBR Mar20 - Aug20'!$A$3:$A$961,'Mar20-Aug20 Billed-RETAIL'!$C101,'SBR Mar20 - Aug20'!$B$3:$B$961,'Mar20-Aug20 Billed-RETAIL'!$E101)</f>
        <v>3765.91</v>
      </c>
      <c r="BF101" s="28">
        <f>SUMIFS('SBR Mar20 - Aug20'!$G$3:$G$961,'SBR Mar20 - Aug20'!$A$3:$A$961,'Mar20-Aug20 Billed-RETAIL'!$C101,'SBR Mar20 - Aug20'!$B$3:$B$961,'Mar20-Aug20 Billed-RETAIL'!$E101)</f>
        <v>180467.57</v>
      </c>
      <c r="BG101" s="28">
        <f>SUMIFS('SBR Mar20 - Aug20'!$M$3:$M$961,'SBR Mar20 - Aug20'!$A$3:$A$961,'Mar20-Aug20 Billed-RETAIL'!$C101,'SBR Mar20 - Aug20'!$B$3:$B$961,'Mar20-Aug20 Billed-RETAIL'!$E101)</f>
        <v>0</v>
      </c>
      <c r="BH101" s="28">
        <f>SUMIFS('SBR Mar20 - Aug20'!$N$3:$N$961,'SBR Mar20 - Aug20'!$A$3:$A$961,'Mar20-Aug20 Billed-RETAIL'!$C101,'SBR Mar20 - Aug20'!$B$3:$B$961,'Mar20-Aug20 Billed-RETAIL'!$E101)</f>
        <v>38409.269999999997</v>
      </c>
      <c r="BI101" s="28">
        <f>SUMIFS('SBR Mar20 - Aug20'!$Y$3:$Y$961,'SBR Mar20 - Aug20'!$A$3:$A$961,'Mar20-Aug20 Billed-RETAIL'!$C101,'SBR Mar20 - Aug20'!$B$3:$B$961,'Mar20-Aug20 Billed-RETAIL'!$E101)</f>
        <v>0</v>
      </c>
      <c r="BJ101" s="28">
        <f>SUMIFS('SBR Mar20 - Aug20'!$W$3:$W$961,'SBR Mar20 - Aug20'!$A$3:$A$961,'Mar20-Aug20 Billed-RETAIL'!$C101,'SBR Mar20 - Aug20'!$B$3:$B$961,'Mar20-Aug20 Billed-RETAIL'!$E101)</f>
        <v>111.02</v>
      </c>
      <c r="BK101" s="28">
        <f>SUMIFS('SBR Mar20 - Aug20'!$X$3:$X$961,'SBR Mar20 - Aug20'!$A$3:$A$961,'Mar20-Aug20 Billed-RETAIL'!$C101,'SBR Mar20 - Aug20'!$B$3:$B$961,'Mar20-Aug20 Billed-RETAIL'!$E101)</f>
        <v>1472.63</v>
      </c>
      <c r="BL101" s="28">
        <f>SUMIFS('SBR Mar20 - Aug20'!$Z$3:$Z$961,'SBR Mar20 - Aug20'!$A$3:$A$961,'Mar20-Aug20 Billed-RETAIL'!$C101,'SBR Mar20 - Aug20'!$B$3:$B$961,'Mar20-Aug20 Billed-RETAIL'!$E101)</f>
        <v>0</v>
      </c>
      <c r="BM101" s="42">
        <f t="shared" si="147"/>
        <v>0</v>
      </c>
      <c r="BN101" s="42">
        <f t="shared" si="148"/>
        <v>7.200000004559115E-4</v>
      </c>
    </row>
    <row r="102" spans="1:66" s="279" customFormat="1" x14ac:dyDescent="0.25">
      <c r="A102" s="57"/>
      <c r="B102"/>
      <c r="C102" s="308"/>
      <c r="D102" s="308"/>
      <c r="E102" s="280"/>
      <c r="F102" s="280"/>
      <c r="G102" s="280"/>
      <c r="H102" s="281"/>
      <c r="I102" s="281"/>
      <c r="J102" s="281"/>
      <c r="K102" s="510" t="s">
        <v>950</v>
      </c>
      <c r="L102" s="281"/>
      <c r="M102" s="281"/>
      <c r="N102" s="281"/>
      <c r="O102" s="281"/>
      <c r="P102" s="281"/>
      <c r="Q102" s="281"/>
      <c r="R102" s="282"/>
      <c r="S102" s="282"/>
      <c r="T102" s="283"/>
      <c r="U102" s="283"/>
      <c r="V102" s="282"/>
      <c r="W102" s="282"/>
      <c r="X102" s="282"/>
      <c r="Y102" s="282"/>
      <c r="Z102" s="282"/>
      <c r="AA102" s="284"/>
      <c r="AB102" s="284"/>
      <c r="AC102" s="284"/>
      <c r="AD102" s="284"/>
      <c r="AE102" s="284"/>
      <c r="AF102" s="285"/>
      <c r="AG102" s="285"/>
      <c r="AH102" s="284"/>
      <c r="AI102" s="284"/>
      <c r="AJ102" s="284"/>
      <c r="AK102" s="284"/>
      <c r="AL102" s="284"/>
      <c r="AM102" s="284"/>
      <c r="AN102" s="284"/>
      <c r="AO102" s="284"/>
      <c r="AP102" s="284"/>
      <c r="AQ102" s="284"/>
      <c r="AR102" s="284"/>
      <c r="AS102" s="284"/>
      <c r="AT102" s="284"/>
      <c r="AU102" s="284"/>
      <c r="AV102" s="284" t="s">
        <v>394</v>
      </c>
      <c r="AW102" s="284"/>
      <c r="AX102" s="284"/>
      <c r="AY102" s="284"/>
      <c r="AZ102" s="284"/>
      <c r="BA102" s="284"/>
      <c r="BB102" s="284"/>
      <c r="BC102" s="286"/>
      <c r="BD102" s="284"/>
      <c r="BE102" s="284"/>
      <c r="BF102" s="284"/>
      <c r="BG102" s="284"/>
      <c r="BH102" s="284"/>
      <c r="BI102" s="284"/>
      <c r="BJ102" s="284"/>
      <c r="BM102" s="284"/>
      <c r="BN102" s="284"/>
    </row>
    <row r="103" spans="1:66" x14ac:dyDescent="0.25">
      <c r="A103" s="57"/>
      <c r="C103" s="307">
        <f>EDATE(C87,1)</f>
        <v>44075</v>
      </c>
      <c r="D103" s="408" t="str">
        <f>MID(E103,6,3)</f>
        <v>811</v>
      </c>
      <c r="E103" s="405" t="str">
        <f>'Retail Rates'!$B$7</f>
        <v>LGRSG811</v>
      </c>
      <c r="F103" s="405" t="s">
        <v>62</v>
      </c>
      <c r="G103" s="405" t="str">
        <f>VLOOKUP(E103,'Retail Rates'!$B$7:$D$40,3,FALSE)</f>
        <v>Residential Gas Service</v>
      </c>
      <c r="H103" s="20">
        <f>SUMIF('Forecasted Customer Cts'!$D$5:$D$28,$F103,'Forecasted Customer Cts'!$N$5:$N$28)</f>
        <v>299489</v>
      </c>
      <c r="I103" s="20">
        <v>0</v>
      </c>
      <c r="J103" s="20">
        <f>SUMIF('Forecasted Calendar Month Usage'!$D$5:$D$32,$F103,'Forecasted Calendar Month Usage'!$N$5:$N$32)*10</f>
        <v>4156847.7807482197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f>SUMIFS('Fin Forecast'!F1:F500,'Fin Forecast'!A1:A500,'Mar20-Aug20 Billed-RETAIL'!F103,'Fin Forecast'!B1:B500,P5)/R103</f>
        <v>8984670</v>
      </c>
      <c r="Q103" s="20">
        <v>0</v>
      </c>
      <c r="R103" s="21">
        <f>VLOOKUP($E103,'Retail Rates'!$B$7:$P$40,4,FALSE)</f>
        <v>0.65</v>
      </c>
      <c r="S103" s="21">
        <f>VLOOKUP($E103,'Retail Rates'!$B$7:$P$40,5,FALSE)</f>
        <v>0</v>
      </c>
      <c r="T103" s="22">
        <f>VLOOKUP($E103,'Retail Rates'!$B$7:$P$40,8,FALSE)</f>
        <v>0.36781999999999998</v>
      </c>
      <c r="U103" s="22">
        <f>VLOOKUP($E103,'Retail Rates'!$B$7:$P$40,9,FALSE)</f>
        <v>0</v>
      </c>
      <c r="V103" s="22">
        <f>VLOOKUP($E103,'Retail Rates'!$B$7:$P$40,14,FALSE)</f>
        <v>0</v>
      </c>
      <c r="W103" s="22">
        <f>VLOOKUP($E103,'Retail Rates'!$B$7:$P$40,10,FALSE)</f>
        <v>3.6781999999999999</v>
      </c>
      <c r="X103" s="22">
        <f>VLOOKUP($E103,'Retail Rates'!$B$7:$P$40,11,FALSE)</f>
        <v>0</v>
      </c>
      <c r="Y103" s="22">
        <f>VLOOKUP($E103,'Retail Rates'!$B$7:$P$40,15,FALSE)</f>
        <v>0</v>
      </c>
      <c r="Z103" s="22">
        <v>0</v>
      </c>
      <c r="AA103" s="411">
        <f>(+P103*R103)</f>
        <v>5840035.5</v>
      </c>
      <c r="AB103" s="411">
        <f>+I103*S103</f>
        <v>0</v>
      </c>
      <c r="AC103" s="411">
        <f>+J103*T103</f>
        <v>1528971.7507148101</v>
      </c>
      <c r="AD103" s="411">
        <f>+K103*U103</f>
        <v>0</v>
      </c>
      <c r="AE103" s="23">
        <f t="shared" ref="AE103:AE110" si="156">L103*V103</f>
        <v>0</v>
      </c>
      <c r="AF103" s="41">
        <v>0</v>
      </c>
      <c r="AG103" s="41">
        <v>0</v>
      </c>
      <c r="AH103" s="33">
        <v>0</v>
      </c>
      <c r="AI103" s="33">
        <v>0</v>
      </c>
      <c r="AJ103" s="41">
        <v>0</v>
      </c>
      <c r="AK103" s="41">
        <v>0</v>
      </c>
      <c r="AL103" s="33">
        <v>0</v>
      </c>
      <c r="AM103" s="33">
        <v>0</v>
      </c>
      <c r="AN103" s="41">
        <v>0</v>
      </c>
      <c r="AO103" s="33">
        <v>0</v>
      </c>
      <c r="AP103" s="411">
        <f>AA103+AH103</f>
        <v>5840035.5</v>
      </c>
      <c r="AQ103" s="411">
        <f>AB103+AI103</f>
        <v>0</v>
      </c>
      <c r="AR103" s="411">
        <f>AC103+AL103</f>
        <v>1528971.7507148101</v>
      </c>
      <c r="AS103" s="411">
        <f>AD103+AM103</f>
        <v>0</v>
      </c>
      <c r="AT103" s="411">
        <f>AE103+AO103</f>
        <v>0</v>
      </c>
      <c r="AU103" s="411">
        <f>BL103</f>
        <v>0</v>
      </c>
      <c r="AV103" s="28">
        <f>BG103</f>
        <v>135252.81996610499</v>
      </c>
      <c r="AW103" s="28">
        <f>BH103</f>
        <v>1199676.49106409</v>
      </c>
      <c r="AX103" s="28">
        <f>BI103</f>
        <v>0</v>
      </c>
      <c r="AY103" s="28">
        <f>BJ103</f>
        <v>850190.29945650895</v>
      </c>
      <c r="AZ103" s="28">
        <f>BK103</f>
        <v>0</v>
      </c>
      <c r="BA103" s="28">
        <f t="shared" si="121"/>
        <v>9554126.8599999994</v>
      </c>
      <c r="BB103" s="28">
        <f>SUM(BD103:BL103)</f>
        <v>9554126.8612015136</v>
      </c>
      <c r="BC103" s="29">
        <f>IF(BB103=0,0,ROUND(BB103/BA103,6))</f>
        <v>1</v>
      </c>
      <c r="BD103" s="28">
        <f>SUMIFS('Fin Forecast'!$F$5:$F$355,'Fin Forecast'!$A$5:$A$355,$F103,'Fin Forecast'!$B$5:$B$355,BD$5)</f>
        <v>5840035.5</v>
      </c>
      <c r="BE103" s="28">
        <f>SUMIFS('Fin Forecast'!$F$5:$F$355,'Fin Forecast'!$A$5:$A$355,$F103,'Fin Forecast'!$B$5:$B$355,BE$5)</f>
        <v>1528971.7507148101</v>
      </c>
      <c r="BF103" s="28">
        <f>SUMIFS('Fin Forecast'!$F$5:$F$355,'Fin Forecast'!$A$5:$A$355,$F103,'Fin Forecast'!$C$5:$C$355,BF$5)</f>
        <v>0</v>
      </c>
      <c r="BG103" s="28">
        <f>SUMIFS('Fin Forecast'!$F$5:$F$355,'Fin Forecast'!$A$5:$A$355,$F103,'Fin Forecast'!$B$5:$B$355,BG$5)</f>
        <v>135252.81996610499</v>
      </c>
      <c r="BH103" s="28">
        <f>SUMIFS('Fin Forecast'!$F$5:$F$355,'Fin Forecast'!$A$5:$A$355,$F103,'Fin Forecast'!$B$5:$B$355,BH$5)</f>
        <v>1199676.49106409</v>
      </c>
      <c r="BI103" s="28">
        <f>SUMIFS('Fin Forecast'!$F$5:$F$355,'Fin Forecast'!$A$5:$A$355,$F103,'Fin Forecast'!$B$5:$B$355,BI$5)</f>
        <v>0</v>
      </c>
      <c r="BJ103" s="28">
        <f>SUMIFS('Fin Forecast'!$F$5:$F$355,'Fin Forecast'!$A$5:$A$355,$F103,'Fin Forecast'!$B$5:$B$355,BJ$5)</f>
        <v>850190.29945650895</v>
      </c>
      <c r="BK103" s="28">
        <f>SUMIFS('Fin Forecast'!$F$5:$F$355,'Fin Forecast'!$A$5:$A$355,$F103,'Fin Forecast'!$B$5:$B$355,BK$5)</f>
        <v>0</v>
      </c>
      <c r="BL103" s="28">
        <f>SUMIFS('Fin Forecast'!$F$5:$F$355,'Fin Forecast'!$A$5:$A$355,$F103,'Fin Forecast'!$B$5:$B$355,BL$5)</f>
        <v>0</v>
      </c>
      <c r="BM103" s="42">
        <f>+AP103+AQ103-BD103</f>
        <v>0</v>
      </c>
      <c r="BN103" s="42">
        <f>+AR103+AS103-BE103</f>
        <v>0</v>
      </c>
    </row>
    <row r="104" spans="1:66" x14ac:dyDescent="0.25">
      <c r="A104" s="8" t="s">
        <v>380</v>
      </c>
      <c r="B104" t="s">
        <v>381</v>
      </c>
      <c r="C104" s="307">
        <f t="shared" ref="C104:C109" si="157">$C$103</f>
        <v>44075</v>
      </c>
      <c r="D104" s="408" t="str">
        <f t="shared" ref="D104:D109" si="158">MID(E104,6,3)</f>
        <v>851</v>
      </c>
      <c r="E104" s="405" t="str">
        <f>'Retail Rates'!$B$9</f>
        <v>LGCMG851</v>
      </c>
      <c r="F104" s="405" t="s">
        <v>56</v>
      </c>
      <c r="G104" s="405" t="str">
        <f>VLOOKUP(E104,'Retail Rates'!$B$7:$D$40,3,FALSE)</f>
        <v>Firm Commercial Gas Service</v>
      </c>
      <c r="H104" s="20">
        <f>SUMIF('Forecasted Customer Cts'!$D$5:$D$28,$F104,'Forecasted Customer Cts'!$N$5:$N$28)-I104</f>
        <v>23899</v>
      </c>
      <c r="I104" s="20">
        <f>SUMIFS('Forecasted Customer Cts'!$N$5:$N$28,'Forecasted Customer Cts'!$D$5:$D$28,$F104,'Forecasted Customer Cts'!$C$5:$C$28,$B$104)</f>
        <v>1192</v>
      </c>
      <c r="J104" s="20">
        <f>(SUMIF('Forecasted Calendar Month Usage'!$D$5:$D$32,$F104,'Forecasted Calendar Month Usage'!$N$5:$N$32)*10)-K104</f>
        <v>1785406.9699150347</v>
      </c>
      <c r="K104" s="20">
        <f>SUMIFS('Forecasted Calendar Month Usage'!$N$5:$N$32,'Forecasted Calendar Month Usage'!$D$5:$D$32,$F104,'Forecasted Calendar Month Usage'!$C$5:$C$32,$B$106)*10</f>
        <v>810092.52467470767</v>
      </c>
      <c r="L104" s="20">
        <v>0</v>
      </c>
      <c r="M104" s="20">
        <v>0</v>
      </c>
      <c r="N104" s="20">
        <v>0</v>
      </c>
      <c r="O104" s="20">
        <v>0</v>
      </c>
      <c r="P104" s="20">
        <f>SUMIFS('Fin Forecast'!F1:F500,'Fin Forecast'!A1:A500,'Mar20-Aug20 Billed-RETAIL'!F104,'Fin Forecast'!B1:B500,P5)/R104</f>
        <v>716970</v>
      </c>
      <c r="Q104" s="20">
        <f>SUMIFS('Fin Forecast'!F1:F500,'Fin Forecast'!A1:A500,'Mar20-Aug20 Billed-RETAIL'!F104,'Fin Forecast'!B1:B500,Q5)/S104</f>
        <v>35759.999999999898</v>
      </c>
      <c r="R104" s="21">
        <f>VLOOKUP($E104,'Retail Rates'!$B$7:$P$40,4,FALSE)</f>
        <v>1.97</v>
      </c>
      <c r="S104" s="21">
        <f>VLOOKUP($E104,'Retail Rates'!$B$7:$P$40,5,FALSE)</f>
        <v>9.3699999999999992</v>
      </c>
      <c r="T104" s="22">
        <f>VLOOKUP($E104,'Retail Rates'!$B$7:$P$40,8,FALSE)</f>
        <v>0.30669999999999997</v>
      </c>
      <c r="U104" s="22">
        <f>VLOOKUP($E104,'Retail Rates'!$B$7:$P$40,9,FALSE)</f>
        <v>0.25669999999999998</v>
      </c>
      <c r="V104" s="22">
        <f>VLOOKUP($E104,'Retail Rates'!$B$7:$P$40,14,FALSE)</f>
        <v>0</v>
      </c>
      <c r="W104" s="22">
        <f>VLOOKUP($E104,'Retail Rates'!$B$7:$P$40,10,FALSE)</f>
        <v>3.0669999999999997</v>
      </c>
      <c r="X104" s="22">
        <f>VLOOKUP($E104,'Retail Rates'!$B$7:$P$40,11,FALSE)</f>
        <v>2.5669999999999997</v>
      </c>
      <c r="Y104" s="22">
        <f>VLOOKUP($E104,'Retail Rates'!$B$7:$P$40,15,FALSE)</f>
        <v>0</v>
      </c>
      <c r="Z104" s="22">
        <v>0</v>
      </c>
      <c r="AA104" s="411">
        <f>(+P104*R104)</f>
        <v>1412430.9</v>
      </c>
      <c r="AB104" s="411">
        <f>+Q104*S104</f>
        <v>335071.19999999902</v>
      </c>
      <c r="AC104" s="411">
        <f t="shared" ref="AC104:AD110" si="159">+J104*T104</f>
        <v>547584.31767294114</v>
      </c>
      <c r="AD104" s="411">
        <f t="shared" si="159"/>
        <v>207950.75108399746</v>
      </c>
      <c r="AE104" s="411">
        <f t="shared" si="156"/>
        <v>0</v>
      </c>
      <c r="AF104" s="41">
        <v>0</v>
      </c>
      <c r="AG104" s="41">
        <v>0</v>
      </c>
      <c r="AH104" s="33">
        <v>0</v>
      </c>
      <c r="AI104" s="33">
        <v>0</v>
      </c>
      <c r="AJ104" s="41">
        <v>0</v>
      </c>
      <c r="AK104" s="41">
        <v>0</v>
      </c>
      <c r="AL104" s="33">
        <v>0</v>
      </c>
      <c r="AM104" s="33">
        <v>0</v>
      </c>
      <c r="AN104" s="41">
        <v>0</v>
      </c>
      <c r="AO104" s="33">
        <v>0</v>
      </c>
      <c r="AP104" s="411">
        <f t="shared" ref="AP104:AP109" si="160">AA104+AH104</f>
        <v>1412430.9</v>
      </c>
      <c r="AQ104" s="411">
        <f t="shared" ref="AQ104:AQ109" si="161">AB104+AI104</f>
        <v>335071.19999999902</v>
      </c>
      <c r="AR104" s="411">
        <f t="shared" ref="AR104:AR109" si="162">AC104+AL104</f>
        <v>547584.31767294114</v>
      </c>
      <c r="AS104" s="411">
        <f t="shared" ref="AS104:AS109" si="163">AD104+AM104</f>
        <v>207950.75108399746</v>
      </c>
      <c r="AT104" s="411">
        <f t="shared" ref="AT104:AT109" si="164">AE104+AO104</f>
        <v>0</v>
      </c>
      <c r="AU104" s="411">
        <f t="shared" ref="AU104:AU110" si="165">BL104</f>
        <v>0</v>
      </c>
      <c r="AV104" s="28">
        <f t="shared" ref="AV104:AV109" si="166">BG104</f>
        <v>84450.680991902394</v>
      </c>
      <c r="AW104" s="28">
        <f t="shared" ref="AW104:AW109" si="167">BH104</f>
        <v>749067.53637911496</v>
      </c>
      <c r="AX104" s="28">
        <f t="shared" ref="AX104:AX109" si="168">BI104</f>
        <v>0</v>
      </c>
      <c r="AY104" s="28">
        <f t="shared" ref="AY104:AY109" si="169">BJ104</f>
        <v>351497.39072097</v>
      </c>
      <c r="AZ104" s="28">
        <f t="shared" ref="AZ104:AZ110" si="170">BK104</f>
        <v>0</v>
      </c>
      <c r="BA104" s="28">
        <f t="shared" si="121"/>
        <v>3688052.78</v>
      </c>
      <c r="BB104" s="28">
        <f t="shared" ref="BB104:BB155" si="171">SUM(BD104:BL104)</f>
        <v>3688052.776848916</v>
      </c>
      <c r="BC104" s="29">
        <f t="shared" ref="BC104:BC110" si="172">IF(BB104=0,0,ROUND(BB104/BA104,6))</f>
        <v>1</v>
      </c>
      <c r="BD104" s="28">
        <f>SUMIFS('Fin Forecast'!$F$5:$F$355,'Fin Forecast'!$A$5:$A$355,$F104,'Fin Forecast'!$B$5:$B$355,BD$5)</f>
        <v>1747502.0999999901</v>
      </c>
      <c r="BE104" s="28">
        <f>SUMIFS('Fin Forecast'!$F$5:$F$355,'Fin Forecast'!$A$5:$A$355,$F104,'Fin Forecast'!$B$5:$B$355,BE$5)</f>
        <v>755535.06875693798</v>
      </c>
      <c r="BF104" s="28">
        <f>SUMIFS('Fin Forecast'!$F$5:$F$355,'Fin Forecast'!$A$5:$A$355,$F104,'Fin Forecast'!$C$5:$C$355,BF$5)</f>
        <v>0</v>
      </c>
      <c r="BG104" s="28">
        <f>SUMIFS('Fin Forecast'!$F$5:$F$355,'Fin Forecast'!$A$5:$A$355,$F104,'Fin Forecast'!$B$5:$B$355,BG$5)</f>
        <v>84450.680991902394</v>
      </c>
      <c r="BH104" s="28">
        <f>SUMIFS('Fin Forecast'!$F$5:$F$355,'Fin Forecast'!$A$5:$A$355,$F104,'Fin Forecast'!$B$5:$B$355,BH$5)</f>
        <v>749067.53637911496</v>
      </c>
      <c r="BI104" s="28">
        <f>SUMIFS('Fin Forecast'!$F$5:$F$355,'Fin Forecast'!$A$5:$A$355,$F104,'Fin Forecast'!$B$5:$B$355,BI$5)</f>
        <v>0</v>
      </c>
      <c r="BJ104" s="28">
        <f>SUMIFS('Fin Forecast'!$F$5:$F$355,'Fin Forecast'!$A$5:$A$355,$F104,'Fin Forecast'!$B$5:$B$355,BJ$5)</f>
        <v>351497.39072097</v>
      </c>
      <c r="BK104" s="28">
        <f>SUMIFS('Fin Forecast'!$F$5:$F$355,'Fin Forecast'!$A$5:$A$355,$F104,'Fin Forecast'!$B$5:$B$355,BK$5)</f>
        <v>0</v>
      </c>
      <c r="BL104" s="28">
        <f>SUMIFS('Fin Forecast'!$F$5:$F$355,'Fin Forecast'!$A$5:$A$355,$F104,'Fin Forecast'!$B$5:$B$355,BL$5)</f>
        <v>0</v>
      </c>
      <c r="BM104" s="42">
        <f t="shared" ref="BM104:BM109" si="173">+AP104+AQ104-BD104</f>
        <v>8.8475644588470459E-9</v>
      </c>
      <c r="BN104" s="42">
        <f t="shared" ref="BN104:BN109" si="174">+AR104+AS104-BE104</f>
        <v>0</v>
      </c>
    </row>
    <row r="105" spans="1:66" x14ac:dyDescent="0.25">
      <c r="C105" s="307">
        <f t="shared" si="157"/>
        <v>44075</v>
      </c>
      <c r="D105" s="408" t="str">
        <f t="shared" si="158"/>
        <v>855</v>
      </c>
      <c r="E105" s="405" t="str">
        <f>'Retail Rates'!$B$11</f>
        <v>LGING855</v>
      </c>
      <c r="F105" s="405" t="s">
        <v>59</v>
      </c>
      <c r="G105" s="405" t="str">
        <f>VLOOKUP(E105,'Retail Rates'!$B$7:$D$40,3,FALSE)</f>
        <v>Firm Industrial Gas Service-DSM Opt-Out</v>
      </c>
      <c r="H105" s="20">
        <f>SUMIF('Forecasted Customer Cts'!$D$5:$D$28,$F105,'Forecasted Customer Cts'!$N$5:$N$28)-I105</f>
        <v>105</v>
      </c>
      <c r="I105" s="20">
        <f>SUMIFS('Forecasted Customer Cts'!$N$5:$N$28,'Forecasted Customer Cts'!$D$5:$D$28,$F105,'Forecasted Customer Cts'!$C$5:$C$28,$B$104)</f>
        <v>79</v>
      </c>
      <c r="J105" s="20">
        <f>(SUMIF('Forecasted Calendar Month Usage'!$D$5:$D$32,$F105,'Forecasted Calendar Month Usage'!$N$5:$N$32)*10)-K105</f>
        <v>70315.517996739654</v>
      </c>
      <c r="K105" s="20">
        <f>SUMIFS('Forecasted Calendar Month Usage'!$N$5:$N$32,'Forecasted Calendar Month Usage'!$D$5:$D$32,$F105,'Forecasted Calendar Month Usage'!$C$5:$C$32,$B$106)*10</f>
        <v>234858.14203109842</v>
      </c>
      <c r="L105" s="20">
        <v>0</v>
      </c>
      <c r="M105" s="20">
        <v>0</v>
      </c>
      <c r="N105" s="20">
        <v>0</v>
      </c>
      <c r="O105" s="20">
        <v>0</v>
      </c>
      <c r="P105" s="20">
        <f>SUMIFS('Fin Forecast'!F2:F501,'Fin Forecast'!A2:A501,'Mar20-Aug20 Billed-RETAIL'!F105,'Fin Forecast'!B2:B501,P5)/R105</f>
        <v>3150</v>
      </c>
      <c r="Q105" s="20">
        <f>SUMIFS('Fin Forecast'!F2:F501,'Fin Forecast'!A2:A501,'Mar20-Aug20 Billed-RETAIL'!F105,'Fin Forecast'!B2:B501,Q5)/S105</f>
        <v>2369.9999999999959</v>
      </c>
      <c r="R105" s="21">
        <f>VLOOKUP($E105,'Retail Rates'!$B$7:$P$40,4,FALSE)</f>
        <v>5.42</v>
      </c>
      <c r="S105" s="21">
        <f>VLOOKUP($E105,'Retail Rates'!$B$7:$P$40,5,FALSE)</f>
        <v>24.64</v>
      </c>
      <c r="T105" s="22">
        <f>VLOOKUP($E105,'Retail Rates'!$B$7:$P$40,8,FALSE)</f>
        <v>0.21929000000000001</v>
      </c>
      <c r="U105" s="22">
        <f>VLOOKUP($E105,'Retail Rates'!$B$7:$P$40,9,FALSE)</f>
        <v>0.16929</v>
      </c>
      <c r="V105" s="22">
        <f>VLOOKUP($E105,'Retail Rates'!$B$7:$P$40,14,FALSE)</f>
        <v>0</v>
      </c>
      <c r="W105" s="22">
        <f>VLOOKUP($E105,'Retail Rates'!$B$7:$P$40,10,FALSE)</f>
        <v>2.1929000000000003</v>
      </c>
      <c r="X105" s="22">
        <f>VLOOKUP($E105,'Retail Rates'!$B$7:$P$40,11,FALSE)</f>
        <v>1.6928999999999998</v>
      </c>
      <c r="Y105" s="22">
        <f>VLOOKUP($E105,'Retail Rates'!$B$7:$P$40,15,FALSE)</f>
        <v>0</v>
      </c>
      <c r="Z105" s="22">
        <v>0</v>
      </c>
      <c r="AA105" s="411">
        <f>(+P105*R105)</f>
        <v>17073</v>
      </c>
      <c r="AB105" s="411">
        <f>+Q105*S105</f>
        <v>58396.799999999901</v>
      </c>
      <c r="AC105" s="411">
        <f t="shared" si="159"/>
        <v>15419.48994150504</v>
      </c>
      <c r="AD105" s="411">
        <f t="shared" si="159"/>
        <v>39759.134864444648</v>
      </c>
      <c r="AE105" s="411">
        <f t="shared" si="156"/>
        <v>0</v>
      </c>
      <c r="AF105" s="41">
        <v>0</v>
      </c>
      <c r="AG105" s="41">
        <v>0</v>
      </c>
      <c r="AH105" s="33">
        <v>0</v>
      </c>
      <c r="AI105" s="33">
        <v>0</v>
      </c>
      <c r="AJ105" s="41">
        <v>0</v>
      </c>
      <c r="AK105" s="41">
        <v>0</v>
      </c>
      <c r="AL105" s="33">
        <v>0</v>
      </c>
      <c r="AM105" s="33">
        <v>0</v>
      </c>
      <c r="AN105" s="41">
        <v>0</v>
      </c>
      <c r="AO105" s="33">
        <v>0</v>
      </c>
      <c r="AP105" s="411">
        <f t="shared" si="160"/>
        <v>17073</v>
      </c>
      <c r="AQ105" s="411">
        <f t="shared" si="161"/>
        <v>58396.799999999901</v>
      </c>
      <c r="AR105" s="411">
        <f t="shared" si="162"/>
        <v>15419.48994150504</v>
      </c>
      <c r="AS105" s="411">
        <f t="shared" si="163"/>
        <v>39759.134864444648</v>
      </c>
      <c r="AT105" s="411">
        <f t="shared" si="164"/>
        <v>0</v>
      </c>
      <c r="AU105" s="411">
        <f t="shared" si="165"/>
        <v>0</v>
      </c>
      <c r="AV105" s="28">
        <f t="shared" si="166"/>
        <v>0</v>
      </c>
      <c r="AW105" s="28">
        <f t="shared" si="167"/>
        <v>88073.868695159603</v>
      </c>
      <c r="AX105" s="28">
        <f t="shared" si="168"/>
        <v>0</v>
      </c>
      <c r="AY105" s="28">
        <f t="shared" si="169"/>
        <v>27322.968997075699</v>
      </c>
      <c r="AZ105" s="28">
        <f t="shared" si="170"/>
        <v>0</v>
      </c>
      <c r="BA105" s="28">
        <f t="shared" si="121"/>
        <v>246045.26</v>
      </c>
      <c r="BB105" s="28">
        <f t="shared" si="171"/>
        <v>246045.26249818481</v>
      </c>
      <c r="BC105" s="29">
        <f t="shared" si="172"/>
        <v>1</v>
      </c>
      <c r="BD105" s="28">
        <f>SUMIFS('Fin Forecast'!$F$5:$F$355,'Fin Forecast'!$A$5:$A$355,$F105,'Fin Forecast'!$B$5:$B$355,BD$5)</f>
        <v>75469.799999999901</v>
      </c>
      <c r="BE105" s="28">
        <f>SUMIFS('Fin Forecast'!$F$5:$F$355,'Fin Forecast'!$A$5:$A$355,$F105,'Fin Forecast'!$B$5:$B$355,BE$5)</f>
        <v>55178.624805949599</v>
      </c>
      <c r="BF105" s="28">
        <f>SUMIFS('Fin Forecast'!$F$5:$F$355,'Fin Forecast'!$A$5:$A$355,$F105,'Fin Forecast'!$C$5:$C$355,BF$5)</f>
        <v>0</v>
      </c>
      <c r="BG105" s="28">
        <f>SUMIFS('Fin Forecast'!$F$5:$F$355,'Fin Forecast'!$A$5:$A$355,$F105,'Fin Forecast'!$B$5:$B$355,BG$5)</f>
        <v>0</v>
      </c>
      <c r="BH105" s="28">
        <f>SUMIFS('Fin Forecast'!$F$5:$F$355,'Fin Forecast'!$A$5:$A$355,$F105,'Fin Forecast'!$B$5:$B$355,BH$5)</f>
        <v>88073.868695159603</v>
      </c>
      <c r="BI105" s="28">
        <f>SUMIFS('Fin Forecast'!$F$5:$F$355,'Fin Forecast'!$A$5:$A$355,$F105,'Fin Forecast'!$B$5:$B$355,BI$5)</f>
        <v>0</v>
      </c>
      <c r="BJ105" s="28">
        <f>SUMIFS('Fin Forecast'!$F$5:$F$355,'Fin Forecast'!$A$5:$A$355,$F105,'Fin Forecast'!$B$5:$B$355,BJ$5)</f>
        <v>27322.968997075699</v>
      </c>
      <c r="BK105" s="28">
        <f>SUMIFS('Fin Forecast'!$F$5:$F$355,'Fin Forecast'!$A$5:$A$355,$F105,'Fin Forecast'!$B$5:$B$355,BK$5)</f>
        <v>0</v>
      </c>
      <c r="BL105" s="28">
        <f>SUMIFS('Fin Forecast'!$F$5:$F$355,'Fin Forecast'!$A$5:$A$355,$F105,'Fin Forecast'!$B$5:$B$355,BL$5)</f>
        <v>0</v>
      </c>
      <c r="BM105" s="42">
        <f t="shared" si="173"/>
        <v>0</v>
      </c>
      <c r="BN105" s="42">
        <f t="shared" si="174"/>
        <v>8.7311491370201111E-11</v>
      </c>
    </row>
    <row r="106" spans="1:66" x14ac:dyDescent="0.25">
      <c r="A106" s="8" t="s">
        <v>382</v>
      </c>
      <c r="B106" t="s">
        <v>383</v>
      </c>
      <c r="C106" s="307">
        <f t="shared" si="157"/>
        <v>44075</v>
      </c>
      <c r="D106" s="408" t="str">
        <f t="shared" si="158"/>
        <v>865</v>
      </c>
      <c r="E106" s="405" t="str">
        <f>'Retail Rates'!$B$14</f>
        <v>LGCMG865</v>
      </c>
      <c r="F106" s="405" t="s">
        <v>223</v>
      </c>
      <c r="G106" s="405" t="str">
        <f>VLOOKUP(E106,'Retail Rates'!$B$7:$D$40,3,FALSE)</f>
        <v>As-Available Gas Service, Commercial</v>
      </c>
      <c r="H106" s="20">
        <f>SUMIF('Forecasted Customer Cts'!$D$5:$D$28,$F106,'Forecasted Customer Cts'!$N$5:$N$28)</f>
        <v>3</v>
      </c>
      <c r="I106" s="20">
        <v>0</v>
      </c>
      <c r="J106" s="20">
        <v>0</v>
      </c>
      <c r="K106" s="20">
        <v>0</v>
      </c>
      <c r="L106" s="20">
        <v>0</v>
      </c>
      <c r="M106" s="20">
        <f>SUMIF('Forecasted Calendar Month Usage'!$D$5:$D$32,$F106,'Forecasted Calendar Month Usage'!$N$5:$N$32)</f>
        <v>6664.2853831178163</v>
      </c>
      <c r="N106" s="20">
        <v>0</v>
      </c>
      <c r="O106" s="20">
        <v>0</v>
      </c>
      <c r="P106" s="20">
        <v>0</v>
      </c>
      <c r="Q106" s="20">
        <v>0</v>
      </c>
      <c r="R106" s="21">
        <f>VLOOKUP($E106,'Retail Rates'!$B$7:$P$40,4,FALSE)</f>
        <v>500</v>
      </c>
      <c r="S106" s="21">
        <f>VLOOKUP($E106,'Retail Rates'!$B$7:$P$40,5,FALSE)</f>
        <v>0</v>
      </c>
      <c r="T106" s="22">
        <f>VLOOKUP($E106,'Retail Rates'!$B$7:$P$40,8,FALSE)</f>
        <v>0.10644000000000001</v>
      </c>
      <c r="U106" s="22">
        <f>VLOOKUP($E106,'Retail Rates'!$B$7:$P$40,9,FALSE)</f>
        <v>0</v>
      </c>
      <c r="V106" s="22">
        <f>VLOOKUP($E106,'Retail Rates'!$B$7:$P$40,14,FALSE)</f>
        <v>0</v>
      </c>
      <c r="W106" s="22">
        <f>VLOOKUP($E106,'Retail Rates'!$B$7:$P$40,10,FALSE)</f>
        <v>1.0644</v>
      </c>
      <c r="X106" s="22">
        <f>VLOOKUP($E106,'Retail Rates'!$B$7:$P$40,11,FALSE)</f>
        <v>0</v>
      </c>
      <c r="Y106" s="22">
        <f>VLOOKUP($E106,'Retail Rates'!$B$7:$P$40,15,FALSE)</f>
        <v>0</v>
      </c>
      <c r="Z106" s="22">
        <v>0</v>
      </c>
      <c r="AA106" s="411">
        <f>(+H106*R106)</f>
        <v>1500</v>
      </c>
      <c r="AB106" s="411">
        <f>+I106*S106</f>
        <v>0</v>
      </c>
      <c r="AC106" s="411">
        <f>+M106*W106</f>
        <v>7093.4653617906033</v>
      </c>
      <c r="AD106" s="411">
        <f>+K106*U106</f>
        <v>0</v>
      </c>
      <c r="AE106" s="411">
        <f t="shared" si="156"/>
        <v>0</v>
      </c>
      <c r="AF106" s="41">
        <v>0</v>
      </c>
      <c r="AG106" s="41">
        <v>0</v>
      </c>
      <c r="AH106" s="33">
        <v>0</v>
      </c>
      <c r="AI106" s="33">
        <v>0</v>
      </c>
      <c r="AJ106" s="41">
        <v>0</v>
      </c>
      <c r="AK106" s="41">
        <v>0</v>
      </c>
      <c r="AL106" s="33">
        <v>0</v>
      </c>
      <c r="AM106" s="33">
        <v>0</v>
      </c>
      <c r="AN106" s="41">
        <v>0</v>
      </c>
      <c r="AO106" s="33">
        <v>0</v>
      </c>
      <c r="AP106" s="411">
        <f t="shared" si="160"/>
        <v>1500</v>
      </c>
      <c r="AQ106" s="411">
        <f t="shared" si="161"/>
        <v>0</v>
      </c>
      <c r="AR106" s="411">
        <f t="shared" si="162"/>
        <v>7093.4653617906033</v>
      </c>
      <c r="AS106" s="411">
        <f t="shared" si="163"/>
        <v>0</v>
      </c>
      <c r="AT106" s="411">
        <f t="shared" si="164"/>
        <v>0</v>
      </c>
      <c r="AU106" s="411">
        <f t="shared" si="165"/>
        <v>0</v>
      </c>
      <c r="AV106" s="28">
        <f t="shared" si="166"/>
        <v>1372.09538310269</v>
      </c>
      <c r="AW106" s="28">
        <f t="shared" si="167"/>
        <v>19233.291488074301</v>
      </c>
      <c r="AX106" s="28">
        <f t="shared" si="168"/>
        <v>0</v>
      </c>
      <c r="AY106" s="28">
        <f t="shared" si="169"/>
        <v>3647.5446628741602</v>
      </c>
      <c r="AZ106" s="28">
        <f t="shared" si="170"/>
        <v>0</v>
      </c>
      <c r="BA106" s="28">
        <f t="shared" si="121"/>
        <v>32846.400000000001</v>
      </c>
      <c r="BB106" s="28">
        <f t="shared" si="171"/>
        <v>32846.396895841739</v>
      </c>
      <c r="BC106" s="29">
        <f t="shared" si="172"/>
        <v>1</v>
      </c>
      <c r="BD106" s="28">
        <f>SUMIFS('Fin Forecast'!$F$5:$F$355,'Fin Forecast'!$A$5:$A$355,$F106,'Fin Forecast'!$B$5:$B$355,BD$5)</f>
        <v>1500</v>
      </c>
      <c r="BE106" s="28">
        <f>SUMIFS('Fin Forecast'!$F$5:$F$355,'Fin Forecast'!$A$5:$A$355,$F106,'Fin Forecast'!$B$5:$B$355,BE$5)</f>
        <v>7093.4653617905897</v>
      </c>
      <c r="BF106" s="28">
        <f>SUMIFS('Fin Forecast'!$F$5:$F$355,'Fin Forecast'!$A$5:$A$355,$F106,'Fin Forecast'!$C$5:$C$355,BF$5)</f>
        <v>0</v>
      </c>
      <c r="BG106" s="28">
        <f>SUMIFS('Fin Forecast'!$F$5:$F$355,'Fin Forecast'!$A$5:$A$355,$F106,'Fin Forecast'!$B$5:$B$355,BG$5)</f>
        <v>1372.09538310269</v>
      </c>
      <c r="BH106" s="28">
        <f>SUMIFS('Fin Forecast'!$F$5:$F$355,'Fin Forecast'!$A$5:$A$355,$F106,'Fin Forecast'!$B$5:$B$355,BH$5)</f>
        <v>19233.291488074301</v>
      </c>
      <c r="BI106" s="28">
        <f>SUMIFS('Fin Forecast'!$F$5:$F$355,'Fin Forecast'!$A$5:$A$355,$F106,'Fin Forecast'!$B$5:$B$355,BI$5)</f>
        <v>0</v>
      </c>
      <c r="BJ106" s="28">
        <f>SUMIFS('Fin Forecast'!$F$5:$F$355,'Fin Forecast'!$A$5:$A$355,$F106,'Fin Forecast'!$B$5:$B$355,BJ$5)</f>
        <v>3647.5446628741602</v>
      </c>
      <c r="BK106" s="28">
        <f>SUMIFS('Fin Forecast'!$F$5:$F$355,'Fin Forecast'!$A$5:$A$355,$F106,'Fin Forecast'!$B$5:$B$355,BK$5)</f>
        <v>0</v>
      </c>
      <c r="BL106" s="28">
        <f>SUMIFS('Fin Forecast'!$F$5:$F$355,'Fin Forecast'!$A$5:$A$355,$F106,'Fin Forecast'!$B$5:$B$355,BL$5)</f>
        <v>0</v>
      </c>
      <c r="BM106" s="42">
        <f t="shared" si="173"/>
        <v>0</v>
      </c>
      <c r="BN106" s="42">
        <f t="shared" si="174"/>
        <v>1.3642420526593924E-11</v>
      </c>
    </row>
    <row r="107" spans="1:66" x14ac:dyDescent="0.25">
      <c r="C107" s="307">
        <f t="shared" si="157"/>
        <v>44075</v>
      </c>
      <c r="D107" s="408" t="str">
        <f t="shared" si="158"/>
        <v>870</v>
      </c>
      <c r="E107" s="405" t="str">
        <f>'Retail Rates'!$B$17</f>
        <v>LGCMG870</v>
      </c>
      <c r="F107" s="405" t="s">
        <v>553</v>
      </c>
      <c r="G107" s="405" t="str">
        <f>VLOOKUP(E107,'Retail Rates'!$B$7:$D$40,3,FALSE)</f>
        <v>Substitute Gas Sales Service-Commercial</v>
      </c>
      <c r="H107" s="20">
        <f>SUMIF('Forecasted Customer Cts'!$D$5:$D$28,$F107,'Forecasted Customer Cts'!$N$5:$N$28)</f>
        <v>1</v>
      </c>
      <c r="I107" s="20">
        <v>0</v>
      </c>
      <c r="J107" s="20">
        <v>0</v>
      </c>
      <c r="K107" s="20">
        <v>0</v>
      </c>
      <c r="L107" s="20">
        <v>0</v>
      </c>
      <c r="M107" s="20">
        <f>SUMIF('Forecasted Calendar Month Usage'!$D$5:$D$32,$F107,'Forecasted Calendar Month Usage'!$N$5:$N$32)</f>
        <v>0</v>
      </c>
      <c r="N107" s="20">
        <v>0</v>
      </c>
      <c r="O107" s="20">
        <f>SUMIFS('Fin Forecast'!F1:F500,'Fin Forecast'!A1:A500,'Mar20-Aug20 Billed-RETAIL'!F107,'Fin Forecast'!B1:B500,O5)</f>
        <v>2418.1006097560999</v>
      </c>
      <c r="P107" s="20">
        <v>0</v>
      </c>
      <c r="Q107" s="20">
        <v>0</v>
      </c>
      <c r="R107" s="21">
        <f>VLOOKUP($E107,'Retail Rates'!$B$7:$P$40,4,FALSE)</f>
        <v>285</v>
      </c>
      <c r="S107" s="21">
        <f>VLOOKUP($E107,'Retail Rates'!$B$7:$P$40,5,FALSE)</f>
        <v>0</v>
      </c>
      <c r="T107" s="22">
        <f>VLOOKUP($E107,'Retail Rates'!$B$7:$P$40,8,FALSE)</f>
        <v>3.603E-2</v>
      </c>
      <c r="U107" s="22">
        <f>VLOOKUP($E107,'Retail Rates'!$B$7:$P$40,9,FALSE)</f>
        <v>0</v>
      </c>
      <c r="V107" s="22">
        <f>VLOOKUP($E107,'Retail Rates'!$B$7:$P$40,14,FALSE)</f>
        <v>0.65599999999999992</v>
      </c>
      <c r="W107" s="22">
        <f>VLOOKUP($E107,'Retail Rates'!$B$7:$P$40,10,FALSE)</f>
        <v>0.36030000000000001</v>
      </c>
      <c r="X107" s="22">
        <f>VLOOKUP($E107,'Retail Rates'!$B$7:$P$40,11,FALSE)</f>
        <v>0</v>
      </c>
      <c r="Y107" s="22">
        <f>VLOOKUP($E107,'Retail Rates'!$B$7:$P$40,15,FALSE)</f>
        <v>6.56</v>
      </c>
      <c r="Z107" s="22">
        <v>0</v>
      </c>
      <c r="AA107" s="411">
        <f>(+H107*R107)</f>
        <v>285</v>
      </c>
      <c r="AB107" s="411">
        <f>+I107*S107</f>
        <v>0</v>
      </c>
      <c r="AC107" s="411">
        <f t="shared" ref="AC107:AC108" si="175">+M107*W107</f>
        <v>0</v>
      </c>
      <c r="AD107" s="411">
        <f t="shared" si="159"/>
        <v>0</v>
      </c>
      <c r="AE107" s="411">
        <f>O107*Y107</f>
        <v>15862.740000000014</v>
      </c>
      <c r="AF107" s="41">
        <v>0</v>
      </c>
      <c r="AG107" s="41">
        <v>0</v>
      </c>
      <c r="AH107" s="33">
        <v>0</v>
      </c>
      <c r="AI107" s="33">
        <v>0</v>
      </c>
      <c r="AJ107" s="41">
        <v>0</v>
      </c>
      <c r="AK107" s="41">
        <v>0</v>
      </c>
      <c r="AL107" s="33">
        <v>0</v>
      </c>
      <c r="AM107" s="33">
        <v>0</v>
      </c>
      <c r="AN107" s="41">
        <v>0</v>
      </c>
      <c r="AO107" s="33">
        <v>0</v>
      </c>
      <c r="AP107" s="411">
        <f t="shared" si="160"/>
        <v>285</v>
      </c>
      <c r="AQ107" s="411">
        <f t="shared" si="161"/>
        <v>0</v>
      </c>
      <c r="AR107" s="411">
        <f t="shared" si="162"/>
        <v>0</v>
      </c>
      <c r="AS107" s="411">
        <f t="shared" si="163"/>
        <v>0</v>
      </c>
      <c r="AT107" s="411">
        <f t="shared" si="164"/>
        <v>15862.740000000014</v>
      </c>
      <c r="AU107" s="411">
        <f t="shared" si="165"/>
        <v>0</v>
      </c>
      <c r="AV107" s="28">
        <f t="shared" si="166"/>
        <v>0</v>
      </c>
      <c r="AW107" s="28">
        <f t="shared" si="167"/>
        <v>0</v>
      </c>
      <c r="AX107" s="28">
        <f t="shared" si="168"/>
        <v>0</v>
      </c>
      <c r="AY107" s="28">
        <f t="shared" si="169"/>
        <v>1701.1222111398699</v>
      </c>
      <c r="AZ107" s="28">
        <f t="shared" si="170"/>
        <v>0</v>
      </c>
      <c r="BA107" s="28">
        <f t="shared" si="121"/>
        <v>17848.86</v>
      </c>
      <c r="BB107" s="28">
        <f t="shared" si="171"/>
        <v>17848.862211139869</v>
      </c>
      <c r="BC107" s="29">
        <f>IF(BB107=0,0,ROUND(BB107/BA107,5))</f>
        <v>1</v>
      </c>
      <c r="BD107" s="28">
        <f>SUMIFS('Fin Forecast'!$F$5:$F$355,'Fin Forecast'!$A$5:$A$355,$F107,'Fin Forecast'!$B$5:$B$355,BD$5)</f>
        <v>285</v>
      </c>
      <c r="BE107" s="28">
        <f>SUMIFS('Fin Forecast'!$F$5:$F$355,'Fin Forecast'!$A$5:$A$355,$F107,'Fin Forecast'!$B$5:$B$355,BE$5)</f>
        <v>0</v>
      </c>
      <c r="BF107" s="28">
        <f>SUMIFS('Fin Forecast'!$F$5:$F$355,'Fin Forecast'!$A$5:$A$355,$F107,'Fin Forecast'!$C$5:$C$355,BF$5)</f>
        <v>15862.74</v>
      </c>
      <c r="BG107" s="28">
        <f>SUMIFS('Fin Forecast'!$F$5:$F$355,'Fin Forecast'!$A$5:$A$355,$F107,'Fin Forecast'!$B$5:$B$355,BG$5)</f>
        <v>0</v>
      </c>
      <c r="BH107" s="28">
        <f>SUMIFS('Fin Forecast'!$F$5:$F$355,'Fin Forecast'!$A$5:$A$355,$F107,'Fin Forecast'!$B$5:$B$355,BH$5)</f>
        <v>0</v>
      </c>
      <c r="BI107" s="28">
        <f>SUMIFS('Fin Forecast'!$F$5:$F$355,'Fin Forecast'!$A$5:$A$355,$F107,'Fin Forecast'!$B$5:$B$355,BI$5)</f>
        <v>0</v>
      </c>
      <c r="BJ107" s="28">
        <f>SUMIFS('Fin Forecast'!$F$5:$F$355,'Fin Forecast'!$A$5:$A$355,$F107,'Fin Forecast'!$B$5:$B$355,BJ$5)</f>
        <v>1701.1222111398699</v>
      </c>
      <c r="BK107" s="28">
        <f>SUMIFS('Fin Forecast'!$F$5:$F$355,'Fin Forecast'!$A$5:$A$355,$F107,'Fin Forecast'!$B$5:$B$355,BK$5)</f>
        <v>0</v>
      </c>
      <c r="BL107" s="28">
        <f>SUMIFS('Fin Forecast'!$F$5:$F$355,'Fin Forecast'!$A$5:$A$355,$F107,'Fin Forecast'!$B$5:$B$355,BL$5)</f>
        <v>0</v>
      </c>
      <c r="BM107" s="42">
        <f t="shared" si="173"/>
        <v>0</v>
      </c>
      <c r="BN107" s="42">
        <f t="shared" si="174"/>
        <v>0</v>
      </c>
    </row>
    <row r="108" spans="1:66" x14ac:dyDescent="0.25">
      <c r="C108" s="307">
        <f t="shared" si="157"/>
        <v>44075</v>
      </c>
      <c r="D108" s="408" t="str">
        <f>MID(E108,6,3)</f>
        <v>871</v>
      </c>
      <c r="E108" s="405" t="s">
        <v>565</v>
      </c>
      <c r="F108" s="405" t="s">
        <v>555</v>
      </c>
      <c r="G108" s="405" t="str">
        <f>VLOOKUP(E108,'Retail Rates'!$B$7:$D$40,3,FALSE)</f>
        <v>Substitute Gas Sales Service-Industrial Opt In</v>
      </c>
      <c r="H108" s="20">
        <f>SUMIF('Forecasted Customer Cts'!$D$5:$D$28,$F108,'Forecasted Customer Cts'!$N$5:$N$28)</f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f>SUMIF('Forecasted Calendar Month Usage'!$D$5:$D$32,$F108,'Forecasted Calendar Month Usage'!$N$5:$N$32)</f>
        <v>0</v>
      </c>
      <c r="N108" s="20">
        <v>0</v>
      </c>
      <c r="O108" s="20">
        <f>SUMIFS('Fin Forecast'!I2:I501,'Fin Forecast'!D2:D501,'Mar20-Aug20 Billed-RETAIL'!F108,'Fin Forecast'!E2:E501,O6)</f>
        <v>0</v>
      </c>
      <c r="P108" s="20">
        <v>0</v>
      </c>
      <c r="Q108" s="20">
        <v>0</v>
      </c>
      <c r="R108" s="21">
        <f>VLOOKUP($E108,'Retail Rates'!$B$7:$P$40,4,FALSE)</f>
        <v>750</v>
      </c>
      <c r="S108" s="21">
        <f>VLOOKUP($E108,'Retail Rates'!$B$7:$P$40,5,FALSE)</f>
        <v>0</v>
      </c>
      <c r="T108" s="22">
        <f>VLOOKUP($E108,'Retail Rates'!$B$7:$P$40,8,FALSE)</f>
        <v>2.9919999999999995E-2</v>
      </c>
      <c r="U108" s="22">
        <f>VLOOKUP($E108,'Retail Rates'!$B$7:$P$40,9,FALSE)</f>
        <v>0</v>
      </c>
      <c r="V108" s="22">
        <f>VLOOKUP($E108,'Retail Rates'!$B$7:$P$40,14,FALSE)</f>
        <v>1.0900000000000001</v>
      </c>
      <c r="W108" s="22">
        <f>VLOOKUP($E108,'Retail Rates'!$B$7:$P$40,10,FALSE)</f>
        <v>0.29919999999999997</v>
      </c>
      <c r="X108" s="22">
        <f>VLOOKUP($E108,'Retail Rates'!$B$7:$P$40,11,FALSE)</f>
        <v>0</v>
      </c>
      <c r="Y108" s="22">
        <f>VLOOKUP($E108,'Retail Rates'!$B$7:$P$40,15,FALSE)</f>
        <v>10.9</v>
      </c>
      <c r="Z108" s="22">
        <v>0</v>
      </c>
      <c r="AA108" s="411">
        <f>(+H108*R108)</f>
        <v>0</v>
      </c>
      <c r="AB108" s="411">
        <f>+I108*S108</f>
        <v>0</v>
      </c>
      <c r="AC108" s="411">
        <f t="shared" si="175"/>
        <v>0</v>
      </c>
      <c r="AD108" s="411">
        <f t="shared" si="159"/>
        <v>0</v>
      </c>
      <c r="AE108" s="411">
        <f t="shared" si="156"/>
        <v>0</v>
      </c>
      <c r="AF108" s="41">
        <v>0</v>
      </c>
      <c r="AG108" s="41">
        <v>0</v>
      </c>
      <c r="AH108" s="33">
        <v>0</v>
      </c>
      <c r="AI108" s="33">
        <v>0</v>
      </c>
      <c r="AJ108" s="41">
        <v>0</v>
      </c>
      <c r="AK108" s="41">
        <v>0</v>
      </c>
      <c r="AL108" s="33">
        <v>0</v>
      </c>
      <c r="AM108" s="33">
        <v>0</v>
      </c>
      <c r="AN108" s="41">
        <v>0</v>
      </c>
      <c r="AO108" s="33">
        <v>0</v>
      </c>
      <c r="AP108" s="411">
        <f>AA108+AH108</f>
        <v>0</v>
      </c>
      <c r="AQ108" s="411">
        <f>AB108+AI108</f>
        <v>0</v>
      </c>
      <c r="AR108" s="411">
        <f>AC108+AL108</f>
        <v>0</v>
      </c>
      <c r="AS108" s="411">
        <f>AD108+AM108</f>
        <v>0</v>
      </c>
      <c r="AT108" s="411">
        <f>AE108+AO108</f>
        <v>0</v>
      </c>
      <c r="AU108" s="411">
        <f t="shared" si="165"/>
        <v>0</v>
      </c>
      <c r="AV108" s="28">
        <f>BG108</f>
        <v>0</v>
      </c>
      <c r="AW108" s="28">
        <f>BH108</f>
        <v>0</v>
      </c>
      <c r="AX108" s="28">
        <f>BI108</f>
        <v>0</v>
      </c>
      <c r="AY108" s="28">
        <f>BJ108</f>
        <v>0</v>
      </c>
      <c r="AZ108" s="28">
        <f t="shared" si="170"/>
        <v>0</v>
      </c>
      <c r="BA108" s="28">
        <f t="shared" si="121"/>
        <v>0</v>
      </c>
      <c r="BB108" s="28">
        <f t="shared" si="171"/>
        <v>0</v>
      </c>
      <c r="BC108" s="29">
        <f>IF(BB108=0,0,ROUND(BB108/BA108,6))</f>
        <v>0</v>
      </c>
      <c r="BD108" s="28">
        <f>SUMIFS('Fin Forecast'!$F$5:$F$355,'Fin Forecast'!$A$5:$A$355,$F108,'Fin Forecast'!$B$5:$B$355,BD$5)</f>
        <v>0</v>
      </c>
      <c r="BE108" s="28">
        <f>SUMIFS('Fin Forecast'!$F$5:$F$355,'Fin Forecast'!$A$5:$A$355,$F108,'Fin Forecast'!$B$5:$B$355,BE$5)</f>
        <v>0</v>
      </c>
      <c r="BF108" s="28">
        <f>SUMIFS('Fin Forecast'!$F$5:$F$355,'Fin Forecast'!$A$5:$A$355,$F108,'Fin Forecast'!$C$5:$C$355,BF$5)</f>
        <v>0</v>
      </c>
      <c r="BG108" s="28">
        <f>SUMIFS('Fin Forecast'!$F$5:$F$355,'Fin Forecast'!$A$5:$A$355,$F108,'Fin Forecast'!$B$5:$B$355,BG$5)</f>
        <v>0</v>
      </c>
      <c r="BH108" s="28">
        <f>SUMIFS('Fin Forecast'!$F$5:$F$355,'Fin Forecast'!$A$5:$A$355,$F108,'Fin Forecast'!$B$5:$B$355,BH$5)</f>
        <v>0</v>
      </c>
      <c r="BI108" s="28">
        <f>SUMIFS('Fin Forecast'!$F$5:$F$355,'Fin Forecast'!$A$5:$A$355,$F108,'Fin Forecast'!$B$5:$B$355,BI$5)</f>
        <v>0</v>
      </c>
      <c r="BJ108" s="28">
        <f>SUMIFS('Fin Forecast'!$F$5:$F$355,'Fin Forecast'!$A$5:$A$355,$F108,'Fin Forecast'!$B$5:$B$355,BJ$5)</f>
        <v>0</v>
      </c>
      <c r="BK108" s="28">
        <f>SUMIFS('Fin Forecast'!$F$5:$F$355,'Fin Forecast'!$A$5:$A$355,$F108,'Fin Forecast'!$B$5:$B$355,BK$5)</f>
        <v>0</v>
      </c>
      <c r="BL108" s="28">
        <f>SUMIFS('Fin Forecast'!$F$5:$F$355,'Fin Forecast'!$A$5:$A$355,$F108,'Fin Forecast'!$B$5:$B$355,BL$5)</f>
        <v>0</v>
      </c>
      <c r="BM108" s="42"/>
      <c r="BN108" s="42"/>
    </row>
    <row r="109" spans="1:66" x14ac:dyDescent="0.25">
      <c r="A109" s="57"/>
      <c r="C109" s="307">
        <f t="shared" si="157"/>
        <v>44075</v>
      </c>
      <c r="D109" s="408" t="str">
        <f t="shared" si="158"/>
        <v>875</v>
      </c>
      <c r="E109" s="405" t="str">
        <f>'Retail Rates'!$B$21</f>
        <v>LGCMG875</v>
      </c>
      <c r="F109" s="405" t="s">
        <v>428</v>
      </c>
      <c r="G109" s="405" t="str">
        <f>VLOOKUP(E109,'Retail Rates'!$B$7:$D$40,3,FALSE)</f>
        <v>Distributed Generation Gas Service, Commercial</v>
      </c>
      <c r="H109" s="20">
        <f>SUMIF('Forecasted Customer Cts'!$D$5:$D$28,$F109,'Forecasted Customer Cts'!$N$5:$N$28)</f>
        <v>2</v>
      </c>
      <c r="I109" s="20">
        <v>0</v>
      </c>
      <c r="J109" s="20">
        <f>SUMIF('Forecasted Calendar Month Usage'!$D$5:$D$32,$F109,'Forecasted Calendar Month Usage'!$N$5:$N$32)*10</f>
        <v>7</v>
      </c>
      <c r="K109" s="20">
        <v>0</v>
      </c>
      <c r="L109" s="20">
        <f>SUMIFS('Fin Forecast'!F3:F502,'Fin Forecast'!A3:A502,'Mar20-Aug20 Billed-RETAIL'!F109,'Fin Forecast'!B3:B502,L5)*10</f>
        <v>1000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1">
        <f>VLOOKUP($E109,'Retail Rates'!$B$7:$P$40,4,FALSE)</f>
        <v>165</v>
      </c>
      <c r="S109" s="21">
        <f>VLOOKUP($E109,'Retail Rates'!$B$7:$P$40,5,FALSE)</f>
        <v>750</v>
      </c>
      <c r="T109" s="22">
        <f>VLOOKUP($E109,'Retail Rates'!$B$7:$P$40,8,FALSE)</f>
        <v>2.9919999999999999E-2</v>
      </c>
      <c r="U109" s="22">
        <f>VLOOKUP($E109,'Retail Rates'!$B$7:$P$40,9,FALSE)</f>
        <v>0</v>
      </c>
      <c r="V109" s="22">
        <f>VLOOKUP($E109,'Retail Rates'!$B$7:$P$40,14,FALSE)</f>
        <v>1.08978</v>
      </c>
      <c r="W109" s="22">
        <f>VLOOKUP($E109,'Retail Rates'!$B$7:$P$40,10,FALSE)</f>
        <v>0.29919999999999997</v>
      </c>
      <c r="X109" s="22">
        <f>VLOOKUP($E109,'Retail Rates'!$B$7:$P$40,11,FALSE)</f>
        <v>0</v>
      </c>
      <c r="Y109" s="22">
        <f>VLOOKUP($E109,'Retail Rates'!$B$7:$P$40,15,FALSE)</f>
        <v>10.8978</v>
      </c>
      <c r="Z109" s="22">
        <v>0</v>
      </c>
      <c r="AA109" s="411">
        <f>(+H109*R109)</f>
        <v>330</v>
      </c>
      <c r="AB109" s="411">
        <f>+I109*S109</f>
        <v>0</v>
      </c>
      <c r="AC109" s="411">
        <f t="shared" si="159"/>
        <v>0.20943999999999999</v>
      </c>
      <c r="AD109" s="411">
        <f t="shared" si="159"/>
        <v>0</v>
      </c>
      <c r="AE109" s="411">
        <f t="shared" si="156"/>
        <v>1089.78</v>
      </c>
      <c r="AF109" s="41">
        <v>0</v>
      </c>
      <c r="AG109" s="41">
        <v>0</v>
      </c>
      <c r="AH109" s="33">
        <v>0</v>
      </c>
      <c r="AI109" s="33">
        <v>0</v>
      </c>
      <c r="AJ109" s="41">
        <v>0</v>
      </c>
      <c r="AK109" s="41">
        <v>0</v>
      </c>
      <c r="AL109" s="33">
        <v>0</v>
      </c>
      <c r="AM109" s="33">
        <v>0</v>
      </c>
      <c r="AN109" s="41">
        <v>0</v>
      </c>
      <c r="AO109" s="33">
        <v>0</v>
      </c>
      <c r="AP109" s="411">
        <f t="shared" si="160"/>
        <v>330</v>
      </c>
      <c r="AQ109" s="411">
        <f t="shared" si="161"/>
        <v>0</v>
      </c>
      <c r="AR109" s="411">
        <f t="shared" si="162"/>
        <v>0.20943999999999999</v>
      </c>
      <c r="AS109" s="411">
        <f t="shared" si="163"/>
        <v>0</v>
      </c>
      <c r="AT109" s="411">
        <f t="shared" si="164"/>
        <v>1089.78</v>
      </c>
      <c r="AU109" s="411">
        <f t="shared" si="165"/>
        <v>0</v>
      </c>
      <c r="AV109" s="28">
        <f t="shared" si="166"/>
        <v>0</v>
      </c>
      <c r="AW109" s="28">
        <f t="shared" si="167"/>
        <v>2.0202172127498699</v>
      </c>
      <c r="AX109" s="28">
        <f t="shared" si="168"/>
        <v>0</v>
      </c>
      <c r="AY109" s="28">
        <f t="shared" si="169"/>
        <v>177.638617242138</v>
      </c>
      <c r="AZ109" s="28">
        <f t="shared" si="170"/>
        <v>0</v>
      </c>
      <c r="BA109" s="28">
        <f t="shared" si="121"/>
        <v>1599.65</v>
      </c>
      <c r="BB109" s="28">
        <f t="shared" si="171"/>
        <v>1599.6482744548878</v>
      </c>
      <c r="BC109" s="29">
        <f>IF(BB109=0,0,ROUND(BB109/BA109,5))</f>
        <v>1</v>
      </c>
      <c r="BD109" s="28">
        <f>SUMIFS('Fin Forecast'!$F$5:$F$355,'Fin Forecast'!$A$5:$A$355,$F109,'Fin Forecast'!$B$5:$B$355,BD$5)</f>
        <v>330</v>
      </c>
      <c r="BE109" s="28">
        <f>SUMIFS('Fin Forecast'!$F$5:$F$355,'Fin Forecast'!$A$5:$A$355,$F109,'Fin Forecast'!$B$5:$B$355,BE$5)</f>
        <v>0.20943999999999999</v>
      </c>
      <c r="BF109" s="28">
        <f>SUMIFS('Fin Forecast'!$F$5:$F$355,'Fin Forecast'!$A$5:$A$355,$F109,'Fin Forecast'!$C$5:$C$355,BF$5)</f>
        <v>1089.78</v>
      </c>
      <c r="BG109" s="28">
        <f>SUMIFS('Fin Forecast'!$F$5:$F$355,'Fin Forecast'!$A$5:$A$355,$F109,'Fin Forecast'!$B$5:$B$355,BG$5)</f>
        <v>0</v>
      </c>
      <c r="BH109" s="28">
        <f>SUMIFS('Fin Forecast'!$F$5:$F$355,'Fin Forecast'!$A$5:$A$355,$F109,'Fin Forecast'!$B$5:$B$355,BH$5)</f>
        <v>2.0202172127498699</v>
      </c>
      <c r="BI109" s="28">
        <f>SUMIFS('Fin Forecast'!$F$5:$F$355,'Fin Forecast'!$A$5:$A$355,$F109,'Fin Forecast'!$B$5:$B$355,BI$5)</f>
        <v>0</v>
      </c>
      <c r="BJ109" s="28">
        <f>SUMIFS('Fin Forecast'!$F$5:$F$355,'Fin Forecast'!$A$5:$A$355,$F109,'Fin Forecast'!$B$5:$B$355,BJ$5)</f>
        <v>177.638617242138</v>
      </c>
      <c r="BK109" s="28">
        <f>SUMIFS('Fin Forecast'!$F$5:$F$355,'Fin Forecast'!$A$5:$A$355,$F109,'Fin Forecast'!$B$5:$B$355,BK$5)</f>
        <v>0</v>
      </c>
      <c r="BL109" s="28">
        <f>SUMIFS('Fin Forecast'!$F$5:$F$355,'Fin Forecast'!$A$5:$A$355,$F109,'Fin Forecast'!$B$5:$B$355,BL$5)</f>
        <v>0</v>
      </c>
      <c r="BM109" s="42">
        <f t="shared" si="173"/>
        <v>0</v>
      </c>
      <c r="BN109" s="42">
        <f t="shared" si="174"/>
        <v>0</v>
      </c>
    </row>
    <row r="110" spans="1:66" x14ac:dyDescent="0.25">
      <c r="A110" s="57"/>
      <c r="C110" s="307">
        <f>C109</f>
        <v>44075</v>
      </c>
      <c r="D110" s="408">
        <v>996</v>
      </c>
      <c r="E110" s="405" t="s">
        <v>32</v>
      </c>
      <c r="F110" s="405" t="s">
        <v>495</v>
      </c>
      <c r="G110" s="405" t="s">
        <v>624</v>
      </c>
      <c r="H110" s="20">
        <f>SUMIF('Forecasted Customer Cts'!$D$5:$D$28,$F110,'Forecasted Customer Cts'!$N$5:$N$28)</f>
        <v>1</v>
      </c>
      <c r="I110" s="20">
        <v>0</v>
      </c>
      <c r="J110" s="20">
        <f>SUMIF('Forecasted Calendar Month Usage'!$D$5:$D$32,$F110,'Forecasted Calendar Month Usage'!$N$5:$N$32)*10</f>
        <v>281986</v>
      </c>
      <c r="K110" s="20">
        <v>0</v>
      </c>
      <c r="L110" s="20">
        <f>SUMIFS('Fin Forecast'!F4:F503,'Fin Forecast'!A4:A503,'Mar20-Aug20 Billed-RETAIL'!F110,'Fin Forecast'!B4:B503,L5)*10</f>
        <v>165600.00183523301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1">
        <f>VLOOKUP($E110,'Retail Rates'!$B$7:$P$40,4,FALSE)</f>
        <v>750</v>
      </c>
      <c r="S110" s="21">
        <f>VLOOKUP($E110,'Retail Rates'!$B$7:$P$40,5,FALSE)</f>
        <v>0</v>
      </c>
      <c r="T110" s="22">
        <f>VLOOKUP($E110,'Retail Rates'!$B$7:$P$40,8,FALSE)</f>
        <v>2.9920000000000002E-2</v>
      </c>
      <c r="U110" s="22">
        <f>VLOOKUP($E110,'Retail Rates'!$B$7:$P$40,9,FALSE)</f>
        <v>0</v>
      </c>
      <c r="V110" s="22">
        <f>VLOOKUP($E110,'Retail Rates'!$B$7:$P$40,14,FALSE)</f>
        <v>1.08978</v>
      </c>
      <c r="W110" s="22">
        <f>VLOOKUP($E110,'Retail Rates'!$B$7:$P$40,10,FALSE)</f>
        <v>0.29920000000000002</v>
      </c>
      <c r="X110" s="22">
        <f>VLOOKUP($E110,'Retail Rates'!$B$7:$P$40,11,FALSE)</f>
        <v>0</v>
      </c>
      <c r="Y110" s="22">
        <f>VLOOKUP($E110,'Retail Rates'!$B$7:$P$40,15,FALSE)</f>
        <v>10.8978</v>
      </c>
      <c r="Z110" s="22">
        <v>0</v>
      </c>
      <c r="AA110" s="411">
        <f>(+H110*R110)</f>
        <v>750</v>
      </c>
      <c r="AB110" s="411">
        <f>+I110*S110</f>
        <v>0</v>
      </c>
      <c r="AC110" s="411">
        <f t="shared" si="159"/>
        <v>8437.0211200000012</v>
      </c>
      <c r="AD110" s="411">
        <f t="shared" si="159"/>
        <v>0</v>
      </c>
      <c r="AE110" s="411">
        <f t="shared" si="156"/>
        <v>180467.57000000021</v>
      </c>
      <c r="AF110" s="41">
        <v>0</v>
      </c>
      <c r="AG110" s="41">
        <v>0</v>
      </c>
      <c r="AH110" s="33">
        <v>0</v>
      </c>
      <c r="AI110" s="33">
        <v>0</v>
      </c>
      <c r="AJ110" s="41">
        <v>0</v>
      </c>
      <c r="AK110" s="41">
        <v>0</v>
      </c>
      <c r="AL110" s="33">
        <v>0</v>
      </c>
      <c r="AM110" s="33">
        <v>0</v>
      </c>
      <c r="AN110" s="41">
        <v>0</v>
      </c>
      <c r="AO110" s="33">
        <v>0</v>
      </c>
      <c r="AP110" s="411">
        <f>AA110+AH110</f>
        <v>750</v>
      </c>
      <c r="AQ110" s="411">
        <f>AB110+AI110</f>
        <v>0</v>
      </c>
      <c r="AR110" s="411">
        <f>AC110+AL110</f>
        <v>8437.0211200000012</v>
      </c>
      <c r="AS110" s="411">
        <f>AD110+AM110</f>
        <v>0</v>
      </c>
      <c r="AT110" s="411">
        <f>AE110+AO110</f>
        <v>180467.57000000021</v>
      </c>
      <c r="AU110" s="411">
        <f t="shared" si="165"/>
        <v>0</v>
      </c>
      <c r="AV110" s="28">
        <f>BG110</f>
        <v>0</v>
      </c>
      <c r="AW110" s="28">
        <f>BH110</f>
        <v>81381.852993498105</v>
      </c>
      <c r="AX110" s="28">
        <f>BI110</f>
        <v>0</v>
      </c>
      <c r="AY110" s="28">
        <f>BJ110</f>
        <v>0</v>
      </c>
      <c r="AZ110" s="28">
        <f t="shared" si="170"/>
        <v>0</v>
      </c>
      <c r="BA110" s="28">
        <f t="shared" si="121"/>
        <v>271036.44</v>
      </c>
      <c r="BB110" s="28">
        <f t="shared" si="171"/>
        <v>271036.44411349809</v>
      </c>
      <c r="BC110" s="29">
        <f t="shared" si="172"/>
        <v>1</v>
      </c>
      <c r="BD110" s="28">
        <f>SUMIFS('Fin Forecast'!$F$5:$F$500,'Fin Forecast'!$A$5:$A$500,$F110,'Fin Forecast'!$B$5:$B$500,BD$5)</f>
        <v>750</v>
      </c>
      <c r="BE110" s="28">
        <f>SUMIFS('Fin Forecast'!$F$5:$F$500,'Fin Forecast'!$A$5:$A$500,$F110,'Fin Forecast'!$B$5:$B$500,BE$5)</f>
        <v>8437.0211199999994</v>
      </c>
      <c r="BF110" s="28">
        <f>SUMIFS('Fin Forecast'!$F$5:$F$500,'Fin Forecast'!$A$5:$A$500,$F110,'Fin Forecast'!$C$5:$C$500,BF$5)</f>
        <v>180467.57</v>
      </c>
      <c r="BG110" s="28">
        <f>SUMIFS('Fin Forecast'!$F$5:$F$500,'Fin Forecast'!$A$5:$A$500,$F110,'Fin Forecast'!$B$5:$B$500,BG$5)</f>
        <v>0</v>
      </c>
      <c r="BH110" s="28">
        <f>SUMIFS('Fin Forecast'!$F$5:$F$500,'Fin Forecast'!$A$5:$A$500,$F110,'Fin Forecast'!$B$5:$B$500,BH$5)</f>
        <v>81381.852993498105</v>
      </c>
      <c r="BI110" s="28">
        <f>SUMIFS('Fin Forecast'!$F$5:$F$500,'Fin Forecast'!$A$5:$A$500,$F110,'Fin Forecast'!$B$5:$B$500,BI$5)</f>
        <v>0</v>
      </c>
      <c r="BJ110" s="28">
        <f>SUMIFS('Fin Forecast'!$F$5:$F$500,'Fin Forecast'!$A$5:$A$500,$F110,'Fin Forecast'!$B$5:$B$500,BJ$5)</f>
        <v>0</v>
      </c>
      <c r="BK110" s="28">
        <f>SUMIFS('Fin Forecast'!$F$5:$F$500,'Fin Forecast'!$A$5:$A$500,$F110,'Fin Forecast'!$B$5:$B$500,BK$5)</f>
        <v>0</v>
      </c>
      <c r="BL110" s="28">
        <f>SUMIFS('Fin Forecast'!$F$5:$F$500,'Fin Forecast'!$A$5:$A$500,$F110,'Fin Forecast'!$B$5:$B$500,BL$5)</f>
        <v>0</v>
      </c>
      <c r="BM110" s="42"/>
      <c r="BN110" s="42"/>
    </row>
    <row r="111" spans="1:66" s="279" customFormat="1" x14ac:dyDescent="0.25">
      <c r="A111" s="57"/>
      <c r="B111"/>
      <c r="C111" s="308"/>
      <c r="D111" s="308"/>
      <c r="E111" s="280"/>
      <c r="F111" s="280"/>
      <c r="G111" s="280"/>
      <c r="H111" s="281"/>
      <c r="I111" s="281"/>
      <c r="J111" s="287"/>
      <c r="K111" s="510" t="s">
        <v>950</v>
      </c>
      <c r="R111" s="282"/>
      <c r="S111" s="282"/>
      <c r="T111" s="283"/>
      <c r="U111" s="283"/>
      <c r="V111" s="283"/>
      <c r="W111" s="283"/>
      <c r="X111" s="283"/>
      <c r="Y111" s="283"/>
      <c r="Z111" s="283"/>
      <c r="AA111" s="284"/>
      <c r="AB111" s="284"/>
      <c r="AC111" s="284"/>
      <c r="AD111" s="284"/>
      <c r="AE111" s="284"/>
      <c r="AF111" s="285"/>
      <c r="AG111" s="285"/>
      <c r="AH111" s="284"/>
      <c r="AI111" s="284"/>
      <c r="AJ111" s="284"/>
      <c r="AK111" s="284"/>
      <c r="AL111" s="284"/>
      <c r="AM111" s="284"/>
      <c r="AN111" s="284"/>
      <c r="AO111" s="284"/>
      <c r="AP111" s="297"/>
      <c r="AQ111" s="297"/>
      <c r="AR111" s="297"/>
      <c r="AS111" s="297"/>
      <c r="AT111" s="297"/>
      <c r="AU111" s="297"/>
      <c r="AV111" s="284"/>
      <c r="AW111" s="284"/>
      <c r="AX111" s="284"/>
      <c r="AY111" s="284"/>
      <c r="AZ111" s="284"/>
      <c r="BA111" s="284"/>
      <c r="BB111" s="284"/>
      <c r="BC111" s="286"/>
      <c r="BD111" s="297"/>
      <c r="BE111" s="297"/>
      <c r="BF111" s="297"/>
      <c r="BG111" s="297"/>
      <c r="BH111" s="297"/>
      <c r="BI111" s="297"/>
      <c r="BJ111" s="297"/>
      <c r="BM111" s="284"/>
      <c r="BN111" s="284"/>
    </row>
    <row r="112" spans="1:66" x14ac:dyDescent="0.25">
      <c r="A112" s="57"/>
      <c r="C112" s="307">
        <f>EDATE(C103,1)</f>
        <v>44105</v>
      </c>
      <c r="D112" s="408" t="str">
        <f>MID(E112,6,3)</f>
        <v>811</v>
      </c>
      <c r="E112" s="405" t="str">
        <f>'Retail Rates'!$B$7</f>
        <v>LGRSG811</v>
      </c>
      <c r="F112" s="405" t="s">
        <v>62</v>
      </c>
      <c r="G112" s="405" t="str">
        <f>VLOOKUP(E112,'Retail Rates'!$B$7:$D$40,3,FALSE)</f>
        <v>Residential Gas Service</v>
      </c>
      <c r="H112" s="20">
        <f>SUMIF('Forecasted Customer Cts'!$D$5:$D$28,$F112,'Forecasted Customer Cts'!$O$5:$O$28)</f>
        <v>299810</v>
      </c>
      <c r="I112" s="20">
        <v>0</v>
      </c>
      <c r="J112" s="20">
        <f>SUMIF('Forecasted Calendar Month Usage'!$D$5:$D$32,$F112,'Forecasted Calendar Month Usage'!$O$5:$O$32)*10</f>
        <v>8744435.0657560416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f>SUMIFS('Fin Forecast'!G1:G500,'Fin Forecast'!A1:A500,'Mar20-Aug20 Billed-RETAIL'!F112,'Fin Forecast'!B1:B500,P5)/R112</f>
        <v>9294110</v>
      </c>
      <c r="Q112" s="20">
        <v>0</v>
      </c>
      <c r="R112" s="21">
        <f>VLOOKUP($E112,'Retail Rates'!$B$7:$P$40,4,FALSE)</f>
        <v>0.65</v>
      </c>
      <c r="S112" s="21">
        <f>VLOOKUP($E112,'Retail Rates'!$B$7:$P$40,5,FALSE)</f>
        <v>0</v>
      </c>
      <c r="T112" s="22">
        <f>VLOOKUP($E112,'Retail Rates'!$B$7:$P$40,8,FALSE)</f>
        <v>0.36781999999999998</v>
      </c>
      <c r="U112" s="22">
        <f>VLOOKUP($E112,'Retail Rates'!$B$7:$P$40,9,FALSE)</f>
        <v>0</v>
      </c>
      <c r="V112" s="22">
        <f>VLOOKUP($E112,'Retail Rates'!$B$7:$P$40,14,FALSE)</f>
        <v>0</v>
      </c>
      <c r="W112" s="22">
        <f>VLOOKUP($E112,'Retail Rates'!$B$7:$P$40,10,FALSE)</f>
        <v>3.6781999999999999</v>
      </c>
      <c r="X112" s="22">
        <f>VLOOKUP($E112,'Retail Rates'!$B$7:$P$40,11,FALSE)</f>
        <v>0</v>
      </c>
      <c r="Y112" s="22">
        <f>VLOOKUP($E112,'Retail Rates'!$B$7:$P$40,15,FALSE)</f>
        <v>0</v>
      </c>
      <c r="Z112" s="22">
        <v>0</v>
      </c>
      <c r="AA112" s="411">
        <f>(+P112*R112)</f>
        <v>6041171.5</v>
      </c>
      <c r="AB112" s="411">
        <f>+I112*S112</f>
        <v>0</v>
      </c>
      <c r="AC112" s="411">
        <f>+J112*T112</f>
        <v>3216378.1058863872</v>
      </c>
      <c r="AD112" s="411">
        <f>+K112*U112</f>
        <v>0</v>
      </c>
      <c r="AE112" s="23">
        <f t="shared" ref="AE112:AE119" si="176">L112*V112</f>
        <v>0</v>
      </c>
      <c r="AF112" s="41">
        <v>0</v>
      </c>
      <c r="AG112" s="41">
        <v>0</v>
      </c>
      <c r="AH112" s="33">
        <v>0</v>
      </c>
      <c r="AI112" s="33">
        <v>0</v>
      </c>
      <c r="AJ112" s="41">
        <v>0</v>
      </c>
      <c r="AK112" s="41">
        <v>0</v>
      </c>
      <c r="AL112" s="33">
        <v>0</v>
      </c>
      <c r="AM112" s="33">
        <v>0</v>
      </c>
      <c r="AN112" s="41">
        <v>0</v>
      </c>
      <c r="AO112" s="33">
        <v>0</v>
      </c>
      <c r="AP112" s="411">
        <f>AA112+AH112</f>
        <v>6041171.5</v>
      </c>
      <c r="AQ112" s="411">
        <f>AB112+AI112</f>
        <v>0</v>
      </c>
      <c r="AR112" s="411">
        <f>AC112+AL112</f>
        <v>3216378.1058863872</v>
      </c>
      <c r="AS112" s="411">
        <f>AD112+AM112</f>
        <v>0</v>
      </c>
      <c r="AT112" s="411">
        <f>AE112+AO112</f>
        <v>0</v>
      </c>
      <c r="AU112" s="411">
        <f>BL112</f>
        <v>0</v>
      </c>
      <c r="AV112" s="28">
        <f>BG112</f>
        <v>154859.27537962201</v>
      </c>
      <c r="AW112" s="28">
        <f>BH112</f>
        <v>2639513.4398192</v>
      </c>
      <c r="AX112" s="28">
        <f>BI112</f>
        <v>0</v>
      </c>
      <c r="AY112" s="28">
        <f>BJ112</f>
        <v>899542.40406413795</v>
      </c>
      <c r="AZ112" s="28">
        <f>BK112</f>
        <v>0</v>
      </c>
      <c r="BA112" s="28">
        <f t="shared" si="121"/>
        <v>12951464.73</v>
      </c>
      <c r="BB112" s="28">
        <f t="shared" si="171"/>
        <v>12951464.725149341</v>
      </c>
      <c r="BC112" s="29">
        <f>IF(BB112=0,0,ROUND(BB112/BA112,6))</f>
        <v>1</v>
      </c>
      <c r="BD112" s="28">
        <f>SUMIFS('Fin Forecast'!$G$5:$G$355,'Fin Forecast'!$A$5:$A$355,$F112,'Fin Forecast'!$B$5:$B$355,BD$5)</f>
        <v>6041171.5</v>
      </c>
      <c r="BE112" s="28">
        <f>SUMIFS('Fin Forecast'!$G$5:$G$355,'Fin Forecast'!$A$5:$A$355,$F112,'Fin Forecast'!$B$5:$B$355,BE$5)</f>
        <v>3216378.1058863802</v>
      </c>
      <c r="BF112" s="28">
        <f>SUMIFS('Fin Forecast'!$G$5:$G$355,'Fin Forecast'!$A$5:$A$355,$F112,'Fin Forecast'!$C$5:$C$355,BF$5)</f>
        <v>0</v>
      </c>
      <c r="BG112" s="28">
        <f>SUMIFS('Fin Forecast'!$G$5:$G$355,'Fin Forecast'!$A$5:$A$355,$F112,'Fin Forecast'!$B$5:$B$355,BG$5)</f>
        <v>154859.27537962201</v>
      </c>
      <c r="BH112" s="28">
        <f>SUMIFS('Fin Forecast'!$G$5:$G$355,'Fin Forecast'!$A$5:$A$355,$F112,'Fin Forecast'!$B$5:$B$355,BH$5)</f>
        <v>2639513.4398192</v>
      </c>
      <c r="BI112" s="28">
        <f>SUMIFS('Fin Forecast'!$G$5:$G$355,'Fin Forecast'!$A$5:$A$355,$F112,'Fin Forecast'!$B$5:$B$355,BI$5)</f>
        <v>0</v>
      </c>
      <c r="BJ112" s="28">
        <f>SUMIFS('Fin Forecast'!$G$5:$G$355,'Fin Forecast'!$A$5:$A$355,$F112,'Fin Forecast'!$B$5:$B$355,BJ$5)</f>
        <v>899542.40406413795</v>
      </c>
      <c r="BK112" s="28">
        <f>SUMIFS('Fin Forecast'!$G$5:$G$355,'Fin Forecast'!$A$5:$A$355,$F112,'Fin Forecast'!$B$5:$B$355,BK$5)</f>
        <v>0</v>
      </c>
      <c r="BL112" s="28">
        <f>SUMIFS('Fin Forecast'!$G$5:$G$355,'Fin Forecast'!$A$5:$A$355,$F112,'Fin Forecast'!$B$5:$B$355,BL$5)</f>
        <v>0</v>
      </c>
      <c r="BM112" s="42">
        <f>+AP112+AQ112-BD112</f>
        <v>0</v>
      </c>
      <c r="BN112" s="42">
        <f>+AR112+AS112-BE112</f>
        <v>6.9849193096160889E-9</v>
      </c>
    </row>
    <row r="113" spans="1:66" x14ac:dyDescent="0.25">
      <c r="A113" s="57"/>
      <c r="C113" s="307">
        <f t="shared" ref="C113:C119" si="177">$C$112</f>
        <v>44105</v>
      </c>
      <c r="D113" s="408" t="str">
        <f t="shared" ref="D113:D118" si="178">MID(E113,6,3)</f>
        <v>851</v>
      </c>
      <c r="E113" s="405" t="str">
        <f>'Retail Rates'!$B$9</f>
        <v>LGCMG851</v>
      </c>
      <c r="F113" s="405" t="s">
        <v>56</v>
      </c>
      <c r="G113" s="405" t="str">
        <f>VLOOKUP(E113,'Retail Rates'!$B$7:$D$40,3,FALSE)</f>
        <v>Firm Commercial Gas Service</v>
      </c>
      <c r="H113" s="20">
        <f>SUMIF('Forecasted Customer Cts'!$D$5:$D$28,$F113,'Forecasted Customer Cts'!$O$5:$O$28)-I113</f>
        <v>24036</v>
      </c>
      <c r="I113" s="20">
        <f>SUMIFS('Forecasted Customer Cts'!$O$5:$O$28,'Forecasted Customer Cts'!$D$5:$D$28,$F113,'Forecasted Customer Cts'!$C$5:$C$28,$B$104)</f>
        <v>1197</v>
      </c>
      <c r="J113" s="20">
        <f>(SUMIF('Forecasted Calendar Month Usage'!$D$5:$D$32,$F113,'Forecasted Calendar Month Usage'!$O$5:$O$32)*10)-K113</f>
        <v>3408036.4076474486</v>
      </c>
      <c r="K113" s="20">
        <f>SUMIFS('Forecasted Calendar Month Usage'!$O$5:$O$32,'Forecasted Calendar Month Usage'!$D$5:$D$32,$F113,'Forecasted Calendar Month Usage'!$C$5:$C$32,$B$106)*10</f>
        <v>1664833.5957077306</v>
      </c>
      <c r="L113" s="20">
        <v>0</v>
      </c>
      <c r="M113" s="20">
        <v>0</v>
      </c>
      <c r="N113" s="20">
        <v>0</v>
      </c>
      <c r="O113" s="20">
        <v>0</v>
      </c>
      <c r="P113" s="20">
        <f>SUMIFS('Fin Forecast'!G1:G500,'Fin Forecast'!A1:A500,'Mar20-Aug20 Billed-RETAIL'!F113,'Fin Forecast'!B1:B500,P5)/R113</f>
        <v>745116</v>
      </c>
      <c r="Q113" s="20">
        <f>SUMIFS('Fin Forecast'!G1:G500,'Fin Forecast'!A1:A500,'Mar20-Aug20 Billed-RETAIL'!F113,'Fin Forecast'!B1:B500,Q5)/S113</f>
        <v>37106.999999999891</v>
      </c>
      <c r="R113" s="21">
        <f>VLOOKUP($E113,'Retail Rates'!$B$7:$P$40,4,FALSE)</f>
        <v>1.97</v>
      </c>
      <c r="S113" s="21">
        <f>VLOOKUP($E113,'Retail Rates'!$B$7:$P$40,5,FALSE)</f>
        <v>9.3699999999999992</v>
      </c>
      <c r="T113" s="22">
        <f>VLOOKUP($E113,'Retail Rates'!$B$7:$P$40,8,FALSE)</f>
        <v>0.30669999999999997</v>
      </c>
      <c r="U113" s="22">
        <f>VLOOKUP($E113,'Retail Rates'!$B$7:$P$40,9,FALSE)</f>
        <v>0.25669999999999998</v>
      </c>
      <c r="V113" s="22">
        <f>VLOOKUP($E113,'Retail Rates'!$B$7:$P$40,14,FALSE)</f>
        <v>0</v>
      </c>
      <c r="W113" s="22">
        <f>VLOOKUP($E113,'Retail Rates'!$B$7:$P$40,10,FALSE)</f>
        <v>3.0669999999999997</v>
      </c>
      <c r="X113" s="22">
        <f>VLOOKUP($E113,'Retail Rates'!$B$7:$P$40,11,FALSE)</f>
        <v>2.5669999999999997</v>
      </c>
      <c r="Y113" s="22">
        <f>VLOOKUP($E113,'Retail Rates'!$B$7:$P$40,15,FALSE)</f>
        <v>0</v>
      </c>
      <c r="Z113" s="22">
        <v>0</v>
      </c>
      <c r="AA113" s="411">
        <f>(+P113*R113)</f>
        <v>1467878.52</v>
      </c>
      <c r="AB113" s="411">
        <f>+Q113*S113</f>
        <v>347692.58999999892</v>
      </c>
      <c r="AC113" s="411">
        <f t="shared" ref="AC113:AD119" si="179">+J113*T113</f>
        <v>1045244.7662254724</v>
      </c>
      <c r="AD113" s="411">
        <f t="shared" si="179"/>
        <v>427362.7840181744</v>
      </c>
      <c r="AE113" s="411">
        <f t="shared" si="176"/>
        <v>0</v>
      </c>
      <c r="AF113" s="41">
        <v>0</v>
      </c>
      <c r="AG113" s="41">
        <v>0</v>
      </c>
      <c r="AH113" s="33">
        <v>0</v>
      </c>
      <c r="AI113" s="33">
        <v>0</v>
      </c>
      <c r="AJ113" s="41">
        <v>0</v>
      </c>
      <c r="AK113" s="41">
        <v>0</v>
      </c>
      <c r="AL113" s="33">
        <v>0</v>
      </c>
      <c r="AM113" s="33">
        <v>0</v>
      </c>
      <c r="AN113" s="41">
        <v>0</v>
      </c>
      <c r="AO113" s="33">
        <v>0</v>
      </c>
      <c r="AP113" s="411">
        <f t="shared" ref="AP113:AP119" si="180">AA113+AH113</f>
        <v>1467878.52</v>
      </c>
      <c r="AQ113" s="411">
        <f t="shared" ref="AQ113:AQ119" si="181">AB113+AI113</f>
        <v>347692.58999999892</v>
      </c>
      <c r="AR113" s="411">
        <f t="shared" ref="AR113:AR119" si="182">AC113+AL113</f>
        <v>1045244.7662254724</v>
      </c>
      <c r="AS113" s="411">
        <f t="shared" ref="AS113:AS119" si="183">AD113+AM113</f>
        <v>427362.7840181744</v>
      </c>
      <c r="AT113" s="411">
        <f t="shared" ref="AT113:AT119" si="184">AE113+AO113</f>
        <v>0</v>
      </c>
      <c r="AU113" s="411">
        <f t="shared" ref="AU113:AU119" si="185">BL113</f>
        <v>0</v>
      </c>
      <c r="AV113" s="28">
        <f t="shared" ref="AV113:AV119" si="186">BG113</f>
        <v>89837.818785001597</v>
      </c>
      <c r="AW113" s="28">
        <f t="shared" ref="AW113:AW119" si="187">BH113</f>
        <v>1531249.1260581999</v>
      </c>
      <c r="AX113" s="28">
        <f t="shared" ref="AX113:AX119" si="188">BI113</f>
        <v>0</v>
      </c>
      <c r="AY113" s="28">
        <f t="shared" ref="AY113:AY119" si="189">BJ113</f>
        <v>372475.925693709</v>
      </c>
      <c r="AZ113" s="28">
        <f t="shared" ref="AZ113:AZ119" si="190">BK113</f>
        <v>0</v>
      </c>
      <c r="BA113" s="28">
        <f t="shared" si="121"/>
        <v>5281741.53</v>
      </c>
      <c r="BB113" s="28">
        <f t="shared" si="171"/>
        <v>5281741.5307805408</v>
      </c>
      <c r="BC113" s="29">
        <f t="shared" ref="BC113:BC119" si="191">IF(BB113=0,0,ROUND(BB113/BA113,6))</f>
        <v>1</v>
      </c>
      <c r="BD113" s="28">
        <f>SUMIFS('Fin Forecast'!$G$5:$G$355,'Fin Forecast'!$A$5:$A$355,$F113,'Fin Forecast'!$B$5:$B$355,BD$5)</f>
        <v>1815571.1099999901</v>
      </c>
      <c r="BE113" s="28">
        <f>SUMIFS('Fin Forecast'!$G$5:$G$355,'Fin Forecast'!$A$5:$A$355,$F113,'Fin Forecast'!$B$5:$B$355,BE$5)</f>
        <v>1472607.5502436401</v>
      </c>
      <c r="BF113" s="28">
        <f>SUMIFS('Fin Forecast'!$G$5:$G$355,'Fin Forecast'!$A$5:$A$355,$F113,'Fin Forecast'!$C$5:$C$355,BF$5)</f>
        <v>0</v>
      </c>
      <c r="BG113" s="28">
        <f>SUMIFS('Fin Forecast'!$G$5:$G$355,'Fin Forecast'!$A$5:$A$355,$F113,'Fin Forecast'!$B$5:$B$355,BG$5)</f>
        <v>89837.818785001597</v>
      </c>
      <c r="BH113" s="28">
        <f>SUMIFS('Fin Forecast'!$G$5:$G$355,'Fin Forecast'!$A$5:$A$355,$F113,'Fin Forecast'!$B$5:$B$355,BH$5)</f>
        <v>1531249.1260581999</v>
      </c>
      <c r="BI113" s="28">
        <f>SUMIFS('Fin Forecast'!$G$5:$G$355,'Fin Forecast'!$A$5:$A$355,$F113,'Fin Forecast'!$B$5:$B$355,BI$5)</f>
        <v>0</v>
      </c>
      <c r="BJ113" s="28">
        <f>SUMIFS('Fin Forecast'!$G$5:$G$355,'Fin Forecast'!$A$5:$A$355,$F113,'Fin Forecast'!$B$5:$B$355,BJ$5)</f>
        <v>372475.925693709</v>
      </c>
      <c r="BK113" s="28">
        <f>SUMIFS('Fin Forecast'!$G$5:$G$355,'Fin Forecast'!$A$5:$A$355,$F113,'Fin Forecast'!$B$5:$B$355,BK$5)</f>
        <v>0</v>
      </c>
      <c r="BL113" s="28">
        <f>SUMIFS('Fin Forecast'!$G$5:$G$355,'Fin Forecast'!$A$5:$A$355,$F113,'Fin Forecast'!$B$5:$B$355,BL$5)</f>
        <v>0</v>
      </c>
      <c r="BM113" s="42">
        <f t="shared" ref="BM113:BM119" si="192">+AP113+AQ113-BD113</f>
        <v>8.8475644588470459E-9</v>
      </c>
      <c r="BN113" s="42">
        <f t="shared" ref="BN113:BN119" si="193">+AR113+AS113-BE113</f>
        <v>6.7520886659622192E-9</v>
      </c>
    </row>
    <row r="114" spans="1:66" x14ac:dyDescent="0.25">
      <c r="A114" s="8" t="s">
        <v>380</v>
      </c>
      <c r="B114" t="s">
        <v>381</v>
      </c>
      <c r="C114" s="307">
        <f t="shared" si="177"/>
        <v>44105</v>
      </c>
      <c r="D114" s="408" t="str">
        <f t="shared" si="178"/>
        <v>855</v>
      </c>
      <c r="E114" s="405" t="str">
        <f>'Retail Rates'!$B$11</f>
        <v>LGING855</v>
      </c>
      <c r="F114" s="405" t="s">
        <v>59</v>
      </c>
      <c r="G114" s="405" t="str">
        <f>VLOOKUP(E114,'Retail Rates'!$B$7:$D$40,3,FALSE)</f>
        <v>Firm Industrial Gas Service-DSM Opt-Out</v>
      </c>
      <c r="H114" s="20">
        <f>SUMIF('Forecasted Customer Cts'!$D$5:$D$28,$F114,'Forecasted Customer Cts'!$O$5:$O$28)-I114</f>
        <v>110</v>
      </c>
      <c r="I114" s="20">
        <f>SUMIFS('Forecasted Customer Cts'!$O$5:$O$28,'Forecasted Customer Cts'!$D$5:$D$28,$F114,'Forecasted Customer Cts'!$C$5:$C$28,$B$104)</f>
        <v>84</v>
      </c>
      <c r="J114" s="20">
        <f>(SUMIF('Forecasted Calendar Month Usage'!$D$5:$D$32,$F114,'Forecasted Calendar Month Usage'!$O$5:$O$32)*10)-K114</f>
        <v>107253.72669689439</v>
      </c>
      <c r="K114" s="20">
        <f>SUMIFS('Forecasted Calendar Month Usage'!$O$5:$O$32,'Forecasted Calendar Month Usage'!$D$5:$D$32,$F114,'Forecasted Calendar Month Usage'!$C$5:$C$32,$B$106)*10</f>
        <v>375470.55122356187</v>
      </c>
      <c r="L114" s="20">
        <v>0</v>
      </c>
      <c r="M114" s="20">
        <v>0</v>
      </c>
      <c r="N114" s="20">
        <v>0</v>
      </c>
      <c r="O114" s="20">
        <v>0</v>
      </c>
      <c r="P114" s="20">
        <f>SUMIFS('Fin Forecast'!G2:G501,'Fin Forecast'!A2:A501,'Mar20-Aug20 Billed-RETAIL'!F114,'Fin Forecast'!B2:B501,P5)/R114</f>
        <v>3410</v>
      </c>
      <c r="Q114" s="20">
        <f>SUMIFS('Fin Forecast'!G2:G501,'Fin Forecast'!A2:A501,'Mar20-Aug20 Billed-RETAIL'!F114,'Fin Forecast'!B2:B501,Q5)/S114</f>
        <v>2604</v>
      </c>
      <c r="R114" s="21">
        <f>VLOOKUP($E114,'Retail Rates'!$B$7:$P$40,4,FALSE)</f>
        <v>5.42</v>
      </c>
      <c r="S114" s="21">
        <f>VLOOKUP($E114,'Retail Rates'!$B$7:$P$40,5,FALSE)</f>
        <v>24.64</v>
      </c>
      <c r="T114" s="22">
        <f>VLOOKUP($E114,'Retail Rates'!$B$7:$P$40,8,FALSE)</f>
        <v>0.21929000000000001</v>
      </c>
      <c r="U114" s="22">
        <f>VLOOKUP($E114,'Retail Rates'!$B$7:$P$40,9,FALSE)</f>
        <v>0.16929</v>
      </c>
      <c r="V114" s="22">
        <f>VLOOKUP($E114,'Retail Rates'!$B$7:$P$40,14,FALSE)</f>
        <v>0</v>
      </c>
      <c r="W114" s="22">
        <f>VLOOKUP($E114,'Retail Rates'!$B$7:$P$40,10,FALSE)</f>
        <v>2.1929000000000003</v>
      </c>
      <c r="X114" s="22">
        <f>VLOOKUP($E114,'Retail Rates'!$B$7:$P$40,11,FALSE)</f>
        <v>1.6928999999999998</v>
      </c>
      <c r="Y114" s="22">
        <f>VLOOKUP($E114,'Retail Rates'!$B$7:$P$40,15,FALSE)</f>
        <v>0</v>
      </c>
      <c r="Z114" s="22">
        <v>0</v>
      </c>
      <c r="AA114" s="411">
        <f>(+P114*R114)</f>
        <v>18482.2</v>
      </c>
      <c r="AB114" s="411">
        <f>+Q114*S114</f>
        <v>64162.560000000005</v>
      </c>
      <c r="AC114" s="411">
        <f t="shared" si="179"/>
        <v>23519.669727361972</v>
      </c>
      <c r="AD114" s="411">
        <f t="shared" si="179"/>
        <v>63563.409616636789</v>
      </c>
      <c r="AE114" s="411">
        <f t="shared" si="176"/>
        <v>0</v>
      </c>
      <c r="AF114" s="41">
        <v>0</v>
      </c>
      <c r="AG114" s="41">
        <v>0</v>
      </c>
      <c r="AH114" s="33">
        <v>0</v>
      </c>
      <c r="AI114" s="33">
        <v>0</v>
      </c>
      <c r="AJ114" s="41">
        <v>0</v>
      </c>
      <c r="AK114" s="41">
        <v>0</v>
      </c>
      <c r="AL114" s="33">
        <v>0</v>
      </c>
      <c r="AM114" s="33">
        <v>0</v>
      </c>
      <c r="AN114" s="41">
        <v>0</v>
      </c>
      <c r="AO114" s="33">
        <v>0</v>
      </c>
      <c r="AP114" s="411">
        <f t="shared" si="180"/>
        <v>18482.2</v>
      </c>
      <c r="AQ114" s="411">
        <f t="shared" si="181"/>
        <v>64162.560000000005</v>
      </c>
      <c r="AR114" s="411">
        <f t="shared" si="182"/>
        <v>23519.669727361972</v>
      </c>
      <c r="AS114" s="411">
        <f t="shared" si="183"/>
        <v>63563.409616636789</v>
      </c>
      <c r="AT114" s="411">
        <f t="shared" si="184"/>
        <v>0</v>
      </c>
      <c r="AU114" s="411">
        <f t="shared" si="185"/>
        <v>0</v>
      </c>
      <c r="AV114" s="28">
        <f t="shared" si="186"/>
        <v>0</v>
      </c>
      <c r="AW114" s="28">
        <f t="shared" si="187"/>
        <v>145710.638791037</v>
      </c>
      <c r="AX114" s="28">
        <f t="shared" si="188"/>
        <v>0</v>
      </c>
      <c r="AY114" s="28">
        <f t="shared" si="189"/>
        <v>32181.167129163299</v>
      </c>
      <c r="AZ114" s="28">
        <f t="shared" si="190"/>
        <v>0</v>
      </c>
      <c r="BA114" s="28">
        <f t="shared" si="121"/>
        <v>347619.65</v>
      </c>
      <c r="BB114" s="28">
        <f t="shared" si="171"/>
        <v>347619.64526419912</v>
      </c>
      <c r="BC114" s="29">
        <f t="shared" si="191"/>
        <v>1</v>
      </c>
      <c r="BD114" s="28">
        <f>SUMIFS('Fin Forecast'!$G$5:$G$355,'Fin Forecast'!$A$5:$A$355,$F114,'Fin Forecast'!$B$5:$B$355,BD$5)</f>
        <v>82644.759999999995</v>
      </c>
      <c r="BE114" s="28">
        <f>SUMIFS('Fin Forecast'!$G$5:$G$355,'Fin Forecast'!$A$5:$A$355,$F114,'Fin Forecast'!$B$5:$B$355,BE$5)</f>
        <v>87083.079343998805</v>
      </c>
      <c r="BF114" s="28">
        <f>SUMIFS('Fin Forecast'!$G$5:$G$355,'Fin Forecast'!$A$5:$A$355,$F114,'Fin Forecast'!$C$5:$C$355,BF$5)</f>
        <v>0</v>
      </c>
      <c r="BG114" s="28">
        <f>SUMIFS('Fin Forecast'!$G$5:$G$355,'Fin Forecast'!$A$5:$A$355,$F114,'Fin Forecast'!$B$5:$B$355,BG$5)</f>
        <v>0</v>
      </c>
      <c r="BH114" s="28">
        <f>SUMIFS('Fin Forecast'!$G$5:$G$355,'Fin Forecast'!$A$5:$A$355,$F114,'Fin Forecast'!$B$5:$B$355,BH$5)</f>
        <v>145710.638791037</v>
      </c>
      <c r="BI114" s="28">
        <f>SUMIFS('Fin Forecast'!$G$5:$G$355,'Fin Forecast'!$A$5:$A$355,$F114,'Fin Forecast'!$B$5:$B$355,BI$5)</f>
        <v>0</v>
      </c>
      <c r="BJ114" s="28">
        <f>SUMIFS('Fin Forecast'!$G$5:$G$355,'Fin Forecast'!$A$5:$A$355,$F114,'Fin Forecast'!$B$5:$B$355,BJ$5)</f>
        <v>32181.167129163299</v>
      </c>
      <c r="BK114" s="28">
        <f>SUMIFS('Fin Forecast'!$G$5:$G$355,'Fin Forecast'!$A$5:$A$355,$F114,'Fin Forecast'!$B$5:$B$355,BK$5)</f>
        <v>0</v>
      </c>
      <c r="BL114" s="28">
        <f>SUMIFS('Fin Forecast'!$G$5:$G$355,'Fin Forecast'!$A$5:$A$355,$F114,'Fin Forecast'!$B$5:$B$355,BL$5)</f>
        <v>0</v>
      </c>
      <c r="BM114" s="42">
        <f t="shared" si="192"/>
        <v>0</v>
      </c>
      <c r="BN114" s="42">
        <f t="shared" si="193"/>
        <v>0</v>
      </c>
    </row>
    <row r="115" spans="1:66" x14ac:dyDescent="0.25">
      <c r="C115" s="307">
        <f t="shared" si="177"/>
        <v>44105</v>
      </c>
      <c r="D115" s="408" t="str">
        <f t="shared" si="178"/>
        <v>865</v>
      </c>
      <c r="E115" s="405" t="str">
        <f>'Retail Rates'!$B$14</f>
        <v>LGCMG865</v>
      </c>
      <c r="F115" s="405" t="s">
        <v>223</v>
      </c>
      <c r="G115" s="405" t="str">
        <f>VLOOKUP(E115,'Retail Rates'!$B$7:$D$40,3,FALSE)</f>
        <v>As-Available Gas Service, Commercial</v>
      </c>
      <c r="H115" s="20">
        <f>SUMIF('Forecasted Customer Cts'!$D$5:$D$28,$F115,'Forecasted Customer Cts'!$O$5:$O$28)</f>
        <v>3</v>
      </c>
      <c r="I115" s="20">
        <v>0</v>
      </c>
      <c r="J115" s="20">
        <v>0</v>
      </c>
      <c r="K115" s="20">
        <v>0</v>
      </c>
      <c r="L115" s="20">
        <v>0</v>
      </c>
      <c r="M115" s="20">
        <f>SUMIF('Forecasted Calendar Month Usage'!$D$5:$D$32,$F115,'Forecasted Calendar Month Usage'!$O$5:$O$32)</f>
        <v>6093.4688333038639</v>
      </c>
      <c r="N115" s="20">
        <v>0</v>
      </c>
      <c r="O115" s="20">
        <v>0</v>
      </c>
      <c r="P115" s="20">
        <v>0</v>
      </c>
      <c r="Q115" s="20">
        <v>0</v>
      </c>
      <c r="R115" s="21">
        <f>VLOOKUP($E115,'Retail Rates'!$B$7:$P$40,4,FALSE)</f>
        <v>500</v>
      </c>
      <c r="S115" s="21">
        <f>VLOOKUP($E115,'Retail Rates'!$B$7:$P$40,5,FALSE)</f>
        <v>0</v>
      </c>
      <c r="T115" s="22">
        <f>VLOOKUP($E115,'Retail Rates'!$B$7:$P$40,8,FALSE)</f>
        <v>0.10644000000000001</v>
      </c>
      <c r="U115" s="22">
        <f>VLOOKUP($E115,'Retail Rates'!$B$7:$P$40,9,FALSE)</f>
        <v>0</v>
      </c>
      <c r="V115" s="22">
        <f>VLOOKUP($E115,'Retail Rates'!$B$7:$P$40,14,FALSE)</f>
        <v>0</v>
      </c>
      <c r="W115" s="22">
        <f>VLOOKUP($E115,'Retail Rates'!$B$7:$P$40,10,FALSE)</f>
        <v>1.0644</v>
      </c>
      <c r="X115" s="22">
        <f>VLOOKUP($E115,'Retail Rates'!$B$7:$P$40,11,FALSE)</f>
        <v>0</v>
      </c>
      <c r="Y115" s="22">
        <f>VLOOKUP($E115,'Retail Rates'!$B$7:$P$40,15,FALSE)</f>
        <v>0</v>
      </c>
      <c r="Z115" s="22">
        <v>0</v>
      </c>
      <c r="AA115" s="411">
        <f>(+H115*R115)</f>
        <v>1500</v>
      </c>
      <c r="AB115" s="411">
        <f>+I115*S115</f>
        <v>0</v>
      </c>
      <c r="AC115" s="411">
        <f>+M115*W115</f>
        <v>6485.8882261686331</v>
      </c>
      <c r="AD115" s="411">
        <f t="shared" si="179"/>
        <v>0</v>
      </c>
      <c r="AE115" s="411">
        <f t="shared" si="176"/>
        <v>0</v>
      </c>
      <c r="AF115" s="41">
        <v>0</v>
      </c>
      <c r="AG115" s="41">
        <v>0</v>
      </c>
      <c r="AH115" s="33">
        <v>0</v>
      </c>
      <c r="AI115" s="33">
        <v>0</v>
      </c>
      <c r="AJ115" s="41">
        <v>0</v>
      </c>
      <c r="AK115" s="41">
        <v>0</v>
      </c>
      <c r="AL115" s="33">
        <v>0</v>
      </c>
      <c r="AM115" s="33">
        <v>0</v>
      </c>
      <c r="AN115" s="41">
        <v>0</v>
      </c>
      <c r="AO115" s="33">
        <v>0</v>
      </c>
      <c r="AP115" s="411">
        <f t="shared" si="180"/>
        <v>1500</v>
      </c>
      <c r="AQ115" s="411">
        <f t="shared" si="181"/>
        <v>0</v>
      </c>
      <c r="AR115" s="411">
        <f t="shared" si="182"/>
        <v>6485.8882261686331</v>
      </c>
      <c r="AS115" s="411">
        <f t="shared" si="183"/>
        <v>0</v>
      </c>
      <c r="AT115" s="411">
        <f t="shared" si="184"/>
        <v>0</v>
      </c>
      <c r="AU115" s="411">
        <f t="shared" si="185"/>
        <v>0</v>
      </c>
      <c r="AV115" s="28">
        <f t="shared" si="186"/>
        <v>641.50217648699004</v>
      </c>
      <c r="AW115" s="28">
        <f t="shared" si="187"/>
        <v>18393.175499250301</v>
      </c>
      <c r="AX115" s="28">
        <f t="shared" si="188"/>
        <v>0</v>
      </c>
      <c r="AY115" s="28">
        <f t="shared" si="189"/>
        <v>2756.64957666186</v>
      </c>
      <c r="AZ115" s="28">
        <f t="shared" si="190"/>
        <v>0</v>
      </c>
      <c r="BA115" s="28">
        <f t="shared" si="121"/>
        <v>29777.22</v>
      </c>
      <c r="BB115" s="28">
        <f t="shared" si="171"/>
        <v>29777.215478567785</v>
      </c>
      <c r="BC115" s="29">
        <f t="shared" si="191"/>
        <v>1</v>
      </c>
      <c r="BD115" s="28">
        <f>SUMIFS('Fin Forecast'!$G$5:$G$355,'Fin Forecast'!$A$5:$A$355,$F115,'Fin Forecast'!$B$5:$B$355,BD$5)</f>
        <v>1500</v>
      </c>
      <c r="BE115" s="28">
        <f>SUMIFS('Fin Forecast'!$G$5:$G$355,'Fin Forecast'!$A$5:$A$355,$F115,'Fin Forecast'!$B$5:$B$355,BE$5)</f>
        <v>6485.8882261686304</v>
      </c>
      <c r="BF115" s="28">
        <f>SUMIFS('Fin Forecast'!$G$5:$G$355,'Fin Forecast'!$A$5:$A$355,$F115,'Fin Forecast'!$C$5:$C$355,BF$5)</f>
        <v>0</v>
      </c>
      <c r="BG115" s="28">
        <f>SUMIFS('Fin Forecast'!$G$5:$G$355,'Fin Forecast'!$A$5:$A$355,$F115,'Fin Forecast'!$B$5:$B$355,BG$5)</f>
        <v>641.50217648699004</v>
      </c>
      <c r="BH115" s="28">
        <f>SUMIFS('Fin Forecast'!$G$5:$G$355,'Fin Forecast'!$A$5:$A$355,$F115,'Fin Forecast'!$B$5:$B$355,BH$5)</f>
        <v>18393.175499250301</v>
      </c>
      <c r="BI115" s="28">
        <f>SUMIFS('Fin Forecast'!$G$5:$G$355,'Fin Forecast'!$A$5:$A$355,$F115,'Fin Forecast'!$B$5:$B$355,BI$5)</f>
        <v>0</v>
      </c>
      <c r="BJ115" s="28">
        <f>SUMIFS('Fin Forecast'!$G$5:$G$355,'Fin Forecast'!$A$5:$A$355,$F115,'Fin Forecast'!$B$5:$B$355,BJ$5)</f>
        <v>2756.64957666186</v>
      </c>
      <c r="BK115" s="28">
        <f>SUMIFS('Fin Forecast'!$G$5:$G$355,'Fin Forecast'!$A$5:$A$355,$F115,'Fin Forecast'!$B$5:$B$355,BK$5)</f>
        <v>0</v>
      </c>
      <c r="BL115" s="28">
        <f>SUMIFS('Fin Forecast'!$G$5:$G$355,'Fin Forecast'!$A$5:$A$355,$F115,'Fin Forecast'!$B$5:$B$355,BL$5)</f>
        <v>0</v>
      </c>
      <c r="BM115" s="42">
        <f t="shared" si="192"/>
        <v>0</v>
      </c>
      <c r="BN115" s="42">
        <f t="shared" si="193"/>
        <v>0</v>
      </c>
    </row>
    <row r="116" spans="1:66" x14ac:dyDescent="0.25">
      <c r="C116" s="307">
        <f t="shared" si="177"/>
        <v>44105</v>
      </c>
      <c r="D116" s="408" t="str">
        <f t="shared" si="178"/>
        <v>870</v>
      </c>
      <c r="E116" s="405" t="str">
        <f>'Retail Rates'!$B$17</f>
        <v>LGCMG870</v>
      </c>
      <c r="F116" s="405" t="s">
        <v>553</v>
      </c>
      <c r="G116" s="405" t="str">
        <f>VLOOKUP(E116,'Retail Rates'!$B$7:$D$40,3,FALSE)</f>
        <v>Substitute Gas Sales Service-Commercial</v>
      </c>
      <c r="H116" s="20">
        <f>SUMIF('Forecasted Customer Cts'!$D$5:$D$28,$F116,'Forecasted Customer Cts'!$O$5:$O$28)</f>
        <v>1</v>
      </c>
      <c r="I116" s="20">
        <v>0</v>
      </c>
      <c r="J116" s="20">
        <v>0</v>
      </c>
      <c r="K116" s="20">
        <v>0</v>
      </c>
      <c r="L116" s="20">
        <v>0</v>
      </c>
      <c r="M116" s="20">
        <f>SUMIF('Forecasted Calendar Month Usage'!$D$5:$D$32,$F116,'Forecasted Calendar Month Usage'!$O$5:$O$32)</f>
        <v>0</v>
      </c>
      <c r="N116" s="20">
        <v>0</v>
      </c>
      <c r="O116" s="20">
        <f>SUMIFS('Fin Forecast'!G1:G500,'Fin Forecast'!A1:A500,'Mar20-Aug20 Billed-RETAIL'!F116,'Fin Forecast'!B1:B500,O5)</f>
        <v>2418.1006097560999</v>
      </c>
      <c r="P116" s="20">
        <v>0</v>
      </c>
      <c r="Q116" s="20">
        <v>0</v>
      </c>
      <c r="R116" s="21">
        <f>VLOOKUP($E116,'Retail Rates'!$B$7:$P$40,4,FALSE)</f>
        <v>285</v>
      </c>
      <c r="S116" s="21">
        <f>VLOOKUP($E116,'Retail Rates'!$B$7:$P$40,5,FALSE)</f>
        <v>0</v>
      </c>
      <c r="T116" s="22">
        <f>VLOOKUP($E116,'Retail Rates'!$B$7:$P$40,8,FALSE)</f>
        <v>3.603E-2</v>
      </c>
      <c r="U116" s="22">
        <f>VLOOKUP($E116,'Retail Rates'!$B$7:$P$40,9,FALSE)</f>
        <v>0</v>
      </c>
      <c r="V116" s="22">
        <f>VLOOKUP($E116,'Retail Rates'!$B$7:$P$40,14,FALSE)</f>
        <v>0.65599999999999992</v>
      </c>
      <c r="W116" s="22">
        <f>VLOOKUP($E116,'Retail Rates'!$B$7:$P$40,10,FALSE)</f>
        <v>0.36030000000000001</v>
      </c>
      <c r="X116" s="22">
        <f>VLOOKUP($E116,'Retail Rates'!$B$7:$P$40,11,FALSE)</f>
        <v>0</v>
      </c>
      <c r="Y116" s="22">
        <f>VLOOKUP($E116,'Retail Rates'!$B$7:$P$40,15,FALSE)</f>
        <v>6.56</v>
      </c>
      <c r="Z116" s="22">
        <v>0</v>
      </c>
      <c r="AA116" s="411">
        <f>(+H116*R116)</f>
        <v>285</v>
      </c>
      <c r="AB116" s="411">
        <f>+I116*S116</f>
        <v>0</v>
      </c>
      <c r="AC116" s="411">
        <f t="shared" ref="AC116:AC117" si="194">+M116*W116</f>
        <v>0</v>
      </c>
      <c r="AD116" s="411">
        <f t="shared" si="179"/>
        <v>0</v>
      </c>
      <c r="AE116" s="411">
        <f>O116*Y116</f>
        <v>15862.740000000014</v>
      </c>
      <c r="AF116" s="41">
        <v>0</v>
      </c>
      <c r="AG116" s="41">
        <v>0</v>
      </c>
      <c r="AH116" s="33">
        <v>0</v>
      </c>
      <c r="AI116" s="33">
        <v>0</v>
      </c>
      <c r="AJ116" s="41">
        <v>0</v>
      </c>
      <c r="AK116" s="41">
        <v>0</v>
      </c>
      <c r="AL116" s="33">
        <v>0</v>
      </c>
      <c r="AM116" s="33">
        <v>0</v>
      </c>
      <c r="AN116" s="41">
        <v>0</v>
      </c>
      <c r="AO116" s="33">
        <v>0</v>
      </c>
      <c r="AP116" s="411">
        <f t="shared" si="180"/>
        <v>285</v>
      </c>
      <c r="AQ116" s="411">
        <f t="shared" si="181"/>
        <v>0</v>
      </c>
      <c r="AR116" s="411">
        <f t="shared" si="182"/>
        <v>0</v>
      </c>
      <c r="AS116" s="411">
        <f t="shared" si="183"/>
        <v>0</v>
      </c>
      <c r="AT116" s="411">
        <f t="shared" si="184"/>
        <v>15862.740000000014</v>
      </c>
      <c r="AU116" s="411">
        <f t="shared" si="185"/>
        <v>0</v>
      </c>
      <c r="AV116" s="28">
        <f t="shared" si="186"/>
        <v>0</v>
      </c>
      <c r="AW116" s="28">
        <f t="shared" si="187"/>
        <v>0</v>
      </c>
      <c r="AX116" s="28">
        <f t="shared" si="188"/>
        <v>0</v>
      </c>
      <c r="AY116" s="28">
        <f t="shared" si="189"/>
        <v>1225.1617427521401</v>
      </c>
      <c r="AZ116" s="28">
        <f t="shared" si="190"/>
        <v>0</v>
      </c>
      <c r="BA116" s="28">
        <f t="shared" si="121"/>
        <v>17372.900000000001</v>
      </c>
      <c r="BB116" s="28">
        <f t="shared" si="171"/>
        <v>17372.901742752139</v>
      </c>
      <c r="BC116" s="29">
        <f>IF(BB116=0,0,ROUND(BB116/BA116,5))</f>
        <v>1</v>
      </c>
      <c r="BD116" s="28">
        <f>SUMIFS('Fin Forecast'!$G$5:$G$355,'Fin Forecast'!$A$5:$A$355,$F116,'Fin Forecast'!$B$5:$B$355,BD$5)</f>
        <v>285</v>
      </c>
      <c r="BE116" s="28">
        <f>SUMIFS('Fin Forecast'!$G$5:$G$355,'Fin Forecast'!$A$5:$A$355,$F116,'Fin Forecast'!$B$5:$B$355,BE$5)</f>
        <v>0</v>
      </c>
      <c r="BF116" s="28">
        <f>SUMIFS('Fin Forecast'!$G$5:$G$355,'Fin Forecast'!$A$5:$A$355,$F116,'Fin Forecast'!$C$5:$C$355,BF$5)</f>
        <v>15862.74</v>
      </c>
      <c r="BG116" s="28">
        <f>SUMIFS('Fin Forecast'!$G$5:$G$355,'Fin Forecast'!$A$5:$A$355,$F116,'Fin Forecast'!$B$5:$B$355,BG$5)</f>
        <v>0</v>
      </c>
      <c r="BH116" s="28">
        <f>SUMIFS('Fin Forecast'!$G$5:$G$355,'Fin Forecast'!$A$5:$A$355,$F116,'Fin Forecast'!$B$5:$B$355,BH$5)</f>
        <v>0</v>
      </c>
      <c r="BI116" s="28">
        <f>SUMIFS('Fin Forecast'!$G$5:$G$355,'Fin Forecast'!$A$5:$A$355,$F116,'Fin Forecast'!$B$5:$B$355,BI$5)</f>
        <v>0</v>
      </c>
      <c r="BJ116" s="28">
        <f>SUMIFS('Fin Forecast'!$G$5:$G$355,'Fin Forecast'!$A$5:$A$355,$F116,'Fin Forecast'!$B$5:$B$355,BJ$5)</f>
        <v>1225.1617427521401</v>
      </c>
      <c r="BK116" s="28">
        <f>SUMIFS('Fin Forecast'!$G$5:$G$355,'Fin Forecast'!$A$5:$A$355,$F116,'Fin Forecast'!$B$5:$B$355,BK$5)</f>
        <v>0</v>
      </c>
      <c r="BL116" s="28">
        <f>SUMIFS('Fin Forecast'!$G$5:$G$355,'Fin Forecast'!$A$5:$A$355,$F116,'Fin Forecast'!$B$5:$B$355,BL$5)</f>
        <v>0</v>
      </c>
      <c r="BM116" s="42">
        <f t="shared" si="192"/>
        <v>0</v>
      </c>
      <c r="BN116" s="42">
        <f t="shared" si="193"/>
        <v>0</v>
      </c>
    </row>
    <row r="117" spans="1:66" x14ac:dyDescent="0.25">
      <c r="A117" s="8" t="s">
        <v>382</v>
      </c>
      <c r="B117" t="s">
        <v>383</v>
      </c>
      <c r="C117" s="307">
        <f t="shared" si="177"/>
        <v>44105</v>
      </c>
      <c r="D117" s="408" t="str">
        <f t="shared" si="178"/>
        <v>871</v>
      </c>
      <c r="E117" s="405" t="s">
        <v>565</v>
      </c>
      <c r="F117" s="405" t="s">
        <v>555</v>
      </c>
      <c r="G117" s="405" t="str">
        <f>VLOOKUP(E117,'Retail Rates'!$B$7:$D$40,3,FALSE)</f>
        <v>Substitute Gas Sales Service-Industrial Opt In</v>
      </c>
      <c r="H117" s="20">
        <f>SUMIF('Forecasted Customer Cts'!$D$5:$D$28,$F117,'Forecasted Customer Cts'!$O$5:$O$28)</f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f>SUMIF('Forecasted Calendar Month Usage'!$D$5:$D$32,$F117,'Forecasted Calendar Month Usage'!$O$5:$O$32)</f>
        <v>0</v>
      </c>
      <c r="N117" s="20">
        <v>0</v>
      </c>
      <c r="O117" s="20">
        <f>SUMIFS('Fin Forecast'!I2:I501,'Fin Forecast'!D2:D501,'Mar20-Aug20 Billed-RETAIL'!F117,'Fin Forecast'!E2:E501,O6)</f>
        <v>0</v>
      </c>
      <c r="P117" s="20">
        <v>0</v>
      </c>
      <c r="Q117" s="20">
        <v>0</v>
      </c>
      <c r="R117" s="21">
        <f>VLOOKUP($E117,'Retail Rates'!$B$7:$P$40,4,FALSE)</f>
        <v>750</v>
      </c>
      <c r="S117" s="21">
        <f>VLOOKUP($E117,'Retail Rates'!$B$7:$P$40,5,FALSE)</f>
        <v>0</v>
      </c>
      <c r="T117" s="22">
        <f>VLOOKUP($E117,'Retail Rates'!$B$7:$P$40,8,FALSE)</f>
        <v>2.9919999999999995E-2</v>
      </c>
      <c r="U117" s="22">
        <f>VLOOKUP($E117,'Retail Rates'!$B$7:$P$40,9,FALSE)</f>
        <v>0</v>
      </c>
      <c r="V117" s="22">
        <f>VLOOKUP($E117,'Retail Rates'!$B$7:$P$40,14,FALSE)</f>
        <v>1.0900000000000001</v>
      </c>
      <c r="W117" s="22">
        <f>VLOOKUP($E117,'Retail Rates'!$B$7:$P$40,10,FALSE)</f>
        <v>0.29919999999999997</v>
      </c>
      <c r="X117" s="22">
        <f>VLOOKUP($E117,'Retail Rates'!$B$7:$P$40,11,FALSE)</f>
        <v>0</v>
      </c>
      <c r="Y117" s="22">
        <f>VLOOKUP($E117,'Retail Rates'!$B$7:$P$40,15,FALSE)</f>
        <v>10.9</v>
      </c>
      <c r="Z117" s="22">
        <v>0</v>
      </c>
      <c r="AA117" s="411">
        <f>(+H117*R117)</f>
        <v>0</v>
      </c>
      <c r="AB117" s="411">
        <f>+I117*S117</f>
        <v>0</v>
      </c>
      <c r="AC117" s="411">
        <f t="shared" si="194"/>
        <v>0</v>
      </c>
      <c r="AD117" s="411">
        <f t="shared" si="179"/>
        <v>0</v>
      </c>
      <c r="AE117" s="411">
        <f t="shared" si="176"/>
        <v>0</v>
      </c>
      <c r="AF117" s="41">
        <v>0</v>
      </c>
      <c r="AG117" s="41">
        <v>0</v>
      </c>
      <c r="AH117" s="33">
        <v>0</v>
      </c>
      <c r="AI117" s="33">
        <v>0</v>
      </c>
      <c r="AJ117" s="41">
        <v>0</v>
      </c>
      <c r="AK117" s="41">
        <v>0</v>
      </c>
      <c r="AL117" s="33">
        <v>0</v>
      </c>
      <c r="AM117" s="33">
        <v>0</v>
      </c>
      <c r="AN117" s="41">
        <v>0</v>
      </c>
      <c r="AO117" s="33">
        <v>0</v>
      </c>
      <c r="AP117" s="411">
        <f t="shared" si="180"/>
        <v>0</v>
      </c>
      <c r="AQ117" s="411">
        <f t="shared" si="181"/>
        <v>0</v>
      </c>
      <c r="AR117" s="411">
        <f t="shared" si="182"/>
        <v>0</v>
      </c>
      <c r="AS117" s="411">
        <f t="shared" si="183"/>
        <v>0</v>
      </c>
      <c r="AT117" s="411">
        <f t="shared" si="184"/>
        <v>0</v>
      </c>
      <c r="AU117" s="411">
        <f t="shared" si="185"/>
        <v>0</v>
      </c>
      <c r="AV117" s="28">
        <f t="shared" si="186"/>
        <v>0</v>
      </c>
      <c r="AW117" s="28">
        <f t="shared" si="187"/>
        <v>0</v>
      </c>
      <c r="AX117" s="28">
        <f t="shared" si="188"/>
        <v>0</v>
      </c>
      <c r="AY117" s="28">
        <f t="shared" si="189"/>
        <v>0</v>
      </c>
      <c r="AZ117" s="28">
        <f t="shared" si="190"/>
        <v>0</v>
      </c>
      <c r="BA117" s="28">
        <f t="shared" si="121"/>
        <v>0</v>
      </c>
      <c r="BB117" s="28">
        <f t="shared" si="171"/>
        <v>0</v>
      </c>
      <c r="BC117" s="29">
        <f t="shared" si="191"/>
        <v>0</v>
      </c>
      <c r="BD117" s="28">
        <f>SUMIFS('Fin Forecast'!$G$5:$G$355,'Fin Forecast'!$A$5:$A$355,$F117,'Fin Forecast'!$B$5:$B$355,BD$5)</f>
        <v>0</v>
      </c>
      <c r="BE117" s="28">
        <f>SUMIFS('Fin Forecast'!$G$5:$G$355,'Fin Forecast'!$A$5:$A$355,$F117,'Fin Forecast'!$B$5:$B$355,BE$5)</f>
        <v>0</v>
      </c>
      <c r="BF117" s="28">
        <f>SUMIFS('Fin Forecast'!$G$5:$G$355,'Fin Forecast'!$A$5:$A$355,$F117,'Fin Forecast'!$C$5:$C$355,BF$5)</f>
        <v>0</v>
      </c>
      <c r="BG117" s="28">
        <f>SUMIFS('Fin Forecast'!$G$5:$G$355,'Fin Forecast'!$A$5:$A$355,$F117,'Fin Forecast'!$B$5:$B$355,BG$5)</f>
        <v>0</v>
      </c>
      <c r="BH117" s="28">
        <f>SUMIFS('Fin Forecast'!$G$5:$G$355,'Fin Forecast'!$A$5:$A$355,$F117,'Fin Forecast'!$B$5:$B$355,BH$5)</f>
        <v>0</v>
      </c>
      <c r="BI117" s="28">
        <f>SUMIFS('Fin Forecast'!$G$5:$G$355,'Fin Forecast'!$A$5:$A$355,$F117,'Fin Forecast'!$B$5:$B$355,BI$5)</f>
        <v>0</v>
      </c>
      <c r="BJ117" s="28">
        <f>SUMIFS('Fin Forecast'!$G$5:$G$355,'Fin Forecast'!$A$5:$A$355,$F117,'Fin Forecast'!$B$5:$B$355,BJ$5)</f>
        <v>0</v>
      </c>
      <c r="BK117" s="28">
        <f>SUMIFS('Fin Forecast'!$G$5:$G$355,'Fin Forecast'!$A$5:$A$355,$F117,'Fin Forecast'!$B$5:$B$355,BK$5)</f>
        <v>0</v>
      </c>
      <c r="BL117" s="28">
        <f>SUMIFS('Fin Forecast'!$G$5:$G$355,'Fin Forecast'!$A$5:$A$355,$F117,'Fin Forecast'!$B$5:$B$355,BL$5)</f>
        <v>0</v>
      </c>
      <c r="BM117" s="42">
        <f t="shared" si="192"/>
        <v>0</v>
      </c>
      <c r="BN117" s="42">
        <f t="shared" si="193"/>
        <v>0</v>
      </c>
    </row>
    <row r="118" spans="1:66" x14ac:dyDescent="0.25">
      <c r="C118" s="307">
        <f t="shared" si="177"/>
        <v>44105</v>
      </c>
      <c r="D118" s="408" t="str">
        <f t="shared" si="178"/>
        <v>875</v>
      </c>
      <c r="E118" s="405" t="str">
        <f>'Retail Rates'!$B$21</f>
        <v>LGCMG875</v>
      </c>
      <c r="F118" s="405" t="s">
        <v>428</v>
      </c>
      <c r="G118" s="405" t="str">
        <f>VLOOKUP(E118,'Retail Rates'!$B$7:$D$40,3,FALSE)</f>
        <v>Distributed Generation Gas Service, Commercial</v>
      </c>
      <c r="H118" s="20">
        <f>SUMIF('Forecasted Customer Cts'!$D$5:$D$28,$F118,'Forecasted Customer Cts'!$O$5:$O$28)</f>
        <v>2</v>
      </c>
      <c r="I118" s="20">
        <v>0</v>
      </c>
      <c r="J118" s="20">
        <f>SUMIF('Forecasted Calendar Month Usage'!$D$5:$D$32,$F118,'Forecasted Calendar Month Usage'!$O$5:$O$32)*10</f>
        <v>7</v>
      </c>
      <c r="K118" s="20">
        <v>0</v>
      </c>
      <c r="L118" s="20">
        <f>SUMIFS('Fin Forecast'!G3:G502,'Fin Forecast'!A3:A502,'Mar20-Aug20 Billed-RETAIL'!F118,'Fin Forecast'!B3:B502,L5)*10</f>
        <v>1000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1">
        <f>VLOOKUP($E118,'Retail Rates'!$B$7:$P$40,4,FALSE)</f>
        <v>165</v>
      </c>
      <c r="S118" s="21">
        <f>VLOOKUP($E118,'Retail Rates'!$B$7:$P$40,5,FALSE)</f>
        <v>750</v>
      </c>
      <c r="T118" s="22">
        <f>VLOOKUP($E118,'Retail Rates'!$B$7:$P$40,8,FALSE)</f>
        <v>2.9919999999999999E-2</v>
      </c>
      <c r="U118" s="22">
        <f>VLOOKUP($E118,'Retail Rates'!$B$7:$P$40,9,FALSE)</f>
        <v>0</v>
      </c>
      <c r="V118" s="22">
        <f>VLOOKUP($E118,'Retail Rates'!$B$7:$P$40,14,FALSE)</f>
        <v>1.08978</v>
      </c>
      <c r="W118" s="22">
        <f>VLOOKUP($E118,'Retail Rates'!$B$7:$P$40,10,FALSE)</f>
        <v>0.29919999999999997</v>
      </c>
      <c r="X118" s="22">
        <f>VLOOKUP($E118,'Retail Rates'!$B$7:$P$40,11,FALSE)</f>
        <v>0</v>
      </c>
      <c r="Y118" s="22">
        <f>VLOOKUP($E118,'Retail Rates'!$B$7:$P$40,15,FALSE)</f>
        <v>10.8978</v>
      </c>
      <c r="Z118" s="22">
        <v>0</v>
      </c>
      <c r="AA118" s="411">
        <f>(+H118*R118)</f>
        <v>330</v>
      </c>
      <c r="AB118" s="411">
        <f>+I118*S118</f>
        <v>0</v>
      </c>
      <c r="AC118" s="411">
        <f t="shared" si="179"/>
        <v>0.20943999999999999</v>
      </c>
      <c r="AD118" s="411">
        <f t="shared" si="179"/>
        <v>0</v>
      </c>
      <c r="AE118" s="411">
        <f t="shared" si="176"/>
        <v>1089.78</v>
      </c>
      <c r="AF118" s="41">
        <v>0</v>
      </c>
      <c r="AG118" s="41">
        <v>0</v>
      </c>
      <c r="AH118" s="33">
        <v>0</v>
      </c>
      <c r="AI118" s="33">
        <v>0</v>
      </c>
      <c r="AJ118" s="41">
        <v>0</v>
      </c>
      <c r="AK118" s="41">
        <v>0</v>
      </c>
      <c r="AL118" s="33">
        <v>0</v>
      </c>
      <c r="AM118" s="33">
        <v>0</v>
      </c>
      <c r="AN118" s="41">
        <v>0</v>
      </c>
      <c r="AO118" s="33">
        <v>0</v>
      </c>
      <c r="AP118" s="411">
        <f t="shared" si="180"/>
        <v>330</v>
      </c>
      <c r="AQ118" s="411">
        <f t="shared" si="181"/>
        <v>0</v>
      </c>
      <c r="AR118" s="411">
        <f t="shared" si="182"/>
        <v>0.20943999999999999</v>
      </c>
      <c r="AS118" s="411">
        <f t="shared" si="183"/>
        <v>0</v>
      </c>
      <c r="AT118" s="411">
        <f t="shared" si="184"/>
        <v>1089.78</v>
      </c>
      <c r="AU118" s="411">
        <f t="shared" si="185"/>
        <v>0</v>
      </c>
      <c r="AV118" s="28">
        <f t="shared" si="186"/>
        <v>0</v>
      </c>
      <c r="AW118" s="28">
        <f t="shared" si="187"/>
        <v>2.1129545750863099</v>
      </c>
      <c r="AX118" s="28">
        <f t="shared" si="188"/>
        <v>0</v>
      </c>
      <c r="AY118" s="28">
        <f t="shared" si="189"/>
        <v>145.083488562269</v>
      </c>
      <c r="AZ118" s="28">
        <f t="shared" si="190"/>
        <v>0</v>
      </c>
      <c r="BA118" s="28">
        <f t="shared" si="121"/>
        <v>1567.19</v>
      </c>
      <c r="BB118" s="28">
        <f t="shared" si="171"/>
        <v>1567.1858831373552</v>
      </c>
      <c r="BC118" s="29">
        <f>IF(BB118=0,0,ROUND(BB118/BA118,5))</f>
        <v>1</v>
      </c>
      <c r="BD118" s="28">
        <f>SUMIFS('Fin Forecast'!$G$5:$G$355,'Fin Forecast'!$A$5:$A$355,$F118,'Fin Forecast'!$B$5:$B$355,BD$5)</f>
        <v>330</v>
      </c>
      <c r="BE118" s="28">
        <f>SUMIFS('Fin Forecast'!$G$5:$G$355,'Fin Forecast'!$A$5:$A$355,$F118,'Fin Forecast'!$B$5:$B$355,BE$5)</f>
        <v>0.20943999999999999</v>
      </c>
      <c r="BF118" s="28">
        <f>SUMIFS('Fin Forecast'!$G$5:$G$355,'Fin Forecast'!$A$5:$A$355,$F118,'Fin Forecast'!$C$5:$C$355,BF$5)</f>
        <v>1089.78</v>
      </c>
      <c r="BG118" s="28">
        <f>SUMIFS('Fin Forecast'!$G$5:$G$355,'Fin Forecast'!$A$5:$A$355,$F118,'Fin Forecast'!$B$5:$B$355,BG$5)</f>
        <v>0</v>
      </c>
      <c r="BH118" s="28">
        <f>SUMIFS('Fin Forecast'!$G$5:$G$355,'Fin Forecast'!$A$5:$A$355,$F118,'Fin Forecast'!$B$5:$B$355,BH$5)</f>
        <v>2.1129545750863099</v>
      </c>
      <c r="BI118" s="28">
        <f>SUMIFS('Fin Forecast'!$G$5:$G$355,'Fin Forecast'!$A$5:$A$355,$F118,'Fin Forecast'!$B$5:$B$355,BI$5)</f>
        <v>0</v>
      </c>
      <c r="BJ118" s="28">
        <f>SUMIFS('Fin Forecast'!$G$5:$G$355,'Fin Forecast'!$A$5:$A$355,$F118,'Fin Forecast'!$B$5:$B$355,BJ$5)</f>
        <v>145.083488562269</v>
      </c>
      <c r="BK118" s="28">
        <f>SUMIFS('Fin Forecast'!$G$5:$G$355,'Fin Forecast'!$A$5:$A$355,$F118,'Fin Forecast'!$B$5:$B$355,BK$5)</f>
        <v>0</v>
      </c>
      <c r="BL118" s="28">
        <f>SUMIFS('Fin Forecast'!$G$5:$G$355,'Fin Forecast'!$A$5:$A$355,$F118,'Fin Forecast'!$B$5:$B$355,BL$5)</f>
        <v>0</v>
      </c>
      <c r="BM118" s="42">
        <f t="shared" si="192"/>
        <v>0</v>
      </c>
      <c r="BN118" s="42">
        <f t="shared" si="193"/>
        <v>0</v>
      </c>
    </row>
    <row r="119" spans="1:66" x14ac:dyDescent="0.25">
      <c r="C119" s="307">
        <f t="shared" si="177"/>
        <v>44105</v>
      </c>
      <c r="D119" s="408">
        <v>996</v>
      </c>
      <c r="E119" s="405" t="s">
        <v>32</v>
      </c>
      <c r="F119" s="405" t="s">
        <v>495</v>
      </c>
      <c r="G119" s="405" t="s">
        <v>624</v>
      </c>
      <c r="H119" s="20">
        <f>SUMIF('Forecasted Customer Cts'!$D$5:$D$28,$F119,'Forecasted Customer Cts'!$O$5:$O$28)</f>
        <v>1</v>
      </c>
      <c r="I119" s="20">
        <v>0</v>
      </c>
      <c r="J119" s="20">
        <f>SUMIF('Forecasted Calendar Month Usage'!$D$5:$D$32,$F119,'Forecasted Calendar Month Usage'!$O$5:$O$32)*10</f>
        <v>299604</v>
      </c>
      <c r="K119" s="20">
        <v>0</v>
      </c>
      <c r="L119" s="20">
        <f>SUMIFS('Fin Forecast'!G4:G503,'Fin Forecast'!A4:A503,'Mar20-Aug20 Billed-RETAIL'!F119,'Fin Forecast'!B4:B503,L5)*10</f>
        <v>165600.00183523301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1">
        <f>VLOOKUP($E119,'Retail Rates'!$B$7:$P$40,4,FALSE)</f>
        <v>750</v>
      </c>
      <c r="S119" s="21">
        <f>VLOOKUP($E119,'Retail Rates'!$B$7:$P$40,5,FALSE)</f>
        <v>0</v>
      </c>
      <c r="T119" s="22">
        <f>VLOOKUP($E119,'Retail Rates'!$B$7:$P$40,8,FALSE)</f>
        <v>2.9920000000000002E-2</v>
      </c>
      <c r="U119" s="22">
        <f>VLOOKUP($E119,'Retail Rates'!$B$7:$P$40,9,FALSE)</f>
        <v>0</v>
      </c>
      <c r="V119" s="22">
        <f>VLOOKUP($E119,'Retail Rates'!$B$7:$P$40,14,FALSE)</f>
        <v>1.08978</v>
      </c>
      <c r="W119" s="22">
        <f>VLOOKUP($E119,'Retail Rates'!$B$7:$P$40,10,FALSE)</f>
        <v>0.29920000000000002</v>
      </c>
      <c r="X119" s="22">
        <f>VLOOKUP($E119,'Retail Rates'!$B$7:$P$40,11,FALSE)</f>
        <v>0</v>
      </c>
      <c r="Y119" s="22">
        <f>VLOOKUP($E119,'Retail Rates'!$B$7:$P$40,15,FALSE)</f>
        <v>10.8978</v>
      </c>
      <c r="Z119" s="22">
        <v>0</v>
      </c>
      <c r="AA119" s="411">
        <f>(+H119*R119)</f>
        <v>750</v>
      </c>
      <c r="AB119" s="411">
        <f>+I119*S119</f>
        <v>0</v>
      </c>
      <c r="AC119" s="411">
        <f t="shared" si="179"/>
        <v>8964.1516800000009</v>
      </c>
      <c r="AD119" s="411">
        <f t="shared" si="179"/>
        <v>0</v>
      </c>
      <c r="AE119" s="411">
        <f t="shared" si="176"/>
        <v>180467.57000000021</v>
      </c>
      <c r="AF119" s="41">
        <v>0</v>
      </c>
      <c r="AG119" s="41">
        <v>0</v>
      </c>
      <c r="AH119" s="33">
        <v>0</v>
      </c>
      <c r="AI119" s="33">
        <v>0</v>
      </c>
      <c r="AJ119" s="41">
        <v>0</v>
      </c>
      <c r="AK119" s="41">
        <v>0</v>
      </c>
      <c r="AL119" s="33">
        <v>0</v>
      </c>
      <c r="AM119" s="33">
        <v>0</v>
      </c>
      <c r="AN119" s="41">
        <v>0</v>
      </c>
      <c r="AO119" s="33">
        <v>0</v>
      </c>
      <c r="AP119" s="411">
        <f t="shared" si="180"/>
        <v>750</v>
      </c>
      <c r="AQ119" s="411">
        <f t="shared" si="181"/>
        <v>0</v>
      </c>
      <c r="AR119" s="411">
        <f t="shared" si="182"/>
        <v>8964.1516800000009</v>
      </c>
      <c r="AS119" s="411">
        <f t="shared" si="183"/>
        <v>0</v>
      </c>
      <c r="AT119" s="411">
        <f t="shared" si="184"/>
        <v>180467.57000000021</v>
      </c>
      <c r="AU119" s="411">
        <f t="shared" si="185"/>
        <v>0</v>
      </c>
      <c r="AV119" s="28">
        <f t="shared" si="186"/>
        <v>0</v>
      </c>
      <c r="AW119" s="28">
        <f t="shared" si="187"/>
        <v>90435.663216308501</v>
      </c>
      <c r="AX119" s="28">
        <f t="shared" si="188"/>
        <v>0</v>
      </c>
      <c r="AY119" s="28">
        <f t="shared" si="189"/>
        <v>0</v>
      </c>
      <c r="AZ119" s="28">
        <f t="shared" si="190"/>
        <v>0</v>
      </c>
      <c r="BA119" s="28">
        <f t="shared" si="121"/>
        <v>280617.38</v>
      </c>
      <c r="BB119" s="28">
        <f t="shared" si="171"/>
        <v>280617.38489630853</v>
      </c>
      <c r="BC119" s="29">
        <f t="shared" si="191"/>
        <v>1</v>
      </c>
      <c r="BD119" s="28">
        <f>SUMIFS('Fin Forecast'!$G$5:$G$355,'Fin Forecast'!$A$5:$A$355,$F119,'Fin Forecast'!$B$5:$B$355,BD$5)</f>
        <v>750</v>
      </c>
      <c r="BE119" s="28">
        <f>SUMIFS('Fin Forecast'!$G$5:$G$500,'Fin Forecast'!$A$5:$A$500,$F119,'Fin Forecast'!$B$5:$B$500,BE$5)</f>
        <v>8964.1516800000009</v>
      </c>
      <c r="BF119" s="28">
        <f>SUMIFS('Fin Forecast'!$G$5:$G$500,'Fin Forecast'!$A$5:$A$500,$F119,'Fin Forecast'!$C$5:$C$500,BF$5)</f>
        <v>180467.57</v>
      </c>
      <c r="BG119" s="28">
        <f>SUMIFS('Fin Forecast'!$G$5:$G$500,'Fin Forecast'!$A$5:$A$500,$F119,'Fin Forecast'!$B$5:$B$500,BG$5)</f>
        <v>0</v>
      </c>
      <c r="BH119" s="28">
        <f>SUMIFS('Fin Forecast'!$G$5:$G$500,'Fin Forecast'!$A$5:$A$500,$F119,'Fin Forecast'!$B$5:$B$500,BH$5)</f>
        <v>90435.663216308501</v>
      </c>
      <c r="BI119" s="28">
        <f>SUMIFS('Fin Forecast'!$G$5:$G$500,'Fin Forecast'!$A$5:$A$500,$F119,'Fin Forecast'!$B$5:$B$500,BI$5)</f>
        <v>0</v>
      </c>
      <c r="BJ119" s="28">
        <f>SUMIFS('Fin Forecast'!$G$5:$G$500,'Fin Forecast'!$A$5:$A$500,$F119,'Fin Forecast'!$B$5:$B$500,BJ$5)</f>
        <v>0</v>
      </c>
      <c r="BK119" s="28">
        <f>SUMIFS('Fin Forecast'!$G$5:$G$500,'Fin Forecast'!$A$5:$A$500,$F119,'Fin Forecast'!$B$5:$B$500,BK$5)</f>
        <v>0</v>
      </c>
      <c r="BL119" s="28">
        <f>SUMIFS('Fin Forecast'!$G$5:$G$500,'Fin Forecast'!$A$5:$A$500,$F119,'Fin Forecast'!$B$5:$B$500,BL$5)</f>
        <v>0</v>
      </c>
      <c r="BM119" s="42">
        <f t="shared" si="192"/>
        <v>0</v>
      </c>
      <c r="BN119" s="42">
        <f t="shared" si="193"/>
        <v>0</v>
      </c>
    </row>
    <row r="120" spans="1:66" s="279" customFormat="1" x14ac:dyDescent="0.25">
      <c r="A120"/>
      <c r="B120"/>
      <c r="C120" s="308"/>
      <c r="D120" s="308"/>
      <c r="E120" s="280"/>
      <c r="F120" s="280"/>
      <c r="G120" s="280"/>
      <c r="R120" s="282"/>
      <c r="S120" s="282"/>
      <c r="T120" s="283"/>
      <c r="U120" s="283"/>
      <c r="V120" s="283"/>
      <c r="W120" s="283"/>
      <c r="X120" s="283"/>
      <c r="Y120" s="283"/>
      <c r="Z120" s="283"/>
      <c r="AA120" s="284"/>
      <c r="AB120" s="284"/>
      <c r="AC120" s="284"/>
      <c r="AD120" s="284"/>
      <c r="AE120" s="284"/>
      <c r="AF120" s="285"/>
      <c r="AG120" s="285"/>
      <c r="AH120" s="284"/>
      <c r="AI120" s="284"/>
      <c r="AJ120" s="284"/>
      <c r="AK120" s="284"/>
      <c r="AL120" s="284"/>
      <c r="AM120" s="284"/>
      <c r="AN120" s="284"/>
      <c r="AO120" s="284"/>
      <c r="AP120" s="297"/>
      <c r="AQ120" s="297"/>
      <c r="AR120" s="297"/>
      <c r="AS120" s="297"/>
      <c r="AT120" s="297"/>
      <c r="AU120" s="297"/>
      <c r="AV120" s="284"/>
      <c r="AW120" s="284"/>
      <c r="AX120" s="284"/>
      <c r="AY120" s="284"/>
      <c r="AZ120" s="284"/>
      <c r="BA120" s="284"/>
      <c r="BB120" s="284"/>
      <c r="BC120" s="286"/>
      <c r="BD120" s="297"/>
      <c r="BE120" s="297"/>
      <c r="BF120" s="297"/>
      <c r="BG120" s="297"/>
      <c r="BH120" s="297"/>
      <c r="BI120" s="297"/>
      <c r="BJ120" s="297"/>
      <c r="BM120" s="284"/>
      <c r="BN120" s="284"/>
    </row>
    <row r="121" spans="1:66" x14ac:dyDescent="0.25">
      <c r="A121"/>
      <c r="C121" s="307">
        <f>EDATE(C112,1)</f>
        <v>44136</v>
      </c>
      <c r="D121" s="408" t="str">
        <f>MID(E121,6,3)</f>
        <v>811</v>
      </c>
      <c r="E121" s="405" t="str">
        <f>'Retail Rates'!$B$7</f>
        <v>LGRSG811</v>
      </c>
      <c r="F121" s="405" t="s">
        <v>62</v>
      </c>
      <c r="G121" s="405" t="str">
        <f>VLOOKUP(E121,'Retail Rates'!$B$7:$D$40,3,FALSE)</f>
        <v>Residential Gas Service</v>
      </c>
      <c r="H121" s="20">
        <f>SUMIF('Forecasted Customer Cts'!$D$5:$D$28,$F121,'Forecasted Customer Cts'!$P$5:$P$28)</f>
        <v>300127</v>
      </c>
      <c r="I121" s="20">
        <v>0</v>
      </c>
      <c r="J121" s="20">
        <f>SUMIF('Forecasted Calendar Month Usage'!$D$5:$D$32,$F121,'Forecasted Calendar Month Usage'!$P$5:$P$32)*10</f>
        <v>23667489.171698298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f>SUMIFS('Fin Forecast'!H1:H500,'Fin Forecast'!A1:A500,'Mar20-Aug20 Billed-RETAIL'!F121,'Fin Forecast'!B1:B500,P5)/R121</f>
        <v>9003810</v>
      </c>
      <c r="Q121" s="20">
        <v>0</v>
      </c>
      <c r="R121" s="21">
        <f>VLOOKUP($E121,'Retail Rates'!$B$7:$P$40,4,FALSE)</f>
        <v>0.65</v>
      </c>
      <c r="S121" s="21">
        <f>VLOOKUP($E121,'Retail Rates'!$B$7:$P$40,5,FALSE)</f>
        <v>0</v>
      </c>
      <c r="T121" s="22">
        <f>VLOOKUP($E121,'Retail Rates'!$B$7:$P$40,8,FALSE)</f>
        <v>0.36781999999999998</v>
      </c>
      <c r="U121" s="22">
        <f>VLOOKUP($E121,'Retail Rates'!$B$7:$P$40,9,FALSE)</f>
        <v>0</v>
      </c>
      <c r="V121" s="22">
        <f>VLOOKUP($E121,'Retail Rates'!$B$7:$P$40,14,FALSE)</f>
        <v>0</v>
      </c>
      <c r="W121" s="22">
        <f>VLOOKUP($E121,'Retail Rates'!$B$7:$P$40,10,FALSE)</f>
        <v>3.6781999999999999</v>
      </c>
      <c r="X121" s="22">
        <f>VLOOKUP($E121,'Retail Rates'!$B$7:$P$40,11,FALSE)</f>
        <v>0</v>
      </c>
      <c r="Y121" s="22">
        <f>VLOOKUP($E121,'Retail Rates'!$B$7:$P$40,15,FALSE)</f>
        <v>0</v>
      </c>
      <c r="Z121" s="22">
        <v>0</v>
      </c>
      <c r="AA121" s="411">
        <f>(+P121*R121)</f>
        <v>5852476.5</v>
      </c>
      <c r="AB121" s="411">
        <f>+I121*S121</f>
        <v>0</v>
      </c>
      <c r="AC121" s="411">
        <f>+J121*T121</f>
        <v>8705375.8671340682</v>
      </c>
      <c r="AD121" s="411">
        <f>+K121*U121</f>
        <v>0</v>
      </c>
      <c r="AE121" s="23">
        <f t="shared" ref="AE121:AE128" si="195">L121*V121</f>
        <v>0</v>
      </c>
      <c r="AF121" s="41">
        <v>0</v>
      </c>
      <c r="AG121" s="41">
        <v>0</v>
      </c>
      <c r="AH121" s="33">
        <v>0</v>
      </c>
      <c r="AI121" s="33">
        <v>0</v>
      </c>
      <c r="AJ121" s="41">
        <v>0</v>
      </c>
      <c r="AK121" s="41">
        <v>0</v>
      </c>
      <c r="AL121" s="33">
        <v>0</v>
      </c>
      <c r="AM121" s="33">
        <v>0</v>
      </c>
      <c r="AN121" s="41">
        <v>0</v>
      </c>
      <c r="AO121" s="33">
        <v>0</v>
      </c>
      <c r="AP121" s="411">
        <f>AA121+AH121</f>
        <v>5852476.5</v>
      </c>
      <c r="AQ121" s="411">
        <f>AB121+AI121</f>
        <v>0</v>
      </c>
      <c r="AR121" s="411">
        <f>AC121+AL121</f>
        <v>8705375.8671340682</v>
      </c>
      <c r="AS121" s="411">
        <f>AD121+AM121</f>
        <v>0</v>
      </c>
      <c r="AT121" s="411">
        <f>AE121+AO121</f>
        <v>0</v>
      </c>
      <c r="AU121" s="411">
        <f>BL121</f>
        <v>0</v>
      </c>
      <c r="AV121" s="28">
        <f>BG121</f>
        <v>134330.62785614</v>
      </c>
      <c r="AW121" s="28">
        <f>BH121</f>
        <v>8123829.4417645596</v>
      </c>
      <c r="AX121" s="28">
        <f>BI121</f>
        <v>0</v>
      </c>
      <c r="AY121" s="28">
        <f>BJ121</f>
        <v>941034.68517788104</v>
      </c>
      <c r="AZ121" s="28">
        <f>BK121</f>
        <v>0</v>
      </c>
      <c r="BA121" s="28">
        <f t="shared" si="121"/>
        <v>23757047.120000001</v>
      </c>
      <c r="BB121" s="28">
        <f t="shared" si="171"/>
        <v>23757047.121932641</v>
      </c>
      <c r="BC121" s="29">
        <f>IF(BB121=0,0,ROUND(BB121/BA121,6))</f>
        <v>1</v>
      </c>
      <c r="BD121" s="28">
        <f>SUMIFS('Fin Forecast'!$H$5:$H$355,'Fin Forecast'!$A$5:$A$355,$F121,'Fin Forecast'!$B$5:$B$355,BD$5)</f>
        <v>5852476.5</v>
      </c>
      <c r="BE121" s="28">
        <f>SUMIFS('Fin Forecast'!$H$5:$H$355,'Fin Forecast'!$A$5:$A$355,$F121,'Fin Forecast'!$B$5:$B$355,BE$5)</f>
        <v>8705375.8671340607</v>
      </c>
      <c r="BF121" s="28">
        <f>SUMIFS('Fin Forecast'!$H$5:$H$355,'Fin Forecast'!$A$5:$A$355,$F121,'Fin Forecast'!$C$5:$C$355,BF$5)</f>
        <v>0</v>
      </c>
      <c r="BG121" s="28">
        <f>SUMIFS('Fin Forecast'!$H$5:$H$355,'Fin Forecast'!$A$5:$A$355,$F121,'Fin Forecast'!$B$5:$B$355,BG$5)</f>
        <v>134330.62785614</v>
      </c>
      <c r="BH121" s="28">
        <f>SUMIFS('Fin Forecast'!$H$5:$H$355,'Fin Forecast'!$A$5:$A$355,$F121,'Fin Forecast'!$B$5:$B$355,BH$5)</f>
        <v>8123829.4417645596</v>
      </c>
      <c r="BI121" s="28">
        <f>SUMIFS('Fin Forecast'!$H$5:$H$355,'Fin Forecast'!$A$5:$A$355,$F121,'Fin Forecast'!$B$5:$B$355,BI$5)</f>
        <v>0</v>
      </c>
      <c r="BJ121" s="28">
        <f>SUMIFS('Fin Forecast'!$H$5:$H$355,'Fin Forecast'!$A$5:$A$355,$F121,'Fin Forecast'!$B$5:$B$355,BJ$5)</f>
        <v>941034.68517788104</v>
      </c>
      <c r="BK121" s="28">
        <f>SUMIFS('Fin Forecast'!$H$5:$H$355,'Fin Forecast'!$A$5:$A$355,$F121,'Fin Forecast'!$B$5:$B$355,BK$5)</f>
        <v>0</v>
      </c>
      <c r="BL121" s="28">
        <f>SUMIFS('Fin Forecast'!$H$5:$H$355,'Fin Forecast'!$A$5:$A$355,$F121,'Fin Forecast'!$B$5:$B$355,BL$5)</f>
        <v>0</v>
      </c>
      <c r="BM121" s="42">
        <f>+AP121+AQ121-BD121</f>
        <v>0</v>
      </c>
      <c r="BN121" s="42">
        <f>+AR121+AS121-BE121</f>
        <v>0</v>
      </c>
    </row>
    <row r="122" spans="1:66" x14ac:dyDescent="0.25">
      <c r="A122"/>
      <c r="C122" s="307">
        <f t="shared" ref="C122:C128" si="196">$C$121</f>
        <v>44136</v>
      </c>
      <c r="D122" s="408" t="str">
        <f t="shared" ref="D122:D127" si="197">MID(E122,6,3)</f>
        <v>851</v>
      </c>
      <c r="E122" s="405" t="str">
        <f>'Retail Rates'!$B$9</f>
        <v>LGCMG851</v>
      </c>
      <c r="F122" s="405" t="s">
        <v>56</v>
      </c>
      <c r="G122" s="405" t="str">
        <f>VLOOKUP(E122,'Retail Rates'!$B$7:$D$40,3,FALSE)</f>
        <v>Firm Commercial Gas Service</v>
      </c>
      <c r="H122" s="20">
        <f>SUMIF('Forecasted Customer Cts'!$D$5:$D$28,$F122,'Forecasted Customer Cts'!$P$5:$P$28)-I122</f>
        <v>24431</v>
      </c>
      <c r="I122" s="20">
        <f>SUMIFS('Forecasted Customer Cts'!$P$5:$P$28,'Forecasted Customer Cts'!$D$5:$D$28,$F122,'Forecasted Customer Cts'!$C$5:$C$28,$B$104)</f>
        <v>1213</v>
      </c>
      <c r="J122" s="20">
        <f>SUMIF('Forecasted Calendar Month Usage'!$D$5:$D$32,$F122,'Forecasted Calendar Month Usage'!$P$5:$P$32)*10</f>
        <v>11102152.257026162</v>
      </c>
      <c r="K122" s="20">
        <f>SUMIFS('Forecasted Calendar Month Usage'!$P$5:$P$32,'Forecasted Calendar Month Usage'!$D$5:$D$32,$F122,'Forecasted Calendar Month Usage'!$C$5:$C$32,$B$106)*10</f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f>SUMIFS('Fin Forecast'!H1:H500,'Fin Forecast'!A1:A500,'Mar20-Aug20 Billed-RETAIL'!F122,'Fin Forecast'!B1:B500,P5)/R122</f>
        <v>732930</v>
      </c>
      <c r="Q122" s="20">
        <f>SUMIFS('Fin Forecast'!H1:H500,'Fin Forecast'!A1:A500,'Mar20-Aug20 Billed-RETAIL'!F122,'Fin Forecast'!B1:B500,Q5)/S122</f>
        <v>36390</v>
      </c>
      <c r="R122" s="21">
        <f>VLOOKUP($E122,'Retail Rates'!$B$7:$P$40,4,FALSE)</f>
        <v>1.97</v>
      </c>
      <c r="S122" s="21">
        <f>VLOOKUP($E122,'Retail Rates'!$B$7:$P$40,5,FALSE)</f>
        <v>9.3699999999999992</v>
      </c>
      <c r="T122" s="22">
        <f>VLOOKUP($E122,'Retail Rates'!$B$7:$P$40,8,FALSE)</f>
        <v>0.30669999999999997</v>
      </c>
      <c r="U122" s="22">
        <f>VLOOKUP($E122,'Retail Rates'!$B$7:$P$40,9,FALSE)</f>
        <v>0.25669999999999998</v>
      </c>
      <c r="V122" s="22">
        <f>VLOOKUP($E122,'Retail Rates'!$B$7:$P$40,14,FALSE)</f>
        <v>0</v>
      </c>
      <c r="W122" s="22">
        <f>VLOOKUP($E122,'Retail Rates'!$B$7:$P$40,10,FALSE)</f>
        <v>3.0669999999999997</v>
      </c>
      <c r="X122" s="22">
        <f>VLOOKUP($E122,'Retail Rates'!$B$7:$P$40,11,FALSE)</f>
        <v>2.5669999999999997</v>
      </c>
      <c r="Y122" s="22">
        <f>VLOOKUP($E122,'Retail Rates'!$B$7:$P$40,15,FALSE)</f>
        <v>0</v>
      </c>
      <c r="Z122" s="22">
        <v>0</v>
      </c>
      <c r="AA122" s="411">
        <f>(+P122*R122)</f>
        <v>1443872.1</v>
      </c>
      <c r="AB122" s="411">
        <f>+Q122*S122</f>
        <v>340974.3</v>
      </c>
      <c r="AC122" s="411">
        <f t="shared" ref="AC122:AD128" si="198">+J122*T122</f>
        <v>3405030.0972299236</v>
      </c>
      <c r="AD122" s="411">
        <f t="shared" si="198"/>
        <v>0</v>
      </c>
      <c r="AE122" s="411">
        <f t="shared" si="195"/>
        <v>0</v>
      </c>
      <c r="AF122" s="41">
        <v>0</v>
      </c>
      <c r="AG122" s="41">
        <v>0</v>
      </c>
      <c r="AH122" s="33">
        <v>0</v>
      </c>
      <c r="AI122" s="33">
        <v>0</v>
      </c>
      <c r="AJ122" s="41">
        <v>0</v>
      </c>
      <c r="AK122" s="41">
        <v>0</v>
      </c>
      <c r="AL122" s="33">
        <v>0</v>
      </c>
      <c r="AM122" s="33">
        <v>0</v>
      </c>
      <c r="AN122" s="41">
        <v>0</v>
      </c>
      <c r="AO122" s="33">
        <v>0</v>
      </c>
      <c r="AP122" s="411">
        <f t="shared" ref="AP122:AP128" si="199">AA122+AH122</f>
        <v>1443872.1</v>
      </c>
      <c r="AQ122" s="411">
        <f t="shared" ref="AQ122:AQ128" si="200">AB122+AI122</f>
        <v>340974.3</v>
      </c>
      <c r="AR122" s="411">
        <f t="shared" ref="AR122:AR128" si="201">AC122+AL122</f>
        <v>3405030.0972299236</v>
      </c>
      <c r="AS122" s="411">
        <f t="shared" ref="AS122:AS128" si="202">AD122+AM122</f>
        <v>0</v>
      </c>
      <c r="AT122" s="411">
        <f t="shared" ref="AT122:AT128" si="203">AE122+AO122</f>
        <v>0</v>
      </c>
      <c r="AU122" s="411">
        <f t="shared" ref="AU122:AU128" si="204">BL122</f>
        <v>0</v>
      </c>
      <c r="AV122" s="28">
        <f t="shared" ref="AV122:AV128" si="205">BG122</f>
        <v>63012.9825948824</v>
      </c>
      <c r="AW122" s="28">
        <f t="shared" ref="AW122:AW128" si="206">BH122</f>
        <v>3810796.77350963</v>
      </c>
      <c r="AX122" s="28">
        <f t="shared" ref="AX122:AX128" si="207">BI122</f>
        <v>0</v>
      </c>
      <c r="AY122" s="28">
        <f t="shared" ref="AY122:AZ128" si="208">BJ122</f>
        <v>390193.53832059202</v>
      </c>
      <c r="AZ122" s="28">
        <f t="shared" si="208"/>
        <v>0</v>
      </c>
      <c r="BA122" s="28">
        <f t="shared" si="121"/>
        <v>9453879.7899999991</v>
      </c>
      <c r="BB122" s="28">
        <f t="shared" si="171"/>
        <v>9453879.7916550245</v>
      </c>
      <c r="BC122" s="29">
        <f t="shared" ref="BC122:BC128" si="209">IF(BB122=0,0,ROUND(BB122/BA122,6))</f>
        <v>1</v>
      </c>
      <c r="BD122" s="28">
        <f>SUMIFS('Fin Forecast'!$H$5:$H$355,'Fin Forecast'!$A$5:$A$355,$F122,'Fin Forecast'!$B$5:$B$355,BD$5)</f>
        <v>1784846.4</v>
      </c>
      <c r="BE122" s="28">
        <f>SUMIFS('Fin Forecast'!$H$5:$H$355,'Fin Forecast'!$A$5:$A$355,$F122,'Fin Forecast'!$B$5:$B$355,BE$5)</f>
        <v>3405030.0972299199</v>
      </c>
      <c r="BF122" s="28">
        <f>SUMIFS('Fin Forecast'!$H$5:$H$355,'Fin Forecast'!$A$5:$A$355,$F122,'Fin Forecast'!$C$5:$C$355,BF$5)</f>
        <v>0</v>
      </c>
      <c r="BG122" s="28">
        <f>SUMIFS('Fin Forecast'!$H$5:$H$355,'Fin Forecast'!$A$5:$A$355,$F122,'Fin Forecast'!$B$5:$B$355,BG$5)</f>
        <v>63012.9825948824</v>
      </c>
      <c r="BH122" s="28">
        <f>SUMIFS('Fin Forecast'!$H$5:$H$355,'Fin Forecast'!$A$5:$A$355,$F122,'Fin Forecast'!$B$5:$B$355,BH$5)</f>
        <v>3810796.77350963</v>
      </c>
      <c r="BI122" s="28">
        <f>SUMIFS('Fin Forecast'!$H$5:$H$355,'Fin Forecast'!$A$5:$A$355,$F122,'Fin Forecast'!$B$5:$B$355,BI$5)</f>
        <v>0</v>
      </c>
      <c r="BJ122" s="28">
        <f>SUMIFS('Fin Forecast'!$H$5:$H$355,'Fin Forecast'!$A$5:$A$355,$F122,'Fin Forecast'!$B$5:$B$355,BJ$5)</f>
        <v>390193.53832059202</v>
      </c>
      <c r="BK122" s="28">
        <f>SUMIFS('Fin Forecast'!$H$5:$H$355,'Fin Forecast'!$A$5:$A$355,$F122,'Fin Forecast'!$B$5:$B$355,BK$5)</f>
        <v>0</v>
      </c>
      <c r="BL122" s="28">
        <f>SUMIFS('Fin Forecast'!$H$5:$H$355,'Fin Forecast'!$A$5:$A$355,$F122,'Fin Forecast'!$B$5:$B$355,BL$5)</f>
        <v>0</v>
      </c>
      <c r="BM122" s="42">
        <f t="shared" ref="BM122:BM128" si="210">+AP122+AQ122-BD122</f>
        <v>0</v>
      </c>
      <c r="BN122" s="42">
        <f t="shared" ref="BN122:BN128" si="211">+AR122+AS122-BE122</f>
        <v>3.7252902984619141E-9</v>
      </c>
    </row>
    <row r="123" spans="1:66" x14ac:dyDescent="0.25">
      <c r="A123"/>
      <c r="C123" s="307">
        <f t="shared" si="196"/>
        <v>44136</v>
      </c>
      <c r="D123" s="408" t="str">
        <f t="shared" si="197"/>
        <v>855</v>
      </c>
      <c r="E123" s="405" t="str">
        <f>'Retail Rates'!$B$11</f>
        <v>LGING855</v>
      </c>
      <c r="F123" s="405" t="s">
        <v>59</v>
      </c>
      <c r="G123" s="405" t="str">
        <f>VLOOKUP(E123,'Retail Rates'!$B$7:$D$40,3,FALSE)</f>
        <v>Firm Industrial Gas Service-DSM Opt-Out</v>
      </c>
      <c r="H123" s="20">
        <f>SUMIF('Forecasted Customer Cts'!$D$5:$D$28,$F123,'Forecasted Customer Cts'!$P$5:$P$28)-I123</f>
        <v>119</v>
      </c>
      <c r="I123" s="20">
        <f>SUMIFS('Forecasted Customer Cts'!$P$5:$P$28,'Forecasted Customer Cts'!$D$5:$D$28,$F123,'Forecasted Customer Cts'!$C$5:$C$28,$B$104)</f>
        <v>93</v>
      </c>
      <c r="J123" s="20">
        <f>SUMIF('Forecasted Calendar Month Usage'!$D$5:$D$32,$F123,'Forecasted Calendar Month Usage'!$P$5:$P$32)*10</f>
        <v>771645.80077614647</v>
      </c>
      <c r="K123" s="20">
        <f>SUMIFS('Forecasted Calendar Month Usage'!$P$5:$P$32,'Forecasted Calendar Month Usage'!$D$5:$D$32,$F123,'Forecasted Calendar Month Usage'!$C$5:$C$32,$B$106)*10</f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f>SUMIFS('Fin Forecast'!H1:H500,'Fin Forecast'!A1:A500,'Mar20-Aug20 Billed-RETAIL'!F123,'Fin Forecast'!B1:B500,P5)/R123</f>
        <v>3570.0000000000005</v>
      </c>
      <c r="Q123" s="20">
        <f>SUMIFS('Fin Forecast'!H1:H500,'Fin Forecast'!A1:A500,'Mar20-Aug20 Billed-RETAIL'!F123,'Fin Forecast'!B1:B500,Q5)/S123</f>
        <v>2790</v>
      </c>
      <c r="R123" s="21">
        <f>VLOOKUP($E123,'Retail Rates'!$B$7:$P$40,4,FALSE)</f>
        <v>5.42</v>
      </c>
      <c r="S123" s="21">
        <f>VLOOKUP($E123,'Retail Rates'!$B$7:$P$40,5,FALSE)</f>
        <v>24.64</v>
      </c>
      <c r="T123" s="22">
        <f>VLOOKUP($E123,'Retail Rates'!$B$7:$P$40,8,FALSE)</f>
        <v>0.21929000000000001</v>
      </c>
      <c r="U123" s="22">
        <f>VLOOKUP($E123,'Retail Rates'!$B$7:$P$40,9,FALSE)</f>
        <v>0.16929</v>
      </c>
      <c r="V123" s="22">
        <f>VLOOKUP($E123,'Retail Rates'!$B$7:$P$40,14,FALSE)</f>
        <v>0</v>
      </c>
      <c r="W123" s="22">
        <f>VLOOKUP($E123,'Retail Rates'!$B$7:$P$40,10,FALSE)</f>
        <v>2.1929000000000003</v>
      </c>
      <c r="X123" s="22">
        <f>VLOOKUP($E123,'Retail Rates'!$B$7:$P$40,11,FALSE)</f>
        <v>1.6928999999999998</v>
      </c>
      <c r="Y123" s="22">
        <f>VLOOKUP($E123,'Retail Rates'!$B$7:$P$40,15,FALSE)</f>
        <v>0</v>
      </c>
      <c r="Z123" s="22">
        <v>0</v>
      </c>
      <c r="AA123" s="411">
        <f>(+P123*R123)</f>
        <v>19349.400000000001</v>
      </c>
      <c r="AB123" s="411">
        <f>+Q123*S123</f>
        <v>68745.600000000006</v>
      </c>
      <c r="AC123" s="411">
        <f t="shared" si="198"/>
        <v>169214.20765220118</v>
      </c>
      <c r="AD123" s="411">
        <f t="shared" si="198"/>
        <v>0</v>
      </c>
      <c r="AE123" s="411">
        <f t="shared" si="195"/>
        <v>0</v>
      </c>
      <c r="AF123" s="41">
        <v>0</v>
      </c>
      <c r="AG123" s="41">
        <v>0</v>
      </c>
      <c r="AH123" s="33">
        <v>0</v>
      </c>
      <c r="AI123" s="33">
        <v>0</v>
      </c>
      <c r="AJ123" s="41">
        <v>0</v>
      </c>
      <c r="AK123" s="41">
        <v>0</v>
      </c>
      <c r="AL123" s="33">
        <v>0</v>
      </c>
      <c r="AM123" s="33">
        <v>0</v>
      </c>
      <c r="AN123" s="41">
        <v>0</v>
      </c>
      <c r="AO123" s="33">
        <v>0</v>
      </c>
      <c r="AP123" s="411">
        <f t="shared" si="199"/>
        <v>19349.400000000001</v>
      </c>
      <c r="AQ123" s="411">
        <f t="shared" si="200"/>
        <v>68745.600000000006</v>
      </c>
      <c r="AR123" s="411">
        <f t="shared" si="201"/>
        <v>169214.20765220118</v>
      </c>
      <c r="AS123" s="411">
        <f t="shared" si="202"/>
        <v>0</v>
      </c>
      <c r="AT123" s="411">
        <f t="shared" si="203"/>
        <v>0</v>
      </c>
      <c r="AU123" s="411">
        <f t="shared" si="204"/>
        <v>0</v>
      </c>
      <c r="AV123" s="28">
        <f t="shared" si="205"/>
        <v>0</v>
      </c>
      <c r="AW123" s="28">
        <f t="shared" si="206"/>
        <v>264866.240330022</v>
      </c>
      <c r="AX123" s="28">
        <f t="shared" si="207"/>
        <v>0</v>
      </c>
      <c r="AY123" s="28">
        <f t="shared" si="208"/>
        <v>37316.427058141002</v>
      </c>
      <c r="AZ123" s="28">
        <f t="shared" si="208"/>
        <v>0</v>
      </c>
      <c r="BA123" s="28">
        <f t="shared" si="121"/>
        <v>559491.88</v>
      </c>
      <c r="BB123" s="28">
        <f t="shared" si="171"/>
        <v>559491.87504036399</v>
      </c>
      <c r="BC123" s="29">
        <f t="shared" si="209"/>
        <v>1</v>
      </c>
      <c r="BD123" s="28">
        <f>SUMIFS('Fin Forecast'!$H$5:$H$355,'Fin Forecast'!$A$5:$A$355,$F123,'Fin Forecast'!$B$5:$B$355,BD$5)</f>
        <v>88095</v>
      </c>
      <c r="BE123" s="28">
        <f>SUMIFS('Fin Forecast'!$H$5:$H$355,'Fin Forecast'!$A$5:$A$355,$F123,'Fin Forecast'!$B$5:$B$355,BE$5)</f>
        <v>169214.207652201</v>
      </c>
      <c r="BF123" s="28">
        <f>SUMIFS('Fin Forecast'!$H$5:$H$355,'Fin Forecast'!$A$5:$A$355,$F123,'Fin Forecast'!$C$5:$C$355,BF$5)</f>
        <v>0</v>
      </c>
      <c r="BG123" s="28">
        <f>SUMIFS('Fin Forecast'!$H$5:$H$355,'Fin Forecast'!$A$5:$A$355,$F123,'Fin Forecast'!$B$5:$B$355,BG$5)</f>
        <v>0</v>
      </c>
      <c r="BH123" s="28">
        <f>SUMIFS('Fin Forecast'!$H$5:$H$355,'Fin Forecast'!$A$5:$A$355,$F123,'Fin Forecast'!$B$5:$B$355,BH$5)</f>
        <v>264866.240330022</v>
      </c>
      <c r="BI123" s="28">
        <f>SUMIFS('Fin Forecast'!$H$5:$H$355,'Fin Forecast'!$A$5:$A$355,$F123,'Fin Forecast'!$B$5:$B$355,BI$5)</f>
        <v>0</v>
      </c>
      <c r="BJ123" s="28">
        <f>SUMIFS('Fin Forecast'!$H$5:$H$355,'Fin Forecast'!$A$5:$A$355,$F123,'Fin Forecast'!$B$5:$B$355,BJ$5)</f>
        <v>37316.427058141002</v>
      </c>
      <c r="BK123" s="28">
        <f>SUMIFS('Fin Forecast'!$H$5:$H$355,'Fin Forecast'!$A$5:$A$355,$F123,'Fin Forecast'!$B$5:$B$355,BK$5)</f>
        <v>0</v>
      </c>
      <c r="BL123" s="28">
        <f>SUMIFS('Fin Forecast'!$H$5:$H$355,'Fin Forecast'!$A$5:$A$355,$F123,'Fin Forecast'!$B$5:$B$355,BL$5)</f>
        <v>0</v>
      </c>
      <c r="BM123" s="42">
        <f t="shared" si="210"/>
        <v>0</v>
      </c>
      <c r="BN123" s="42">
        <f t="shared" si="211"/>
        <v>0</v>
      </c>
    </row>
    <row r="124" spans="1:66" x14ac:dyDescent="0.25">
      <c r="A124"/>
      <c r="C124" s="307">
        <f t="shared" si="196"/>
        <v>44136</v>
      </c>
      <c r="D124" s="408" t="str">
        <f t="shared" si="197"/>
        <v>865</v>
      </c>
      <c r="E124" s="405" t="str">
        <f>'Retail Rates'!$B$14</f>
        <v>LGCMG865</v>
      </c>
      <c r="F124" s="405" t="s">
        <v>223</v>
      </c>
      <c r="G124" s="405" t="str">
        <f>VLOOKUP(E124,'Retail Rates'!$B$7:$D$40,3,FALSE)</f>
        <v>As-Available Gas Service, Commercial</v>
      </c>
      <c r="H124" s="20">
        <f>SUMIF('Forecasted Customer Cts'!$D$5:$D$28,$F124,'Forecasted Customer Cts'!$P$5:$P$28)</f>
        <v>2</v>
      </c>
      <c r="I124" s="20">
        <v>0</v>
      </c>
      <c r="J124" s="20">
        <v>0</v>
      </c>
      <c r="K124" s="20">
        <v>0</v>
      </c>
      <c r="L124" s="20">
        <v>0</v>
      </c>
      <c r="M124" s="20">
        <f>SUMIF('Forecasted Calendar Month Usage'!$D$5:$D$32,$F124,'Forecasted Calendar Month Usage'!$P$5:$P$32)</f>
        <v>4796.5705358047389</v>
      </c>
      <c r="N124" s="20">
        <v>0</v>
      </c>
      <c r="O124" s="20">
        <v>0</v>
      </c>
      <c r="P124" s="20">
        <v>0</v>
      </c>
      <c r="Q124" s="20">
        <v>0</v>
      </c>
      <c r="R124" s="21">
        <f>VLOOKUP($E124,'Retail Rates'!$B$7:$P$40,4,FALSE)</f>
        <v>500</v>
      </c>
      <c r="S124" s="21">
        <f>VLOOKUP($E124,'Retail Rates'!$B$7:$P$40,5,FALSE)</f>
        <v>0</v>
      </c>
      <c r="T124" s="22">
        <f>VLOOKUP($E124,'Retail Rates'!$B$7:$P$40,8,FALSE)</f>
        <v>0.10644000000000001</v>
      </c>
      <c r="U124" s="22">
        <f>VLOOKUP($E124,'Retail Rates'!$B$7:$P$40,9,FALSE)</f>
        <v>0</v>
      </c>
      <c r="V124" s="22">
        <f>VLOOKUP($E124,'Retail Rates'!$B$7:$P$40,14,FALSE)</f>
        <v>0</v>
      </c>
      <c r="W124" s="22">
        <f>VLOOKUP($E124,'Retail Rates'!$B$7:$P$40,10,FALSE)</f>
        <v>1.0644</v>
      </c>
      <c r="X124" s="22">
        <f>VLOOKUP($E124,'Retail Rates'!$B$7:$P$40,11,FALSE)</f>
        <v>0</v>
      </c>
      <c r="Y124" s="22">
        <f>VLOOKUP($E124,'Retail Rates'!$B$7:$P$40,15,FALSE)</f>
        <v>0</v>
      </c>
      <c r="Z124" s="22">
        <v>0</v>
      </c>
      <c r="AA124" s="411">
        <f>(+H124*R124)</f>
        <v>1000</v>
      </c>
      <c r="AB124" s="411">
        <f>+I124*S124</f>
        <v>0</v>
      </c>
      <c r="AC124" s="411">
        <f>+M124*W124</f>
        <v>5105.4696783105646</v>
      </c>
      <c r="AD124" s="411">
        <f t="shared" si="198"/>
        <v>0</v>
      </c>
      <c r="AE124" s="411">
        <f t="shared" si="195"/>
        <v>0</v>
      </c>
      <c r="AF124" s="41">
        <v>0</v>
      </c>
      <c r="AG124" s="41">
        <v>0</v>
      </c>
      <c r="AH124" s="33">
        <v>0</v>
      </c>
      <c r="AI124" s="33">
        <v>0</v>
      </c>
      <c r="AJ124" s="41">
        <v>0</v>
      </c>
      <c r="AK124" s="41">
        <v>0</v>
      </c>
      <c r="AL124" s="33">
        <v>0</v>
      </c>
      <c r="AM124" s="33">
        <v>0</v>
      </c>
      <c r="AN124" s="41">
        <v>0</v>
      </c>
      <c r="AO124" s="33">
        <v>0</v>
      </c>
      <c r="AP124" s="411">
        <f t="shared" si="199"/>
        <v>1000</v>
      </c>
      <c r="AQ124" s="411">
        <f t="shared" si="200"/>
        <v>0</v>
      </c>
      <c r="AR124" s="411">
        <f t="shared" si="201"/>
        <v>5105.4696783105646</v>
      </c>
      <c r="AS124" s="411">
        <f t="shared" si="202"/>
        <v>0</v>
      </c>
      <c r="AT124" s="411">
        <f t="shared" si="203"/>
        <v>0</v>
      </c>
      <c r="AU124" s="411">
        <f t="shared" si="204"/>
        <v>0</v>
      </c>
      <c r="AV124" s="28">
        <f t="shared" si="205"/>
        <v>137.958655781923</v>
      </c>
      <c r="AW124" s="28">
        <f t="shared" si="206"/>
        <v>16464.154966158101</v>
      </c>
      <c r="AX124" s="28">
        <f t="shared" si="207"/>
        <v>0</v>
      </c>
      <c r="AY124" s="28">
        <f t="shared" si="208"/>
        <v>1622.7608539712601</v>
      </c>
      <c r="AZ124" s="28">
        <f t="shared" si="208"/>
        <v>0</v>
      </c>
      <c r="BA124" s="28">
        <f t="shared" si="121"/>
        <v>24330.34</v>
      </c>
      <c r="BB124" s="28">
        <f t="shared" si="171"/>
        <v>24330.344154221842</v>
      </c>
      <c r="BC124" s="29">
        <f t="shared" si="209"/>
        <v>1</v>
      </c>
      <c r="BD124" s="28">
        <f>SUMIFS('Fin Forecast'!$H$5:$H$355,'Fin Forecast'!$A$5:$A$355,$F124,'Fin Forecast'!$B$5:$B$355,BD$5)</f>
        <v>1000</v>
      </c>
      <c r="BE124" s="28">
        <f>SUMIFS('Fin Forecast'!$H$5:$H$355,'Fin Forecast'!$A$5:$A$355,$F124,'Fin Forecast'!$B$5:$B$355,BE$5)</f>
        <v>5105.4696783105601</v>
      </c>
      <c r="BF124" s="28">
        <f>SUMIFS('Fin Forecast'!$H$5:$H$355,'Fin Forecast'!$A$5:$A$355,$F124,'Fin Forecast'!$C$5:$C$355,BF$5)</f>
        <v>0</v>
      </c>
      <c r="BG124" s="28">
        <f>SUMIFS('Fin Forecast'!$H$5:$H$355,'Fin Forecast'!$A$5:$A$355,$F124,'Fin Forecast'!$B$5:$B$355,BG$5)</f>
        <v>137.958655781923</v>
      </c>
      <c r="BH124" s="28">
        <f>SUMIFS('Fin Forecast'!$H$5:$H$355,'Fin Forecast'!$A$5:$A$355,$F124,'Fin Forecast'!$B$5:$B$355,BH$5)</f>
        <v>16464.154966158101</v>
      </c>
      <c r="BI124" s="28">
        <f>SUMIFS('Fin Forecast'!$H$5:$H$355,'Fin Forecast'!$A$5:$A$355,$F124,'Fin Forecast'!$B$5:$B$355,BI$5)</f>
        <v>0</v>
      </c>
      <c r="BJ124" s="28">
        <f>SUMIFS('Fin Forecast'!$H$5:$H$355,'Fin Forecast'!$A$5:$A$355,$F124,'Fin Forecast'!$B$5:$B$355,BJ$5)</f>
        <v>1622.7608539712601</v>
      </c>
      <c r="BK124" s="28">
        <f>SUMIFS('Fin Forecast'!$H$5:$H$355,'Fin Forecast'!$A$5:$A$355,$F124,'Fin Forecast'!$B$5:$B$355,BK$5)</f>
        <v>0</v>
      </c>
      <c r="BL124" s="28">
        <f>SUMIFS('Fin Forecast'!$H$5:$H$355,'Fin Forecast'!$A$5:$A$355,$F124,'Fin Forecast'!$B$5:$B$355,BL$5)</f>
        <v>0</v>
      </c>
      <c r="BM124" s="42">
        <f t="shared" si="210"/>
        <v>0</v>
      </c>
      <c r="BN124" s="42">
        <f t="shared" si="211"/>
        <v>0</v>
      </c>
    </row>
    <row r="125" spans="1:66" x14ac:dyDescent="0.25">
      <c r="A125"/>
      <c r="C125" s="307">
        <f t="shared" si="196"/>
        <v>44136</v>
      </c>
      <c r="D125" s="408" t="str">
        <f t="shared" si="197"/>
        <v>870</v>
      </c>
      <c r="E125" s="405" t="str">
        <f>'Retail Rates'!$B$17</f>
        <v>LGCMG870</v>
      </c>
      <c r="F125" s="405" t="s">
        <v>553</v>
      </c>
      <c r="G125" s="405" t="str">
        <f>VLOOKUP(E125,'Retail Rates'!$B$7:$D$40,3,FALSE)</f>
        <v>Substitute Gas Sales Service-Commercial</v>
      </c>
      <c r="H125" s="20">
        <f>SUMIF('Forecasted Customer Cts'!$D$5:$D$28,$F125,'Forecasted Customer Cts'!$P$5:$P$28)</f>
        <v>1</v>
      </c>
      <c r="I125" s="20">
        <v>0</v>
      </c>
      <c r="J125" s="20">
        <v>0</v>
      </c>
      <c r="K125" s="20">
        <v>0</v>
      </c>
      <c r="L125" s="20">
        <f>SUMIFS('Fin Forecast'!H1:H500,'Fin Forecast'!A1:A500,'Mar20-Aug20 Billed-RETAIL'!F125,'Fin Forecast'!B1:B500,L5)/V125</f>
        <v>0</v>
      </c>
      <c r="M125" s="20">
        <f>SUMIF('Forecasted Calendar Month Usage'!$D$5:$D$32,$F125,'Forecasted Calendar Month Usage'!$P$5:$P$32)</f>
        <v>300</v>
      </c>
      <c r="N125" s="20">
        <v>0</v>
      </c>
      <c r="O125" s="20">
        <f>SUMIFS('Fin Forecast'!H1:H500,'Fin Forecast'!A1:A500,'Mar20-Aug20 Billed-RETAIL'!F125,'Fin Forecast'!B1:B500,O5)</f>
        <v>2418.1006097560999</v>
      </c>
      <c r="P125" s="20">
        <v>0</v>
      </c>
      <c r="Q125" s="20">
        <v>0</v>
      </c>
      <c r="R125" s="21">
        <f>VLOOKUP($E125,'Retail Rates'!$B$7:$P$40,4,FALSE)</f>
        <v>285</v>
      </c>
      <c r="S125" s="21">
        <f>VLOOKUP($E125,'Retail Rates'!$B$7:$P$40,5,FALSE)</f>
        <v>0</v>
      </c>
      <c r="T125" s="22">
        <f>VLOOKUP($E125,'Retail Rates'!$B$7:$P$40,8,FALSE)</f>
        <v>3.603E-2</v>
      </c>
      <c r="U125" s="22">
        <f>VLOOKUP($E125,'Retail Rates'!$B$7:$P$40,9,FALSE)</f>
        <v>0</v>
      </c>
      <c r="V125" s="22">
        <f>VLOOKUP($E125,'Retail Rates'!$B$7:$P$40,14,FALSE)</f>
        <v>0.65599999999999992</v>
      </c>
      <c r="W125" s="22">
        <f>VLOOKUP($E125,'Retail Rates'!$B$7:$P$40,10,FALSE)</f>
        <v>0.36030000000000001</v>
      </c>
      <c r="X125" s="22">
        <f>VLOOKUP($E125,'Retail Rates'!$B$7:$P$40,11,FALSE)</f>
        <v>0</v>
      </c>
      <c r="Y125" s="22">
        <f>VLOOKUP($E125,'Retail Rates'!$B$7:$P$40,15,FALSE)</f>
        <v>6.56</v>
      </c>
      <c r="Z125" s="22">
        <v>0</v>
      </c>
      <c r="AA125" s="411">
        <f>(+H125*R125)</f>
        <v>285</v>
      </c>
      <c r="AB125" s="411">
        <f>+I125*S125</f>
        <v>0</v>
      </c>
      <c r="AC125" s="411">
        <f t="shared" ref="AC125:AC126" si="212">+M125*W125</f>
        <v>108.09</v>
      </c>
      <c r="AD125" s="411">
        <f t="shared" si="198"/>
        <v>0</v>
      </c>
      <c r="AE125" s="411">
        <f>O125*Y125</f>
        <v>15862.740000000014</v>
      </c>
      <c r="AF125" s="41">
        <v>0</v>
      </c>
      <c r="AG125" s="41">
        <v>0</v>
      </c>
      <c r="AH125" s="33">
        <v>0</v>
      </c>
      <c r="AI125" s="33">
        <v>0</v>
      </c>
      <c r="AJ125" s="41">
        <v>0</v>
      </c>
      <c r="AK125" s="41">
        <v>0</v>
      </c>
      <c r="AL125" s="33">
        <v>0</v>
      </c>
      <c r="AM125" s="33">
        <v>0</v>
      </c>
      <c r="AN125" s="41">
        <v>0</v>
      </c>
      <c r="AO125" s="33">
        <v>0</v>
      </c>
      <c r="AP125" s="411">
        <f t="shared" si="199"/>
        <v>285</v>
      </c>
      <c r="AQ125" s="411">
        <f t="shared" si="200"/>
        <v>0</v>
      </c>
      <c r="AR125" s="411">
        <f t="shared" si="201"/>
        <v>108.09</v>
      </c>
      <c r="AS125" s="411">
        <f t="shared" si="202"/>
        <v>0</v>
      </c>
      <c r="AT125" s="411">
        <f t="shared" si="203"/>
        <v>15862.740000000014</v>
      </c>
      <c r="AU125" s="411">
        <f t="shared" si="204"/>
        <v>0</v>
      </c>
      <c r="AV125" s="28">
        <f t="shared" si="205"/>
        <v>17.027234306303999</v>
      </c>
      <c r="AW125" s="28">
        <f t="shared" si="206"/>
        <v>1029.7454093456199</v>
      </c>
      <c r="AX125" s="28">
        <f t="shared" si="207"/>
        <v>0</v>
      </c>
      <c r="AY125" s="28">
        <f t="shared" si="208"/>
        <v>744.88056613809101</v>
      </c>
      <c r="AZ125" s="28">
        <f t="shared" si="208"/>
        <v>0</v>
      </c>
      <c r="BA125" s="28">
        <f t="shared" si="121"/>
        <v>18047.48</v>
      </c>
      <c r="BB125" s="28">
        <f t="shared" si="171"/>
        <v>18047.483209790014</v>
      </c>
      <c r="BC125" s="29">
        <f t="shared" si="209"/>
        <v>1</v>
      </c>
      <c r="BD125" s="28">
        <f>SUMIFS('Fin Forecast'!$H$5:$H$355,'Fin Forecast'!$A$5:$A$355,$F125,'Fin Forecast'!$B$5:$B$355,BD$5)</f>
        <v>285</v>
      </c>
      <c r="BE125" s="28">
        <f>SUMIFS('Fin Forecast'!$H$5:$H$355,'Fin Forecast'!$A$5:$A$355,$F125,'Fin Forecast'!$B$5:$B$355,BE$5)</f>
        <v>108.09</v>
      </c>
      <c r="BF125" s="28">
        <f>SUMIFS('Fin Forecast'!$H$5:$H$355,'Fin Forecast'!$A$5:$A$355,$F125,'Fin Forecast'!$C$5:$C$355,BF$5)</f>
        <v>15862.74</v>
      </c>
      <c r="BG125" s="28">
        <f>SUMIFS('Fin Forecast'!$H$5:$H$355,'Fin Forecast'!$A$5:$A$355,$F125,'Fin Forecast'!$B$5:$B$355,BG$5)</f>
        <v>17.027234306303999</v>
      </c>
      <c r="BH125" s="28">
        <f>SUMIFS('Fin Forecast'!$H$5:$H$355,'Fin Forecast'!$A$5:$A$355,$F125,'Fin Forecast'!$B$5:$B$355,BH$5)</f>
        <v>1029.7454093456199</v>
      </c>
      <c r="BI125" s="28">
        <f>SUMIFS('Fin Forecast'!$H$5:$H$355,'Fin Forecast'!$A$5:$A$355,$F125,'Fin Forecast'!$B$5:$B$355,BI$5)</f>
        <v>0</v>
      </c>
      <c r="BJ125" s="28">
        <f>SUMIFS('Fin Forecast'!$H$5:$H$355,'Fin Forecast'!$A$5:$A$355,$F125,'Fin Forecast'!$B$5:$B$355,BJ$5)</f>
        <v>744.88056613809101</v>
      </c>
      <c r="BK125" s="28">
        <f>SUMIFS('Fin Forecast'!$H$5:$H$355,'Fin Forecast'!$A$5:$A$355,$F125,'Fin Forecast'!$B$5:$B$355,BK$5)</f>
        <v>0</v>
      </c>
      <c r="BL125" s="28">
        <f>SUMIFS('Fin Forecast'!$H$5:$H$355,'Fin Forecast'!$A$5:$A$355,$F125,'Fin Forecast'!$B$5:$B$355,BL$5)</f>
        <v>0</v>
      </c>
      <c r="BM125" s="42">
        <f t="shared" si="210"/>
        <v>0</v>
      </c>
      <c r="BN125" s="42">
        <f t="shared" si="211"/>
        <v>0</v>
      </c>
    </row>
    <row r="126" spans="1:66" x14ac:dyDescent="0.25">
      <c r="A126"/>
      <c r="C126" s="307">
        <f t="shared" si="196"/>
        <v>44136</v>
      </c>
      <c r="D126" s="408" t="str">
        <f t="shared" si="197"/>
        <v>871</v>
      </c>
      <c r="E126" s="405" t="s">
        <v>565</v>
      </c>
      <c r="F126" s="405" t="s">
        <v>555</v>
      </c>
      <c r="G126" s="405" t="str">
        <f>VLOOKUP(E126,'Retail Rates'!$B$7:$D$40,3,FALSE)</f>
        <v>Substitute Gas Sales Service-Industrial Opt In</v>
      </c>
      <c r="H126" s="20">
        <f>SUMIF('Forecasted Customer Cts'!$D$5:$D$28,$F126,'Forecasted Customer Cts'!$P$5:$P$28)</f>
        <v>0</v>
      </c>
      <c r="I126" s="20">
        <v>0</v>
      </c>
      <c r="J126" s="20">
        <v>0</v>
      </c>
      <c r="K126" s="20">
        <v>0</v>
      </c>
      <c r="L126" s="20">
        <f>SUMIFS('Fin Forecast'!H2:H501,'Fin Forecast'!A2:A501,'Mar20-Aug20 Billed-RETAIL'!F126,'Fin Forecast'!B2:B501,L6)/V126</f>
        <v>0</v>
      </c>
      <c r="M126" s="20">
        <f>SUMIF('Forecasted Calendar Month Usage'!$D$5:$D$32,$F126,'Forecasted Calendar Month Usage'!$P$5:$P$32)</f>
        <v>0</v>
      </c>
      <c r="N126" s="20">
        <v>0</v>
      </c>
      <c r="O126" s="20">
        <f>SUMIFS('Fin Forecast'!K2:K501,'Fin Forecast'!D2:D501,'Mar20-Aug20 Billed-RETAIL'!F126,'Fin Forecast'!E2:E501,O6)/V126</f>
        <v>0</v>
      </c>
      <c r="P126" s="20">
        <v>0</v>
      </c>
      <c r="Q126" s="20">
        <v>0</v>
      </c>
      <c r="R126" s="21">
        <f>VLOOKUP($E126,'Retail Rates'!$B$7:$P$40,4,FALSE)</f>
        <v>750</v>
      </c>
      <c r="S126" s="21">
        <f>VLOOKUP($E126,'Retail Rates'!$B$7:$P$40,5,FALSE)</f>
        <v>0</v>
      </c>
      <c r="T126" s="22">
        <f>VLOOKUP($E126,'Retail Rates'!$B$7:$P$40,8,FALSE)</f>
        <v>2.9919999999999995E-2</v>
      </c>
      <c r="U126" s="22">
        <f>VLOOKUP($E126,'Retail Rates'!$B$7:$P$40,9,FALSE)</f>
        <v>0</v>
      </c>
      <c r="V126" s="22">
        <f>VLOOKUP($E126,'Retail Rates'!$B$7:$P$40,14,FALSE)</f>
        <v>1.0900000000000001</v>
      </c>
      <c r="W126" s="22">
        <f>VLOOKUP($E126,'Retail Rates'!$B$7:$P$40,10,FALSE)</f>
        <v>0.29919999999999997</v>
      </c>
      <c r="X126" s="22">
        <f>VLOOKUP($E126,'Retail Rates'!$B$7:$P$40,11,FALSE)</f>
        <v>0</v>
      </c>
      <c r="Y126" s="22">
        <f>VLOOKUP($E126,'Retail Rates'!$B$7:$P$40,15,FALSE)</f>
        <v>10.9</v>
      </c>
      <c r="Z126" s="22">
        <v>0</v>
      </c>
      <c r="AA126" s="411">
        <f>(+H126*R126)</f>
        <v>0</v>
      </c>
      <c r="AB126" s="411">
        <f>+I126*S126</f>
        <v>0</v>
      </c>
      <c r="AC126" s="411">
        <f t="shared" si="212"/>
        <v>0</v>
      </c>
      <c r="AD126" s="411">
        <f t="shared" si="198"/>
        <v>0</v>
      </c>
      <c r="AE126" s="411">
        <f t="shared" si="195"/>
        <v>0</v>
      </c>
      <c r="AF126" s="41">
        <v>0</v>
      </c>
      <c r="AG126" s="41">
        <v>0</v>
      </c>
      <c r="AH126" s="33">
        <v>0</v>
      </c>
      <c r="AI126" s="33">
        <v>0</v>
      </c>
      <c r="AJ126" s="41">
        <v>0</v>
      </c>
      <c r="AK126" s="41">
        <v>0</v>
      </c>
      <c r="AL126" s="33">
        <v>0</v>
      </c>
      <c r="AM126" s="33">
        <v>0</v>
      </c>
      <c r="AN126" s="41">
        <v>0</v>
      </c>
      <c r="AO126" s="33">
        <v>0</v>
      </c>
      <c r="AP126" s="411">
        <f t="shared" si="199"/>
        <v>0</v>
      </c>
      <c r="AQ126" s="411">
        <f t="shared" si="200"/>
        <v>0</v>
      </c>
      <c r="AR126" s="411">
        <f t="shared" si="201"/>
        <v>0</v>
      </c>
      <c r="AS126" s="411">
        <f t="shared" si="202"/>
        <v>0</v>
      </c>
      <c r="AT126" s="411">
        <f t="shared" si="203"/>
        <v>0</v>
      </c>
      <c r="AU126" s="411">
        <f t="shared" si="204"/>
        <v>0</v>
      </c>
      <c r="AV126" s="28">
        <f t="shared" si="205"/>
        <v>0</v>
      </c>
      <c r="AW126" s="28">
        <f t="shared" si="206"/>
        <v>0</v>
      </c>
      <c r="AX126" s="28">
        <f t="shared" si="207"/>
        <v>0</v>
      </c>
      <c r="AY126" s="28">
        <f t="shared" si="208"/>
        <v>0</v>
      </c>
      <c r="AZ126" s="28">
        <f t="shared" si="208"/>
        <v>0</v>
      </c>
      <c r="BA126" s="28">
        <f t="shared" si="121"/>
        <v>0</v>
      </c>
      <c r="BB126" s="28">
        <f t="shared" si="171"/>
        <v>0</v>
      </c>
      <c r="BC126" s="29">
        <f t="shared" si="209"/>
        <v>0</v>
      </c>
      <c r="BD126" s="28">
        <f>SUMIFS('Fin Forecast'!$H$5:$H$355,'Fin Forecast'!$A$5:$A$355,$F126,'Fin Forecast'!$B$5:$B$355,BD$5)</f>
        <v>0</v>
      </c>
      <c r="BE126" s="28">
        <f>SUMIFS('Fin Forecast'!$H$5:$H$355,'Fin Forecast'!$A$5:$A$355,$F126,'Fin Forecast'!$B$5:$B$355,BE$5)</f>
        <v>0</v>
      </c>
      <c r="BF126" s="28">
        <f>SUMIFS('Fin Forecast'!$H$5:$H$355,'Fin Forecast'!$A$5:$A$355,$F126,'Fin Forecast'!$C$5:$C$355,BF$5)</f>
        <v>0</v>
      </c>
      <c r="BG126" s="28">
        <f>SUMIFS('Fin Forecast'!$H$5:$H$355,'Fin Forecast'!$A$5:$A$355,$F126,'Fin Forecast'!$B$5:$B$355,BG$5)</f>
        <v>0</v>
      </c>
      <c r="BH126" s="28">
        <f>SUMIFS('Fin Forecast'!$H$5:$H$355,'Fin Forecast'!$A$5:$A$355,$F126,'Fin Forecast'!$B$5:$B$355,BH$5)</f>
        <v>0</v>
      </c>
      <c r="BI126" s="28">
        <f>SUMIFS('Fin Forecast'!$H$5:$H$355,'Fin Forecast'!$A$5:$A$355,$F126,'Fin Forecast'!$B$5:$B$355,BI$5)</f>
        <v>0</v>
      </c>
      <c r="BJ126" s="28">
        <f>SUMIFS('Fin Forecast'!$H$5:$H$355,'Fin Forecast'!$A$5:$A$355,$F126,'Fin Forecast'!$B$5:$B$355,BJ$5)</f>
        <v>0</v>
      </c>
      <c r="BK126" s="28">
        <f>SUMIFS('Fin Forecast'!$H$5:$H$355,'Fin Forecast'!$A$5:$A$355,$F126,'Fin Forecast'!$B$5:$B$355,BK$5)</f>
        <v>0</v>
      </c>
      <c r="BL126" s="28">
        <f>SUMIFS('Fin Forecast'!$H$5:$H$355,'Fin Forecast'!$A$5:$A$355,$F126,'Fin Forecast'!$B$5:$B$355,BL$5)</f>
        <v>0</v>
      </c>
      <c r="BM126" s="42">
        <f t="shared" si="210"/>
        <v>0</v>
      </c>
      <c r="BN126" s="42">
        <f t="shared" si="211"/>
        <v>0</v>
      </c>
    </row>
    <row r="127" spans="1:66" x14ac:dyDescent="0.25">
      <c r="A127"/>
      <c r="C127" s="307">
        <f t="shared" si="196"/>
        <v>44136</v>
      </c>
      <c r="D127" s="408" t="str">
        <f t="shared" si="197"/>
        <v>875</v>
      </c>
      <c r="E127" s="405" t="str">
        <f>'Retail Rates'!$B$21</f>
        <v>LGCMG875</v>
      </c>
      <c r="F127" s="405" t="s">
        <v>428</v>
      </c>
      <c r="G127" s="405" t="str">
        <f>VLOOKUP(E127,'Retail Rates'!$B$7:$D$40,3,FALSE)</f>
        <v>Distributed Generation Gas Service, Commercial</v>
      </c>
      <c r="H127" s="20">
        <f>SUMIF('Forecasted Customer Cts'!$D$5:$D$28,$F127,'Forecasted Customer Cts'!$P$5:$P$28)</f>
        <v>2</v>
      </c>
      <c r="I127" s="20">
        <v>0</v>
      </c>
      <c r="J127" s="20">
        <f>SUMIF('Forecasted Calendar Month Usage'!$D$5:$D$32,$F127,'Forecasted Calendar Month Usage'!$P$5:$P$32)*10</f>
        <v>7</v>
      </c>
      <c r="K127" s="20">
        <v>0</v>
      </c>
      <c r="L127" s="20">
        <f>SUMIFS('Fin Forecast'!H3:H502,'Fin Forecast'!A3:A502,'Mar20-Aug20 Billed-RETAIL'!F127,'Fin Forecast'!B3:B502,L5)*10</f>
        <v>1000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1">
        <f>VLOOKUP($E127,'Retail Rates'!$B$7:$P$40,4,FALSE)</f>
        <v>165</v>
      </c>
      <c r="S127" s="21">
        <f>VLOOKUP($E127,'Retail Rates'!$B$7:$P$40,5,FALSE)</f>
        <v>750</v>
      </c>
      <c r="T127" s="22">
        <f>VLOOKUP($E127,'Retail Rates'!$B$7:$P$40,8,FALSE)</f>
        <v>2.9919999999999999E-2</v>
      </c>
      <c r="U127" s="22">
        <f>VLOOKUP($E127,'Retail Rates'!$B$7:$P$40,9,FALSE)</f>
        <v>0</v>
      </c>
      <c r="V127" s="22">
        <f>VLOOKUP($E127,'Retail Rates'!$B$7:$P$40,14,FALSE)</f>
        <v>1.08978</v>
      </c>
      <c r="W127" s="22">
        <f>VLOOKUP($E127,'Retail Rates'!$B$7:$P$40,10,FALSE)</f>
        <v>0.29919999999999997</v>
      </c>
      <c r="X127" s="22">
        <f>VLOOKUP($E127,'Retail Rates'!$B$7:$P$40,11,FALSE)</f>
        <v>0</v>
      </c>
      <c r="Y127" s="22">
        <f>VLOOKUP($E127,'Retail Rates'!$B$7:$P$40,15,FALSE)</f>
        <v>10.8978</v>
      </c>
      <c r="Z127" s="22">
        <v>0</v>
      </c>
      <c r="AA127" s="411">
        <f>(+H127*R127)</f>
        <v>330</v>
      </c>
      <c r="AB127" s="411">
        <f>+I127*S127</f>
        <v>0</v>
      </c>
      <c r="AC127" s="23">
        <f t="shared" si="198"/>
        <v>0.20943999999999999</v>
      </c>
      <c r="AD127" s="411">
        <f t="shared" si="198"/>
        <v>0</v>
      </c>
      <c r="AE127" s="411">
        <f t="shared" si="195"/>
        <v>1089.78</v>
      </c>
      <c r="AF127" s="41">
        <v>0</v>
      </c>
      <c r="AG127" s="41">
        <v>0</v>
      </c>
      <c r="AH127" s="33">
        <v>0</v>
      </c>
      <c r="AI127" s="33">
        <v>0</v>
      </c>
      <c r="AJ127" s="41">
        <v>0</v>
      </c>
      <c r="AK127" s="41">
        <v>0</v>
      </c>
      <c r="AL127" s="33">
        <v>0</v>
      </c>
      <c r="AM127" s="33">
        <v>0</v>
      </c>
      <c r="AN127" s="41">
        <v>0</v>
      </c>
      <c r="AO127" s="33">
        <v>0</v>
      </c>
      <c r="AP127" s="411">
        <f t="shared" si="199"/>
        <v>330</v>
      </c>
      <c r="AQ127" s="411">
        <f t="shared" si="200"/>
        <v>0</v>
      </c>
      <c r="AR127" s="23">
        <f t="shared" si="201"/>
        <v>0.20943999999999999</v>
      </c>
      <c r="AS127" s="411">
        <f t="shared" si="202"/>
        <v>0</v>
      </c>
      <c r="AT127" s="411">
        <f t="shared" si="203"/>
        <v>1089.78</v>
      </c>
      <c r="AU127" s="411">
        <f t="shared" si="204"/>
        <v>0</v>
      </c>
      <c r="AV127" s="28">
        <f t="shared" si="205"/>
        <v>0</v>
      </c>
      <c r="AW127" s="28">
        <f t="shared" si="206"/>
        <v>2.4027392884731298</v>
      </c>
      <c r="AX127" s="28">
        <f t="shared" si="207"/>
        <v>0</v>
      </c>
      <c r="AY127" s="28">
        <f t="shared" si="208"/>
        <v>101.64896532687099</v>
      </c>
      <c r="AZ127" s="28">
        <f t="shared" si="208"/>
        <v>0</v>
      </c>
      <c r="BA127" s="28">
        <f>(SUM(AP127:AZ127))</f>
        <v>1524.0411446153439</v>
      </c>
      <c r="BB127" s="28">
        <f t="shared" si="171"/>
        <v>1524.0411446153439</v>
      </c>
      <c r="BC127" s="29">
        <f t="shared" si="209"/>
        <v>1</v>
      </c>
      <c r="BD127" s="28">
        <f>SUMIFS('Fin Forecast'!$H$5:$H$355,'Fin Forecast'!$A$5:$A$355,$F127,'Fin Forecast'!$B$5:$B$355,BD$5)</f>
        <v>330</v>
      </c>
      <c r="BE127" s="28">
        <f>SUMIFS('Fin Forecast'!$H$5:$H$355,'Fin Forecast'!$A$5:$A$355,$F127,'Fin Forecast'!$B$5:$B$355,BE$5)</f>
        <v>0.20943999999999999</v>
      </c>
      <c r="BF127" s="28">
        <f>SUMIFS('Fin Forecast'!$H$5:$H$355,'Fin Forecast'!$A$5:$A$355,$F127,'Fin Forecast'!$C$5:$C$355,BF$5)</f>
        <v>1089.78</v>
      </c>
      <c r="BG127" s="28">
        <f>SUMIFS('Fin Forecast'!$H$5:$H$355,'Fin Forecast'!$A$5:$A$355,$F127,'Fin Forecast'!$B$5:$B$355,BG$5)</f>
        <v>0</v>
      </c>
      <c r="BH127" s="28">
        <f>SUMIFS('Fin Forecast'!$H$5:$H$355,'Fin Forecast'!$A$5:$A$355,$F127,'Fin Forecast'!$B$5:$B$355,BH$5)</f>
        <v>2.4027392884731298</v>
      </c>
      <c r="BI127" s="28">
        <f>SUMIFS('Fin Forecast'!$H$5:$H$355,'Fin Forecast'!$A$5:$A$355,$F127,'Fin Forecast'!$B$5:$B$355,BI$5)</f>
        <v>0</v>
      </c>
      <c r="BJ127" s="28">
        <f>SUMIFS('Fin Forecast'!$H$5:$H$355,'Fin Forecast'!$A$5:$A$355,$F127,'Fin Forecast'!$B$5:$B$355,BJ$5)</f>
        <v>101.64896532687099</v>
      </c>
      <c r="BK127" s="28">
        <f>SUMIFS('Fin Forecast'!$H$5:$H$355,'Fin Forecast'!$A$5:$A$355,$F127,'Fin Forecast'!$B$5:$B$355,BK$5)</f>
        <v>0</v>
      </c>
      <c r="BL127" s="28">
        <f>SUMIFS('Fin Forecast'!$H$5:$H$355,'Fin Forecast'!$A$5:$A$355,$F127,'Fin Forecast'!$B$5:$B$355,BL$5)</f>
        <v>0</v>
      </c>
      <c r="BM127" s="42">
        <f t="shared" si="210"/>
        <v>0</v>
      </c>
      <c r="BN127" s="42">
        <f t="shared" si="211"/>
        <v>0</v>
      </c>
    </row>
    <row r="128" spans="1:66" x14ac:dyDescent="0.25">
      <c r="A128"/>
      <c r="C128" s="307">
        <f t="shared" si="196"/>
        <v>44136</v>
      </c>
      <c r="D128" s="408">
        <v>996</v>
      </c>
      <c r="E128" s="405" t="s">
        <v>32</v>
      </c>
      <c r="F128" s="405" t="s">
        <v>495</v>
      </c>
      <c r="G128" s="405" t="s">
        <v>624</v>
      </c>
      <c r="H128" s="20">
        <f>SUMIF('Forecasted Customer Cts'!$D$5:$D$28,$F128,'Forecasted Customer Cts'!$P$5:$P$28)</f>
        <v>1</v>
      </c>
      <c r="I128" s="20">
        <v>0</v>
      </c>
      <c r="J128" s="20">
        <f>SUMIF('Forecasted Calendar Month Usage'!$D$5:$D$32,$F128,'Forecasted Calendar Month Usage'!$P$5:$P$32)*10</f>
        <v>206557</v>
      </c>
      <c r="K128" s="20">
        <v>0</v>
      </c>
      <c r="L128" s="20">
        <f>SUMIFS('Fin Forecast'!H4:H503,'Fin Forecast'!A4:A503,'Mar20-Aug20 Billed-RETAIL'!F128,'Fin Forecast'!B4:B503,L5)*10</f>
        <v>165600.00183523301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1">
        <f>VLOOKUP($E128,'Retail Rates'!$B$7:$P$40,4,FALSE)</f>
        <v>750</v>
      </c>
      <c r="S128" s="21">
        <f>VLOOKUP($E128,'Retail Rates'!$B$7:$P$40,5,FALSE)</f>
        <v>0</v>
      </c>
      <c r="T128" s="22">
        <f>VLOOKUP($E128,'Retail Rates'!$B$7:$P$40,8,FALSE)</f>
        <v>2.9920000000000002E-2</v>
      </c>
      <c r="U128" s="22">
        <f>VLOOKUP($E128,'Retail Rates'!$B$7:$P$40,9,FALSE)</f>
        <v>0</v>
      </c>
      <c r="V128" s="22">
        <f>VLOOKUP($E128,'Retail Rates'!$B$7:$P$40,14,FALSE)</f>
        <v>1.08978</v>
      </c>
      <c r="W128" s="22">
        <f>VLOOKUP($E128,'Retail Rates'!$B$7:$P$40,10,FALSE)</f>
        <v>0.29920000000000002</v>
      </c>
      <c r="X128" s="22">
        <f>VLOOKUP($E128,'Retail Rates'!$B$7:$P$40,11,FALSE)</f>
        <v>0</v>
      </c>
      <c r="Y128" s="22">
        <f>VLOOKUP($E128,'Retail Rates'!$B$7:$P$40,15,FALSE)</f>
        <v>10.8978</v>
      </c>
      <c r="Z128" s="22">
        <v>0</v>
      </c>
      <c r="AA128" s="411">
        <f>(+H128*R128)</f>
        <v>750</v>
      </c>
      <c r="AB128" s="411">
        <f>+I128*S128</f>
        <v>0</v>
      </c>
      <c r="AC128" s="411">
        <f t="shared" si="198"/>
        <v>6180.1854400000002</v>
      </c>
      <c r="AD128" s="411">
        <f t="shared" si="198"/>
        <v>0</v>
      </c>
      <c r="AE128" s="411">
        <f t="shared" si="195"/>
        <v>180467.57000000021</v>
      </c>
      <c r="AF128" s="41">
        <v>0</v>
      </c>
      <c r="AG128" s="41">
        <v>0</v>
      </c>
      <c r="AH128" s="33">
        <v>0</v>
      </c>
      <c r="AI128" s="33">
        <v>0</v>
      </c>
      <c r="AJ128" s="41">
        <v>0</v>
      </c>
      <c r="AK128" s="41">
        <v>0</v>
      </c>
      <c r="AL128" s="33">
        <v>0</v>
      </c>
      <c r="AM128" s="33">
        <v>0</v>
      </c>
      <c r="AN128" s="41">
        <v>0</v>
      </c>
      <c r="AO128" s="33">
        <v>0</v>
      </c>
      <c r="AP128" s="411">
        <f t="shared" si="199"/>
        <v>750</v>
      </c>
      <c r="AQ128" s="411">
        <f t="shared" si="200"/>
        <v>0</v>
      </c>
      <c r="AR128" s="411">
        <f t="shared" si="201"/>
        <v>6180.1854400000002</v>
      </c>
      <c r="AS128" s="411">
        <f t="shared" si="202"/>
        <v>0</v>
      </c>
      <c r="AT128" s="411">
        <f t="shared" si="203"/>
        <v>180467.57000000021</v>
      </c>
      <c r="AU128" s="411">
        <f t="shared" si="204"/>
        <v>0</v>
      </c>
      <c r="AV128" s="28">
        <f t="shared" si="205"/>
        <v>0</v>
      </c>
      <c r="AW128" s="28">
        <f t="shared" si="206"/>
        <v>70900.374172734897</v>
      </c>
      <c r="AX128" s="28">
        <f t="shared" si="207"/>
        <v>0</v>
      </c>
      <c r="AY128" s="28">
        <f t="shared" si="208"/>
        <v>0</v>
      </c>
      <c r="AZ128" s="28">
        <f t="shared" si="208"/>
        <v>0</v>
      </c>
      <c r="BA128" s="28">
        <f t="shared" si="121"/>
        <v>258298.13</v>
      </c>
      <c r="BB128" s="28">
        <f t="shared" si="171"/>
        <v>258298.12961273489</v>
      </c>
      <c r="BC128" s="29">
        <f t="shared" si="209"/>
        <v>1</v>
      </c>
      <c r="BD128" s="28">
        <f>SUMIFS('Fin Forecast'!$H$5:$H$3550,'Fin Forecast'!$A$5:$A$3550,$F128,'Fin Forecast'!$B$5:$B$3550,BD$5)</f>
        <v>750</v>
      </c>
      <c r="BE128" s="28">
        <f>SUMIFS('Fin Forecast'!$H$5:$H$3550,'Fin Forecast'!$A$5:$A$3550,$F128,'Fin Forecast'!$B$5:$B$3550,BE$5)</f>
        <v>6180.1854400000002</v>
      </c>
      <c r="BF128" s="28">
        <f>SUMIFS('Fin Forecast'!$H$5:$H$3550,'Fin Forecast'!$A$5:$A$3550,$F128,'Fin Forecast'!$C$5:$C$3550,BF$5)</f>
        <v>180467.57</v>
      </c>
      <c r="BG128" s="28">
        <f>SUMIFS('Fin Forecast'!$H$5:$H$3550,'Fin Forecast'!$A$5:$A$3550,$F128,'Fin Forecast'!$B$5:$B$3550,BG$5)</f>
        <v>0</v>
      </c>
      <c r="BH128" s="28">
        <f>SUMIFS('Fin Forecast'!$H$5:$H$3550,'Fin Forecast'!$A$5:$A$3550,$F128,'Fin Forecast'!$B$5:$B$3550,BH$5)</f>
        <v>70900.374172734897</v>
      </c>
      <c r="BI128" s="28">
        <f>SUMIFS('Fin Forecast'!$H$5:$H$3550,'Fin Forecast'!$A$5:$A$3550,$F128,'Fin Forecast'!$B$5:$B$3550,BI$5)</f>
        <v>0</v>
      </c>
      <c r="BJ128" s="28">
        <f>SUMIFS('Fin Forecast'!$H$5:$H$3550,'Fin Forecast'!$A$5:$A$3550,$F128,'Fin Forecast'!$B$5:$B$3550,BJ$5)</f>
        <v>0</v>
      </c>
      <c r="BK128" s="28">
        <f>SUMIFS('Fin Forecast'!$H$5:$H$3550,'Fin Forecast'!$A$5:$A$3550,$F128,'Fin Forecast'!$B$5:$B$3550,BK$5)</f>
        <v>0</v>
      </c>
      <c r="BL128" s="28">
        <f>SUMIFS('Fin Forecast'!$H$5:$H$3550,'Fin Forecast'!$A$5:$A$3550,$F128,'Fin Forecast'!$B$5:$B$3550,BL$5)</f>
        <v>0</v>
      </c>
      <c r="BM128" s="42">
        <f t="shared" si="210"/>
        <v>0</v>
      </c>
      <c r="BN128" s="42">
        <f t="shared" si="211"/>
        <v>0</v>
      </c>
    </row>
    <row r="129" spans="1:66" s="279" customFormat="1" x14ac:dyDescent="0.25">
      <c r="A129"/>
      <c r="B129"/>
      <c r="C129" s="308"/>
      <c r="D129" s="308"/>
      <c r="E129" s="280"/>
      <c r="F129" s="280"/>
      <c r="G129" s="280"/>
      <c r="R129" s="282"/>
      <c r="S129" s="282"/>
      <c r="T129" s="283"/>
      <c r="U129" s="283"/>
      <c r="V129" s="283"/>
      <c r="W129" s="283"/>
      <c r="X129" s="283"/>
      <c r="Y129" s="283"/>
      <c r="Z129" s="283"/>
      <c r="AA129" s="284"/>
      <c r="AB129" s="284"/>
      <c r="AC129" s="284"/>
      <c r="AD129" s="284"/>
      <c r="AE129" s="284"/>
      <c r="AF129" s="285"/>
      <c r="AG129" s="285"/>
      <c r="AH129" s="284"/>
      <c r="AI129" s="284"/>
      <c r="AJ129" s="284"/>
      <c r="AK129" s="284"/>
      <c r="AL129" s="284"/>
      <c r="AM129" s="284"/>
      <c r="AN129" s="284"/>
      <c r="AO129" s="284"/>
      <c r="AP129" s="297"/>
      <c r="AQ129" s="297"/>
      <c r="AR129" s="297"/>
      <c r="AS129" s="297"/>
      <c r="AT129" s="297"/>
      <c r="AU129" s="297"/>
      <c r="AV129" s="284"/>
      <c r="AW129" s="284"/>
      <c r="AX129" s="284"/>
      <c r="AY129" s="284"/>
      <c r="AZ129" s="284"/>
      <c r="BA129" s="284"/>
      <c r="BB129" s="284"/>
      <c r="BC129" s="286"/>
      <c r="BD129" s="297"/>
      <c r="BE129" s="297"/>
      <c r="BF129" s="297"/>
      <c r="BG129" s="297"/>
      <c r="BH129" s="297"/>
      <c r="BI129" s="297"/>
      <c r="BJ129" s="297"/>
      <c r="BM129" s="284"/>
      <c r="BN129" s="284"/>
    </row>
    <row r="130" spans="1:66" x14ac:dyDescent="0.25">
      <c r="A130"/>
      <c r="C130" s="307">
        <f>EDATE(C121,1)</f>
        <v>44166</v>
      </c>
      <c r="D130" s="408" t="str">
        <f>MID(E130,6,3)</f>
        <v>811</v>
      </c>
      <c r="E130" s="405" t="str">
        <f>'Retail Rates'!$B$7</f>
        <v>LGRSG811</v>
      </c>
      <c r="F130" s="405" t="s">
        <v>62</v>
      </c>
      <c r="G130" s="405" t="str">
        <f>VLOOKUP(E130,'Retail Rates'!$B$7:$D$40,3,FALSE)</f>
        <v>Residential Gas Service</v>
      </c>
      <c r="H130" s="20">
        <f>SUMIF('Forecasted Customer Cts'!$D$5:$D$28,$F130,'Forecasted Customer Cts'!$Q$5:$Q$28)</f>
        <v>301386</v>
      </c>
      <c r="I130" s="20">
        <v>0</v>
      </c>
      <c r="J130" s="20">
        <f>SUMIF('Forecasted Calendar Month Usage'!$D$5:$D$32,$F130,'Forecasted Calendar Month Usage'!$Q$5:$Q$32)*10</f>
        <v>33076247.132563099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f>SUMIFS('Fin Forecast'!I1:I500,'Fin Forecast'!A1:A500,'Mar20-Aug20 Billed-RETAIL'!F130,'Fin Forecast'!B1:B500,P5)/R130</f>
        <v>9342965.9999999851</v>
      </c>
      <c r="Q130" s="20">
        <v>0</v>
      </c>
      <c r="R130" s="21">
        <f>VLOOKUP($E130,'Retail Rates'!$B$7:$P$40,4,FALSE)</f>
        <v>0.65</v>
      </c>
      <c r="S130" s="21">
        <f>VLOOKUP($E130,'Retail Rates'!$B$7:$P$40,5,FALSE)</f>
        <v>0</v>
      </c>
      <c r="T130" s="22">
        <f>VLOOKUP($E130,'Retail Rates'!$B$7:$P$40,8,FALSE)</f>
        <v>0.36781999999999998</v>
      </c>
      <c r="U130" s="22">
        <f>VLOOKUP($E130,'Retail Rates'!$B$7:$P$40,9,FALSE)</f>
        <v>0</v>
      </c>
      <c r="V130" s="22">
        <f>VLOOKUP($E130,'Retail Rates'!$B$7:$P$40,14,FALSE)</f>
        <v>0</v>
      </c>
      <c r="W130" s="22">
        <f>VLOOKUP($E130,'Retail Rates'!$B$7:$P$40,10,FALSE)</f>
        <v>3.6781999999999999</v>
      </c>
      <c r="X130" s="22">
        <f>VLOOKUP($E130,'Retail Rates'!$B$7:$P$40,11,FALSE)</f>
        <v>0</v>
      </c>
      <c r="Y130" s="22">
        <f>VLOOKUP($E130,'Retail Rates'!$B$7:$P$40,15,FALSE)</f>
        <v>0</v>
      </c>
      <c r="Z130" s="22">
        <v>0</v>
      </c>
      <c r="AA130" s="411">
        <f>(+P130*R130)</f>
        <v>6072927.8999999901</v>
      </c>
      <c r="AB130" s="411">
        <f>+I130*S130</f>
        <v>0</v>
      </c>
      <c r="AC130" s="411">
        <f>+J130*T130</f>
        <v>12166105.220299359</v>
      </c>
      <c r="AD130" s="411">
        <f>+K130*U130</f>
        <v>0</v>
      </c>
      <c r="AE130" s="23">
        <f t="shared" ref="AE130:AE137" si="213">L130*V130</f>
        <v>0</v>
      </c>
      <c r="AF130" s="41">
        <v>0</v>
      </c>
      <c r="AG130" s="41">
        <v>0</v>
      </c>
      <c r="AH130" s="33">
        <v>0</v>
      </c>
      <c r="AI130" s="33">
        <v>0</v>
      </c>
      <c r="AJ130" s="41">
        <v>0</v>
      </c>
      <c r="AK130" s="41">
        <v>0</v>
      </c>
      <c r="AL130" s="33">
        <v>0</v>
      </c>
      <c r="AM130" s="33">
        <v>0</v>
      </c>
      <c r="AN130" s="41">
        <v>0</v>
      </c>
      <c r="AO130" s="33">
        <v>0</v>
      </c>
      <c r="AP130" s="411">
        <f>AA130+AH130</f>
        <v>6072927.8999999901</v>
      </c>
      <c r="AQ130" s="411">
        <f>AB130+AI130</f>
        <v>0</v>
      </c>
      <c r="AR130" s="411">
        <f>AC130+AL130</f>
        <v>12166105.220299359</v>
      </c>
      <c r="AS130" s="411">
        <f>AD130+AM130</f>
        <v>0</v>
      </c>
      <c r="AT130" s="411">
        <f>AE130+AO130</f>
        <v>0</v>
      </c>
      <c r="AU130" s="411">
        <f>BL130</f>
        <v>0</v>
      </c>
      <c r="AV130" s="28">
        <f>BG130</f>
        <v>101598.75200959</v>
      </c>
      <c r="AW130" s="28">
        <f>BH130</f>
        <v>12558668.541523799</v>
      </c>
      <c r="AX130" s="28">
        <f>BI130</f>
        <v>0</v>
      </c>
      <c r="AY130" s="28">
        <f>BJ130</f>
        <v>954510.23928923695</v>
      </c>
      <c r="AZ130" s="28">
        <f>BK130</f>
        <v>0</v>
      </c>
      <c r="BA130" s="28">
        <f t="shared" si="121"/>
        <v>31853810.649999999</v>
      </c>
      <c r="BB130" s="28">
        <f t="shared" si="171"/>
        <v>31853810.653121915</v>
      </c>
      <c r="BC130" s="29">
        <f>IF(BB130=0,0,ROUND(BB130/BA130,6))</f>
        <v>1</v>
      </c>
      <c r="BD130" s="28">
        <f>SUMIFS('Fin Forecast'!$I$5:$I$355,'Fin Forecast'!$A$5:$A$355,$F130,'Fin Forecast'!$B$5:$B$355,BD$5)</f>
        <v>6072927.8999999901</v>
      </c>
      <c r="BE130" s="28">
        <f>SUMIFS('Fin Forecast'!$I$5:$I$355,'Fin Forecast'!$A$5:$A$355,$F130,'Fin Forecast'!$B$5:$B$355,BE$5)</f>
        <v>12166105.2202993</v>
      </c>
      <c r="BF130" s="28">
        <f>SUMIFS('Fin Forecast'!$I$5:$I$355,'Fin Forecast'!$A$5:$A$355,$F130,'Fin Forecast'!$C$5:$C$355,BF$5)</f>
        <v>0</v>
      </c>
      <c r="BG130" s="28">
        <f>SUMIFS('Fin Forecast'!$I$5:$I$355,'Fin Forecast'!$A$5:$A$355,$F130,'Fin Forecast'!$B$5:$B$355,BG$5)</f>
        <v>101598.75200959</v>
      </c>
      <c r="BH130" s="28">
        <f>SUMIFS('Fin Forecast'!$I$5:$I$355,'Fin Forecast'!$A$5:$A$355,$F130,'Fin Forecast'!$B$5:$B$355,BH$5)</f>
        <v>12558668.541523799</v>
      </c>
      <c r="BI130" s="28">
        <f>SUMIFS('Fin Forecast'!$I$5:$I$355,'Fin Forecast'!$A$5:$A$355,$F130,'Fin Forecast'!$B$5:$B$355,BI$5)</f>
        <v>0</v>
      </c>
      <c r="BJ130" s="28">
        <f>SUMIFS('Fin Forecast'!$I$5:$I$355,'Fin Forecast'!$A$5:$A$355,$F130,'Fin Forecast'!$B$5:$B$355,BJ$5)</f>
        <v>954510.23928923695</v>
      </c>
      <c r="BK130" s="28">
        <f>SUMIFS('Fin Forecast'!$I$5:$I$355,'Fin Forecast'!$A$5:$A$355,$F130,'Fin Forecast'!$B$5:$B$355,BK$5)</f>
        <v>0</v>
      </c>
      <c r="BL130" s="28">
        <f>SUMIFS('Fin Forecast'!$I$5:$I$355,'Fin Forecast'!$A$5:$A$355,$F130,'Fin Forecast'!$B$5:$B$355,BL$5)</f>
        <v>0</v>
      </c>
      <c r="BM130" s="42">
        <f>+AP130+AQ130-BD130</f>
        <v>0</v>
      </c>
      <c r="BN130" s="42">
        <f>+AR130+AS130-BE130</f>
        <v>5.9604644775390625E-8</v>
      </c>
    </row>
    <row r="131" spans="1:66" x14ac:dyDescent="0.25">
      <c r="A131"/>
      <c r="C131" s="307">
        <f>$C$130</f>
        <v>44166</v>
      </c>
      <c r="D131" s="408" t="str">
        <f t="shared" ref="D131:D136" si="214">MID(E131,6,3)</f>
        <v>851</v>
      </c>
      <c r="E131" s="405" t="str">
        <f>'Retail Rates'!$B$9</f>
        <v>LGCMG851</v>
      </c>
      <c r="F131" s="405" t="s">
        <v>56</v>
      </c>
      <c r="G131" s="405" t="str">
        <f>VLOOKUP(E131,'Retail Rates'!$B$7:$D$40,3,FALSE)</f>
        <v>Firm Commercial Gas Service</v>
      </c>
      <c r="H131" s="20">
        <f>SUMIF('Forecasted Customer Cts'!$D$5:$D$28,$F131,'Forecasted Customer Cts'!$Q$5:$Q$28)-I131</f>
        <v>24742</v>
      </c>
      <c r="I131" s="20">
        <f>SUMIFS('Forecasted Customer Cts'!$Q$5:$Q$28,'Forecasted Customer Cts'!$D$5:$D$28,$F131,'Forecasted Customer Cts'!$C$5:$C$28,$B$104)</f>
        <v>1225</v>
      </c>
      <c r="J131" s="20">
        <f>SUMIF('Forecasted Calendar Month Usage'!$D$5:$D$32,$F131,'Forecasted Calendar Month Usage'!$Q$5:$Q$32)*10</f>
        <v>16827702.455497272</v>
      </c>
      <c r="K131" s="20">
        <f>SUMIFS('Forecasted Calendar Month Usage'!$Q$5:$Q$32,'Forecasted Calendar Month Usage'!$D$5:$D$32,$F131,'Forecasted Calendar Month Usage'!$C$5:$C$32,$B$106)*10</f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f>SUMIFS('Fin Forecast'!I2:I501,'Fin Forecast'!A2:A501,'Mar20-Aug20 Billed-RETAIL'!F131,'Fin Forecast'!B2:B501,P5)/R131</f>
        <v>767002</v>
      </c>
      <c r="Q131" s="20">
        <f>SUMIFS('Fin Forecast'!I1:I500,'Fin Forecast'!A1:A500,'Mar20-Aug20 Billed-RETAIL'!F131,'Fin Forecast'!B1:B500,Q5)/S131</f>
        <v>37974.999999999898</v>
      </c>
      <c r="R131" s="21">
        <f>VLOOKUP($E131,'Retail Rates'!$B$7:$P$40,4,FALSE)</f>
        <v>1.97</v>
      </c>
      <c r="S131" s="21">
        <f>VLOOKUP($E131,'Retail Rates'!$B$7:$P$40,5,FALSE)</f>
        <v>9.3699999999999992</v>
      </c>
      <c r="T131" s="22">
        <f>VLOOKUP($E131,'Retail Rates'!$B$7:$P$40,8,FALSE)</f>
        <v>0.30669999999999997</v>
      </c>
      <c r="U131" s="22">
        <f>VLOOKUP($E131,'Retail Rates'!$B$7:$P$40,9,FALSE)</f>
        <v>0.25669999999999998</v>
      </c>
      <c r="V131" s="22">
        <f>VLOOKUP($E131,'Retail Rates'!$B$7:$P$40,14,FALSE)</f>
        <v>0</v>
      </c>
      <c r="W131" s="22">
        <f>VLOOKUP($E131,'Retail Rates'!$B$7:$P$40,10,FALSE)</f>
        <v>3.0669999999999997</v>
      </c>
      <c r="X131" s="22">
        <f>VLOOKUP($E131,'Retail Rates'!$B$7:$P$40,11,FALSE)</f>
        <v>2.5669999999999997</v>
      </c>
      <c r="Y131" s="22">
        <f>VLOOKUP($E131,'Retail Rates'!$B$7:$P$40,15,FALSE)</f>
        <v>0</v>
      </c>
      <c r="Z131" s="22">
        <v>0</v>
      </c>
      <c r="AA131" s="411">
        <f>(+P131*R131)</f>
        <v>1510993.94</v>
      </c>
      <c r="AB131" s="411">
        <f>+Q131*S131</f>
        <v>355825.74999999901</v>
      </c>
      <c r="AC131" s="411">
        <f t="shared" ref="AC131:AD137" si="215">+J131*T131</f>
        <v>5161056.3431010125</v>
      </c>
      <c r="AD131" s="411">
        <f t="shared" si="215"/>
        <v>0</v>
      </c>
      <c r="AE131" s="411">
        <f t="shared" si="213"/>
        <v>0</v>
      </c>
      <c r="AF131" s="41">
        <v>0</v>
      </c>
      <c r="AG131" s="41">
        <v>0</v>
      </c>
      <c r="AH131" s="33">
        <v>0</v>
      </c>
      <c r="AI131" s="33">
        <v>0</v>
      </c>
      <c r="AJ131" s="41">
        <v>0</v>
      </c>
      <c r="AK131" s="41">
        <v>0</v>
      </c>
      <c r="AL131" s="33">
        <v>0</v>
      </c>
      <c r="AM131" s="33">
        <v>0</v>
      </c>
      <c r="AN131" s="41">
        <v>0</v>
      </c>
      <c r="AO131" s="33">
        <v>0</v>
      </c>
      <c r="AP131" s="411">
        <f t="shared" ref="AP131:AP137" si="216">AA131+AH131</f>
        <v>1510993.94</v>
      </c>
      <c r="AQ131" s="411">
        <f t="shared" ref="AQ131:AQ137" si="217">AB131+AI131</f>
        <v>355825.74999999901</v>
      </c>
      <c r="AR131" s="411">
        <f t="shared" ref="AR131:AR137" si="218">AC131+AL131</f>
        <v>5161056.3431010125</v>
      </c>
      <c r="AS131" s="411">
        <f t="shared" ref="AS131:AS137" si="219">AD131+AM131</f>
        <v>0</v>
      </c>
      <c r="AT131" s="411">
        <f t="shared" ref="AT131:AT137" si="220">AE131+AO131</f>
        <v>0</v>
      </c>
      <c r="AU131" s="411">
        <f t="shared" ref="AU131:AU137" si="221">BL131</f>
        <v>0</v>
      </c>
      <c r="AV131" s="28">
        <f t="shared" ref="AV131:AV137" si="222">BG131</f>
        <v>51688.861853498704</v>
      </c>
      <c r="AW131" s="28">
        <f t="shared" ref="AW131:AW137" si="223">BH131</f>
        <v>6389284.02629817</v>
      </c>
      <c r="AX131" s="28">
        <f t="shared" ref="AX131:AX137" si="224">BI131</f>
        <v>0</v>
      </c>
      <c r="AY131" s="28">
        <f t="shared" ref="AY131:AZ137" si="225">BJ131</f>
        <v>396024.89756300498</v>
      </c>
      <c r="AZ131" s="28">
        <f t="shared" si="225"/>
        <v>0</v>
      </c>
      <c r="BA131" s="28">
        <f t="shared" si="121"/>
        <v>13864873.82</v>
      </c>
      <c r="BB131" s="28">
        <f t="shared" si="171"/>
        <v>13864873.818815673</v>
      </c>
      <c r="BC131" s="29">
        <f t="shared" ref="BC131:BC137" si="226">IF(BB131=0,0,ROUND(BB131/BA131,6))</f>
        <v>1</v>
      </c>
      <c r="BD131" s="28">
        <f>SUMIFS('Fin Forecast'!$I$5:$I$355,'Fin Forecast'!$A$5:$A$355,$F131,'Fin Forecast'!$B$5:$B$355,BD$5)</f>
        <v>1866819.69</v>
      </c>
      <c r="BE131" s="28">
        <f>SUMIFS('Fin Forecast'!$I$5:$I$355,'Fin Forecast'!$A$5:$A$355,$F131,'Fin Forecast'!$B$5:$B$355,BE$5)</f>
        <v>5161056.3431010004</v>
      </c>
      <c r="BF131" s="28">
        <f>SUMIFS('Fin Forecast'!$I$5:$I$355,'Fin Forecast'!$A$5:$A$355,$F131,'Fin Forecast'!$C$5:$C$355,BF$5)</f>
        <v>0</v>
      </c>
      <c r="BG131" s="28">
        <f>SUMIFS('Fin Forecast'!$I$5:$I$355,'Fin Forecast'!$A$5:$A$355,$F131,'Fin Forecast'!$B$5:$B$355,BG$5)</f>
        <v>51688.861853498704</v>
      </c>
      <c r="BH131" s="28">
        <f>SUMIFS('Fin Forecast'!$I$5:$I$355,'Fin Forecast'!$A$5:$A$355,$F131,'Fin Forecast'!$B$5:$B$355,BH$5)</f>
        <v>6389284.02629817</v>
      </c>
      <c r="BI131" s="28">
        <f>SUMIFS('Fin Forecast'!$I$5:$I$355,'Fin Forecast'!$A$5:$A$355,$F131,'Fin Forecast'!$B$5:$B$355,BI$5)</f>
        <v>0</v>
      </c>
      <c r="BJ131" s="28">
        <f>SUMIFS('Fin Forecast'!$I$5:$I$355,'Fin Forecast'!$A$5:$A$355,$F131,'Fin Forecast'!$B$5:$B$355,BJ$5)</f>
        <v>396024.89756300498</v>
      </c>
      <c r="BK131" s="28">
        <f>SUMIFS('Fin Forecast'!$I$5:$I$355,'Fin Forecast'!$A$5:$A$355,$F131,'Fin Forecast'!$B$5:$B$355,BK$5)</f>
        <v>0</v>
      </c>
      <c r="BL131" s="28">
        <f>SUMIFS('Fin Forecast'!$I$5:$I$355,'Fin Forecast'!$A$5:$A$355,$F131,'Fin Forecast'!$B$5:$B$355,BL$5)</f>
        <v>0</v>
      </c>
      <c r="BM131" s="42">
        <f t="shared" ref="BM131:BM137" si="227">+AP131+AQ131-BD131</f>
        <v>0</v>
      </c>
      <c r="BN131" s="42">
        <f t="shared" ref="BN131:BN137" si="228">+AR131+AS131-BE131</f>
        <v>1.2107193470001221E-8</v>
      </c>
    </row>
    <row r="132" spans="1:66" x14ac:dyDescent="0.25">
      <c r="A132"/>
      <c r="C132" s="307">
        <f t="shared" ref="C132:C137" si="229">$C$130</f>
        <v>44166</v>
      </c>
      <c r="D132" s="408" t="str">
        <f t="shared" si="214"/>
        <v>855</v>
      </c>
      <c r="E132" s="405" t="str">
        <f>'Retail Rates'!$B$11</f>
        <v>LGING855</v>
      </c>
      <c r="F132" s="405" t="s">
        <v>59</v>
      </c>
      <c r="G132" s="405" t="str">
        <f>VLOOKUP(E132,'Retail Rates'!$B$7:$D$40,3,FALSE)</f>
        <v>Firm Industrial Gas Service-DSM Opt-Out</v>
      </c>
      <c r="H132" s="20">
        <f>SUMIF('Forecasted Customer Cts'!$D$5:$D$28,$F132,'Forecasted Customer Cts'!$Q$5:$Q$28)-I132</f>
        <v>121</v>
      </c>
      <c r="I132" s="20">
        <f>SUMIFS('Forecasted Customer Cts'!$Q$5:$Q$28,'Forecasted Customer Cts'!$D$5:$D$28,$F132,'Forecasted Customer Cts'!$C$5:$C$28,$B$104)</f>
        <v>95</v>
      </c>
      <c r="J132" s="20">
        <f>SUMIF('Forecasted Calendar Month Usage'!$D$5:$D$32,$F132,'Forecasted Calendar Month Usage'!$Q$5:$Q$32)*10</f>
        <v>1016965.7741216891</v>
      </c>
      <c r="K132" s="20">
        <f>SUMIFS('Forecasted Calendar Month Usage'!$Q$5:$Q$32,'Forecasted Calendar Month Usage'!$D$5:$D$32,$F132,'Forecasted Calendar Month Usage'!$C$5:$C$32,$B$106)*10</f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f>SUMIFS('Fin Forecast'!I3:I502,'Fin Forecast'!A3:A502,'Mar20-Aug20 Billed-RETAIL'!F132,'Fin Forecast'!B3:B502,P5)/R132</f>
        <v>3750.9999999999995</v>
      </c>
      <c r="Q132" s="20">
        <f>SUMIFS('Fin Forecast'!I1:I500,'Fin Forecast'!A1:A500,'Mar20-Aug20 Billed-RETAIL'!F132,'Fin Forecast'!B1:B500,Q5)/S132</f>
        <v>2945</v>
      </c>
      <c r="R132" s="21">
        <f>VLOOKUP($E132,'Retail Rates'!$B$7:$P$40,4,FALSE)</f>
        <v>5.42</v>
      </c>
      <c r="S132" s="21">
        <f>VLOOKUP($E132,'Retail Rates'!$B$7:$P$40,5,FALSE)</f>
        <v>24.64</v>
      </c>
      <c r="T132" s="22">
        <f>VLOOKUP($E132,'Retail Rates'!$B$7:$P$40,8,FALSE)</f>
        <v>0.21929000000000001</v>
      </c>
      <c r="U132" s="22">
        <f>VLOOKUP($E132,'Retail Rates'!$B$7:$P$40,9,FALSE)</f>
        <v>0.16929</v>
      </c>
      <c r="V132" s="22">
        <f>VLOOKUP($E132,'Retail Rates'!$B$7:$P$40,14,FALSE)</f>
        <v>0</v>
      </c>
      <c r="W132" s="22">
        <f>VLOOKUP($E132,'Retail Rates'!$B$7:$P$40,10,FALSE)</f>
        <v>2.1929000000000003</v>
      </c>
      <c r="X132" s="22">
        <f>VLOOKUP($E132,'Retail Rates'!$B$7:$P$40,11,FALSE)</f>
        <v>1.6928999999999998</v>
      </c>
      <c r="Y132" s="22">
        <f>VLOOKUP($E132,'Retail Rates'!$B$7:$P$40,15,FALSE)</f>
        <v>0</v>
      </c>
      <c r="Z132" s="22">
        <v>0</v>
      </c>
      <c r="AA132" s="411">
        <f>(+P132*R132)</f>
        <v>20330.419999999998</v>
      </c>
      <c r="AB132" s="411">
        <f>+Q132*S132</f>
        <v>72564.800000000003</v>
      </c>
      <c r="AC132" s="411">
        <f t="shared" si="215"/>
        <v>223010.42460714522</v>
      </c>
      <c r="AD132" s="411">
        <f t="shared" si="215"/>
        <v>0</v>
      </c>
      <c r="AE132" s="411">
        <f t="shared" si="213"/>
        <v>0</v>
      </c>
      <c r="AF132" s="41">
        <v>0</v>
      </c>
      <c r="AG132" s="41">
        <v>0</v>
      </c>
      <c r="AH132" s="33">
        <v>0</v>
      </c>
      <c r="AI132" s="33">
        <v>0</v>
      </c>
      <c r="AJ132" s="41">
        <v>0</v>
      </c>
      <c r="AK132" s="41">
        <v>0</v>
      </c>
      <c r="AL132" s="33">
        <v>0</v>
      </c>
      <c r="AM132" s="33">
        <v>0</v>
      </c>
      <c r="AN132" s="41">
        <v>0</v>
      </c>
      <c r="AO132" s="33">
        <v>0</v>
      </c>
      <c r="AP132" s="411">
        <f t="shared" si="216"/>
        <v>20330.419999999998</v>
      </c>
      <c r="AQ132" s="411">
        <f t="shared" si="217"/>
        <v>72564.800000000003</v>
      </c>
      <c r="AR132" s="411">
        <f t="shared" si="218"/>
        <v>223010.42460714522</v>
      </c>
      <c r="AS132" s="411">
        <f t="shared" si="219"/>
        <v>0</v>
      </c>
      <c r="AT132" s="411">
        <f t="shared" si="220"/>
        <v>0</v>
      </c>
      <c r="AU132" s="411">
        <f t="shared" si="221"/>
        <v>0</v>
      </c>
      <c r="AV132" s="28">
        <f t="shared" si="222"/>
        <v>0</v>
      </c>
      <c r="AW132" s="28">
        <f t="shared" si="223"/>
        <v>386130.14421140001</v>
      </c>
      <c r="AX132" s="28">
        <f t="shared" si="224"/>
        <v>0</v>
      </c>
      <c r="AY132" s="28">
        <f t="shared" si="225"/>
        <v>42398.452747431103</v>
      </c>
      <c r="AZ132" s="28">
        <f t="shared" si="225"/>
        <v>0</v>
      </c>
      <c r="BA132" s="28">
        <f t="shared" si="121"/>
        <v>744434.24</v>
      </c>
      <c r="BB132" s="28">
        <f t="shared" si="171"/>
        <v>744434.24156597722</v>
      </c>
      <c r="BC132" s="29">
        <f t="shared" si="226"/>
        <v>1</v>
      </c>
      <c r="BD132" s="28">
        <f>SUMIFS('Fin Forecast'!$I$5:$I$355,'Fin Forecast'!$A$5:$A$355,$F132,'Fin Forecast'!$B$5:$B$355,BD$5)</f>
        <v>92895.22</v>
      </c>
      <c r="BE132" s="28">
        <f>SUMIFS('Fin Forecast'!$I$5:$I$355,'Fin Forecast'!$A$5:$A$355,$F132,'Fin Forecast'!$B$5:$B$355,BE$5)</f>
        <v>223010.42460714601</v>
      </c>
      <c r="BF132" s="28">
        <f>SUMIFS('Fin Forecast'!$I$5:$I$355,'Fin Forecast'!$A$5:$A$355,$F132,'Fin Forecast'!$C$5:$C$355,BF$5)</f>
        <v>0</v>
      </c>
      <c r="BG132" s="28">
        <f>SUMIFS('Fin Forecast'!$I$5:$I$355,'Fin Forecast'!$A$5:$A$355,$F132,'Fin Forecast'!$B$5:$B$355,BG$5)</f>
        <v>0</v>
      </c>
      <c r="BH132" s="28">
        <f>SUMIFS('Fin Forecast'!$I$5:$I$355,'Fin Forecast'!$A$5:$A$355,$F132,'Fin Forecast'!$B$5:$B$355,BH$5)</f>
        <v>386130.14421140001</v>
      </c>
      <c r="BI132" s="28">
        <f>SUMIFS('Fin Forecast'!$I$5:$I$355,'Fin Forecast'!$A$5:$A$355,$F132,'Fin Forecast'!$B$5:$B$355,BI$5)</f>
        <v>0</v>
      </c>
      <c r="BJ132" s="28">
        <f>SUMIFS('Fin Forecast'!$I$5:$I$355,'Fin Forecast'!$A$5:$A$355,$F132,'Fin Forecast'!$B$5:$B$355,BJ$5)</f>
        <v>42398.452747431103</v>
      </c>
      <c r="BK132" s="28">
        <f>SUMIFS('Fin Forecast'!$I$5:$I$355,'Fin Forecast'!$A$5:$A$355,$F132,'Fin Forecast'!$B$5:$B$355,BK$5)</f>
        <v>0</v>
      </c>
      <c r="BL132" s="28">
        <f>SUMIFS('Fin Forecast'!$I$5:$I$355,'Fin Forecast'!$A$5:$A$355,$F132,'Fin Forecast'!$B$5:$B$355,BL$5)</f>
        <v>0</v>
      </c>
      <c r="BM132" s="42">
        <f t="shared" si="227"/>
        <v>0</v>
      </c>
      <c r="BN132" s="42">
        <f t="shared" si="228"/>
        <v>-7.8580342233181E-10</v>
      </c>
    </row>
    <row r="133" spans="1:66" x14ac:dyDescent="0.25">
      <c r="A133"/>
      <c r="C133" s="307">
        <f t="shared" si="229"/>
        <v>44166</v>
      </c>
      <c r="D133" s="408" t="str">
        <f t="shared" si="214"/>
        <v>865</v>
      </c>
      <c r="E133" s="405" t="str">
        <f>'Retail Rates'!$B$14</f>
        <v>LGCMG865</v>
      </c>
      <c r="F133" s="405" t="s">
        <v>223</v>
      </c>
      <c r="G133" s="405" t="str">
        <f>VLOOKUP(E133,'Retail Rates'!$B$7:$D$40,3,FALSE)</f>
        <v>As-Available Gas Service, Commercial</v>
      </c>
      <c r="H133" s="20">
        <f>SUMIF('Forecasted Customer Cts'!$D$5:$D$28,$F133,'Forecasted Customer Cts'!$Q$5:$Q$28)</f>
        <v>2</v>
      </c>
      <c r="I133" s="20">
        <v>0</v>
      </c>
      <c r="J133" s="20">
        <v>0</v>
      </c>
      <c r="K133" s="20">
        <v>0</v>
      </c>
      <c r="L133" s="20">
        <v>0</v>
      </c>
      <c r="M133" s="20">
        <f>SUMIF('Forecasted Calendar Month Usage'!$D$5:$D$32,$F133,'Forecasted Calendar Month Usage'!$Q$5:$Q$32)</f>
        <v>5307.9632956658643</v>
      </c>
      <c r="N133" s="20">
        <v>0</v>
      </c>
      <c r="O133" s="20">
        <v>0</v>
      </c>
      <c r="P133" s="20">
        <v>0</v>
      </c>
      <c r="Q133" s="20">
        <v>0</v>
      </c>
      <c r="R133" s="21">
        <f>VLOOKUP($E133,'Retail Rates'!$B$7:$P$40,4,FALSE)</f>
        <v>500</v>
      </c>
      <c r="S133" s="21">
        <f>VLOOKUP($E133,'Retail Rates'!$B$7:$P$40,5,FALSE)</f>
        <v>0</v>
      </c>
      <c r="T133" s="22">
        <f>VLOOKUP($E133,'Retail Rates'!$B$7:$P$40,8,FALSE)</f>
        <v>0.10644000000000001</v>
      </c>
      <c r="U133" s="22">
        <f>VLOOKUP($E133,'Retail Rates'!$B$7:$P$40,9,FALSE)</f>
        <v>0</v>
      </c>
      <c r="V133" s="22">
        <f>VLOOKUP($E133,'Retail Rates'!$B$7:$P$40,14,FALSE)</f>
        <v>0</v>
      </c>
      <c r="W133" s="22">
        <f>VLOOKUP($E133,'Retail Rates'!$B$7:$P$40,10,FALSE)</f>
        <v>1.0644</v>
      </c>
      <c r="X133" s="22">
        <f>VLOOKUP($E133,'Retail Rates'!$B$7:$P$40,11,FALSE)</f>
        <v>0</v>
      </c>
      <c r="Y133" s="22">
        <f>VLOOKUP($E133,'Retail Rates'!$B$7:$P$40,15,FALSE)</f>
        <v>0</v>
      </c>
      <c r="Z133" s="22">
        <v>0</v>
      </c>
      <c r="AA133" s="411">
        <f>(+H133*R133)</f>
        <v>1000</v>
      </c>
      <c r="AB133" s="411">
        <f>+I133*S133</f>
        <v>0</v>
      </c>
      <c r="AC133" s="411">
        <f>+M133*W133</f>
        <v>5649.7961319067463</v>
      </c>
      <c r="AD133" s="411">
        <f t="shared" si="215"/>
        <v>0</v>
      </c>
      <c r="AE133" s="411">
        <f t="shared" si="213"/>
        <v>0</v>
      </c>
      <c r="AF133" s="41">
        <v>0</v>
      </c>
      <c r="AG133" s="41">
        <v>0</v>
      </c>
      <c r="AH133" s="33">
        <v>0</v>
      </c>
      <c r="AI133" s="33">
        <v>0</v>
      </c>
      <c r="AJ133" s="41">
        <v>0</v>
      </c>
      <c r="AK133" s="41">
        <v>0</v>
      </c>
      <c r="AL133" s="33">
        <v>0</v>
      </c>
      <c r="AM133" s="33">
        <v>0</v>
      </c>
      <c r="AN133" s="41">
        <v>0</v>
      </c>
      <c r="AO133" s="33">
        <v>0</v>
      </c>
      <c r="AP133" s="411">
        <f t="shared" si="216"/>
        <v>1000</v>
      </c>
      <c r="AQ133" s="411">
        <f t="shared" si="217"/>
        <v>0</v>
      </c>
      <c r="AR133" s="411">
        <f t="shared" si="218"/>
        <v>5649.7961319067463</v>
      </c>
      <c r="AS133" s="411">
        <f t="shared" si="219"/>
        <v>0</v>
      </c>
      <c r="AT133" s="411">
        <f t="shared" si="220"/>
        <v>0</v>
      </c>
      <c r="AU133" s="411">
        <f t="shared" si="221"/>
        <v>0</v>
      </c>
      <c r="AV133" s="28">
        <f t="shared" si="222"/>
        <v>100.76751917843499</v>
      </c>
      <c r="AW133" s="28">
        <f t="shared" si="223"/>
        <v>20153.722819181301</v>
      </c>
      <c r="AX133" s="28">
        <f t="shared" si="224"/>
        <v>0</v>
      </c>
      <c r="AY133" s="28">
        <f t="shared" si="225"/>
        <v>1624.8461072513501</v>
      </c>
      <c r="AZ133" s="28">
        <f t="shared" si="225"/>
        <v>0</v>
      </c>
      <c r="BA133" s="28">
        <f t="shared" si="121"/>
        <v>28529.13</v>
      </c>
      <c r="BB133" s="28">
        <f t="shared" si="171"/>
        <v>28529.132577517834</v>
      </c>
      <c r="BC133" s="29">
        <f t="shared" si="226"/>
        <v>1</v>
      </c>
      <c r="BD133" s="28">
        <f>SUMIFS('Fin Forecast'!$I$5:$I$355,'Fin Forecast'!$A$5:$A$355,$F133,'Fin Forecast'!$B$5:$B$355,BD$5)</f>
        <v>1000</v>
      </c>
      <c r="BE133" s="28">
        <f>SUMIFS('Fin Forecast'!$I$5:$I$355,'Fin Forecast'!$A$5:$A$355,$F133,'Fin Forecast'!$B$5:$B$355,BE$5)</f>
        <v>5649.7961319067499</v>
      </c>
      <c r="BF133" s="28">
        <f>SUMIFS('Fin Forecast'!$I$5:$I$355,'Fin Forecast'!$A$5:$A$355,$F133,'Fin Forecast'!$C$5:$C$355,BF$5)</f>
        <v>0</v>
      </c>
      <c r="BG133" s="28">
        <f>SUMIFS('Fin Forecast'!$I$5:$I$355,'Fin Forecast'!$A$5:$A$355,$F133,'Fin Forecast'!$B$5:$B$355,BG$5)</f>
        <v>100.76751917843499</v>
      </c>
      <c r="BH133" s="28">
        <f>SUMIFS('Fin Forecast'!$I$5:$I$355,'Fin Forecast'!$A$5:$A$355,$F133,'Fin Forecast'!$B$5:$B$355,BH$5)</f>
        <v>20153.722819181301</v>
      </c>
      <c r="BI133" s="28">
        <f>SUMIFS('Fin Forecast'!$I$5:$I$355,'Fin Forecast'!$A$5:$A$355,$F133,'Fin Forecast'!$B$5:$B$355,BI$5)</f>
        <v>0</v>
      </c>
      <c r="BJ133" s="28">
        <f>SUMIFS('Fin Forecast'!$I$5:$I$355,'Fin Forecast'!$A$5:$A$355,$F133,'Fin Forecast'!$B$5:$B$355,BJ$5)</f>
        <v>1624.8461072513501</v>
      </c>
      <c r="BK133" s="28">
        <f>SUMIFS('Fin Forecast'!$I$5:$I$355,'Fin Forecast'!$A$5:$A$355,$F133,'Fin Forecast'!$B$5:$B$355,BK$5)</f>
        <v>0</v>
      </c>
      <c r="BL133" s="28">
        <f>SUMIFS('Fin Forecast'!$I$5:$I$355,'Fin Forecast'!$A$5:$A$355,$F133,'Fin Forecast'!$B$5:$B$355,BL$5)</f>
        <v>0</v>
      </c>
      <c r="BM133" s="42">
        <f t="shared" si="227"/>
        <v>0</v>
      </c>
      <c r="BN133" s="42">
        <f t="shared" si="228"/>
        <v>0</v>
      </c>
    </row>
    <row r="134" spans="1:66" x14ac:dyDescent="0.25">
      <c r="A134"/>
      <c r="C134" s="307">
        <f t="shared" si="229"/>
        <v>44166</v>
      </c>
      <c r="D134" s="408" t="str">
        <f t="shared" si="214"/>
        <v>870</v>
      </c>
      <c r="E134" s="405" t="str">
        <f>'Retail Rates'!$B$17</f>
        <v>LGCMG870</v>
      </c>
      <c r="F134" s="405" t="s">
        <v>553</v>
      </c>
      <c r="G134" s="405" t="str">
        <f>VLOOKUP(E134,'Retail Rates'!$B$7:$D$40,3,FALSE)</f>
        <v>Substitute Gas Sales Service-Commercial</v>
      </c>
      <c r="H134" s="20">
        <f>SUMIF('Forecasted Customer Cts'!$D$5:$D$28,$F134,'Forecasted Customer Cts'!$Q$5:$Q$28)</f>
        <v>1</v>
      </c>
      <c r="I134" s="20">
        <v>0</v>
      </c>
      <c r="J134" s="20">
        <v>0</v>
      </c>
      <c r="K134" s="20">
        <v>0</v>
      </c>
      <c r="L134" s="20">
        <v>0</v>
      </c>
      <c r="M134" s="20">
        <f>SUMIF('Forecasted Calendar Month Usage'!$D$5:$D$32,$F134,'Forecasted Calendar Month Usage'!$Q$5:$Q$32)</f>
        <v>300</v>
      </c>
      <c r="N134" s="20">
        <v>0</v>
      </c>
      <c r="O134" s="20">
        <f>SUMIFS('Fin Forecast'!I1:I500,'Fin Forecast'!A1:A500,'Mar20-Aug20 Billed-RETAIL'!F134,'Fin Forecast'!B1:B500,O5)</f>
        <v>2418.1006097560999</v>
      </c>
      <c r="P134" s="20">
        <v>0</v>
      </c>
      <c r="Q134" s="20">
        <v>0</v>
      </c>
      <c r="R134" s="21">
        <f>VLOOKUP($E134,'Retail Rates'!$B$7:$P$40,4,FALSE)</f>
        <v>285</v>
      </c>
      <c r="S134" s="21">
        <f>VLOOKUP($E134,'Retail Rates'!$B$7:$P$40,5,FALSE)</f>
        <v>0</v>
      </c>
      <c r="T134" s="22">
        <f>VLOOKUP($E134,'Retail Rates'!$B$7:$P$40,8,FALSE)</f>
        <v>3.603E-2</v>
      </c>
      <c r="U134" s="22">
        <f>VLOOKUP($E134,'Retail Rates'!$B$7:$P$40,9,FALSE)</f>
        <v>0</v>
      </c>
      <c r="V134" s="22">
        <f>VLOOKUP($E134,'Retail Rates'!$B$7:$P$40,14,FALSE)</f>
        <v>0.65599999999999992</v>
      </c>
      <c r="W134" s="22">
        <f>VLOOKUP($E134,'Retail Rates'!$B$7:$P$40,10,FALSE)</f>
        <v>0.36030000000000001</v>
      </c>
      <c r="X134" s="22">
        <f>VLOOKUP($E134,'Retail Rates'!$B$7:$P$40,11,FALSE)</f>
        <v>0</v>
      </c>
      <c r="Y134" s="22">
        <f>VLOOKUP($E134,'Retail Rates'!$B$7:$P$40,15,FALSE)</f>
        <v>6.56</v>
      </c>
      <c r="Z134" s="22">
        <v>0</v>
      </c>
      <c r="AA134" s="411">
        <f>(+H134*R134)</f>
        <v>285</v>
      </c>
      <c r="AB134" s="411">
        <f>+I134*S134</f>
        <v>0</v>
      </c>
      <c r="AC134" s="411">
        <f t="shared" ref="AC134:AC135" si="230">+M134*W134</f>
        <v>108.09</v>
      </c>
      <c r="AD134" s="411">
        <f t="shared" si="215"/>
        <v>0</v>
      </c>
      <c r="AE134" s="411">
        <f>O134*Y134</f>
        <v>15862.740000000014</v>
      </c>
      <c r="AF134" s="41">
        <v>0</v>
      </c>
      <c r="AG134" s="41">
        <v>0</v>
      </c>
      <c r="AH134" s="33">
        <v>0</v>
      </c>
      <c r="AI134" s="33">
        <v>0</v>
      </c>
      <c r="AJ134" s="41">
        <v>0</v>
      </c>
      <c r="AK134" s="41">
        <v>0</v>
      </c>
      <c r="AL134" s="33">
        <v>0</v>
      </c>
      <c r="AM134" s="33">
        <v>0</v>
      </c>
      <c r="AN134" s="41">
        <v>0</v>
      </c>
      <c r="AO134" s="33">
        <v>0</v>
      </c>
      <c r="AP134" s="411">
        <f t="shared" si="216"/>
        <v>285</v>
      </c>
      <c r="AQ134" s="411">
        <f t="shared" si="217"/>
        <v>0</v>
      </c>
      <c r="AR134" s="411">
        <f t="shared" si="218"/>
        <v>108.09</v>
      </c>
      <c r="AS134" s="411">
        <f t="shared" si="219"/>
        <v>0</v>
      </c>
      <c r="AT134" s="411">
        <f>AE134+AO134</f>
        <v>15862.740000000014</v>
      </c>
      <c r="AU134" s="411">
        <f t="shared" si="221"/>
        <v>0</v>
      </c>
      <c r="AV134" s="28">
        <f t="shared" si="222"/>
        <v>9.2149588436441192</v>
      </c>
      <c r="AW134" s="28">
        <f t="shared" si="223"/>
        <v>1139.0653079103299</v>
      </c>
      <c r="AX134" s="28">
        <f t="shared" si="224"/>
        <v>0</v>
      </c>
      <c r="AY134" s="28">
        <f t="shared" si="225"/>
        <v>511.73348412058999</v>
      </c>
      <c r="AZ134" s="28">
        <f t="shared" si="225"/>
        <v>0</v>
      </c>
      <c r="BA134" s="28">
        <f>ROUND(SUM(AP134:AZ134),2)</f>
        <v>17915.84</v>
      </c>
      <c r="BB134" s="28">
        <f>SUM(BD134:BL134)</f>
        <v>17915.843750874563</v>
      </c>
      <c r="BC134" s="29">
        <f>IF(BB134=0,0,ROUND(BB134/BA134,5))</f>
        <v>1</v>
      </c>
      <c r="BD134" s="28">
        <f>SUMIFS('Fin Forecast'!$I$5:$I$355,'Fin Forecast'!$A$5:$A$355,$F134,'Fin Forecast'!$B$5:$B$355,BD$5)</f>
        <v>285</v>
      </c>
      <c r="BE134" s="28">
        <f>SUMIFS('Fin Forecast'!$I$5:$I$355,'Fin Forecast'!$A$5:$A$355,$F134,'Fin Forecast'!$B$5:$B$355,BE$5)</f>
        <v>108.09</v>
      </c>
      <c r="BF134" s="28">
        <f>SUMIFS('Fin Forecast'!$I$5:$I$355,'Fin Forecast'!$A$5:$A$355,$F134,'Fin Forecast'!$C$5:$C$355,BF$5)</f>
        <v>15862.74</v>
      </c>
      <c r="BG134" s="28">
        <f>SUMIFS('Fin Forecast'!$I$5:$I$355,'Fin Forecast'!$A$5:$A$355,$F134,'Fin Forecast'!$B$5:$B$355,BG$5)</f>
        <v>9.2149588436441192</v>
      </c>
      <c r="BH134" s="28">
        <f>SUMIFS('Fin Forecast'!$I$5:$I$355,'Fin Forecast'!$A$5:$A$355,$F134,'Fin Forecast'!$B$5:$B$355,BH$5)</f>
        <v>1139.0653079103299</v>
      </c>
      <c r="BI134" s="28">
        <f>SUMIFS('Fin Forecast'!$I$5:$I$355,'Fin Forecast'!$A$5:$A$355,$F134,'Fin Forecast'!$B$5:$B$355,BI$5)</f>
        <v>0</v>
      </c>
      <c r="BJ134" s="28">
        <f>SUMIFS('Fin Forecast'!$I$5:$I$355,'Fin Forecast'!$A$5:$A$355,$F134,'Fin Forecast'!$B$5:$B$355,BJ$5)</f>
        <v>511.73348412058999</v>
      </c>
      <c r="BK134" s="28">
        <f>SUMIFS('Fin Forecast'!$I$5:$I$355,'Fin Forecast'!$A$5:$A$355,$F134,'Fin Forecast'!$B$5:$B$355,BK$5)</f>
        <v>0</v>
      </c>
      <c r="BL134" s="28">
        <f>SUMIFS('Fin Forecast'!$I$5:$I$355,'Fin Forecast'!$A$5:$A$355,$F134,'Fin Forecast'!$B$5:$B$355,BL$5)</f>
        <v>0</v>
      </c>
      <c r="BM134" s="42">
        <f t="shared" si="227"/>
        <v>0</v>
      </c>
      <c r="BN134" s="42">
        <f t="shared" si="228"/>
        <v>0</v>
      </c>
    </row>
    <row r="135" spans="1:66" x14ac:dyDescent="0.25">
      <c r="A135"/>
      <c r="C135" s="307">
        <f t="shared" si="229"/>
        <v>44166</v>
      </c>
      <c r="D135" s="408" t="str">
        <f t="shared" si="214"/>
        <v>871</v>
      </c>
      <c r="E135" s="405" t="s">
        <v>565</v>
      </c>
      <c r="F135" s="405" t="s">
        <v>555</v>
      </c>
      <c r="G135" s="405" t="str">
        <f>VLOOKUP(E135,'Retail Rates'!$B$7:$D$40,3,FALSE)</f>
        <v>Substitute Gas Sales Service-Industrial Opt In</v>
      </c>
      <c r="H135" s="20">
        <f>SUMIF('Forecasted Customer Cts'!$D$5:$D$28,$F135,'Forecasted Customer Cts'!$Q$5:$Q$28)</f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f>SUMIF('Forecasted Calendar Month Usage'!$D$5:$D$32,$F135,'Forecasted Calendar Month Usage'!$Q$5:$Q$32)</f>
        <v>0</v>
      </c>
      <c r="N135" s="20">
        <v>0</v>
      </c>
      <c r="O135" s="20">
        <f>SUMIFS('Fin Forecast'!L2:L501,'Fin Forecast'!D2:D501,'Mar20-Aug20 Billed-RETAIL'!F135,'Fin Forecast'!E2:E501,O6)/V135</f>
        <v>0</v>
      </c>
      <c r="P135" s="20">
        <v>0</v>
      </c>
      <c r="Q135" s="20">
        <v>0</v>
      </c>
      <c r="R135" s="21">
        <f>VLOOKUP($E135,'Retail Rates'!$B$7:$P$40,4,FALSE)</f>
        <v>750</v>
      </c>
      <c r="S135" s="21">
        <f>VLOOKUP($E135,'Retail Rates'!$B$7:$P$40,5,FALSE)</f>
        <v>0</v>
      </c>
      <c r="T135" s="22">
        <f>VLOOKUP($E135,'Retail Rates'!$B$7:$P$40,8,FALSE)</f>
        <v>2.9919999999999995E-2</v>
      </c>
      <c r="U135" s="22">
        <f>VLOOKUP($E135,'Retail Rates'!$B$7:$P$40,9,FALSE)</f>
        <v>0</v>
      </c>
      <c r="V135" s="22">
        <f>VLOOKUP($E135,'Retail Rates'!$B$7:$P$40,14,FALSE)</f>
        <v>1.0900000000000001</v>
      </c>
      <c r="W135" s="22">
        <f>VLOOKUP($E135,'Retail Rates'!$B$7:$P$40,10,FALSE)</f>
        <v>0.29919999999999997</v>
      </c>
      <c r="X135" s="22">
        <f>VLOOKUP($E135,'Retail Rates'!$B$7:$P$40,11,FALSE)</f>
        <v>0</v>
      </c>
      <c r="Y135" s="22">
        <f>VLOOKUP($E135,'Retail Rates'!$B$7:$P$40,15,FALSE)</f>
        <v>10.9</v>
      </c>
      <c r="Z135" s="22">
        <v>0</v>
      </c>
      <c r="AA135" s="411">
        <f>(+H135*R135)</f>
        <v>0</v>
      </c>
      <c r="AB135" s="411">
        <f>+I135*S135</f>
        <v>0</v>
      </c>
      <c r="AC135" s="411">
        <f t="shared" si="230"/>
        <v>0</v>
      </c>
      <c r="AD135" s="411">
        <f t="shared" si="215"/>
        <v>0</v>
      </c>
      <c r="AE135" s="411">
        <f t="shared" si="213"/>
        <v>0</v>
      </c>
      <c r="AF135" s="41">
        <v>0</v>
      </c>
      <c r="AG135" s="41">
        <v>0</v>
      </c>
      <c r="AH135" s="33">
        <v>0</v>
      </c>
      <c r="AI135" s="33">
        <v>0</v>
      </c>
      <c r="AJ135" s="41">
        <v>0</v>
      </c>
      <c r="AK135" s="41">
        <v>0</v>
      </c>
      <c r="AL135" s="33">
        <v>0</v>
      </c>
      <c r="AM135" s="33">
        <v>0</v>
      </c>
      <c r="AN135" s="41">
        <v>0</v>
      </c>
      <c r="AO135" s="33">
        <v>0</v>
      </c>
      <c r="AP135" s="411">
        <f t="shared" si="216"/>
        <v>0</v>
      </c>
      <c r="AQ135" s="411">
        <f t="shared" si="217"/>
        <v>0</v>
      </c>
      <c r="AR135" s="411">
        <f t="shared" si="218"/>
        <v>0</v>
      </c>
      <c r="AS135" s="411">
        <f t="shared" si="219"/>
        <v>0</v>
      </c>
      <c r="AT135" s="411">
        <f t="shared" si="220"/>
        <v>0</v>
      </c>
      <c r="AU135" s="411">
        <f t="shared" si="221"/>
        <v>0</v>
      </c>
      <c r="AV135" s="28">
        <f t="shared" si="222"/>
        <v>0</v>
      </c>
      <c r="AW135" s="28">
        <f t="shared" si="223"/>
        <v>0</v>
      </c>
      <c r="AX135" s="28">
        <f t="shared" si="224"/>
        <v>0</v>
      </c>
      <c r="AY135" s="28">
        <f t="shared" si="225"/>
        <v>0</v>
      </c>
      <c r="AZ135" s="28">
        <f t="shared" si="225"/>
        <v>0</v>
      </c>
      <c r="BA135" s="28">
        <f t="shared" si="121"/>
        <v>0</v>
      </c>
      <c r="BB135" s="28">
        <f t="shared" si="171"/>
        <v>0</v>
      </c>
      <c r="BC135" s="29">
        <f t="shared" si="226"/>
        <v>0</v>
      </c>
      <c r="BD135" s="28">
        <f>SUMIFS('Fin Forecast'!$I$5:$I$355,'Fin Forecast'!$A$5:$A$355,$F135,'Fin Forecast'!$B$5:$B$355,BD$5)</f>
        <v>0</v>
      </c>
      <c r="BE135" s="28">
        <f>SUMIFS('Fin Forecast'!$I$5:$I$355,'Fin Forecast'!$A$5:$A$355,$F135,'Fin Forecast'!$B$5:$B$355,BE$5)</f>
        <v>0</v>
      </c>
      <c r="BF135" s="28">
        <f>SUMIFS('Fin Forecast'!$I$5:$I$355,'Fin Forecast'!$A$5:$A$355,$F135,'Fin Forecast'!$C$5:$C$355,BF$5)</f>
        <v>0</v>
      </c>
      <c r="BG135" s="28">
        <f>SUMIFS('Fin Forecast'!$I$5:$I$355,'Fin Forecast'!$A$5:$A$355,$F135,'Fin Forecast'!$B$5:$B$355,BG$5)</f>
        <v>0</v>
      </c>
      <c r="BH135" s="28">
        <f>SUMIFS('Fin Forecast'!$I$5:$I$355,'Fin Forecast'!$A$5:$A$355,$F135,'Fin Forecast'!$B$5:$B$355,BH$5)</f>
        <v>0</v>
      </c>
      <c r="BI135" s="28">
        <f>SUMIFS('Fin Forecast'!$I$5:$I$355,'Fin Forecast'!$A$5:$A$355,$F135,'Fin Forecast'!$B$5:$B$355,BI$5)</f>
        <v>0</v>
      </c>
      <c r="BJ135" s="28">
        <f>SUMIFS('Fin Forecast'!$I$5:$I$355,'Fin Forecast'!$A$5:$A$355,$F135,'Fin Forecast'!$B$5:$B$355,BJ$5)</f>
        <v>0</v>
      </c>
      <c r="BK135" s="28">
        <f>SUMIFS('Fin Forecast'!$I$5:$I$355,'Fin Forecast'!$A$5:$A$355,$F135,'Fin Forecast'!$B$5:$B$355,BK$5)</f>
        <v>0</v>
      </c>
      <c r="BL135" s="28">
        <f>SUMIFS('Fin Forecast'!$I$5:$I$355,'Fin Forecast'!$A$5:$A$355,$F135,'Fin Forecast'!$B$5:$B$355,BL$5)</f>
        <v>0</v>
      </c>
      <c r="BM135" s="42">
        <f t="shared" si="227"/>
        <v>0</v>
      </c>
      <c r="BN135" s="42">
        <f t="shared" si="228"/>
        <v>0</v>
      </c>
    </row>
    <row r="136" spans="1:66" x14ac:dyDescent="0.25">
      <c r="A136"/>
      <c r="C136" s="307">
        <f t="shared" si="229"/>
        <v>44166</v>
      </c>
      <c r="D136" s="408" t="str">
        <f t="shared" si="214"/>
        <v>875</v>
      </c>
      <c r="E136" s="405" t="str">
        <f>'Retail Rates'!$B$21</f>
        <v>LGCMG875</v>
      </c>
      <c r="F136" s="405" t="s">
        <v>428</v>
      </c>
      <c r="G136" s="405" t="str">
        <f>VLOOKUP(E136,'Retail Rates'!$B$7:$D$40,3,FALSE)</f>
        <v>Distributed Generation Gas Service, Commercial</v>
      </c>
      <c r="H136" s="20">
        <f>SUMIF('Forecasted Customer Cts'!$D$5:$D$28,$F136,'Forecasted Customer Cts'!$Q$5:$Q$28)</f>
        <v>2</v>
      </c>
      <c r="I136" s="20">
        <v>0</v>
      </c>
      <c r="J136" s="20">
        <f>SUMIF('Forecasted Calendar Month Usage'!$D$5:$D$32,$F136,'Forecasted Calendar Month Usage'!$Q$5:$Q$32)*10</f>
        <v>7</v>
      </c>
      <c r="K136" s="20">
        <v>0</v>
      </c>
      <c r="L136" s="20">
        <f>SUMIFS('Fin Forecast'!I3:I502,'Fin Forecast'!A3:A502,'Mar20-Aug20 Billed-RETAIL'!F136,'Fin Forecast'!B3:B502,L5)*10</f>
        <v>1000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1">
        <f>VLOOKUP($E136,'Retail Rates'!$B$7:$P$40,4,FALSE)</f>
        <v>165</v>
      </c>
      <c r="S136" s="21">
        <f>VLOOKUP($E136,'Retail Rates'!$B$7:$P$40,5,FALSE)</f>
        <v>750</v>
      </c>
      <c r="T136" s="22">
        <f>VLOOKUP($E136,'Retail Rates'!$B$7:$P$40,8,FALSE)</f>
        <v>2.9919999999999999E-2</v>
      </c>
      <c r="U136" s="22">
        <f>VLOOKUP($E136,'Retail Rates'!$B$7:$P$40,9,FALSE)</f>
        <v>0</v>
      </c>
      <c r="V136" s="22">
        <f>VLOOKUP($E136,'Retail Rates'!$B$7:$P$40,14,FALSE)</f>
        <v>1.08978</v>
      </c>
      <c r="W136" s="22">
        <f>VLOOKUP($E136,'Retail Rates'!$B$7:$P$40,10,FALSE)</f>
        <v>0.29919999999999997</v>
      </c>
      <c r="X136" s="22">
        <f>VLOOKUP($E136,'Retail Rates'!$B$7:$P$40,11,FALSE)</f>
        <v>0</v>
      </c>
      <c r="Y136" s="22">
        <f>VLOOKUP($E136,'Retail Rates'!$B$7:$P$40,15,FALSE)</f>
        <v>10.8978</v>
      </c>
      <c r="Z136" s="22">
        <v>0</v>
      </c>
      <c r="AA136" s="411">
        <f>(+H136*R136)</f>
        <v>330</v>
      </c>
      <c r="AB136" s="411">
        <f>+I136*S136</f>
        <v>0</v>
      </c>
      <c r="AC136" s="23">
        <f t="shared" si="215"/>
        <v>0.20943999999999999</v>
      </c>
      <c r="AD136" s="411">
        <f t="shared" si="215"/>
        <v>0</v>
      </c>
      <c r="AE136" s="411">
        <f t="shared" si="213"/>
        <v>1089.78</v>
      </c>
      <c r="AF136" s="41">
        <v>0</v>
      </c>
      <c r="AG136" s="41">
        <v>0</v>
      </c>
      <c r="AH136" s="33">
        <v>0</v>
      </c>
      <c r="AI136" s="33">
        <v>0</v>
      </c>
      <c r="AJ136" s="41">
        <v>0</v>
      </c>
      <c r="AK136" s="41">
        <v>0</v>
      </c>
      <c r="AL136" s="33">
        <v>0</v>
      </c>
      <c r="AM136" s="33">
        <v>0</v>
      </c>
      <c r="AN136" s="41">
        <v>0</v>
      </c>
      <c r="AO136" s="33">
        <v>0</v>
      </c>
      <c r="AP136" s="411">
        <f t="shared" si="216"/>
        <v>330</v>
      </c>
      <c r="AQ136" s="411">
        <f t="shared" si="217"/>
        <v>0</v>
      </c>
      <c r="AR136" s="23">
        <f>AC136+AL136</f>
        <v>0.20943999999999999</v>
      </c>
      <c r="AS136" s="411">
        <f t="shared" si="219"/>
        <v>0</v>
      </c>
      <c r="AT136" s="411">
        <f t="shared" si="220"/>
        <v>1089.78</v>
      </c>
      <c r="AU136" s="411">
        <f t="shared" si="221"/>
        <v>0</v>
      </c>
      <c r="AV136" s="28">
        <f t="shared" si="222"/>
        <v>0</v>
      </c>
      <c r="AW136" s="28">
        <f t="shared" si="223"/>
        <v>2.65781905179078</v>
      </c>
      <c r="AX136" s="28">
        <f t="shared" si="224"/>
        <v>0</v>
      </c>
      <c r="AY136" s="28">
        <f t="shared" si="225"/>
        <v>85.918757348081499</v>
      </c>
      <c r="AZ136" s="28">
        <f t="shared" si="225"/>
        <v>0</v>
      </c>
      <c r="BA136" s="28">
        <f>SUM(AP136:AZ136)</f>
        <v>1508.5660163998721</v>
      </c>
      <c r="BB136" s="28">
        <f>SUM(BD136:BL136)</f>
        <v>1508.5660163998721</v>
      </c>
      <c r="BC136" s="29">
        <f t="shared" si="226"/>
        <v>1</v>
      </c>
      <c r="BD136" s="28">
        <f>SUMIFS('Fin Forecast'!$I$5:$I$355,'Fin Forecast'!$A$5:$A$355,$F136,'Fin Forecast'!$B$5:$B$355,BD$5)</f>
        <v>330</v>
      </c>
      <c r="BE136" s="28">
        <f>SUMIFS('Fin Forecast'!$I$5:$I$355,'Fin Forecast'!$A$5:$A$355,$F136,'Fin Forecast'!$B$5:$B$355,BE$5)</f>
        <v>0.20943999999999999</v>
      </c>
      <c r="BF136" s="28">
        <f>SUMIFS('Fin Forecast'!$I$5:$I$355,'Fin Forecast'!$A$5:$A$355,$F136,'Fin Forecast'!$C$5:$C$355,BF$5)</f>
        <v>1089.78</v>
      </c>
      <c r="BG136" s="28">
        <f>SUMIFS('Fin Forecast'!$I$5:$I$355,'Fin Forecast'!$A$5:$A$355,$F136,'Fin Forecast'!$B$5:$B$355,BG$5)</f>
        <v>0</v>
      </c>
      <c r="BH136" s="28">
        <f>SUMIFS('Fin Forecast'!$I$5:$I$355,'Fin Forecast'!$A$5:$A$355,$F136,'Fin Forecast'!$B$5:$B$355,BH$5)</f>
        <v>2.65781905179078</v>
      </c>
      <c r="BI136" s="28">
        <f>SUMIFS('Fin Forecast'!$I$5:$I$355,'Fin Forecast'!$A$5:$A$355,$F136,'Fin Forecast'!$B$5:$B$355,BI$5)</f>
        <v>0</v>
      </c>
      <c r="BJ136" s="28">
        <f>SUMIFS('Fin Forecast'!$I$5:$I$355,'Fin Forecast'!$A$5:$A$355,$F136,'Fin Forecast'!$B$5:$B$355,BJ$5)</f>
        <v>85.918757348081499</v>
      </c>
      <c r="BK136" s="28">
        <f>SUMIFS('Fin Forecast'!$I$5:$I$355,'Fin Forecast'!$A$5:$A$355,$F136,'Fin Forecast'!$B$5:$B$355,BK$5)</f>
        <v>0</v>
      </c>
      <c r="BL136" s="28">
        <f>SUMIFS('Fin Forecast'!$I$5:$I$355,'Fin Forecast'!$A$5:$A$355,$F136,'Fin Forecast'!$B$5:$B$355,BL$5)</f>
        <v>0</v>
      </c>
      <c r="BM136" s="42">
        <f t="shared" si="227"/>
        <v>0</v>
      </c>
      <c r="BN136" s="42">
        <f t="shared" si="228"/>
        <v>0</v>
      </c>
    </row>
    <row r="137" spans="1:66" x14ac:dyDescent="0.25">
      <c r="A137"/>
      <c r="C137" s="307">
        <f t="shared" si="229"/>
        <v>44166</v>
      </c>
      <c r="D137" s="408">
        <v>996</v>
      </c>
      <c r="E137" s="405" t="s">
        <v>32</v>
      </c>
      <c r="F137" s="405" t="s">
        <v>495</v>
      </c>
      <c r="G137" s="405" t="s">
        <v>624</v>
      </c>
      <c r="H137" s="20">
        <f>SUMIF('Forecasted Customer Cts'!$D$5:$D$28,$F137,'Forecasted Customer Cts'!$Q$5:$Q$28)</f>
        <v>1</v>
      </c>
      <c r="I137" s="20">
        <v>0</v>
      </c>
      <c r="J137" s="20">
        <f>SUMIF('Forecasted Calendar Month Usage'!$D$5:$D$32,$F137,'Forecasted Calendar Month Usage'!$Q$5:$Q$32)*10</f>
        <v>393620</v>
      </c>
      <c r="K137" s="20">
        <v>0</v>
      </c>
      <c r="L137" s="20">
        <f>SUMIFS('Fin Forecast'!I4:I503,'Fin Forecast'!A4:A503,'Mar20-Aug20 Billed-RETAIL'!F137,'Fin Forecast'!B4:B503,L5)*10</f>
        <v>165600.00183523301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1">
        <f>VLOOKUP($E137,'Retail Rates'!$B$7:$P$40,4,FALSE)</f>
        <v>750</v>
      </c>
      <c r="S137" s="21">
        <f>VLOOKUP($E137,'Retail Rates'!$B$7:$P$40,5,FALSE)</f>
        <v>0</v>
      </c>
      <c r="T137" s="22">
        <f>VLOOKUP($E137,'Retail Rates'!$B$7:$P$40,8,FALSE)</f>
        <v>2.9920000000000002E-2</v>
      </c>
      <c r="U137" s="22">
        <f>VLOOKUP($E137,'Retail Rates'!$B$7:$P$40,9,FALSE)</f>
        <v>0</v>
      </c>
      <c r="V137" s="22">
        <f>VLOOKUP($E137,'Retail Rates'!$B$7:$P$40,14,FALSE)</f>
        <v>1.08978</v>
      </c>
      <c r="W137" s="22">
        <f>VLOOKUP($E137,'Retail Rates'!$B$7:$P$40,10,FALSE)</f>
        <v>0.29920000000000002</v>
      </c>
      <c r="X137" s="22">
        <f>VLOOKUP($E137,'Retail Rates'!$B$7:$P$40,11,FALSE)</f>
        <v>0</v>
      </c>
      <c r="Y137" s="22">
        <f>VLOOKUP($E137,'Retail Rates'!$B$7:$P$40,15,FALSE)</f>
        <v>10.8978</v>
      </c>
      <c r="Z137" s="22">
        <v>0</v>
      </c>
      <c r="AA137" s="411">
        <f>(+H137*R137)</f>
        <v>750</v>
      </c>
      <c r="AB137" s="411">
        <f>+I137*S137</f>
        <v>0</v>
      </c>
      <c r="AC137" s="411">
        <f t="shared" si="215"/>
        <v>11777.110400000001</v>
      </c>
      <c r="AD137" s="411">
        <f t="shared" si="215"/>
        <v>0</v>
      </c>
      <c r="AE137" s="411">
        <f t="shared" si="213"/>
        <v>180467.57000000021</v>
      </c>
      <c r="AF137" s="41">
        <v>0</v>
      </c>
      <c r="AG137" s="41">
        <v>0</v>
      </c>
      <c r="AH137" s="33">
        <v>0</v>
      </c>
      <c r="AI137" s="33">
        <v>0</v>
      </c>
      <c r="AJ137" s="41">
        <v>0</v>
      </c>
      <c r="AK137" s="41">
        <v>0</v>
      </c>
      <c r="AL137" s="33">
        <v>0</v>
      </c>
      <c r="AM137" s="33">
        <v>0</v>
      </c>
      <c r="AN137" s="41">
        <v>0</v>
      </c>
      <c r="AO137" s="33">
        <v>0</v>
      </c>
      <c r="AP137" s="411">
        <f t="shared" si="216"/>
        <v>750</v>
      </c>
      <c r="AQ137" s="411">
        <f t="shared" si="217"/>
        <v>0</v>
      </c>
      <c r="AR137" s="411">
        <f t="shared" si="218"/>
        <v>11777.110400000001</v>
      </c>
      <c r="AS137" s="411">
        <f t="shared" si="219"/>
        <v>0</v>
      </c>
      <c r="AT137" s="411">
        <f t="shared" si="220"/>
        <v>180467.57000000021</v>
      </c>
      <c r="AU137" s="411">
        <f t="shared" si="221"/>
        <v>0</v>
      </c>
      <c r="AV137" s="28">
        <f t="shared" si="222"/>
        <v>0</v>
      </c>
      <c r="AW137" s="28">
        <f t="shared" si="223"/>
        <v>149452.96216655499</v>
      </c>
      <c r="AX137" s="28">
        <f t="shared" si="224"/>
        <v>0</v>
      </c>
      <c r="AY137" s="28">
        <f t="shared" si="225"/>
        <v>0</v>
      </c>
      <c r="AZ137" s="28">
        <f t="shared" si="225"/>
        <v>0</v>
      </c>
      <c r="BA137" s="28">
        <f>ROUND(SUM(AP137:AZ137),2)</f>
        <v>342447.64</v>
      </c>
      <c r="BB137" s="28">
        <f t="shared" si="171"/>
        <v>342447.64256655501</v>
      </c>
      <c r="BC137" s="29">
        <f t="shared" si="226"/>
        <v>1</v>
      </c>
      <c r="BD137" s="28">
        <f>SUMIFS('Fin Forecast'!$I$5:$I$3550,'Fin Forecast'!$A$5:$A$3550,$F137,'Fin Forecast'!$B$5:$B$3550,BD$5)</f>
        <v>750</v>
      </c>
      <c r="BE137" s="28">
        <f>SUMIFS('Fin Forecast'!$I$5:$I$3550,'Fin Forecast'!$A$5:$A$3550,$F137,'Fin Forecast'!$B$5:$B$3550,BE$5)</f>
        <v>11777.1104</v>
      </c>
      <c r="BF137" s="28">
        <f>SUMIFS('Fin Forecast'!$I$5:$I$3550,'Fin Forecast'!$A$5:$A$3550,$F137,'Fin Forecast'!$C$5:$C$3550,BF$5)</f>
        <v>180467.57</v>
      </c>
      <c r="BG137" s="28">
        <f>SUMIFS('Fin Forecast'!$I$5:$I$3550,'Fin Forecast'!$A$5:$A$3550,$F137,'Fin Forecast'!$B$5:$B$3550,BG$5)</f>
        <v>0</v>
      </c>
      <c r="BH137" s="28">
        <f>SUMIFS('Fin Forecast'!$I$5:$I$3550,'Fin Forecast'!$A$5:$A$3550,$F137,'Fin Forecast'!$B$5:$B$3550,BH$5)</f>
        <v>149452.96216655499</v>
      </c>
      <c r="BI137" s="28">
        <f>SUMIFS('Fin Forecast'!$I$5:$I$3550,'Fin Forecast'!$A$5:$A$3550,$F137,'Fin Forecast'!$B$5:$B$3550,BI$5)</f>
        <v>0</v>
      </c>
      <c r="BJ137" s="28">
        <f>SUMIFS('Fin Forecast'!$I$5:$I$3550,'Fin Forecast'!$A$5:$A$3550,$F137,'Fin Forecast'!$B$5:$B$3550,BJ$5)</f>
        <v>0</v>
      </c>
      <c r="BK137" s="28">
        <f>SUMIFS('Fin Forecast'!$I$5:$I$3550,'Fin Forecast'!$A$5:$A$3550,$F137,'Fin Forecast'!$B$5:$B$3550,BK$5)</f>
        <v>0</v>
      </c>
      <c r="BL137" s="28">
        <f>SUMIFS('Fin Forecast'!$I$5:$I$3550,'Fin Forecast'!$A$5:$A$3550,$F137,'Fin Forecast'!$B$5:$B$3550,BL$5)</f>
        <v>0</v>
      </c>
      <c r="BM137" s="42">
        <f t="shared" si="227"/>
        <v>0</v>
      </c>
      <c r="BN137" s="42">
        <f t="shared" si="228"/>
        <v>0</v>
      </c>
    </row>
    <row r="138" spans="1:66" s="279" customFormat="1" x14ac:dyDescent="0.25">
      <c r="A138"/>
      <c r="B138"/>
      <c r="C138" s="308"/>
      <c r="D138" s="308"/>
      <c r="E138" s="280"/>
      <c r="F138" s="280"/>
      <c r="G138" s="280"/>
      <c r="K138" s="815"/>
      <c r="R138" s="282"/>
      <c r="S138" s="282"/>
      <c r="T138" s="283"/>
      <c r="U138" s="283"/>
      <c r="V138" s="283"/>
      <c r="W138" s="283"/>
      <c r="X138" s="283"/>
      <c r="Y138" s="283"/>
      <c r="Z138" s="283"/>
      <c r="AA138" s="284"/>
      <c r="AB138" s="284"/>
      <c r="AC138" s="284"/>
      <c r="AD138" s="284"/>
      <c r="AE138" s="284"/>
      <c r="AF138" s="285"/>
      <c r="AG138" s="285"/>
      <c r="AH138" s="284"/>
      <c r="AI138" s="284"/>
      <c r="AJ138" s="284"/>
      <c r="AK138" s="284"/>
      <c r="AL138" s="284"/>
      <c r="AM138" s="284"/>
      <c r="AN138" s="284"/>
      <c r="AO138" s="284"/>
      <c r="AP138" s="297"/>
      <c r="AQ138" s="297"/>
      <c r="AR138" s="297"/>
      <c r="AS138" s="297"/>
      <c r="AT138" s="297"/>
      <c r="AU138" s="297"/>
      <c r="AV138" s="284"/>
      <c r="AW138" s="284"/>
      <c r="AX138" s="284"/>
      <c r="AY138" s="284"/>
      <c r="AZ138" s="284"/>
      <c r="BA138" s="284"/>
      <c r="BB138" s="284"/>
      <c r="BC138" s="286"/>
      <c r="BD138" s="297"/>
      <c r="BE138" s="297"/>
      <c r="BF138" s="297"/>
      <c r="BG138" s="297"/>
      <c r="BH138" s="297"/>
      <c r="BI138" s="297"/>
      <c r="BJ138" s="297"/>
      <c r="BM138" s="284"/>
      <c r="BN138" s="284"/>
    </row>
    <row r="139" spans="1:66" x14ac:dyDescent="0.25">
      <c r="A139"/>
      <c r="C139" s="307">
        <f>EDATE(C130,1)</f>
        <v>44197</v>
      </c>
      <c r="D139" s="408" t="str">
        <f>MID(E139,6,3)</f>
        <v>811</v>
      </c>
      <c r="E139" s="405" t="str">
        <f>'Retail Rates'!$B$7</f>
        <v>LGRSG811</v>
      </c>
      <c r="F139" s="405" t="s">
        <v>62</v>
      </c>
      <c r="G139" s="405" t="str">
        <f>VLOOKUP(E139,'Retail Rates'!$B$7:$D$40,3,FALSE)</f>
        <v>Residential Gas Service</v>
      </c>
      <c r="H139" s="20">
        <f>SUMIF('Forecasted Customer Cts'!$D$5:$D$28,$F139,'Forecasted Customer Cts'!$R$5:$R$28)</f>
        <v>301961</v>
      </c>
      <c r="I139" s="20">
        <v>0</v>
      </c>
      <c r="J139" s="20">
        <f>SUMIF('Forecasted Calendar Month Usage'!$D$5:$D$32,$F139,'Forecasted Calendar Month Usage'!$R$5:$R$32)*10</f>
        <v>41672547.721179493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f>SUMIFS('Fin Forecast'!J1:J500,'Fin Forecast'!A1:A500,'Mar20-Aug20 Billed-RETAIL'!F139,'Fin Forecast'!B1:B500,P5)/R139</f>
        <v>9360790.9999999851</v>
      </c>
      <c r="Q139" s="20">
        <v>0</v>
      </c>
      <c r="R139" s="21">
        <f>VLOOKUP($E139,'Retail Rates'!$B$7:$P$40,4,FALSE)</f>
        <v>0.65</v>
      </c>
      <c r="S139" s="21">
        <f>VLOOKUP($E139,'Retail Rates'!$B$7:$P$40,5,FALSE)</f>
        <v>0</v>
      </c>
      <c r="T139" s="22">
        <f>VLOOKUP($E139,'Retail Rates'!$B$7:$P$40,8,FALSE)</f>
        <v>0.36781999999999998</v>
      </c>
      <c r="U139" s="22">
        <f>VLOOKUP($E139,'Retail Rates'!$B$7:$P$40,9,FALSE)</f>
        <v>0</v>
      </c>
      <c r="V139" s="22">
        <f>VLOOKUP($E139,'Retail Rates'!$B$7:$P$40,14,FALSE)</f>
        <v>0</v>
      </c>
      <c r="W139" s="22">
        <f>VLOOKUP($E139,'Retail Rates'!$B$7:$P$40,10,FALSE)</f>
        <v>3.6781999999999999</v>
      </c>
      <c r="X139" s="22">
        <f>VLOOKUP($E139,'Retail Rates'!$B$7:$P$40,11,FALSE)</f>
        <v>0</v>
      </c>
      <c r="Y139" s="22">
        <f>VLOOKUP($E139,'Retail Rates'!$B$7:$P$40,15,FALSE)</f>
        <v>0</v>
      </c>
      <c r="Z139" s="22">
        <v>0</v>
      </c>
      <c r="AA139" s="411">
        <f>(+P139*R139)</f>
        <v>6084514.1499999901</v>
      </c>
      <c r="AB139" s="411">
        <f>+I139*S139</f>
        <v>0</v>
      </c>
      <c r="AC139" s="411">
        <f>+J139*T139</f>
        <v>15327996.50280424</v>
      </c>
      <c r="AD139" s="411">
        <f>+K139*U139</f>
        <v>0</v>
      </c>
      <c r="AE139" s="23">
        <f t="shared" ref="AE139:AE146" si="231">L139*V139</f>
        <v>0</v>
      </c>
      <c r="AF139" s="41">
        <v>0</v>
      </c>
      <c r="AG139" s="41">
        <v>0</v>
      </c>
      <c r="AH139" s="33">
        <v>0</v>
      </c>
      <c r="AI139" s="33">
        <v>0</v>
      </c>
      <c r="AJ139" s="41">
        <v>0</v>
      </c>
      <c r="AK139" s="41">
        <v>0</v>
      </c>
      <c r="AL139" s="33">
        <v>0</v>
      </c>
      <c r="AM139" s="33">
        <v>0</v>
      </c>
      <c r="AN139" s="41">
        <v>0</v>
      </c>
      <c r="AO139" s="33">
        <v>0</v>
      </c>
      <c r="AP139" s="411">
        <f>AA139+AH139</f>
        <v>6084514.1499999901</v>
      </c>
      <c r="AQ139" s="411">
        <f>AB139+AI139</f>
        <v>0</v>
      </c>
      <c r="AR139" s="411">
        <f>AC139+AL139</f>
        <v>15327996.50280424</v>
      </c>
      <c r="AS139" s="411">
        <f>AD139+AM139</f>
        <v>0</v>
      </c>
      <c r="AT139" s="411">
        <f>AE139+AO139</f>
        <v>0</v>
      </c>
      <c r="AU139" s="411">
        <f>BL139</f>
        <v>0</v>
      </c>
      <c r="AV139" s="28">
        <f>BG139</f>
        <v>21976.081245320602</v>
      </c>
      <c r="AW139" s="28">
        <f>BH139</f>
        <v>16393414.6907438</v>
      </c>
      <c r="AX139" s="28">
        <f>BI139</f>
        <v>0</v>
      </c>
      <c r="AY139" s="28">
        <f>BJ139</f>
        <v>1382237.01213204</v>
      </c>
      <c r="AZ139" s="28">
        <f>BK139</f>
        <v>0</v>
      </c>
      <c r="BA139" s="28">
        <f t="shared" ref="BA139:BA155" si="232">ROUND(SUM(AP139:AZ139),2)</f>
        <v>39210138.439999998</v>
      </c>
      <c r="BB139" s="28">
        <f t="shared" si="171"/>
        <v>39210138.436925352</v>
      </c>
      <c r="BC139" s="29">
        <f>IF(BB139=0,0,ROUND(BB139/BA139,6))</f>
        <v>1</v>
      </c>
      <c r="BD139" s="28">
        <f>SUMIFS('Fin Forecast'!$J$5:$J$355,'Fin Forecast'!$A$5:$A$355,$F139,'Fin Forecast'!$B$5:$B$355,BD$5)</f>
        <v>6084514.1499999901</v>
      </c>
      <c r="BE139" s="28">
        <f>SUMIFS('Fin Forecast'!$J$5:$J$355,'Fin Forecast'!$A$5:$A$355,$F139,'Fin Forecast'!$B$5:$B$355,BE$5)</f>
        <v>15327996.502804199</v>
      </c>
      <c r="BF139" s="28">
        <f>SUMIFS('Fin Forecast'!$J$5:$J$355,'Fin Forecast'!$A$5:$A$355,$F139,'Fin Forecast'!$C$5:$C$355,BF$5)</f>
        <v>0</v>
      </c>
      <c r="BG139" s="28">
        <f>SUMIFS('Fin Forecast'!$J$5:$J$355,'Fin Forecast'!$A$5:$A$355,$F139,'Fin Forecast'!$B$5:$B$355,BG$5)</f>
        <v>21976.081245320602</v>
      </c>
      <c r="BH139" s="28">
        <f>SUMIFS('Fin Forecast'!$J$5:$J$355,'Fin Forecast'!$A$5:$A$355,$F139,'Fin Forecast'!$B$5:$B$355,BH$5)</f>
        <v>16393414.6907438</v>
      </c>
      <c r="BI139" s="28">
        <f>SUMIFS('Fin Forecast'!$J$5:$J$355,'Fin Forecast'!$A$5:$A$355,$F139,'Fin Forecast'!$B$5:$B$355,BI$5)</f>
        <v>0</v>
      </c>
      <c r="BJ139" s="28">
        <f>SUMIFS('Fin Forecast'!$J$5:$J$355,'Fin Forecast'!$A$5:$A$355,$F139,'Fin Forecast'!$B$5:$B$355,BJ$5)</f>
        <v>1382237.01213204</v>
      </c>
      <c r="BK139" s="28">
        <f>SUMIFS('Fin Forecast'!$J$5:$J$355,'Fin Forecast'!$A$5:$A$355,$F139,'Fin Forecast'!$B$5:$B$355,BK$5)</f>
        <v>0</v>
      </c>
      <c r="BL139" s="28">
        <f>SUMIFS('Fin Forecast'!$J$5:$J$355,'Fin Forecast'!$A$5:$A$355,$F139,'Fin Forecast'!$B$5:$B$355,BL$5)</f>
        <v>0</v>
      </c>
      <c r="BM139" s="42">
        <f>+AP139+AQ139-BD139</f>
        <v>0</v>
      </c>
      <c r="BN139" s="42">
        <f>+AR139+AS139-BE139</f>
        <v>4.0978193283081055E-8</v>
      </c>
    </row>
    <row r="140" spans="1:66" x14ac:dyDescent="0.25">
      <c r="A140"/>
      <c r="C140" s="307">
        <f>$C$139</f>
        <v>44197</v>
      </c>
      <c r="D140" s="408" t="str">
        <f t="shared" ref="D140:D145" si="233">MID(E140,6,3)</f>
        <v>851</v>
      </c>
      <c r="E140" s="405" t="str">
        <f>'Retail Rates'!$B$9</f>
        <v>LGCMG851</v>
      </c>
      <c r="F140" s="405" t="s">
        <v>56</v>
      </c>
      <c r="G140" s="405" t="str">
        <f>VLOOKUP(E140,'Retail Rates'!$B$7:$D$40,3,FALSE)</f>
        <v>Firm Commercial Gas Service</v>
      </c>
      <c r="H140" s="20">
        <f>SUMIF('Forecasted Customer Cts'!$D$5:$D$28,$F140,'Forecasted Customer Cts'!$R$5:$R$28)-I140</f>
        <v>24885</v>
      </c>
      <c r="I140" s="20">
        <f>SUMIFS('Forecasted Customer Cts'!$R$5:$R$28,'Forecasted Customer Cts'!$D$5:$D$28,$F140,'Forecasted Customer Cts'!$C$5:$C$28,$B$104)</f>
        <v>1231</v>
      </c>
      <c r="J140" s="20">
        <f>SUMIF('Forecasted Calendar Month Usage'!$D$5:$D$32,$F140,'Forecasted Calendar Month Usage'!$R$5:$R$32)*10</f>
        <v>21641020.622989271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f>SUMIFS('Fin Forecast'!J1:J500,'Fin Forecast'!A1:A500,'Mar20-Aug20 Billed-RETAIL'!F140,'Fin Forecast'!B1:B500,P5)/R140</f>
        <v>771435</v>
      </c>
      <c r="Q140" s="20">
        <f>SUMIFS('Fin Forecast'!J1:J500,'Fin Forecast'!A1:A500,'Mar20-Aug20 Billed-RETAIL'!F140,'Fin Forecast'!B1:B500,Q5)/S140</f>
        <v>38161.000000000007</v>
      </c>
      <c r="R140" s="21">
        <f>VLOOKUP($E140,'Retail Rates'!$B$7:$P$40,4,FALSE)</f>
        <v>1.97</v>
      </c>
      <c r="S140" s="21">
        <f>VLOOKUP($E140,'Retail Rates'!$B$7:$P$40,5,FALSE)</f>
        <v>9.3699999999999992</v>
      </c>
      <c r="T140" s="22">
        <f>VLOOKUP($E140,'Retail Rates'!$B$7:$P$40,8,FALSE)</f>
        <v>0.30669999999999997</v>
      </c>
      <c r="U140" s="22">
        <f>VLOOKUP($E140,'Retail Rates'!$B$7:$P$40,9,FALSE)</f>
        <v>0.25669999999999998</v>
      </c>
      <c r="V140" s="22">
        <f>VLOOKUP($E140,'Retail Rates'!$B$7:$P$40,14,FALSE)</f>
        <v>0</v>
      </c>
      <c r="W140" s="22">
        <f>VLOOKUP($E140,'Retail Rates'!$B$7:$P$40,10,FALSE)</f>
        <v>3.0669999999999997</v>
      </c>
      <c r="X140" s="22">
        <f>VLOOKUP($E140,'Retail Rates'!$B$7:$P$40,11,FALSE)</f>
        <v>2.5669999999999997</v>
      </c>
      <c r="Y140" s="22">
        <f>VLOOKUP($E140,'Retail Rates'!$B$7:$P$40,15,FALSE)</f>
        <v>0</v>
      </c>
      <c r="Z140" s="22">
        <v>0</v>
      </c>
      <c r="AA140" s="411">
        <f>(+P140*R140)</f>
        <v>1519726.95</v>
      </c>
      <c r="AB140" s="411">
        <f>+Q140*S140</f>
        <v>357568.57000000007</v>
      </c>
      <c r="AC140" s="411">
        <f t="shared" ref="AC140:AD146" si="234">+J140*T140</f>
        <v>6637301.0250708088</v>
      </c>
      <c r="AD140" s="411">
        <f t="shared" si="234"/>
        <v>0</v>
      </c>
      <c r="AE140" s="411">
        <f t="shared" si="231"/>
        <v>0</v>
      </c>
      <c r="AF140" s="41">
        <v>0</v>
      </c>
      <c r="AG140" s="41">
        <v>0</v>
      </c>
      <c r="AH140" s="33">
        <v>0</v>
      </c>
      <c r="AI140" s="33">
        <v>0</v>
      </c>
      <c r="AJ140" s="41">
        <v>0</v>
      </c>
      <c r="AK140" s="41">
        <v>0</v>
      </c>
      <c r="AL140" s="33">
        <v>0</v>
      </c>
      <c r="AM140" s="33">
        <v>0</v>
      </c>
      <c r="AN140" s="41">
        <v>0</v>
      </c>
      <c r="AO140" s="33">
        <v>0</v>
      </c>
      <c r="AP140" s="411">
        <f t="shared" ref="AP140:AP146" si="235">AA140+AH140</f>
        <v>1519726.95</v>
      </c>
      <c r="AQ140" s="411">
        <f t="shared" ref="AQ140:AQ146" si="236">AB140+AI140</f>
        <v>357568.57000000007</v>
      </c>
      <c r="AR140" s="411">
        <f t="shared" ref="AR140:AR146" si="237">AC140+AL140</f>
        <v>6637301.0250708088</v>
      </c>
      <c r="AS140" s="411">
        <f t="shared" ref="AS140:AS146" si="238">AD140+AM140</f>
        <v>0</v>
      </c>
      <c r="AT140" s="411">
        <f t="shared" ref="AT140:AT146" si="239">AE140+AO140</f>
        <v>0</v>
      </c>
      <c r="AU140" s="411">
        <f t="shared" ref="AU140:AU146" si="240">BL140</f>
        <v>0</v>
      </c>
      <c r="AV140" s="28">
        <f t="shared" ref="AV140:AV146" si="241">BG140</f>
        <v>11412.4250483673</v>
      </c>
      <c r="AW140" s="28">
        <f t="shared" ref="AW140:AW146" si="242">BH140</f>
        <v>8513283.7996198405</v>
      </c>
      <c r="AX140" s="28">
        <f t="shared" ref="AX140:AX146" si="243">BI140</f>
        <v>0</v>
      </c>
      <c r="AY140" s="28">
        <f t="shared" ref="AY140:AZ146" si="244">BJ140</f>
        <v>573734.36154709302</v>
      </c>
      <c r="AZ140" s="28">
        <f t="shared" si="244"/>
        <v>0</v>
      </c>
      <c r="BA140" s="28">
        <f t="shared" si="232"/>
        <v>17613027.129999999</v>
      </c>
      <c r="BB140" s="28">
        <f t="shared" si="171"/>
        <v>17613027.131286111</v>
      </c>
      <c r="BC140" s="29">
        <f t="shared" ref="BC140:BC146" si="245">IF(BB140=0,0,ROUND(BB140/BA140,6))</f>
        <v>1</v>
      </c>
      <c r="BD140" s="28">
        <f>SUMIFS('Fin Forecast'!$J$5:$J$355,'Fin Forecast'!$A$5:$A$355,$F140,'Fin Forecast'!$B$5:$B$355,BD$5)</f>
        <v>1877295.52</v>
      </c>
      <c r="BE140" s="28">
        <f>SUMIFS('Fin Forecast'!$J$5:$J$355,'Fin Forecast'!$A$5:$A$355,$F140,'Fin Forecast'!$B$5:$B$355,BE$5)</f>
        <v>6637301.0250708098</v>
      </c>
      <c r="BF140" s="28">
        <f>SUMIFS('Fin Forecast'!$J$5:$J$355,'Fin Forecast'!$A$5:$A$355,$F140,'Fin Forecast'!$C$5:$C$355,BF$5)</f>
        <v>0</v>
      </c>
      <c r="BG140" s="28">
        <f>SUMIFS('Fin Forecast'!$J$5:$J$355,'Fin Forecast'!$A$5:$A$355,$F140,'Fin Forecast'!$B$5:$B$355,BG$5)</f>
        <v>11412.4250483673</v>
      </c>
      <c r="BH140" s="28">
        <f>SUMIFS('Fin Forecast'!$J$5:$J$355,'Fin Forecast'!$A$5:$A$355,$F140,'Fin Forecast'!$B$5:$B$355,BH$5)</f>
        <v>8513283.7996198405</v>
      </c>
      <c r="BI140" s="28">
        <f>SUMIFS('Fin Forecast'!$J$5:$J$355,'Fin Forecast'!$A$5:$A$355,$F140,'Fin Forecast'!$B$5:$B$355,BI$5)</f>
        <v>0</v>
      </c>
      <c r="BJ140" s="28">
        <f>SUMIFS('Fin Forecast'!$J$5:$J$355,'Fin Forecast'!$A$5:$A$355,$F140,'Fin Forecast'!$B$5:$B$355,BJ$5)</f>
        <v>573734.36154709302</v>
      </c>
      <c r="BK140" s="28">
        <f>SUMIFS('Fin Forecast'!$J$5:$J$355,'Fin Forecast'!$A$5:$A$355,$F140,'Fin Forecast'!$B$5:$B$355,BK$5)</f>
        <v>0</v>
      </c>
      <c r="BL140" s="28">
        <f>SUMIFS('Fin Forecast'!$J$5:$J$355,'Fin Forecast'!$A$5:$A$355,$F140,'Fin Forecast'!$B$5:$B$355,BL$5)</f>
        <v>0</v>
      </c>
      <c r="BM140" s="42">
        <f t="shared" ref="BM140:BM146" si="246">+AP140+AQ140-BD140</f>
        <v>0</v>
      </c>
      <c r="BN140" s="42">
        <f t="shared" ref="BN140:BN146" si="247">+AR140+AS140-BE140</f>
        <v>0</v>
      </c>
    </row>
    <row r="141" spans="1:66" x14ac:dyDescent="0.25">
      <c r="A141"/>
      <c r="C141" s="307">
        <f t="shared" ref="C141:C146" si="248">$C$139</f>
        <v>44197</v>
      </c>
      <c r="D141" s="408" t="str">
        <f t="shared" si="233"/>
        <v>855</v>
      </c>
      <c r="E141" s="405" t="str">
        <f>'Retail Rates'!$B$11</f>
        <v>LGING855</v>
      </c>
      <c r="F141" s="405" t="s">
        <v>59</v>
      </c>
      <c r="G141" s="405" t="str">
        <f>VLOOKUP(E141,'Retail Rates'!$B$7:$D$40,3,FALSE)</f>
        <v>Firm Industrial Gas Service-DSM Opt-Out</v>
      </c>
      <c r="H141" s="20">
        <f>SUMIF('Forecasted Customer Cts'!$D$5:$D$28,$F141,'Forecasted Customer Cts'!$R$5:$R$28)-I141</f>
        <v>121</v>
      </c>
      <c r="I141" s="20">
        <f>SUMIFS('Forecasted Customer Cts'!$R$5:$R$28,'Forecasted Customer Cts'!$D$5:$D$28,$F141,'Forecasted Customer Cts'!$C$5:$C$28,$B$104)</f>
        <v>95</v>
      </c>
      <c r="J141" s="20">
        <f>SUMIF('Forecasted Calendar Month Usage'!$D$5:$D$32,$F141,'Forecasted Calendar Month Usage'!$R$5:$R$32)*10</f>
        <v>1295508.9783428728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f>SUMIFS('Fin Forecast'!J1:J500,'Fin Forecast'!A1:A500,'Mar20-Aug20 Billed-RETAIL'!F141,'Fin Forecast'!B1:B500,P5)/R141</f>
        <v>3750.9999999999995</v>
      </c>
      <c r="Q141" s="20">
        <f>SUMIFS('Fin Forecast'!J1:J500,'Fin Forecast'!A1:A500,'Mar20-Aug20 Billed-RETAIL'!F141,'Fin Forecast'!B1:B500,Q5)/S141</f>
        <v>2945</v>
      </c>
      <c r="R141" s="21">
        <f>VLOOKUP($E141,'Retail Rates'!$B$7:$P$40,4,FALSE)</f>
        <v>5.42</v>
      </c>
      <c r="S141" s="21">
        <f>VLOOKUP($E141,'Retail Rates'!$B$7:$P$40,5,FALSE)</f>
        <v>24.64</v>
      </c>
      <c r="T141" s="22">
        <f>VLOOKUP($E141,'Retail Rates'!$B$7:$P$40,8,FALSE)</f>
        <v>0.21929000000000001</v>
      </c>
      <c r="U141" s="22">
        <f>VLOOKUP($E141,'Retail Rates'!$B$7:$P$40,9,FALSE)</f>
        <v>0.16929</v>
      </c>
      <c r="V141" s="22">
        <f>VLOOKUP($E141,'Retail Rates'!$B$7:$P$40,14,FALSE)</f>
        <v>0</v>
      </c>
      <c r="W141" s="22">
        <f>VLOOKUP($E141,'Retail Rates'!$B$7:$P$40,10,FALSE)</f>
        <v>2.1929000000000003</v>
      </c>
      <c r="X141" s="22">
        <f>VLOOKUP($E141,'Retail Rates'!$B$7:$P$40,11,FALSE)</f>
        <v>1.6928999999999998</v>
      </c>
      <c r="Y141" s="22">
        <f>VLOOKUP($E141,'Retail Rates'!$B$7:$P$40,15,FALSE)</f>
        <v>0</v>
      </c>
      <c r="Z141" s="22">
        <v>0</v>
      </c>
      <c r="AA141" s="411">
        <f>(+P141*R141)</f>
        <v>20330.419999999998</v>
      </c>
      <c r="AB141" s="411">
        <f>+Q141*S141</f>
        <v>72564.800000000003</v>
      </c>
      <c r="AC141" s="411">
        <f t="shared" si="234"/>
        <v>284092.16386080859</v>
      </c>
      <c r="AD141" s="411">
        <f t="shared" si="234"/>
        <v>0</v>
      </c>
      <c r="AE141" s="411">
        <f t="shared" si="231"/>
        <v>0</v>
      </c>
      <c r="AF141" s="41">
        <v>0</v>
      </c>
      <c r="AG141" s="41">
        <v>0</v>
      </c>
      <c r="AH141" s="33">
        <v>0</v>
      </c>
      <c r="AI141" s="33">
        <v>0</v>
      </c>
      <c r="AJ141" s="41">
        <v>0</v>
      </c>
      <c r="AK141" s="41">
        <v>0</v>
      </c>
      <c r="AL141" s="33">
        <v>0</v>
      </c>
      <c r="AM141" s="33">
        <v>0</v>
      </c>
      <c r="AN141" s="41">
        <v>0</v>
      </c>
      <c r="AO141" s="33">
        <v>0</v>
      </c>
      <c r="AP141" s="411">
        <f t="shared" si="235"/>
        <v>20330.419999999998</v>
      </c>
      <c r="AQ141" s="411">
        <f t="shared" si="236"/>
        <v>72564.800000000003</v>
      </c>
      <c r="AR141" s="411">
        <f t="shared" si="237"/>
        <v>284092.16386080859</v>
      </c>
      <c r="AS141" s="411">
        <f t="shared" si="238"/>
        <v>0</v>
      </c>
      <c r="AT141" s="411">
        <f t="shared" si="239"/>
        <v>0</v>
      </c>
      <c r="AU141" s="411">
        <f t="shared" si="240"/>
        <v>0</v>
      </c>
      <c r="AV141" s="28">
        <f t="shared" si="241"/>
        <v>0</v>
      </c>
      <c r="AW141" s="28">
        <f t="shared" si="242"/>
        <v>509635.64934050699</v>
      </c>
      <c r="AX141" s="28">
        <f t="shared" si="243"/>
        <v>0</v>
      </c>
      <c r="AY141" s="28">
        <f t="shared" si="244"/>
        <v>65088.110316380102</v>
      </c>
      <c r="AZ141" s="28">
        <f t="shared" si="244"/>
        <v>0</v>
      </c>
      <c r="BA141" s="28">
        <f t="shared" si="232"/>
        <v>951711.14</v>
      </c>
      <c r="BB141" s="28">
        <f t="shared" si="171"/>
        <v>951711.14351769607</v>
      </c>
      <c r="BC141" s="29">
        <f t="shared" si="245"/>
        <v>1</v>
      </c>
      <c r="BD141" s="28">
        <f>SUMIFS('Fin Forecast'!$J$5:$J$355,'Fin Forecast'!$A$5:$A$355,$F141,'Fin Forecast'!$B$5:$B$355,BD$5)</f>
        <v>92895.22</v>
      </c>
      <c r="BE141" s="28">
        <f>SUMIFS('Fin Forecast'!$J$5:$J$355,'Fin Forecast'!$A$5:$A$355,$F141,'Fin Forecast'!$B$5:$B$355,BE$5)</f>
        <v>284092.163860809</v>
      </c>
      <c r="BF141" s="28">
        <f>SUMIFS('Fin Forecast'!$J$5:$J$355,'Fin Forecast'!$A$5:$A$355,$F141,'Fin Forecast'!$C$5:$C$355,BF$5)</f>
        <v>0</v>
      </c>
      <c r="BG141" s="28">
        <f>SUMIFS('Fin Forecast'!$J$5:$J$355,'Fin Forecast'!$A$5:$A$355,$F141,'Fin Forecast'!$B$5:$B$355,BG$5)</f>
        <v>0</v>
      </c>
      <c r="BH141" s="28">
        <f>SUMIFS('Fin Forecast'!$J$5:$J$355,'Fin Forecast'!$A$5:$A$355,$F141,'Fin Forecast'!$B$5:$B$355,BH$5)</f>
        <v>509635.64934050699</v>
      </c>
      <c r="BI141" s="28">
        <f>SUMIFS('Fin Forecast'!$J$5:$J$355,'Fin Forecast'!$A$5:$A$355,$F141,'Fin Forecast'!$B$5:$B$355,BI$5)</f>
        <v>0</v>
      </c>
      <c r="BJ141" s="28">
        <f>SUMIFS('Fin Forecast'!$J$5:$J$355,'Fin Forecast'!$A$5:$A$355,$F141,'Fin Forecast'!$B$5:$B$355,BJ$5)</f>
        <v>65088.110316380102</v>
      </c>
      <c r="BK141" s="28">
        <f>SUMIFS('Fin Forecast'!$J$5:$J$355,'Fin Forecast'!$A$5:$A$355,$F141,'Fin Forecast'!$B$5:$B$355,BK$5)</f>
        <v>0</v>
      </c>
      <c r="BL141" s="28">
        <f>SUMIFS('Fin Forecast'!$J$5:$J$355,'Fin Forecast'!$A$5:$A$355,$F141,'Fin Forecast'!$B$5:$B$355,BL$5)</f>
        <v>0</v>
      </c>
      <c r="BM141" s="42">
        <f t="shared" si="246"/>
        <v>0</v>
      </c>
      <c r="BN141" s="42">
        <f t="shared" si="247"/>
        <v>0</v>
      </c>
    </row>
    <row r="142" spans="1:66" x14ac:dyDescent="0.25">
      <c r="A142"/>
      <c r="C142" s="307">
        <f t="shared" si="248"/>
        <v>44197</v>
      </c>
      <c r="D142" s="408" t="str">
        <f t="shared" si="233"/>
        <v>865</v>
      </c>
      <c r="E142" s="405" t="str">
        <f>'Retail Rates'!$B$14</f>
        <v>LGCMG865</v>
      </c>
      <c r="F142" s="405" t="s">
        <v>223</v>
      </c>
      <c r="G142" s="405" t="str">
        <f>VLOOKUP(E142,'Retail Rates'!$B$7:$D$40,3,FALSE)</f>
        <v>As-Available Gas Service, Commercial</v>
      </c>
      <c r="H142" s="20">
        <f>SUMIF('Forecasted Customer Cts'!$D$5:$D$28,$F142,'Forecasted Customer Cts'!$R$5:$R$28)</f>
        <v>2</v>
      </c>
      <c r="I142" s="20">
        <v>0</v>
      </c>
      <c r="J142" s="20">
        <v>0</v>
      </c>
      <c r="K142" s="20">
        <v>0</v>
      </c>
      <c r="L142" s="20">
        <v>0</v>
      </c>
      <c r="M142" s="20">
        <f>SUMIF('Forecasted Calendar Month Usage'!$D$5:$D$32,$F142,'Forecasted Calendar Month Usage'!$R$5:$R$32)</f>
        <v>5385.1623989469863</v>
      </c>
      <c r="N142" s="20">
        <v>0</v>
      </c>
      <c r="O142" s="20">
        <v>0</v>
      </c>
      <c r="P142" s="20">
        <v>0</v>
      </c>
      <c r="Q142" s="20">
        <v>0</v>
      </c>
      <c r="R142" s="21">
        <f>VLOOKUP($E142,'Retail Rates'!$B$7:$P$40,4,FALSE)</f>
        <v>500</v>
      </c>
      <c r="S142" s="21">
        <f>VLOOKUP($E142,'Retail Rates'!$B$7:$P$40,5,FALSE)</f>
        <v>0</v>
      </c>
      <c r="T142" s="22">
        <f>VLOOKUP($E142,'Retail Rates'!$B$7:$P$40,8,FALSE)</f>
        <v>0.10644000000000001</v>
      </c>
      <c r="U142" s="22">
        <f>VLOOKUP($E142,'Retail Rates'!$B$7:$P$40,9,FALSE)</f>
        <v>0</v>
      </c>
      <c r="V142" s="22">
        <f>VLOOKUP($E142,'Retail Rates'!$B$7:$P$40,14,FALSE)</f>
        <v>0</v>
      </c>
      <c r="W142" s="22">
        <f>VLOOKUP($E142,'Retail Rates'!$B$7:$P$40,10,FALSE)</f>
        <v>1.0644</v>
      </c>
      <c r="X142" s="22">
        <f>VLOOKUP($E142,'Retail Rates'!$B$7:$P$40,11,FALSE)</f>
        <v>0</v>
      </c>
      <c r="Y142" s="22">
        <f>VLOOKUP($E142,'Retail Rates'!$B$7:$P$40,15,FALSE)</f>
        <v>0</v>
      </c>
      <c r="Z142" s="22">
        <v>0</v>
      </c>
      <c r="AA142" s="411">
        <f>(+H142*R142)</f>
        <v>1000</v>
      </c>
      <c r="AB142" s="411">
        <f>+I142*S142</f>
        <v>0</v>
      </c>
      <c r="AC142" s="411">
        <f>+M142*W142</f>
        <v>5731.9668574391726</v>
      </c>
      <c r="AD142" s="411">
        <f t="shared" si="234"/>
        <v>0</v>
      </c>
      <c r="AE142" s="411">
        <f t="shared" si="231"/>
        <v>0</v>
      </c>
      <c r="AF142" s="41">
        <v>0</v>
      </c>
      <c r="AG142" s="41">
        <v>0</v>
      </c>
      <c r="AH142" s="33">
        <v>0</v>
      </c>
      <c r="AI142" s="33">
        <v>0</v>
      </c>
      <c r="AJ142" s="41">
        <v>0</v>
      </c>
      <c r="AK142" s="41">
        <v>0</v>
      </c>
      <c r="AL142" s="33">
        <v>0</v>
      </c>
      <c r="AM142" s="33">
        <v>0</v>
      </c>
      <c r="AN142" s="41">
        <v>0</v>
      </c>
      <c r="AO142" s="33">
        <v>0</v>
      </c>
      <c r="AP142" s="411">
        <f t="shared" si="235"/>
        <v>1000</v>
      </c>
      <c r="AQ142" s="411">
        <f t="shared" si="236"/>
        <v>0</v>
      </c>
      <c r="AR142" s="411">
        <f t="shared" si="237"/>
        <v>5731.9668574391726</v>
      </c>
      <c r="AS142" s="411">
        <f t="shared" si="238"/>
        <v>0</v>
      </c>
      <c r="AT142" s="411">
        <f t="shared" si="239"/>
        <v>0</v>
      </c>
      <c r="AU142" s="411">
        <f t="shared" si="240"/>
        <v>0</v>
      </c>
      <c r="AV142" s="28">
        <f t="shared" si="241"/>
        <v>20.402504539700399</v>
      </c>
      <c r="AW142" s="28">
        <f t="shared" si="242"/>
        <v>21184.497999403698</v>
      </c>
      <c r="AX142" s="28">
        <f t="shared" si="243"/>
        <v>0</v>
      </c>
      <c r="AY142" s="28">
        <f t="shared" si="244"/>
        <v>2050.8805169951802</v>
      </c>
      <c r="AZ142" s="28">
        <f t="shared" si="244"/>
        <v>0</v>
      </c>
      <c r="BA142" s="28">
        <f t="shared" si="232"/>
        <v>29987.75</v>
      </c>
      <c r="BB142" s="28">
        <f t="shared" si="171"/>
        <v>29987.747878377741</v>
      </c>
      <c r="BC142" s="29">
        <f t="shared" si="245"/>
        <v>1</v>
      </c>
      <c r="BD142" s="28">
        <f>SUMIFS('Fin Forecast'!$J$5:$J$355,'Fin Forecast'!$A$5:$A$355,$F142,'Fin Forecast'!$B$5:$B$355,BD$5)</f>
        <v>1000</v>
      </c>
      <c r="BE142" s="28">
        <f>SUMIFS('Fin Forecast'!$J$5:$J$355,'Fin Forecast'!$A$5:$A$355,$F142,'Fin Forecast'!$B$5:$B$355,BE$5)</f>
        <v>5731.9668574391599</v>
      </c>
      <c r="BF142" s="28">
        <f>SUMIFS('Fin Forecast'!$J$5:$J$355,'Fin Forecast'!$A$5:$A$355,$F142,'Fin Forecast'!$C$5:$C$355,BF$5)</f>
        <v>0</v>
      </c>
      <c r="BG142" s="28">
        <f>SUMIFS('Fin Forecast'!$J$5:$J$355,'Fin Forecast'!$A$5:$A$355,$F142,'Fin Forecast'!$B$5:$B$355,BG$5)</f>
        <v>20.402504539700399</v>
      </c>
      <c r="BH142" s="28">
        <f>SUMIFS('Fin Forecast'!$J$5:$J$355,'Fin Forecast'!$A$5:$A$355,$F142,'Fin Forecast'!$B$5:$B$355,BH$5)</f>
        <v>21184.497999403698</v>
      </c>
      <c r="BI142" s="28">
        <f>SUMIFS('Fin Forecast'!$J$5:$J$355,'Fin Forecast'!$A$5:$A$355,$F142,'Fin Forecast'!$B$5:$B$355,BI$5)</f>
        <v>0</v>
      </c>
      <c r="BJ142" s="28">
        <f>SUMIFS('Fin Forecast'!$J$5:$J$355,'Fin Forecast'!$A$5:$A$355,$F142,'Fin Forecast'!$B$5:$B$355,BJ$5)</f>
        <v>2050.8805169951802</v>
      </c>
      <c r="BK142" s="28">
        <f>SUMIFS('Fin Forecast'!$J$5:$J$355,'Fin Forecast'!$A$5:$A$355,$F142,'Fin Forecast'!$B$5:$B$355,BK$5)</f>
        <v>0</v>
      </c>
      <c r="BL142" s="28">
        <f>SUMIFS('Fin Forecast'!$J$5:$J$355,'Fin Forecast'!$A$5:$A$355,$F142,'Fin Forecast'!$B$5:$B$355,BL$5)</f>
        <v>0</v>
      </c>
      <c r="BM142" s="42">
        <f t="shared" si="246"/>
        <v>0</v>
      </c>
      <c r="BN142" s="42">
        <f t="shared" si="247"/>
        <v>1.2732925824820995E-11</v>
      </c>
    </row>
    <row r="143" spans="1:66" x14ac:dyDescent="0.25">
      <c r="A143"/>
      <c r="C143" s="307">
        <f t="shared" si="248"/>
        <v>44197</v>
      </c>
      <c r="D143" s="408" t="str">
        <f t="shared" si="233"/>
        <v>870</v>
      </c>
      <c r="E143" s="405" t="str">
        <f>'Retail Rates'!$B$17</f>
        <v>LGCMG870</v>
      </c>
      <c r="F143" s="405" t="s">
        <v>553</v>
      </c>
      <c r="G143" s="405" t="str">
        <f>VLOOKUP(E143,'Retail Rates'!$B$7:$D$40,3,FALSE)</f>
        <v>Substitute Gas Sales Service-Commercial</v>
      </c>
      <c r="H143" s="20">
        <f>SUMIF('Forecasted Customer Cts'!$D$5:$D$28,$F143,'Forecasted Customer Cts'!$R$5:$R$28)</f>
        <v>1</v>
      </c>
      <c r="I143" s="20">
        <v>0</v>
      </c>
      <c r="J143" s="20">
        <v>0</v>
      </c>
      <c r="K143" s="20">
        <v>0</v>
      </c>
      <c r="L143" s="20">
        <f>SUMIFS('Fin Forecast'!J1:J500,'Fin Forecast'!A1:A500,'Mar20-Aug20 Billed-RETAIL'!F143,'Fin Forecast'!B1:B500,L5)/V143</f>
        <v>0</v>
      </c>
      <c r="M143" s="20">
        <f>SUMIF('Forecasted Calendar Month Usage'!$D$5:$D$32,$F143,'Forecasted Calendar Month Usage'!$R$5:$R$32)</f>
        <v>300</v>
      </c>
      <c r="N143" s="20">
        <v>0</v>
      </c>
      <c r="O143" s="20">
        <f>SUMIFS('Fin Forecast'!J1:J500,'Fin Forecast'!A1:A500,'Mar20-Aug20 Billed-RETAIL'!F143,'Fin Forecast'!B1:B500,O5)</f>
        <v>2000</v>
      </c>
      <c r="P143" s="20">
        <v>0</v>
      </c>
      <c r="Q143" s="20">
        <v>0</v>
      </c>
      <c r="R143" s="21">
        <f>VLOOKUP($E143,'Retail Rates'!$B$7:$P$40,4,FALSE)</f>
        <v>285</v>
      </c>
      <c r="S143" s="21">
        <f>VLOOKUP($E143,'Retail Rates'!$B$7:$P$40,5,FALSE)</f>
        <v>0</v>
      </c>
      <c r="T143" s="22">
        <f>VLOOKUP($E143,'Retail Rates'!$B$7:$P$40,8,FALSE)</f>
        <v>3.603E-2</v>
      </c>
      <c r="U143" s="22">
        <f>VLOOKUP($E143,'Retail Rates'!$B$7:$P$40,9,FALSE)</f>
        <v>0</v>
      </c>
      <c r="V143" s="22">
        <f>VLOOKUP($E143,'Retail Rates'!$B$7:$P$40,14,FALSE)</f>
        <v>0.65599999999999992</v>
      </c>
      <c r="W143" s="22">
        <f>VLOOKUP($E143,'Retail Rates'!$B$7:$P$40,10,FALSE)</f>
        <v>0.36030000000000001</v>
      </c>
      <c r="X143" s="22">
        <f>VLOOKUP($E143,'Retail Rates'!$B$7:$P$40,11,FALSE)</f>
        <v>0</v>
      </c>
      <c r="Y143" s="22">
        <f>VLOOKUP($E143,'Retail Rates'!$B$7:$P$40,15,FALSE)</f>
        <v>6.56</v>
      </c>
      <c r="Z143" s="22">
        <v>0</v>
      </c>
      <c r="AA143" s="411">
        <f>(+H143*R143)</f>
        <v>285</v>
      </c>
      <c r="AB143" s="411">
        <f>+I143*S143</f>
        <v>0</v>
      </c>
      <c r="AC143" s="411">
        <f t="shared" ref="AC143:AC144" si="249">+M143*W143</f>
        <v>108.09</v>
      </c>
      <c r="AD143" s="411">
        <f t="shared" si="234"/>
        <v>0</v>
      </c>
      <c r="AE143" s="411">
        <f>O143*Y143</f>
        <v>13120</v>
      </c>
      <c r="AF143" s="41">
        <v>0</v>
      </c>
      <c r="AG143" s="41">
        <v>0</v>
      </c>
      <c r="AH143" s="33">
        <v>0</v>
      </c>
      <c r="AI143" s="33">
        <v>0</v>
      </c>
      <c r="AJ143" s="41">
        <v>0</v>
      </c>
      <c r="AK143" s="41">
        <v>0</v>
      </c>
      <c r="AL143" s="33">
        <v>0</v>
      </c>
      <c r="AM143" s="33">
        <v>0</v>
      </c>
      <c r="AN143" s="41">
        <v>0</v>
      </c>
      <c r="AO143" s="33">
        <v>0</v>
      </c>
      <c r="AP143" s="411">
        <f t="shared" si="235"/>
        <v>285</v>
      </c>
      <c r="AQ143" s="411">
        <f t="shared" si="236"/>
        <v>0</v>
      </c>
      <c r="AR143" s="411">
        <f t="shared" si="237"/>
        <v>108.09</v>
      </c>
      <c r="AS143" s="411">
        <f t="shared" si="238"/>
        <v>0</v>
      </c>
      <c r="AT143" s="411">
        <f t="shared" si="239"/>
        <v>13120</v>
      </c>
      <c r="AU143" s="411">
        <f t="shared" si="240"/>
        <v>0</v>
      </c>
      <c r="AV143" s="28">
        <f t="shared" si="241"/>
        <v>1.5820545500858501</v>
      </c>
      <c r="AW143" s="28">
        <f t="shared" si="242"/>
        <v>1180.1592837875901</v>
      </c>
      <c r="AX143" s="28">
        <f t="shared" si="243"/>
        <v>0</v>
      </c>
      <c r="AY143" s="28">
        <f t="shared" si="244"/>
        <v>494.793404272994</v>
      </c>
      <c r="AZ143" s="28">
        <f t="shared" si="244"/>
        <v>0</v>
      </c>
      <c r="BA143" s="28">
        <f t="shared" si="232"/>
        <v>15189.62</v>
      </c>
      <c r="BB143" s="28">
        <f t="shared" si="171"/>
        <v>15189.624742610671</v>
      </c>
      <c r="BC143" s="29">
        <f t="shared" si="245"/>
        <v>1</v>
      </c>
      <c r="BD143" s="28">
        <f>SUMIFS('Fin Forecast'!$J$5:$J$355,'Fin Forecast'!$A$5:$A$355,$F143,'Fin Forecast'!$B$5:$B$355,BD$5)</f>
        <v>285</v>
      </c>
      <c r="BE143" s="28">
        <f>SUMIFS('Fin Forecast'!$J$5:$J$355,'Fin Forecast'!$A$5:$A$355,$F143,'Fin Forecast'!$B$5:$B$355,BE$5)</f>
        <v>108.09</v>
      </c>
      <c r="BF143" s="28">
        <f>SUMIFS('Fin Forecast'!$J$5:$J$355,'Fin Forecast'!$A$5:$A$355,$F143,'Fin Forecast'!$C$5:$C$355,BF$5)</f>
        <v>13120</v>
      </c>
      <c r="BG143" s="28">
        <f>SUMIFS('Fin Forecast'!$J$5:$J$355,'Fin Forecast'!$A$5:$A$355,$F143,'Fin Forecast'!$B$5:$B$355,BG$5)</f>
        <v>1.5820545500858501</v>
      </c>
      <c r="BH143" s="28">
        <f>SUMIFS('Fin Forecast'!$J$5:$J$355,'Fin Forecast'!$A$5:$A$355,$F143,'Fin Forecast'!$B$5:$B$355,BH$5)</f>
        <v>1180.1592837875901</v>
      </c>
      <c r="BI143" s="28">
        <f>SUMIFS('Fin Forecast'!$J$5:$J$355,'Fin Forecast'!$A$5:$A$355,$F143,'Fin Forecast'!$B$5:$B$355,BI$5)</f>
        <v>0</v>
      </c>
      <c r="BJ143" s="28">
        <f>SUMIFS('Fin Forecast'!$J$5:$J$355,'Fin Forecast'!$A$5:$A$355,$F143,'Fin Forecast'!$B$5:$B$355,BJ$5)</f>
        <v>494.793404272994</v>
      </c>
      <c r="BK143" s="28">
        <f>SUMIFS('Fin Forecast'!$J$5:$J$355,'Fin Forecast'!$A$5:$A$355,$F143,'Fin Forecast'!$B$5:$B$355,BK$5)</f>
        <v>0</v>
      </c>
      <c r="BL143" s="28">
        <f>SUMIFS('Fin Forecast'!$J$5:$J$355,'Fin Forecast'!$A$5:$A$355,$F143,'Fin Forecast'!$B$5:$B$355,BL$5)</f>
        <v>0</v>
      </c>
      <c r="BM143" s="42">
        <f t="shared" si="246"/>
        <v>0</v>
      </c>
      <c r="BN143" s="42">
        <f t="shared" si="247"/>
        <v>0</v>
      </c>
    </row>
    <row r="144" spans="1:66" x14ac:dyDescent="0.25">
      <c r="A144"/>
      <c r="C144" s="307">
        <f t="shared" si="248"/>
        <v>44197</v>
      </c>
      <c r="D144" s="408" t="str">
        <f t="shared" si="233"/>
        <v>871</v>
      </c>
      <c r="E144" s="405" t="s">
        <v>565</v>
      </c>
      <c r="F144" s="405" t="s">
        <v>555</v>
      </c>
      <c r="G144" s="405" t="str">
        <f>VLOOKUP(E144,'Retail Rates'!$B$7:$D$40,3,FALSE)</f>
        <v>Substitute Gas Sales Service-Industrial Opt In</v>
      </c>
      <c r="H144" s="20">
        <f>SUMIF('Forecasted Customer Cts'!$D$5:$D$28,$F144,'Forecasted Customer Cts'!$R$5:$R$28)</f>
        <v>0</v>
      </c>
      <c r="I144" s="20">
        <v>0</v>
      </c>
      <c r="J144" s="20">
        <v>0</v>
      </c>
      <c r="K144" s="20">
        <v>0</v>
      </c>
      <c r="L144" s="20">
        <f>SUMIFS('Fin Forecast'!J2:J501,'Fin Forecast'!A2:A501,'Mar20-Aug20 Billed-RETAIL'!F144,'Fin Forecast'!B2:B501,L6)/V144</f>
        <v>0</v>
      </c>
      <c r="M144" s="20">
        <f>SUMIF('Forecasted Calendar Month Usage'!$D$5:$D$32,$F144,'Forecasted Calendar Month Usage'!$R$5:$R$32)</f>
        <v>0</v>
      </c>
      <c r="N144" s="20">
        <v>0</v>
      </c>
      <c r="O144" s="20">
        <f>SUMIFS('Fin Forecast'!M2:M501,'Fin Forecast'!D2:D501,'Mar20-Aug20 Billed-RETAIL'!F144,'Fin Forecast'!E2:E501,O6)/V144</f>
        <v>0</v>
      </c>
      <c r="P144" s="20">
        <v>0</v>
      </c>
      <c r="Q144" s="20">
        <v>0</v>
      </c>
      <c r="R144" s="21">
        <f>VLOOKUP($E144,'Retail Rates'!$B$7:$P$40,4,FALSE)</f>
        <v>750</v>
      </c>
      <c r="S144" s="21">
        <f>VLOOKUP($E144,'Retail Rates'!$B$7:$P$40,5,FALSE)</f>
        <v>0</v>
      </c>
      <c r="T144" s="22">
        <f>VLOOKUP($E144,'Retail Rates'!$B$7:$P$40,8,FALSE)</f>
        <v>2.9919999999999995E-2</v>
      </c>
      <c r="U144" s="22">
        <f>VLOOKUP($E144,'Retail Rates'!$B$7:$P$40,9,FALSE)</f>
        <v>0</v>
      </c>
      <c r="V144" s="22">
        <f>VLOOKUP($E144,'Retail Rates'!$B$7:$P$40,14,FALSE)</f>
        <v>1.0900000000000001</v>
      </c>
      <c r="W144" s="22">
        <f>VLOOKUP($E144,'Retail Rates'!$B$7:$P$40,10,FALSE)</f>
        <v>0.29919999999999997</v>
      </c>
      <c r="X144" s="22">
        <f>VLOOKUP($E144,'Retail Rates'!$B$7:$P$40,11,FALSE)</f>
        <v>0</v>
      </c>
      <c r="Y144" s="22">
        <f>VLOOKUP($E144,'Retail Rates'!$B$7:$P$40,15,FALSE)</f>
        <v>10.9</v>
      </c>
      <c r="Z144" s="22">
        <v>0</v>
      </c>
      <c r="AA144" s="411">
        <f>(+H144*R144)</f>
        <v>0</v>
      </c>
      <c r="AB144" s="411">
        <f>+I144*S144</f>
        <v>0</v>
      </c>
      <c r="AC144" s="411">
        <f t="shared" si="249"/>
        <v>0</v>
      </c>
      <c r="AD144" s="411">
        <f t="shared" si="234"/>
        <v>0</v>
      </c>
      <c r="AE144" s="411">
        <f t="shared" si="231"/>
        <v>0</v>
      </c>
      <c r="AF144" s="41">
        <v>0</v>
      </c>
      <c r="AG144" s="41">
        <v>0</v>
      </c>
      <c r="AH144" s="33">
        <v>0</v>
      </c>
      <c r="AI144" s="33">
        <v>0</v>
      </c>
      <c r="AJ144" s="41">
        <v>0</v>
      </c>
      <c r="AK144" s="41">
        <v>0</v>
      </c>
      <c r="AL144" s="33">
        <v>0</v>
      </c>
      <c r="AM144" s="33">
        <v>0</v>
      </c>
      <c r="AN144" s="41">
        <v>0</v>
      </c>
      <c r="AO144" s="33">
        <v>0</v>
      </c>
      <c r="AP144" s="411">
        <f t="shared" si="235"/>
        <v>0</v>
      </c>
      <c r="AQ144" s="411">
        <f t="shared" si="236"/>
        <v>0</v>
      </c>
      <c r="AR144" s="411">
        <f t="shared" si="237"/>
        <v>0</v>
      </c>
      <c r="AS144" s="411">
        <f t="shared" si="238"/>
        <v>0</v>
      </c>
      <c r="AT144" s="411">
        <f t="shared" si="239"/>
        <v>0</v>
      </c>
      <c r="AU144" s="411">
        <f t="shared" si="240"/>
        <v>0</v>
      </c>
      <c r="AV144" s="28">
        <f t="shared" si="241"/>
        <v>0</v>
      </c>
      <c r="AW144" s="28">
        <f t="shared" si="242"/>
        <v>0</v>
      </c>
      <c r="AX144" s="28">
        <f t="shared" si="243"/>
        <v>0</v>
      </c>
      <c r="AY144" s="28">
        <f t="shared" si="244"/>
        <v>0</v>
      </c>
      <c r="AZ144" s="28">
        <f t="shared" si="244"/>
        <v>0</v>
      </c>
      <c r="BA144" s="28">
        <f t="shared" si="232"/>
        <v>0</v>
      </c>
      <c r="BB144" s="28">
        <f t="shared" si="171"/>
        <v>0</v>
      </c>
      <c r="BC144" s="29">
        <f t="shared" si="245"/>
        <v>0</v>
      </c>
      <c r="BD144" s="28">
        <f>SUMIFS('Fin Forecast'!$J$5:$J$355,'Fin Forecast'!$A$5:$A$355,$F144,'Fin Forecast'!$B$5:$B$355,BD$5)</f>
        <v>0</v>
      </c>
      <c r="BE144" s="28">
        <f>SUMIFS('Fin Forecast'!$J$5:$J$355,'Fin Forecast'!$A$5:$A$355,$F144,'Fin Forecast'!$B$5:$B$355,BE$5)</f>
        <v>0</v>
      </c>
      <c r="BF144" s="28">
        <f>SUMIFS('Fin Forecast'!$J$5:$J$355,'Fin Forecast'!$A$5:$A$355,$F144,'Fin Forecast'!$C$5:$C$355,BF$5)</f>
        <v>0</v>
      </c>
      <c r="BG144" s="28">
        <f>SUMIFS('Fin Forecast'!$J$5:$J$355,'Fin Forecast'!$A$5:$A$355,$F144,'Fin Forecast'!$B$5:$B$355,BG$5)</f>
        <v>0</v>
      </c>
      <c r="BH144" s="28">
        <f>SUMIFS('Fin Forecast'!$J$5:$J$355,'Fin Forecast'!$A$5:$A$355,$F144,'Fin Forecast'!$B$5:$B$355,BH$5)</f>
        <v>0</v>
      </c>
      <c r="BI144" s="28">
        <f>SUMIFS('Fin Forecast'!$J$5:$J$355,'Fin Forecast'!$A$5:$A$355,$F144,'Fin Forecast'!$B$5:$B$355,BI$5)</f>
        <v>0</v>
      </c>
      <c r="BJ144" s="28">
        <f>SUMIFS('Fin Forecast'!$J$5:$J$355,'Fin Forecast'!$A$5:$A$355,$F144,'Fin Forecast'!$B$5:$B$355,BJ$5)</f>
        <v>0</v>
      </c>
      <c r="BK144" s="28">
        <f>SUMIFS('Fin Forecast'!$J$5:$J$355,'Fin Forecast'!$A$5:$A$355,$F144,'Fin Forecast'!$B$5:$B$355,BK$5)</f>
        <v>0</v>
      </c>
      <c r="BL144" s="28">
        <f>SUMIFS('Fin Forecast'!$J$5:$J$355,'Fin Forecast'!$A$5:$A$355,$F144,'Fin Forecast'!$B$5:$B$355,BL$5)</f>
        <v>0</v>
      </c>
      <c r="BM144" s="42">
        <f t="shared" si="246"/>
        <v>0</v>
      </c>
      <c r="BN144" s="42">
        <f t="shared" si="247"/>
        <v>0</v>
      </c>
    </row>
    <row r="145" spans="1:66" x14ac:dyDescent="0.25">
      <c r="A145"/>
      <c r="C145" s="307">
        <f t="shared" si="248"/>
        <v>44197</v>
      </c>
      <c r="D145" s="408" t="str">
        <f t="shared" si="233"/>
        <v>875</v>
      </c>
      <c r="E145" s="405" t="str">
        <f>'Retail Rates'!$B$21</f>
        <v>LGCMG875</v>
      </c>
      <c r="F145" s="405" t="s">
        <v>428</v>
      </c>
      <c r="G145" s="405" t="str">
        <f>VLOOKUP(E145,'Retail Rates'!$B$7:$D$40,3,FALSE)</f>
        <v>Distributed Generation Gas Service, Commercial</v>
      </c>
      <c r="H145" s="20">
        <f>SUMIF('Forecasted Customer Cts'!$D$5:$D$28,$F145,'Forecasted Customer Cts'!$R$5:$R$28)</f>
        <v>2</v>
      </c>
      <c r="I145" s="20">
        <v>0</v>
      </c>
      <c r="J145" s="20">
        <f>SUMIF('Forecasted Calendar Month Usage'!$D$5:$D$32,$F145,'Forecasted Calendar Month Usage'!$R$5:$R$32)*10</f>
        <v>7</v>
      </c>
      <c r="K145" s="20">
        <v>0</v>
      </c>
      <c r="L145" s="20">
        <f>SUMIFS('Fin Forecast'!J3:J502,'Fin Forecast'!A3:A502,'Mar20-Aug20 Billed-RETAIL'!F145,'Fin Forecast'!B3:B502,L5)*10</f>
        <v>1000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1">
        <f>VLOOKUP($E145,'Retail Rates'!$B$7:$P$40,4,FALSE)</f>
        <v>165</v>
      </c>
      <c r="S145" s="21">
        <f>VLOOKUP($E145,'Retail Rates'!$B$7:$P$40,5,FALSE)</f>
        <v>750</v>
      </c>
      <c r="T145" s="22">
        <f>VLOOKUP($E145,'Retail Rates'!$B$7:$P$40,8,FALSE)</f>
        <v>2.9919999999999999E-2</v>
      </c>
      <c r="U145" s="22">
        <f>VLOOKUP($E145,'Retail Rates'!$B$7:$P$40,9,FALSE)</f>
        <v>0</v>
      </c>
      <c r="V145" s="22">
        <f>VLOOKUP($E145,'Retail Rates'!$B$7:$P$40,14,FALSE)</f>
        <v>1.08978</v>
      </c>
      <c r="W145" s="22">
        <f>VLOOKUP($E145,'Retail Rates'!$B$7:$P$40,10,FALSE)</f>
        <v>0.29919999999999997</v>
      </c>
      <c r="X145" s="22">
        <f>VLOOKUP($E145,'Retail Rates'!$B$7:$P$40,11,FALSE)</f>
        <v>0</v>
      </c>
      <c r="Y145" s="22">
        <f>VLOOKUP($E145,'Retail Rates'!$B$7:$P$40,15,FALSE)</f>
        <v>10.8978</v>
      </c>
      <c r="Z145" s="22">
        <v>0</v>
      </c>
      <c r="AA145" s="411">
        <f>(+H145*R145)</f>
        <v>330</v>
      </c>
      <c r="AB145" s="411">
        <f>+I145*S145</f>
        <v>0</v>
      </c>
      <c r="AC145" s="411">
        <f t="shared" si="234"/>
        <v>0.20943999999999999</v>
      </c>
      <c r="AD145" s="411">
        <f t="shared" si="234"/>
        <v>0</v>
      </c>
      <c r="AE145" s="411">
        <f t="shared" si="231"/>
        <v>1089.78</v>
      </c>
      <c r="AF145" s="41">
        <v>0</v>
      </c>
      <c r="AG145" s="41">
        <v>0</v>
      </c>
      <c r="AH145" s="33">
        <v>0</v>
      </c>
      <c r="AI145" s="33">
        <v>0</v>
      </c>
      <c r="AJ145" s="41">
        <v>0</v>
      </c>
      <c r="AK145" s="41">
        <v>0</v>
      </c>
      <c r="AL145" s="33">
        <v>0</v>
      </c>
      <c r="AM145" s="33">
        <v>0</v>
      </c>
      <c r="AN145" s="41">
        <v>0</v>
      </c>
      <c r="AO145" s="33">
        <v>0</v>
      </c>
      <c r="AP145" s="411">
        <f t="shared" si="235"/>
        <v>330</v>
      </c>
      <c r="AQ145" s="411">
        <f t="shared" si="236"/>
        <v>0</v>
      </c>
      <c r="AR145" s="411">
        <f t="shared" si="237"/>
        <v>0.20943999999999999</v>
      </c>
      <c r="AS145" s="411">
        <f t="shared" si="238"/>
        <v>0</v>
      </c>
      <c r="AT145" s="411">
        <f t="shared" si="239"/>
        <v>1089.78</v>
      </c>
      <c r="AU145" s="411">
        <f t="shared" si="240"/>
        <v>0</v>
      </c>
      <c r="AV145" s="28">
        <f t="shared" si="241"/>
        <v>0</v>
      </c>
      <c r="AW145" s="28">
        <f t="shared" si="242"/>
        <v>2.75370499550437</v>
      </c>
      <c r="AX145" s="28">
        <f t="shared" si="243"/>
        <v>0</v>
      </c>
      <c r="AY145" s="28">
        <f t="shared" si="244"/>
        <v>104.445360999678</v>
      </c>
      <c r="AZ145" s="28">
        <f t="shared" si="244"/>
        <v>0</v>
      </c>
      <c r="BA145" s="28">
        <f t="shared" si="232"/>
        <v>1527.19</v>
      </c>
      <c r="BB145" s="28">
        <f t="shared" si="171"/>
        <v>1527.1885059951824</v>
      </c>
      <c r="BC145" s="29">
        <f>IF(BB145=0,0,ROUND(BB145/BA145,5))</f>
        <v>1</v>
      </c>
      <c r="BD145" s="28">
        <f>SUMIFS('Fin Forecast'!$J$5:$J$355,'Fin Forecast'!$A$5:$A$355,$F145,'Fin Forecast'!$B$5:$B$355,BD$5)</f>
        <v>330</v>
      </c>
      <c r="BE145" s="28">
        <f>SUMIFS('Fin Forecast'!$J$5:$J$355,'Fin Forecast'!$A$5:$A$355,$F145,'Fin Forecast'!$B$5:$B$355,BE$5)</f>
        <v>0.20943999999999999</v>
      </c>
      <c r="BF145" s="28">
        <f>SUMIFS('Fin Forecast'!$J$5:$J$355,'Fin Forecast'!$A$5:$A$355,$F145,'Fin Forecast'!$C$5:$C$355,BF$5)</f>
        <v>1089.78</v>
      </c>
      <c r="BG145" s="28">
        <f>SUMIFS('Fin Forecast'!$J$5:$J$355,'Fin Forecast'!$A$5:$A$355,$F145,'Fin Forecast'!$B$5:$B$355,BG$5)</f>
        <v>0</v>
      </c>
      <c r="BH145" s="28">
        <f>SUMIFS('Fin Forecast'!$J$5:$J$355,'Fin Forecast'!$A$5:$A$355,$F145,'Fin Forecast'!$B$5:$B$355,BH$5)</f>
        <v>2.75370499550437</v>
      </c>
      <c r="BI145" s="28">
        <f>SUMIFS('Fin Forecast'!$J$5:$J$355,'Fin Forecast'!$A$5:$A$355,$F145,'Fin Forecast'!$B$5:$B$355,BI$5)</f>
        <v>0</v>
      </c>
      <c r="BJ145" s="28">
        <f>SUMIFS('Fin Forecast'!$J$5:$J$355,'Fin Forecast'!$A$5:$A$355,$F145,'Fin Forecast'!$B$5:$B$355,BJ$5)</f>
        <v>104.445360999678</v>
      </c>
      <c r="BK145" s="28">
        <f>SUMIFS('Fin Forecast'!$J$5:$J$355,'Fin Forecast'!$A$5:$A$355,$F145,'Fin Forecast'!$B$5:$B$355,BK$5)</f>
        <v>0</v>
      </c>
      <c r="BL145" s="28">
        <f>SUMIFS('Fin Forecast'!$J$5:$J$355,'Fin Forecast'!$A$5:$A$355,$F145,'Fin Forecast'!$B$5:$B$355,BL$5)</f>
        <v>0</v>
      </c>
      <c r="BM145" s="42">
        <f t="shared" si="246"/>
        <v>0</v>
      </c>
      <c r="BN145" s="42">
        <f t="shared" si="247"/>
        <v>0</v>
      </c>
    </row>
    <row r="146" spans="1:66" x14ac:dyDescent="0.25">
      <c r="A146"/>
      <c r="C146" s="307">
        <f t="shared" si="248"/>
        <v>44197</v>
      </c>
      <c r="D146" s="408">
        <v>996</v>
      </c>
      <c r="E146" s="405" t="s">
        <v>32</v>
      </c>
      <c r="F146" s="405" t="s">
        <v>495</v>
      </c>
      <c r="G146" s="405" t="s">
        <v>624</v>
      </c>
      <c r="H146" s="20">
        <f>SUMIF('Forecasted Customer Cts'!$D$5:$D$28,$F146,'Forecasted Customer Cts'!$R$5:$R$28)</f>
        <v>1</v>
      </c>
      <c r="I146" s="20">
        <v>0</v>
      </c>
      <c r="J146" s="20">
        <f>SUMIF('Forecasted Calendar Month Usage'!$D$5:$D$32,$F146,'Forecasted Calendar Month Usage'!$R$5:$R$32)*10</f>
        <v>243493</v>
      </c>
      <c r="K146" s="20">
        <v>0</v>
      </c>
      <c r="L146" s="20">
        <f>SUMIFS('Fin Forecast'!J4:J503,'Fin Forecast'!A4:A503,'Mar20-Aug20 Billed-RETAIL'!F146,'Fin Forecast'!B4:B503,L5)*10</f>
        <v>165600.00183523301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1">
        <f>VLOOKUP($E146,'Retail Rates'!$B$7:$P$40,4,FALSE)</f>
        <v>750</v>
      </c>
      <c r="S146" s="21">
        <f>VLOOKUP($E146,'Retail Rates'!$B$7:$P$40,5,FALSE)</f>
        <v>0</v>
      </c>
      <c r="T146" s="22">
        <f>VLOOKUP($E146,'Retail Rates'!$B$7:$P$40,8,FALSE)</f>
        <v>2.9920000000000002E-2</v>
      </c>
      <c r="U146" s="22">
        <f>VLOOKUP($E146,'Retail Rates'!$B$7:$P$40,9,FALSE)</f>
        <v>0</v>
      </c>
      <c r="V146" s="22">
        <f>VLOOKUP($E146,'Retail Rates'!$B$7:$P$40,14,FALSE)</f>
        <v>1.08978</v>
      </c>
      <c r="W146" s="22">
        <f>VLOOKUP($E146,'Retail Rates'!$B$7:$P$40,10,FALSE)</f>
        <v>0.29920000000000002</v>
      </c>
      <c r="X146" s="22">
        <f>VLOOKUP($E146,'Retail Rates'!$B$7:$P$40,11,FALSE)</f>
        <v>0</v>
      </c>
      <c r="Y146" s="22">
        <f>VLOOKUP($E146,'Retail Rates'!$B$7:$P$40,15,FALSE)</f>
        <v>10.8978</v>
      </c>
      <c r="Z146" s="22">
        <v>0</v>
      </c>
      <c r="AA146" s="411">
        <f>(+H146*R146)</f>
        <v>750</v>
      </c>
      <c r="AB146" s="411">
        <f>+I146*S146</f>
        <v>0</v>
      </c>
      <c r="AC146" s="411">
        <f t="shared" si="234"/>
        <v>7285.3105600000008</v>
      </c>
      <c r="AD146" s="411">
        <f t="shared" si="234"/>
        <v>0</v>
      </c>
      <c r="AE146" s="411">
        <f t="shared" si="231"/>
        <v>180467.57000000021</v>
      </c>
      <c r="AF146" s="41">
        <v>0</v>
      </c>
      <c r="AG146" s="41">
        <v>0</v>
      </c>
      <c r="AH146" s="33">
        <v>0</v>
      </c>
      <c r="AI146" s="33">
        <v>0</v>
      </c>
      <c r="AJ146" s="41">
        <v>0</v>
      </c>
      <c r="AK146" s="41">
        <v>0</v>
      </c>
      <c r="AL146" s="33">
        <v>0</v>
      </c>
      <c r="AM146" s="33">
        <v>0</v>
      </c>
      <c r="AN146" s="41">
        <v>0</v>
      </c>
      <c r="AO146" s="33">
        <v>0</v>
      </c>
      <c r="AP146" s="411">
        <f t="shared" si="235"/>
        <v>750</v>
      </c>
      <c r="AQ146" s="411">
        <f t="shared" si="236"/>
        <v>0</v>
      </c>
      <c r="AR146" s="411">
        <f t="shared" si="237"/>
        <v>7285.3105600000008</v>
      </c>
      <c r="AS146" s="411">
        <f t="shared" si="238"/>
        <v>0</v>
      </c>
      <c r="AT146" s="411">
        <f t="shared" si="239"/>
        <v>180467.57000000021</v>
      </c>
      <c r="AU146" s="411">
        <f t="shared" si="240"/>
        <v>0</v>
      </c>
      <c r="AV146" s="28">
        <f t="shared" si="241"/>
        <v>0</v>
      </c>
      <c r="AW146" s="28">
        <f t="shared" si="242"/>
        <v>95786.841495763903</v>
      </c>
      <c r="AX146" s="28">
        <f t="shared" si="243"/>
        <v>0</v>
      </c>
      <c r="AY146" s="28">
        <f t="shared" si="244"/>
        <v>0</v>
      </c>
      <c r="AZ146" s="28">
        <f t="shared" si="244"/>
        <v>0</v>
      </c>
      <c r="BA146" s="28">
        <f t="shared" si="232"/>
        <v>284289.71999999997</v>
      </c>
      <c r="BB146" s="28">
        <f t="shared" si="171"/>
        <v>284289.72205576394</v>
      </c>
      <c r="BC146" s="29">
        <f t="shared" si="245"/>
        <v>1</v>
      </c>
      <c r="BD146" s="28">
        <f>SUMIFS('Fin Forecast'!$J$5:$J$3550,'Fin Forecast'!$A$5:$A$3550,$F146,'Fin Forecast'!$B$5:$B$3550,BD$5)</f>
        <v>750</v>
      </c>
      <c r="BE146" s="28">
        <f>SUMIFS('Fin Forecast'!$J$5:$J$3550,'Fin Forecast'!$A$5:$A$3550,$F146,'Fin Forecast'!$B$5:$B$3550,BE$5)</f>
        <v>7285.3105599999999</v>
      </c>
      <c r="BF146" s="28">
        <f>SUMIFS('Fin Forecast'!$J$5:$J$500,'Fin Forecast'!$A$5:$A$500,$F146,'Fin Forecast'!$C$5:$C$500,BF$5)</f>
        <v>180467.57</v>
      </c>
      <c r="BG146" s="28">
        <f>SUMIFS('Fin Forecast'!$J$5:$J$3550,'Fin Forecast'!$A$5:$A$3550,$F146,'Fin Forecast'!$B$5:$B$3550,BG$5)</f>
        <v>0</v>
      </c>
      <c r="BH146" s="28">
        <f>SUMIFS('Fin Forecast'!$J$5:$J$3550,'Fin Forecast'!$A$5:$A$3550,$F146,'Fin Forecast'!$B$5:$B$3550,BH$5)</f>
        <v>95786.841495763903</v>
      </c>
      <c r="BI146" s="28">
        <f>SUMIFS('Fin Forecast'!$J$5:$J$3550,'Fin Forecast'!$A$5:$A$3550,$F146,'Fin Forecast'!$B$5:$B$3550,BI$5)</f>
        <v>0</v>
      </c>
      <c r="BJ146" s="28">
        <f>SUMIFS('Fin Forecast'!$J$5:$J$3550,'Fin Forecast'!$A$5:$A$3550,$F146,'Fin Forecast'!$B$5:$B$3550,BJ$5)</f>
        <v>0</v>
      </c>
      <c r="BK146" s="28">
        <f>SUMIFS('Fin Forecast'!$J$5:$J$3550,'Fin Forecast'!$A$5:$A$3550,$F146,'Fin Forecast'!$B$5:$B$3550,BK$5)</f>
        <v>0</v>
      </c>
      <c r="BL146" s="28">
        <f>SUMIFS('Fin Forecast'!$J$5:$J$3550,'Fin Forecast'!$A$5:$A$3550,$F146,'Fin Forecast'!$B$5:$B$3550,BL$5)</f>
        <v>0</v>
      </c>
      <c r="BM146" s="42">
        <f t="shared" si="246"/>
        <v>0</v>
      </c>
      <c r="BN146" s="42">
        <f t="shared" si="247"/>
        <v>0</v>
      </c>
    </row>
    <row r="147" spans="1:66" s="279" customFormat="1" x14ac:dyDescent="0.25">
      <c r="A147"/>
      <c r="B147"/>
      <c r="C147" s="308"/>
      <c r="D147" s="308"/>
      <c r="E147" s="280"/>
      <c r="F147" s="280"/>
      <c r="G147" s="280"/>
      <c r="R147" s="282"/>
      <c r="S147" s="282"/>
      <c r="T147" s="283"/>
      <c r="U147" s="283"/>
      <c r="V147" s="283"/>
      <c r="W147" s="283"/>
      <c r="X147" s="283"/>
      <c r="Y147" s="283"/>
      <c r="Z147" s="283"/>
      <c r="AA147" s="284"/>
      <c r="AB147" s="284"/>
      <c r="AC147" s="284"/>
      <c r="AD147" s="284"/>
      <c r="AE147" s="284"/>
      <c r="AF147" s="285"/>
      <c r="AG147" s="285"/>
      <c r="AH147" s="284"/>
      <c r="AI147" s="284"/>
      <c r="AJ147" s="284"/>
      <c r="AK147" s="284"/>
      <c r="AL147" s="284"/>
      <c r="AM147" s="284"/>
      <c r="AN147" s="284"/>
      <c r="AO147" s="284"/>
      <c r="AP147" s="297"/>
      <c r="AQ147" s="297"/>
      <c r="AR147" s="297"/>
      <c r="AS147" s="297"/>
      <c r="AT147" s="297"/>
      <c r="AU147" s="297"/>
      <c r="AV147" s="284"/>
      <c r="AW147" s="284"/>
      <c r="AX147" s="284"/>
      <c r="AY147" s="284"/>
      <c r="AZ147" s="284"/>
      <c r="BA147" s="284"/>
      <c r="BB147" s="284"/>
      <c r="BC147" s="286"/>
      <c r="BD147" s="297"/>
      <c r="BE147" s="297"/>
      <c r="BF147" s="297"/>
      <c r="BG147" s="297"/>
      <c r="BH147" s="297"/>
      <c r="BI147" s="297"/>
      <c r="BJ147" s="297"/>
      <c r="BM147" s="284"/>
      <c r="BN147" s="284"/>
    </row>
    <row r="148" spans="1:66" x14ac:dyDescent="0.25">
      <c r="A148"/>
      <c r="C148" s="307">
        <f>EDATE(C139,1)</f>
        <v>44228</v>
      </c>
      <c r="D148" s="408" t="str">
        <f>MID(E148,6,3)</f>
        <v>811</v>
      </c>
      <c r="E148" s="405" t="str">
        <f>'Retail Rates'!$B$7</f>
        <v>LGRSG811</v>
      </c>
      <c r="F148" s="405" t="s">
        <v>62</v>
      </c>
      <c r="G148" s="405" t="str">
        <f>VLOOKUP(E148,'Retail Rates'!$B$7:$D$40,3,FALSE)</f>
        <v>Residential Gas Service</v>
      </c>
      <c r="H148" s="20">
        <f>SUMIF('Forecasted Customer Cts'!$D$5:$D$28,$F148,'Forecasted Customer Cts'!$S$5:$S$28)</f>
        <v>302059</v>
      </c>
      <c r="I148" s="20">
        <v>0</v>
      </c>
      <c r="J148" s="20">
        <f>SUMIF('Forecasted Calendar Month Usage'!$D$5:$D$32,$F148,'Forecasted Calendar Month Usage'!$S$5:$S$32)*10</f>
        <v>32448481.916121002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f>SUMIFS('Fin Forecast'!K1:K500,'Fin Forecast'!A1:A500,'Mar20-Aug20 Billed-RETAIL'!F148,'Fin Forecast'!B1:B500,P5)/R148</f>
        <v>8457652</v>
      </c>
      <c r="Q148" s="20">
        <v>0</v>
      </c>
      <c r="R148" s="21">
        <f>VLOOKUP($E148,'Retail Rates'!$B$7:$P$40,4,FALSE)</f>
        <v>0.65</v>
      </c>
      <c r="S148" s="21">
        <f>VLOOKUP($E148,'Retail Rates'!$B$7:$P$40,5,FALSE)</f>
        <v>0</v>
      </c>
      <c r="T148" s="22">
        <f>VLOOKUP($E148,'Retail Rates'!$B$7:$P$40,8,FALSE)</f>
        <v>0.36781999999999998</v>
      </c>
      <c r="U148" s="22">
        <f>VLOOKUP($E148,'Retail Rates'!$B$7:$P$40,9,FALSE)</f>
        <v>0</v>
      </c>
      <c r="V148" s="22">
        <f>VLOOKUP($E148,'Retail Rates'!$B$7:$P$40,14,FALSE)</f>
        <v>0</v>
      </c>
      <c r="W148" s="22">
        <f>VLOOKUP($E148,'Retail Rates'!$B$7:$P$40,10,FALSE)</f>
        <v>3.6781999999999999</v>
      </c>
      <c r="X148" s="22">
        <f>VLOOKUP($E148,'Retail Rates'!$B$7:$P$40,11,FALSE)</f>
        <v>0</v>
      </c>
      <c r="Y148" s="22">
        <f>VLOOKUP($E148,'Retail Rates'!$B$7:$P$40,15,FALSE)</f>
        <v>0</v>
      </c>
      <c r="Z148" s="22">
        <v>0</v>
      </c>
      <c r="AA148" s="411">
        <f>(+P148*R148)</f>
        <v>5497473.7999999998</v>
      </c>
      <c r="AB148" s="411">
        <f>+I148*S148</f>
        <v>0</v>
      </c>
      <c r="AC148" s="411">
        <f>+J148*T148</f>
        <v>11935200.618387626</v>
      </c>
      <c r="AD148" s="411">
        <f>+K148*U148</f>
        <v>0</v>
      </c>
      <c r="AE148" s="23">
        <f t="shared" ref="AE148:AE153" si="250">L148*V148</f>
        <v>0</v>
      </c>
      <c r="AF148" s="41">
        <v>0</v>
      </c>
      <c r="AG148" s="41">
        <v>0</v>
      </c>
      <c r="AH148" s="33">
        <v>0</v>
      </c>
      <c r="AI148" s="33">
        <v>0</v>
      </c>
      <c r="AJ148" s="41">
        <v>0</v>
      </c>
      <c r="AK148" s="41">
        <v>0</v>
      </c>
      <c r="AL148" s="33">
        <v>0</v>
      </c>
      <c r="AM148" s="33">
        <v>0</v>
      </c>
      <c r="AN148" s="41">
        <v>0</v>
      </c>
      <c r="AO148" s="33">
        <v>0</v>
      </c>
      <c r="AP148" s="411">
        <f>AA148+AH148</f>
        <v>5497473.7999999998</v>
      </c>
      <c r="AQ148" s="411">
        <f>AB148+AI148</f>
        <v>0</v>
      </c>
      <c r="AR148" s="411">
        <f>AC148+AL148</f>
        <v>11935200.618387626</v>
      </c>
      <c r="AS148" s="411">
        <f>AD148+AM148</f>
        <v>0</v>
      </c>
      <c r="AT148" s="411">
        <f>AE148+AO148</f>
        <v>0</v>
      </c>
      <c r="AU148" s="411">
        <f>BL148</f>
        <v>0</v>
      </c>
      <c r="AV148" s="28">
        <f>BG148</f>
        <v>21923.1384931102</v>
      </c>
      <c r="AW148" s="28">
        <f>BH148</f>
        <v>12775822.041276</v>
      </c>
      <c r="AX148" s="28">
        <f>BI148</f>
        <v>0</v>
      </c>
      <c r="AY148" s="28">
        <f>BJ148</f>
        <v>1386065.03442958</v>
      </c>
      <c r="AZ148" s="28">
        <f>BK148</f>
        <v>0</v>
      </c>
      <c r="BA148" s="28">
        <f t="shared" si="232"/>
        <v>31616484.629999999</v>
      </c>
      <c r="BB148" s="28">
        <f t="shared" si="171"/>
        <v>31616484.632586289</v>
      </c>
      <c r="BC148" s="29">
        <f>IF(BB148=0,0,ROUND(BB148/BA148,6))</f>
        <v>1</v>
      </c>
      <c r="BD148" s="28">
        <f>SUMIFS('Fin Forecast'!$K$5:$K$355,'Fin Forecast'!$A$5:$A$355,$F148,'Fin Forecast'!$B$5:$B$355,BD$5)</f>
        <v>5497473.7999999998</v>
      </c>
      <c r="BE148" s="28">
        <f>SUMIFS('Fin Forecast'!$K$5:$K$355,'Fin Forecast'!$A$5:$A$355,$F148,'Fin Forecast'!$B$5:$B$355,BE$5)</f>
        <v>11935200.6183876</v>
      </c>
      <c r="BF148" s="28">
        <f>SUMIFS('Fin Forecast'!$K$5:$K$355,'Fin Forecast'!$A$5:$A$355,$F148,'Fin Forecast'!$C$5:$C$355,BF$5)</f>
        <v>0</v>
      </c>
      <c r="BG148" s="28">
        <f>SUMIFS('Fin Forecast'!$K$5:$K$355,'Fin Forecast'!$A$5:$A$355,$F148,'Fin Forecast'!$B$5:$B$355,BG$5)</f>
        <v>21923.1384931102</v>
      </c>
      <c r="BH148" s="28">
        <f>SUMIFS('Fin Forecast'!$K$5:$K$355,'Fin Forecast'!$A$5:$A$355,$F148,'Fin Forecast'!$B$5:$B$355,BH$5)</f>
        <v>12775822.041276</v>
      </c>
      <c r="BI148" s="28">
        <f>SUMIFS('Fin Forecast'!$K$5:$K$355,'Fin Forecast'!$A$5:$A$355,$F148,'Fin Forecast'!$B$5:$B$355,BI$5)</f>
        <v>0</v>
      </c>
      <c r="BJ148" s="28">
        <f>SUMIFS('Fin Forecast'!$K$5:$K$355,'Fin Forecast'!$A$5:$A$355,$F148,'Fin Forecast'!$B$5:$B$355,BJ$5)</f>
        <v>1386065.03442958</v>
      </c>
      <c r="BK148" s="28">
        <f>SUMIFS('Fin Forecast'!$K$5:$K$355,'Fin Forecast'!$A$5:$A$355,$F148,'Fin Forecast'!$B$5:$B$355,BK$5)</f>
        <v>0</v>
      </c>
      <c r="BL148" s="28">
        <f>SUMIFS('Fin Forecast'!$K$5:$K$355,'Fin Forecast'!$A$5:$A$355,$F148,'Fin Forecast'!$B$5:$B$355,BL$5)</f>
        <v>0</v>
      </c>
      <c r="BM148" s="42">
        <f>+AP148+AQ148-BD148</f>
        <v>0</v>
      </c>
      <c r="BN148" s="42">
        <f>+AR148+AS148-BE148</f>
        <v>2.6077032089233398E-8</v>
      </c>
    </row>
    <row r="149" spans="1:66" x14ac:dyDescent="0.25">
      <c r="A149"/>
      <c r="C149" s="307">
        <f>$C$148</f>
        <v>44228</v>
      </c>
      <c r="D149" s="408" t="str">
        <f t="shared" ref="D149:D154" si="251">MID(E149,6,3)</f>
        <v>851</v>
      </c>
      <c r="E149" s="405" t="str">
        <f>'Retail Rates'!$B$9</f>
        <v>LGCMG851</v>
      </c>
      <c r="F149" s="405" t="s">
        <v>56</v>
      </c>
      <c r="G149" s="405" t="str">
        <f>VLOOKUP(E149,'Retail Rates'!$B$7:$D$40,3,FALSE)</f>
        <v>Firm Commercial Gas Service</v>
      </c>
      <c r="H149" s="20">
        <f>SUMIF('Forecasted Customer Cts'!$D$5:$D$28,$F149,'Forecasted Customer Cts'!$S$5:$S$28)-I149</f>
        <v>24911</v>
      </c>
      <c r="I149" s="20">
        <f>SUMIFS('Forecasted Customer Cts'!$S$5:$S$28,'Forecasted Customer Cts'!$D$5:$D$28,$F149,'Forecasted Customer Cts'!$C$5:$C$28,$B$104)</f>
        <v>1232</v>
      </c>
      <c r="J149" s="20">
        <f>SUMIF('Forecasted Calendar Month Usage'!$D$5:$D$32,$F149,'Forecasted Calendar Month Usage'!$S$5:$S$32)*10</f>
        <v>16940136.430148635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f>SUMIFS('Fin Forecast'!K1:K500,'Fin Forecast'!A1:A500,'Mar20-Aug20 Billed-RETAIL'!F149,'Fin Forecast'!B1:B500,P5)/R149</f>
        <v>697508</v>
      </c>
      <c r="Q149" s="20">
        <f>SUMIFS('Fin Forecast'!K1:K500,'Fin Forecast'!A1:A500,'Mar20-Aug20 Billed-RETAIL'!F149,'Fin Forecast'!B1:B500,Q5)/S149</f>
        <v>34495.999999999891</v>
      </c>
      <c r="R149" s="21">
        <f>VLOOKUP($E149,'Retail Rates'!$B$7:$P$40,4,FALSE)</f>
        <v>1.97</v>
      </c>
      <c r="S149" s="21">
        <f>VLOOKUP($E149,'Retail Rates'!$B$7:$P$40,5,FALSE)</f>
        <v>9.3699999999999992</v>
      </c>
      <c r="T149" s="22">
        <f>VLOOKUP($E149,'Retail Rates'!$B$7:$P$40,8,FALSE)</f>
        <v>0.30669999999999997</v>
      </c>
      <c r="U149" s="22">
        <f>VLOOKUP($E149,'Retail Rates'!$B$7:$P$40,9,FALSE)</f>
        <v>0.25669999999999998</v>
      </c>
      <c r="V149" s="22">
        <f>VLOOKUP($E149,'Retail Rates'!$B$7:$P$40,14,FALSE)</f>
        <v>0</v>
      </c>
      <c r="W149" s="22">
        <f>VLOOKUP($E149,'Retail Rates'!$B$7:$P$40,10,FALSE)</f>
        <v>3.0669999999999997</v>
      </c>
      <c r="X149" s="22">
        <f>VLOOKUP($E149,'Retail Rates'!$B$7:$P$40,11,FALSE)</f>
        <v>2.5669999999999997</v>
      </c>
      <c r="Y149" s="22">
        <f>VLOOKUP($E149,'Retail Rates'!$B$7:$P$40,15,FALSE)</f>
        <v>0</v>
      </c>
      <c r="Z149" s="22">
        <v>0</v>
      </c>
      <c r="AA149" s="411">
        <f>(+P149*R149)</f>
        <v>1374090.76</v>
      </c>
      <c r="AB149" s="411">
        <f>+Q149*S149</f>
        <v>323227.51999999897</v>
      </c>
      <c r="AC149" s="411">
        <f t="shared" ref="AC149:AD155" si="252">+J149*T149</f>
        <v>5195539.8431265857</v>
      </c>
      <c r="AD149" s="411">
        <f t="shared" si="252"/>
        <v>0</v>
      </c>
      <c r="AE149" s="411">
        <f t="shared" si="250"/>
        <v>0</v>
      </c>
      <c r="AF149" s="41">
        <v>0</v>
      </c>
      <c r="AG149" s="41">
        <v>0</v>
      </c>
      <c r="AH149" s="33">
        <v>0</v>
      </c>
      <c r="AI149" s="33">
        <v>0</v>
      </c>
      <c r="AJ149" s="41">
        <v>0</v>
      </c>
      <c r="AK149" s="41">
        <v>0</v>
      </c>
      <c r="AL149" s="33">
        <v>0</v>
      </c>
      <c r="AM149" s="33">
        <v>0</v>
      </c>
      <c r="AN149" s="41">
        <v>0</v>
      </c>
      <c r="AO149" s="33">
        <v>0</v>
      </c>
      <c r="AP149" s="411">
        <f t="shared" ref="AP149:AP155" si="253">AA149+AH149</f>
        <v>1374090.76</v>
      </c>
      <c r="AQ149" s="411">
        <f t="shared" ref="AQ149:AQ155" si="254">AB149+AI149</f>
        <v>323227.51999999897</v>
      </c>
      <c r="AR149" s="411">
        <f t="shared" ref="AR149:AR155" si="255">AC149+AL149</f>
        <v>5195539.8431265857</v>
      </c>
      <c r="AS149" s="411">
        <f t="shared" ref="AS149:AS155" si="256">AD149+AM149</f>
        <v>0</v>
      </c>
      <c r="AT149" s="411">
        <f t="shared" ref="AT149:AT154" si="257">AE149+AO149</f>
        <v>0</v>
      </c>
      <c r="AU149" s="411">
        <f t="shared" ref="AU149:AU155" si="258">BL149</f>
        <v>0</v>
      </c>
      <c r="AV149" s="28">
        <f t="shared" ref="AV149:AV155" si="259">BG149</f>
        <v>11445.2490569619</v>
      </c>
      <c r="AW149" s="28">
        <f t="shared" ref="AW149:AW155" si="260">BH149</f>
        <v>6669777.9250804503</v>
      </c>
      <c r="AX149" s="28">
        <f t="shared" ref="AX149:AX155" si="261">BI149</f>
        <v>0</v>
      </c>
      <c r="AY149" s="28">
        <f t="shared" ref="AY149:AZ155" si="262">BJ149</f>
        <v>575196.69794125296</v>
      </c>
      <c r="AZ149" s="28">
        <f t="shared" si="262"/>
        <v>0</v>
      </c>
      <c r="BA149" s="28">
        <f t="shared" si="232"/>
        <v>14149278</v>
      </c>
      <c r="BB149" s="28">
        <f t="shared" si="171"/>
        <v>14149277.995205255</v>
      </c>
      <c r="BC149" s="29">
        <f t="shared" ref="BC149:BC155" si="263">IF(BB149=0,0,ROUND(BB149/BA149,6))</f>
        <v>1</v>
      </c>
      <c r="BD149" s="28">
        <f>SUMIFS('Fin Forecast'!$K$5:$K$355,'Fin Forecast'!$A$5:$A$355,$F149,'Fin Forecast'!$B$5:$B$355,BD$5)</f>
        <v>1697318.28</v>
      </c>
      <c r="BE149" s="28">
        <f>SUMIFS('Fin Forecast'!$K$5:$K$355,'Fin Forecast'!$A$5:$A$355,$F149,'Fin Forecast'!$B$5:$B$355,BE$5)</f>
        <v>5195539.8431265904</v>
      </c>
      <c r="BF149" s="28">
        <f>SUMIFS('Fin Forecast'!$K$5:$K$355,'Fin Forecast'!$A$5:$A$355,$F149,'Fin Forecast'!$C$5:$C$355,BF$5)</f>
        <v>0</v>
      </c>
      <c r="BG149" s="28">
        <f>SUMIFS('Fin Forecast'!$K$5:$K$355,'Fin Forecast'!$A$5:$A$355,$F149,'Fin Forecast'!$B$5:$B$355,BG$5)</f>
        <v>11445.2490569619</v>
      </c>
      <c r="BH149" s="28">
        <f>SUMIFS('Fin Forecast'!$K$5:$K$355,'Fin Forecast'!$A$5:$A$355,$F149,'Fin Forecast'!$B$5:$B$355,BH$5)</f>
        <v>6669777.9250804503</v>
      </c>
      <c r="BI149" s="28">
        <f>SUMIFS('Fin Forecast'!$K$5:$K$355,'Fin Forecast'!$A$5:$A$355,$F149,'Fin Forecast'!$B$5:$B$355,BI$5)</f>
        <v>0</v>
      </c>
      <c r="BJ149" s="28">
        <f>SUMIFS('Fin Forecast'!$K$5:$K$355,'Fin Forecast'!$A$5:$A$355,$F149,'Fin Forecast'!$B$5:$B$355,BJ$5)</f>
        <v>575196.69794125296</v>
      </c>
      <c r="BK149" s="28">
        <f>SUMIFS('Fin Forecast'!$K$5:$K$355,'Fin Forecast'!$A$5:$A$355,$F149,'Fin Forecast'!$B$5:$B$355,BK$5)</f>
        <v>0</v>
      </c>
      <c r="BL149" s="28">
        <f>SUMIFS('Fin Forecast'!$K$5:$K$355,'Fin Forecast'!$A$5:$A$355,$F149,'Fin Forecast'!$B$5:$B$355,BL$5)</f>
        <v>0</v>
      </c>
      <c r="BM149" s="42">
        <f t="shared" ref="BM149:BM155" si="264">+AP149+AQ149-BD149</f>
        <v>0</v>
      </c>
      <c r="BN149" s="42">
        <f t="shared" ref="BN149:BN155" si="265">+AR149+AS149-BE149</f>
        <v>0</v>
      </c>
    </row>
    <row r="150" spans="1:66" x14ac:dyDescent="0.25">
      <c r="A150"/>
      <c r="C150" s="307">
        <f t="shared" ref="C150:C155" si="266">$C$148</f>
        <v>44228</v>
      </c>
      <c r="D150" s="408" t="str">
        <f t="shared" si="251"/>
        <v>855</v>
      </c>
      <c r="E150" s="405" t="str">
        <f>'Retail Rates'!$B$11</f>
        <v>LGING855</v>
      </c>
      <c r="F150" s="405" t="s">
        <v>59</v>
      </c>
      <c r="G150" s="405" t="str">
        <f>VLOOKUP(E150,'Retail Rates'!$B$7:$D$40,3,FALSE)</f>
        <v>Firm Industrial Gas Service-DSM Opt-Out</v>
      </c>
      <c r="H150" s="20">
        <f>SUMIF('Forecasted Customer Cts'!$D$5:$D$28,$F150,'Forecasted Customer Cts'!$S$5:$S$28)-I150</f>
        <v>119</v>
      </c>
      <c r="I150" s="20">
        <f>SUMIFS('Forecasted Customer Cts'!$S$5:$S$28,'Forecasted Customer Cts'!$D$5:$D$28,$F150,'Forecasted Customer Cts'!$C$5:$C$28,$B$104)</f>
        <v>93</v>
      </c>
      <c r="J150" s="20">
        <f>SUMIF('Forecasted Calendar Month Usage'!$D$5:$D$32,$F150,'Forecasted Calendar Month Usage'!$S$5:$S$32)*10</f>
        <v>1039179.4465069063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f>SUMIFS('Fin Forecast'!K1:K500,'Fin Forecast'!A1:A500,'Mar20-Aug20 Billed-RETAIL'!F150,'Fin Forecast'!B1:B500,P5)/R150</f>
        <v>3332</v>
      </c>
      <c r="Q150" s="20">
        <f>SUMIFS('Fin Forecast'!K1:K500,'Fin Forecast'!A1:A500,'Mar20-Aug20 Billed-RETAIL'!F150,'Fin Forecast'!B1:B500,Q5)/S150</f>
        <v>2604</v>
      </c>
      <c r="R150" s="21">
        <f>VLOOKUP($E150,'Retail Rates'!$B$7:$P$40,4,FALSE)</f>
        <v>5.42</v>
      </c>
      <c r="S150" s="21">
        <f>VLOOKUP($E150,'Retail Rates'!$B$7:$P$40,5,FALSE)</f>
        <v>24.64</v>
      </c>
      <c r="T150" s="22">
        <f>VLOOKUP($E150,'Retail Rates'!$B$7:$P$40,8,FALSE)</f>
        <v>0.21929000000000001</v>
      </c>
      <c r="U150" s="22">
        <f>VLOOKUP($E150,'Retail Rates'!$B$7:$P$40,9,FALSE)</f>
        <v>0.16929</v>
      </c>
      <c r="V150" s="22">
        <f>VLOOKUP($E150,'Retail Rates'!$B$7:$P$40,14,FALSE)</f>
        <v>0</v>
      </c>
      <c r="W150" s="22">
        <f>VLOOKUP($E150,'Retail Rates'!$B$7:$P$40,10,FALSE)</f>
        <v>2.1929000000000003</v>
      </c>
      <c r="X150" s="22">
        <f>VLOOKUP($E150,'Retail Rates'!$B$7:$P$40,11,FALSE)</f>
        <v>1.6928999999999998</v>
      </c>
      <c r="Y150" s="22">
        <f>VLOOKUP($E150,'Retail Rates'!$B$7:$P$40,15,FALSE)</f>
        <v>0</v>
      </c>
      <c r="Z150" s="22">
        <v>0</v>
      </c>
      <c r="AA150" s="411">
        <f>(+P150*R150)</f>
        <v>18059.439999999999</v>
      </c>
      <c r="AB150" s="411">
        <f>+Q150*S150</f>
        <v>64162.560000000005</v>
      </c>
      <c r="AC150" s="411">
        <f t="shared" si="252"/>
        <v>227881.6608244995</v>
      </c>
      <c r="AD150" s="411">
        <f t="shared" si="252"/>
        <v>0</v>
      </c>
      <c r="AE150" s="411">
        <f t="shared" si="250"/>
        <v>0</v>
      </c>
      <c r="AF150" s="41">
        <v>0</v>
      </c>
      <c r="AG150" s="41">
        <v>0</v>
      </c>
      <c r="AH150" s="33">
        <v>0</v>
      </c>
      <c r="AI150" s="33">
        <v>0</v>
      </c>
      <c r="AJ150" s="41">
        <v>0</v>
      </c>
      <c r="AK150" s="41">
        <v>0</v>
      </c>
      <c r="AL150" s="33">
        <v>0</v>
      </c>
      <c r="AM150" s="33">
        <v>0</v>
      </c>
      <c r="AN150" s="41">
        <v>0</v>
      </c>
      <c r="AO150" s="33">
        <v>0</v>
      </c>
      <c r="AP150" s="411">
        <f t="shared" si="253"/>
        <v>18059.439999999999</v>
      </c>
      <c r="AQ150" s="411">
        <f t="shared" si="254"/>
        <v>64162.560000000005</v>
      </c>
      <c r="AR150" s="411">
        <f t="shared" si="255"/>
        <v>227881.6608244995</v>
      </c>
      <c r="AS150" s="411">
        <f t="shared" si="256"/>
        <v>0</v>
      </c>
      <c r="AT150" s="411">
        <f t="shared" si="257"/>
        <v>0</v>
      </c>
      <c r="AU150" s="411">
        <f t="shared" si="258"/>
        <v>0</v>
      </c>
      <c r="AV150" s="28">
        <f t="shared" si="259"/>
        <v>0</v>
      </c>
      <c r="AW150" s="28">
        <f t="shared" si="260"/>
        <v>409152.320649184</v>
      </c>
      <c r="AX150" s="28">
        <f t="shared" si="261"/>
        <v>0</v>
      </c>
      <c r="AY150" s="28">
        <f t="shared" si="262"/>
        <v>63801.106240764901</v>
      </c>
      <c r="AZ150" s="28">
        <f t="shared" si="262"/>
        <v>0</v>
      </c>
      <c r="BA150" s="28">
        <f t="shared" si="232"/>
        <v>783057.09</v>
      </c>
      <c r="BB150" s="28">
        <f t="shared" si="171"/>
        <v>783057.08771444904</v>
      </c>
      <c r="BC150" s="29">
        <f t="shared" si="263"/>
        <v>1</v>
      </c>
      <c r="BD150" s="28">
        <f>SUMIFS('Fin Forecast'!$K$5:$K$355,'Fin Forecast'!$A$5:$A$355,$F150,'Fin Forecast'!$B$5:$B$355,BD$5)</f>
        <v>82222</v>
      </c>
      <c r="BE150" s="28">
        <f>SUMIFS('Fin Forecast'!$K$5:$K$355,'Fin Forecast'!$A$5:$A$355,$F150,'Fin Forecast'!$B$5:$B$355,BE$5)</f>
        <v>227881.6608245</v>
      </c>
      <c r="BF150" s="28">
        <f>SUMIFS('Fin Forecast'!$K$5:$K$355,'Fin Forecast'!$A$5:$A$355,$F150,'Fin Forecast'!$C$5:$C$355,BF$5)</f>
        <v>0</v>
      </c>
      <c r="BG150" s="28">
        <f>SUMIFS('Fin Forecast'!$K$5:$K$355,'Fin Forecast'!$A$5:$A$355,$F150,'Fin Forecast'!$B$5:$B$355,BG$5)</f>
        <v>0</v>
      </c>
      <c r="BH150" s="28">
        <f>SUMIFS('Fin Forecast'!$K$5:$K$355,'Fin Forecast'!$A$5:$A$355,$F150,'Fin Forecast'!$B$5:$B$355,BH$5)</f>
        <v>409152.320649184</v>
      </c>
      <c r="BI150" s="28">
        <f>SUMIFS('Fin Forecast'!$K$5:$K$355,'Fin Forecast'!$A$5:$A$355,$F150,'Fin Forecast'!$B$5:$B$355,BI$5)</f>
        <v>0</v>
      </c>
      <c r="BJ150" s="28">
        <f>SUMIFS('Fin Forecast'!$K$5:$K$355,'Fin Forecast'!$A$5:$A$355,$F150,'Fin Forecast'!$B$5:$B$355,BJ$5)</f>
        <v>63801.106240764901</v>
      </c>
      <c r="BK150" s="28">
        <f>SUMIFS('Fin Forecast'!$K$5:$K$355,'Fin Forecast'!$A$5:$A$355,$F150,'Fin Forecast'!$B$5:$B$355,BK$5)</f>
        <v>0</v>
      </c>
      <c r="BL150" s="28">
        <f>SUMIFS('Fin Forecast'!$K$5:$K$355,'Fin Forecast'!$A$5:$A$355,$F150,'Fin Forecast'!$B$5:$B$355,BL$5)</f>
        <v>0</v>
      </c>
      <c r="BM150" s="42">
        <f t="shared" si="264"/>
        <v>0</v>
      </c>
      <c r="BN150" s="42">
        <f t="shared" si="265"/>
        <v>-4.9476511776447296E-10</v>
      </c>
    </row>
    <row r="151" spans="1:66" x14ac:dyDescent="0.25">
      <c r="A151"/>
      <c r="C151" s="307">
        <f t="shared" si="266"/>
        <v>44228</v>
      </c>
      <c r="D151" s="408" t="str">
        <f t="shared" si="251"/>
        <v>865</v>
      </c>
      <c r="E151" s="405" t="str">
        <f>'Retail Rates'!$B$14</f>
        <v>LGCMG865</v>
      </c>
      <c r="F151" s="405" t="s">
        <v>223</v>
      </c>
      <c r="G151" s="405" t="str">
        <f>VLOOKUP(E151,'Retail Rates'!$B$7:$D$40,3,FALSE)</f>
        <v>As-Available Gas Service, Commercial</v>
      </c>
      <c r="H151" s="20">
        <f>SUMIF('Forecasted Customer Cts'!$D$5:$D$28,$F151,'Forecasted Customer Cts'!$S$5:$S$28)</f>
        <v>2</v>
      </c>
      <c r="I151" s="20">
        <v>0</v>
      </c>
      <c r="J151" s="20">
        <v>0</v>
      </c>
      <c r="K151" s="20">
        <v>0</v>
      </c>
      <c r="L151" s="20">
        <v>0</v>
      </c>
      <c r="M151" s="20">
        <f>SUMIF('Forecasted Calendar Month Usage'!$D$5:$D$32,$F151,'Forecasted Calendar Month Usage'!$S$5:$S$32)</f>
        <v>4642.7245369735338</v>
      </c>
      <c r="N151" s="20">
        <v>0</v>
      </c>
      <c r="O151" s="20">
        <v>0</v>
      </c>
      <c r="P151" s="20">
        <v>0</v>
      </c>
      <c r="Q151" s="20">
        <v>0</v>
      </c>
      <c r="R151" s="21">
        <f>VLOOKUP($E151,'Retail Rates'!$B$7:$P$40,4,FALSE)</f>
        <v>500</v>
      </c>
      <c r="S151" s="21">
        <f>VLOOKUP($E151,'Retail Rates'!$B$7:$P$40,5,FALSE)</f>
        <v>0</v>
      </c>
      <c r="T151" s="22">
        <f>VLOOKUP($E151,'Retail Rates'!$B$7:$P$40,8,FALSE)</f>
        <v>0.10644000000000001</v>
      </c>
      <c r="U151" s="22">
        <f>VLOOKUP($E151,'Retail Rates'!$B$7:$P$40,9,FALSE)</f>
        <v>0</v>
      </c>
      <c r="V151" s="22">
        <f>VLOOKUP($E151,'Retail Rates'!$B$7:$P$40,14,FALSE)</f>
        <v>0</v>
      </c>
      <c r="W151" s="22">
        <f>VLOOKUP($E151,'Retail Rates'!$B$7:$P$40,10,FALSE)</f>
        <v>1.0644</v>
      </c>
      <c r="X151" s="22">
        <f>VLOOKUP($E151,'Retail Rates'!$B$7:$P$40,11,FALSE)</f>
        <v>0</v>
      </c>
      <c r="Y151" s="22">
        <f>VLOOKUP($E151,'Retail Rates'!$B$7:$P$40,15,FALSE)</f>
        <v>0</v>
      </c>
      <c r="Z151" s="22">
        <v>0</v>
      </c>
      <c r="AA151" s="411">
        <f>(+H151*R151)</f>
        <v>1000</v>
      </c>
      <c r="AB151" s="411">
        <f>+I151*S151</f>
        <v>0</v>
      </c>
      <c r="AC151" s="411">
        <f>+M151*W151</f>
        <v>4941.7159971546298</v>
      </c>
      <c r="AD151" s="411">
        <f t="shared" si="252"/>
        <v>0</v>
      </c>
      <c r="AE151" s="411">
        <f t="shared" si="250"/>
        <v>0</v>
      </c>
      <c r="AF151" s="41">
        <v>0</v>
      </c>
      <c r="AG151" s="41">
        <v>0</v>
      </c>
      <c r="AH151" s="33">
        <v>0</v>
      </c>
      <c r="AI151" s="33">
        <v>0</v>
      </c>
      <c r="AJ151" s="41">
        <v>0</v>
      </c>
      <c r="AK151" s="41">
        <v>0</v>
      </c>
      <c r="AL151" s="33">
        <v>0</v>
      </c>
      <c r="AM151" s="33">
        <v>0</v>
      </c>
      <c r="AN151" s="41">
        <v>0</v>
      </c>
      <c r="AO151" s="33">
        <v>0</v>
      </c>
      <c r="AP151" s="411">
        <f t="shared" si="253"/>
        <v>1000</v>
      </c>
      <c r="AQ151" s="411">
        <f t="shared" si="254"/>
        <v>0</v>
      </c>
      <c r="AR151" s="411">
        <f t="shared" si="255"/>
        <v>4941.7159971546298</v>
      </c>
      <c r="AS151" s="411">
        <f t="shared" si="256"/>
        <v>0</v>
      </c>
      <c r="AT151" s="411">
        <f t="shared" si="257"/>
        <v>0</v>
      </c>
      <c r="AU151" s="411">
        <f t="shared" si="258"/>
        <v>0</v>
      </c>
      <c r="AV151" s="28">
        <f t="shared" si="259"/>
        <v>21.076415418605102</v>
      </c>
      <c r="AW151" s="28">
        <f t="shared" si="260"/>
        <v>18279.629421298301</v>
      </c>
      <c r="AX151" s="28">
        <f t="shared" si="261"/>
        <v>0</v>
      </c>
      <c r="AY151" s="28">
        <f t="shared" si="262"/>
        <v>2150.40732478478</v>
      </c>
      <c r="AZ151" s="28">
        <f t="shared" si="262"/>
        <v>0</v>
      </c>
      <c r="BA151" s="28">
        <f t="shared" si="232"/>
        <v>26392.83</v>
      </c>
      <c r="BB151" s="28">
        <f t="shared" si="171"/>
        <v>26392.829158656306</v>
      </c>
      <c r="BC151" s="29">
        <f t="shared" si="263"/>
        <v>1</v>
      </c>
      <c r="BD151" s="28">
        <f>SUMIFS('Fin Forecast'!$K$5:$K$355,'Fin Forecast'!$A$5:$A$355,$F151,'Fin Forecast'!$B$5:$B$355,BD$5)</f>
        <v>1000</v>
      </c>
      <c r="BE151" s="28">
        <f>SUMIFS('Fin Forecast'!$K$5:$K$355,'Fin Forecast'!$A$5:$A$355,$F151,'Fin Forecast'!$B$5:$B$355,BE$5)</f>
        <v>4941.7159971546198</v>
      </c>
      <c r="BF151" s="28">
        <f>SUMIFS('Fin Forecast'!$K$5:$K$355,'Fin Forecast'!$A$5:$A$355,$F151,'Fin Forecast'!$C$5:$C$355,BF$5)</f>
        <v>0</v>
      </c>
      <c r="BG151" s="28">
        <f>SUMIFS('Fin Forecast'!$K$5:$K$355,'Fin Forecast'!$A$5:$A$355,$F151,'Fin Forecast'!$B$5:$B$355,BG$5)</f>
        <v>21.076415418605102</v>
      </c>
      <c r="BH151" s="28">
        <f>SUMIFS('Fin Forecast'!$K$5:$K$355,'Fin Forecast'!$A$5:$A$355,$F151,'Fin Forecast'!$B$5:$B$355,BH$5)</f>
        <v>18279.629421298301</v>
      </c>
      <c r="BI151" s="28">
        <f>SUMIFS('Fin Forecast'!$K$5:$K$355,'Fin Forecast'!$A$5:$A$355,$F151,'Fin Forecast'!$B$5:$B$355,BI$5)</f>
        <v>0</v>
      </c>
      <c r="BJ151" s="28">
        <f>SUMIFS('Fin Forecast'!$K$5:$K$355,'Fin Forecast'!$A$5:$A$355,$F151,'Fin Forecast'!$B$5:$B$355,BJ$5)</f>
        <v>2150.40732478478</v>
      </c>
      <c r="BK151" s="28">
        <f>SUMIFS('Fin Forecast'!$K$5:$K$355,'Fin Forecast'!$A$5:$A$355,$F151,'Fin Forecast'!$B$5:$B$355,BK$5)</f>
        <v>0</v>
      </c>
      <c r="BL151" s="28">
        <f>SUMIFS('Fin Forecast'!$K$5:$K$355,'Fin Forecast'!$A$5:$A$355,$F151,'Fin Forecast'!$B$5:$B$355,BL$5)</f>
        <v>0</v>
      </c>
      <c r="BM151" s="42">
        <f t="shared" si="264"/>
        <v>0</v>
      </c>
      <c r="BN151" s="42">
        <f t="shared" si="265"/>
        <v>1.0004441719502211E-11</v>
      </c>
    </row>
    <row r="152" spans="1:66" x14ac:dyDescent="0.25">
      <c r="A152"/>
      <c r="C152" s="307">
        <f t="shared" si="266"/>
        <v>44228</v>
      </c>
      <c r="D152" s="408" t="str">
        <f t="shared" si="251"/>
        <v>870</v>
      </c>
      <c r="E152" s="405" t="str">
        <f>'Retail Rates'!$B$17</f>
        <v>LGCMG870</v>
      </c>
      <c r="F152" s="405" t="s">
        <v>553</v>
      </c>
      <c r="G152" s="405" t="str">
        <f>VLOOKUP(E152,'Retail Rates'!$B$7:$D$40,3,FALSE)</f>
        <v>Substitute Gas Sales Service-Commercial</v>
      </c>
      <c r="H152" s="20">
        <f>SUMIF('Forecasted Customer Cts'!$D$5:$D$28,$F152,'Forecasted Customer Cts'!$S$5:$S$28)</f>
        <v>1</v>
      </c>
      <c r="I152" s="20">
        <v>0</v>
      </c>
      <c r="J152" s="20">
        <v>0</v>
      </c>
      <c r="K152" s="20">
        <v>0</v>
      </c>
      <c r="L152" s="20">
        <f>SUMIFS('Fin Forecast'!K1:K500,'Fin Forecast'!A1:A500,'Mar20-Aug20 Billed-RETAIL'!F152,'Fin Forecast'!B1:B500,L5)/V152</f>
        <v>0</v>
      </c>
      <c r="M152" s="20">
        <f>SUMIF('Forecasted Calendar Month Usage'!$D$5:$D$32,$F152,'Forecasted Calendar Month Usage'!$S$5:$S$32)</f>
        <v>300</v>
      </c>
      <c r="N152" s="20">
        <v>0</v>
      </c>
      <c r="O152" s="20">
        <f>SUMIFS('Fin Forecast'!K1:K500,'Fin Forecast'!A1:A500,'Mar20-Aug20 Billed-RETAIL'!F152,'Fin Forecast'!B1:B500,O5)</f>
        <v>2000</v>
      </c>
      <c r="P152" s="20">
        <v>0</v>
      </c>
      <c r="Q152" s="20">
        <v>0</v>
      </c>
      <c r="R152" s="21">
        <f>VLOOKUP($E152,'Retail Rates'!$B$7:$P$40,4,FALSE)</f>
        <v>285</v>
      </c>
      <c r="S152" s="21">
        <f>VLOOKUP($E152,'Retail Rates'!$B$7:$P$40,5,FALSE)</f>
        <v>0</v>
      </c>
      <c r="T152" s="22">
        <f>VLOOKUP($E152,'Retail Rates'!$B$7:$P$40,8,FALSE)</f>
        <v>3.603E-2</v>
      </c>
      <c r="U152" s="22">
        <f>VLOOKUP($E152,'Retail Rates'!$B$7:$P$40,9,FALSE)</f>
        <v>0</v>
      </c>
      <c r="V152" s="22">
        <f>VLOOKUP($E152,'Retail Rates'!$B$7:$P$40,14,FALSE)</f>
        <v>0.65599999999999992</v>
      </c>
      <c r="W152" s="22">
        <f>VLOOKUP($E152,'Retail Rates'!$B$7:$P$40,10,FALSE)</f>
        <v>0.36030000000000001</v>
      </c>
      <c r="X152" s="22">
        <f>VLOOKUP($E152,'Retail Rates'!$B$7:$P$40,11,FALSE)</f>
        <v>0</v>
      </c>
      <c r="Y152" s="22">
        <f>VLOOKUP($E152,'Retail Rates'!$B$7:$P$40,15,FALSE)</f>
        <v>6.56</v>
      </c>
      <c r="Z152" s="22">
        <v>0</v>
      </c>
      <c r="AA152" s="411">
        <f>(+H152*R152)</f>
        <v>285</v>
      </c>
      <c r="AB152" s="411">
        <f>+I152*S152</f>
        <v>0</v>
      </c>
      <c r="AC152" s="411">
        <f t="shared" ref="AC152:AC153" si="267">+M152*W152</f>
        <v>108.09</v>
      </c>
      <c r="AD152" s="411">
        <f t="shared" si="252"/>
        <v>0</v>
      </c>
      <c r="AE152" s="411">
        <f>O152*Y152</f>
        <v>13120</v>
      </c>
      <c r="AF152" s="41">
        <v>0</v>
      </c>
      <c r="AG152" s="41">
        <v>0</v>
      </c>
      <c r="AH152" s="33">
        <v>0</v>
      </c>
      <c r="AI152" s="33">
        <v>0</v>
      </c>
      <c r="AJ152" s="41">
        <v>0</v>
      </c>
      <c r="AK152" s="41">
        <v>0</v>
      </c>
      <c r="AL152" s="33">
        <v>0</v>
      </c>
      <c r="AM152" s="33">
        <v>0</v>
      </c>
      <c r="AN152" s="41">
        <v>0</v>
      </c>
      <c r="AO152" s="33">
        <v>0</v>
      </c>
      <c r="AP152" s="411">
        <f t="shared" si="253"/>
        <v>285</v>
      </c>
      <c r="AQ152" s="411">
        <f t="shared" si="254"/>
        <v>0</v>
      </c>
      <c r="AR152" s="411">
        <f t="shared" si="255"/>
        <v>108.09</v>
      </c>
      <c r="AS152" s="411">
        <f t="shared" si="256"/>
        <v>0</v>
      </c>
      <c r="AT152" s="411">
        <f t="shared" si="257"/>
        <v>13120</v>
      </c>
      <c r="AU152" s="411">
        <f t="shared" si="258"/>
        <v>0</v>
      </c>
      <c r="AV152" s="28">
        <f t="shared" si="259"/>
        <v>2.0268872870337602</v>
      </c>
      <c r="AW152" s="28">
        <f t="shared" si="260"/>
        <v>1181.1790216535901</v>
      </c>
      <c r="AX152" s="28">
        <f t="shared" si="261"/>
        <v>0</v>
      </c>
      <c r="AY152" s="28">
        <f t="shared" si="262"/>
        <v>622.75012898987404</v>
      </c>
      <c r="AZ152" s="28">
        <f t="shared" si="262"/>
        <v>0</v>
      </c>
      <c r="BA152" s="28">
        <f t="shared" si="232"/>
        <v>15319.05</v>
      </c>
      <c r="BB152" s="28">
        <f t="shared" si="171"/>
        <v>15319.046037930497</v>
      </c>
      <c r="BC152" s="29">
        <f t="shared" si="263"/>
        <v>1</v>
      </c>
      <c r="BD152" s="28">
        <f>SUMIFS('Fin Forecast'!$K$5:$K$355,'Fin Forecast'!$A$5:$A$355,$F152,'Fin Forecast'!$B$5:$B$355,BD$5)</f>
        <v>285</v>
      </c>
      <c r="BE152" s="28">
        <f>SUMIFS('Fin Forecast'!$K$5:$K$355,'Fin Forecast'!$A$5:$A$355,$F152,'Fin Forecast'!$B$5:$B$355,BE$5)</f>
        <v>108.09</v>
      </c>
      <c r="BF152" s="28">
        <f>SUMIFS('Fin Forecast'!$K$5:$K$355,'Fin Forecast'!$A$5:$A$355,$F152,'Fin Forecast'!$C$5:$C$355,BF$5)</f>
        <v>13120</v>
      </c>
      <c r="BG152" s="28">
        <f>SUMIFS('Fin Forecast'!$K$5:$K$355,'Fin Forecast'!$A$5:$A$355,$F152,'Fin Forecast'!$B$5:$B$355,BG$5)</f>
        <v>2.0268872870337602</v>
      </c>
      <c r="BH152" s="28">
        <f>SUMIFS('Fin Forecast'!$K$5:$K$355,'Fin Forecast'!$A$5:$A$355,$F152,'Fin Forecast'!$B$5:$B$355,BH$5)</f>
        <v>1181.1790216535901</v>
      </c>
      <c r="BI152" s="28">
        <f>SUMIFS('Fin Forecast'!$K$5:$K$355,'Fin Forecast'!$A$5:$A$355,$F152,'Fin Forecast'!$B$5:$B$355,BI$5)</f>
        <v>0</v>
      </c>
      <c r="BJ152" s="28">
        <f>SUMIFS('Fin Forecast'!$K$5:$K$355,'Fin Forecast'!$A$5:$A$355,$F152,'Fin Forecast'!$B$5:$B$355,BJ$5)</f>
        <v>622.75012898987404</v>
      </c>
      <c r="BK152" s="28">
        <f>SUMIFS('Fin Forecast'!$K$5:$K$355,'Fin Forecast'!$A$5:$A$355,$F152,'Fin Forecast'!$B$5:$B$355,BK$5)</f>
        <v>0</v>
      </c>
      <c r="BL152" s="28">
        <f>SUMIFS('Fin Forecast'!$K$5:$K$355,'Fin Forecast'!$A$5:$A$355,$F152,'Fin Forecast'!$B$5:$B$355,BL$5)</f>
        <v>0</v>
      </c>
      <c r="BM152" s="42">
        <f t="shared" si="264"/>
        <v>0</v>
      </c>
      <c r="BN152" s="42">
        <f t="shared" si="265"/>
        <v>0</v>
      </c>
    </row>
    <row r="153" spans="1:66" x14ac:dyDescent="0.25">
      <c r="A153"/>
      <c r="C153" s="307">
        <f t="shared" si="266"/>
        <v>44228</v>
      </c>
      <c r="D153" s="408" t="str">
        <f t="shared" si="251"/>
        <v>871</v>
      </c>
      <c r="E153" s="405" t="s">
        <v>565</v>
      </c>
      <c r="F153" s="405" t="s">
        <v>555</v>
      </c>
      <c r="G153" s="405" t="str">
        <f>VLOOKUP(E153,'Retail Rates'!$B$7:$D$40,3,FALSE)</f>
        <v>Substitute Gas Sales Service-Industrial Opt In</v>
      </c>
      <c r="H153" s="20">
        <f>SUMIF('Forecasted Customer Cts'!$D$5:$D$28,$F153,'Forecasted Customer Cts'!$S$5:$S$28)</f>
        <v>0</v>
      </c>
      <c r="I153" s="20">
        <v>0</v>
      </c>
      <c r="J153" s="20">
        <v>0</v>
      </c>
      <c r="K153" s="20">
        <v>0</v>
      </c>
      <c r="L153" s="20">
        <f>SUMIFS('Fin Forecast'!J2:J501,'Fin Forecast'!A2:A501,'Mar20-Aug20 Billed-RETAIL'!F153,'Fin Forecast'!B2:B501,L6)</f>
        <v>0</v>
      </c>
      <c r="M153" s="20">
        <f>SUMIF('Forecasted Calendar Month Usage'!$D$5:$D$32,$F153,'Forecasted Calendar Month Usage'!$S$5:$S$32)</f>
        <v>0</v>
      </c>
      <c r="N153" s="20">
        <v>0</v>
      </c>
      <c r="O153" s="20">
        <f>SUMIFS('Fin Forecast'!N2:N501,'Fin Forecast'!D2:D501,'Mar20-Aug20 Billed-RETAIL'!F153,'Fin Forecast'!E2:E501,O6)/V153</f>
        <v>0</v>
      </c>
      <c r="P153" s="20">
        <v>0</v>
      </c>
      <c r="Q153" s="20">
        <v>0</v>
      </c>
      <c r="R153" s="21">
        <f>VLOOKUP($E153,'Retail Rates'!$B$7:$P$40,4,FALSE)</f>
        <v>750</v>
      </c>
      <c r="S153" s="21">
        <f>VLOOKUP($E153,'Retail Rates'!$B$7:$P$40,5,FALSE)</f>
        <v>0</v>
      </c>
      <c r="T153" s="22">
        <f>VLOOKUP($E153,'Retail Rates'!$B$7:$P$40,8,FALSE)</f>
        <v>2.9919999999999995E-2</v>
      </c>
      <c r="U153" s="22">
        <f>VLOOKUP($E153,'Retail Rates'!$B$7:$P$40,9,FALSE)</f>
        <v>0</v>
      </c>
      <c r="V153" s="22">
        <f>VLOOKUP($E153,'Retail Rates'!$B$7:$P$40,14,FALSE)</f>
        <v>1.0900000000000001</v>
      </c>
      <c r="W153" s="22">
        <f>VLOOKUP($E153,'Retail Rates'!$B$7:$P$40,10,FALSE)</f>
        <v>0.29919999999999997</v>
      </c>
      <c r="X153" s="22">
        <f>VLOOKUP($E153,'Retail Rates'!$B$7:$P$40,11,FALSE)</f>
        <v>0</v>
      </c>
      <c r="Y153" s="22">
        <f>VLOOKUP($E153,'Retail Rates'!$B$7:$P$40,15,FALSE)</f>
        <v>10.9</v>
      </c>
      <c r="Z153" s="22">
        <v>0</v>
      </c>
      <c r="AA153" s="411">
        <f>(+H153*R153)</f>
        <v>0</v>
      </c>
      <c r="AB153" s="411">
        <f>+I153*S153</f>
        <v>0</v>
      </c>
      <c r="AC153" s="411">
        <f t="shared" si="267"/>
        <v>0</v>
      </c>
      <c r="AD153" s="411">
        <f t="shared" si="252"/>
        <v>0</v>
      </c>
      <c r="AE153" s="411">
        <f t="shared" si="250"/>
        <v>0</v>
      </c>
      <c r="AF153" s="41">
        <v>0</v>
      </c>
      <c r="AG153" s="41">
        <v>0</v>
      </c>
      <c r="AH153" s="33">
        <v>0</v>
      </c>
      <c r="AI153" s="33">
        <v>0</v>
      </c>
      <c r="AJ153" s="41">
        <v>0</v>
      </c>
      <c r="AK153" s="41">
        <v>0</v>
      </c>
      <c r="AL153" s="33">
        <v>0</v>
      </c>
      <c r="AM153" s="33">
        <v>0</v>
      </c>
      <c r="AN153" s="41">
        <v>0</v>
      </c>
      <c r="AO153" s="33">
        <v>0</v>
      </c>
      <c r="AP153" s="411">
        <f t="shared" si="253"/>
        <v>0</v>
      </c>
      <c r="AQ153" s="411">
        <f t="shared" si="254"/>
        <v>0</v>
      </c>
      <c r="AR153" s="411">
        <f t="shared" si="255"/>
        <v>0</v>
      </c>
      <c r="AS153" s="411">
        <f t="shared" si="256"/>
        <v>0</v>
      </c>
      <c r="AT153" s="411">
        <f t="shared" si="257"/>
        <v>0</v>
      </c>
      <c r="AU153" s="411">
        <f t="shared" si="258"/>
        <v>0</v>
      </c>
      <c r="AV153" s="28">
        <f t="shared" si="259"/>
        <v>0</v>
      </c>
      <c r="AW153" s="28">
        <f t="shared" si="260"/>
        <v>0</v>
      </c>
      <c r="AX153" s="28">
        <f t="shared" si="261"/>
        <v>0</v>
      </c>
      <c r="AY153" s="28">
        <f t="shared" si="262"/>
        <v>0</v>
      </c>
      <c r="AZ153" s="28">
        <f t="shared" si="262"/>
        <v>0</v>
      </c>
      <c r="BA153" s="28">
        <f t="shared" si="232"/>
        <v>0</v>
      </c>
      <c r="BB153" s="28">
        <f t="shared" si="171"/>
        <v>0</v>
      </c>
      <c r="BC153" s="29">
        <f t="shared" si="263"/>
        <v>0</v>
      </c>
      <c r="BD153" s="28">
        <f>SUMIFS('Fin Forecast'!$K$5:$K$355,'Fin Forecast'!$A$5:$A$355,$F153,'Fin Forecast'!$B$5:$B$355,BD$5)</f>
        <v>0</v>
      </c>
      <c r="BE153" s="28">
        <f>SUMIFS('Fin Forecast'!$K$5:$K$355,'Fin Forecast'!$A$5:$A$355,$F153,'Fin Forecast'!$B$5:$B$355,BE$5)</f>
        <v>0</v>
      </c>
      <c r="BF153" s="28">
        <f>SUMIFS('Fin Forecast'!$K$5:$K$355,'Fin Forecast'!$A$5:$A$355,$F153,'Fin Forecast'!$C$5:$C$355,BF$5)</f>
        <v>0</v>
      </c>
      <c r="BG153" s="28">
        <f>SUMIFS('Fin Forecast'!$K$5:$K$355,'Fin Forecast'!$A$5:$A$355,$F153,'Fin Forecast'!$B$5:$B$355,BG$5)</f>
        <v>0</v>
      </c>
      <c r="BH153" s="28">
        <f>SUMIFS('Fin Forecast'!$K$5:$K$355,'Fin Forecast'!$A$5:$A$355,$F153,'Fin Forecast'!$B$5:$B$355,BH$5)</f>
        <v>0</v>
      </c>
      <c r="BI153" s="28">
        <f>SUMIFS('Fin Forecast'!$K$5:$K$355,'Fin Forecast'!$A$5:$A$355,$F153,'Fin Forecast'!$B$5:$B$355,BI$5)</f>
        <v>0</v>
      </c>
      <c r="BJ153" s="28">
        <f>SUMIFS('Fin Forecast'!$K$5:$K$355,'Fin Forecast'!$A$5:$A$355,$F153,'Fin Forecast'!$B$5:$B$355,BJ$5)</f>
        <v>0</v>
      </c>
      <c r="BK153" s="28">
        <f>SUMIFS('Fin Forecast'!$K$5:$K$355,'Fin Forecast'!$A$5:$A$355,$F153,'Fin Forecast'!$B$5:$B$355,BK$5)</f>
        <v>0</v>
      </c>
      <c r="BL153" s="28">
        <f>SUMIFS('Fin Forecast'!$K$5:$K$355,'Fin Forecast'!$A$5:$A$355,$F153,'Fin Forecast'!$B$5:$B$355,BL$5)</f>
        <v>0</v>
      </c>
      <c r="BM153" s="42">
        <f t="shared" si="264"/>
        <v>0</v>
      </c>
      <c r="BN153" s="42">
        <f t="shared" si="265"/>
        <v>0</v>
      </c>
    </row>
    <row r="154" spans="1:66" x14ac:dyDescent="0.25">
      <c r="A154"/>
      <c r="C154" s="307">
        <f t="shared" si="266"/>
        <v>44228</v>
      </c>
      <c r="D154" s="408" t="str">
        <f t="shared" si="251"/>
        <v>875</v>
      </c>
      <c r="E154" s="405" t="str">
        <f>'Retail Rates'!$B$21</f>
        <v>LGCMG875</v>
      </c>
      <c r="F154" s="405" t="s">
        <v>428</v>
      </c>
      <c r="G154" s="405" t="str">
        <f>VLOOKUP(E154,'Retail Rates'!$B$7:$D$40,3,FALSE)</f>
        <v>Distributed Generation Gas Service, Commercial</v>
      </c>
      <c r="H154" s="20">
        <f>SUMIF('Forecasted Customer Cts'!$D$5:$D$28,$F154,'Forecasted Customer Cts'!$S$5:$S$28)</f>
        <v>2</v>
      </c>
      <c r="I154" s="20">
        <v>0</v>
      </c>
      <c r="J154" s="20">
        <f>SUMIF('Forecasted Calendar Month Usage'!$D$5:$D$32,$F154,'Forecasted Calendar Month Usage'!$S$5:$S$32)*10</f>
        <v>7</v>
      </c>
      <c r="K154" s="20">
        <v>0</v>
      </c>
      <c r="L154" s="20">
        <f>SUMIFS('Fin Forecast'!K3:K502,'Fin Forecast'!A3:A502,'Mar20-Aug20 Billed-RETAIL'!F154,'Fin Forecast'!B3:B502,L5)*10</f>
        <v>1000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1">
        <f>VLOOKUP($E154,'Retail Rates'!$B$7:$P$40,4,FALSE)</f>
        <v>165</v>
      </c>
      <c r="S154" s="21">
        <f>VLOOKUP($E154,'Retail Rates'!$B$7:$P$40,5,FALSE)</f>
        <v>750</v>
      </c>
      <c r="T154" s="22">
        <f>VLOOKUP($E154,'Retail Rates'!$B$7:$P$40,8,FALSE)</f>
        <v>2.9919999999999999E-2</v>
      </c>
      <c r="U154" s="22">
        <f>VLOOKUP($E154,'Retail Rates'!$B$7:$P$40,9,FALSE)</f>
        <v>0</v>
      </c>
      <c r="V154" s="22">
        <f>VLOOKUP($E154,'Retail Rates'!$B$7:$P$40,14,FALSE)</f>
        <v>1.08978</v>
      </c>
      <c r="W154" s="22">
        <f>VLOOKUP($E154,'Retail Rates'!$B$7:$P$40,10,FALSE)</f>
        <v>0.29919999999999997</v>
      </c>
      <c r="X154" s="22">
        <f>VLOOKUP($E154,'Retail Rates'!$B$7:$P$40,11,FALSE)</f>
        <v>0</v>
      </c>
      <c r="Y154" s="22">
        <f>VLOOKUP($E154,'Retail Rates'!$B$7:$P$40,15,FALSE)</f>
        <v>10.8978</v>
      </c>
      <c r="Z154" s="22">
        <v>0</v>
      </c>
      <c r="AA154" s="411">
        <f>(+H154*R154)</f>
        <v>330</v>
      </c>
      <c r="AB154" s="411">
        <f>+I154*S154</f>
        <v>0</v>
      </c>
      <c r="AC154" s="23">
        <f>+J154*T154</f>
        <v>0.20943999999999999</v>
      </c>
      <c r="AD154" s="411">
        <f t="shared" si="252"/>
        <v>0</v>
      </c>
      <c r="AE154" s="411">
        <f>L154*V154</f>
        <v>1089.78</v>
      </c>
      <c r="AF154" s="41">
        <v>0</v>
      </c>
      <c r="AG154" s="41">
        <v>0</v>
      </c>
      <c r="AH154" s="33">
        <v>0</v>
      </c>
      <c r="AI154" s="33">
        <v>0</v>
      </c>
      <c r="AJ154" s="41">
        <v>0</v>
      </c>
      <c r="AK154" s="41">
        <v>0</v>
      </c>
      <c r="AL154" s="33">
        <v>0</v>
      </c>
      <c r="AM154" s="33">
        <v>0</v>
      </c>
      <c r="AN154" s="41">
        <v>0</v>
      </c>
      <c r="AO154" s="33">
        <v>0</v>
      </c>
      <c r="AP154" s="411">
        <f t="shared" si="253"/>
        <v>330</v>
      </c>
      <c r="AQ154" s="411">
        <f t="shared" si="254"/>
        <v>0</v>
      </c>
      <c r="AR154" s="411">
        <f t="shared" si="255"/>
        <v>0.20943999999999999</v>
      </c>
      <c r="AS154" s="411">
        <f t="shared" si="256"/>
        <v>0</v>
      </c>
      <c r="AT154" s="411">
        <f t="shared" si="257"/>
        <v>1089.78</v>
      </c>
      <c r="AU154" s="411">
        <f t="shared" si="258"/>
        <v>0</v>
      </c>
      <c r="AV154" s="28">
        <f t="shared" si="259"/>
        <v>0</v>
      </c>
      <c r="AW154" s="28">
        <f t="shared" si="260"/>
        <v>2.75608438385837</v>
      </c>
      <c r="AX154" s="28">
        <f t="shared" si="261"/>
        <v>0</v>
      </c>
      <c r="AY154" s="28">
        <f t="shared" si="262"/>
        <v>126.203661412454</v>
      </c>
      <c r="AZ154" s="28">
        <f t="shared" si="262"/>
        <v>0</v>
      </c>
      <c r="BA154" s="28">
        <f t="shared" si="232"/>
        <v>1548.95</v>
      </c>
      <c r="BB154" s="28">
        <f t="shared" si="171"/>
        <v>1548.9491857963123</v>
      </c>
      <c r="BC154" s="29">
        <f>IF(BB154=0,0,ROUND(BB154/BA154,5))</f>
        <v>1</v>
      </c>
      <c r="BD154" s="28">
        <f>SUMIFS('Fin Forecast'!$K$5:$K$355,'Fin Forecast'!$A$5:$A$355,$F154,'Fin Forecast'!$B$5:$B$355,BD$5)</f>
        <v>330</v>
      </c>
      <c r="BE154" s="28">
        <f>SUMIFS('Fin Forecast'!$K$5:$K$355,'Fin Forecast'!$A$5:$A$355,$F154,'Fin Forecast'!$B$5:$B$355,BE$5)</f>
        <v>0.20943999999999999</v>
      </c>
      <c r="BF154" s="28">
        <f>SUMIFS('Fin Forecast'!$K$5:$K$355,'Fin Forecast'!$A$5:$A$355,$F154,'Fin Forecast'!$C$5:$C$355,BF$5)</f>
        <v>1089.78</v>
      </c>
      <c r="BG154" s="28">
        <f>SUMIFS('Fin Forecast'!$K$5:$K$355,'Fin Forecast'!$A$5:$A$355,$F154,'Fin Forecast'!$B$5:$B$355,BG$5)</f>
        <v>0</v>
      </c>
      <c r="BH154" s="28">
        <f>SUMIFS('Fin Forecast'!$K$5:$K$355,'Fin Forecast'!$A$5:$A$355,$F154,'Fin Forecast'!$B$5:$B$355,BH$5)</f>
        <v>2.75608438385837</v>
      </c>
      <c r="BI154" s="28">
        <f>SUMIFS('Fin Forecast'!$K$5:$K$355,'Fin Forecast'!$A$5:$A$355,$F154,'Fin Forecast'!$B$5:$B$355,BI$5)</f>
        <v>0</v>
      </c>
      <c r="BJ154" s="28">
        <f>SUMIFS('Fin Forecast'!$K$5:$K$355,'Fin Forecast'!$A$5:$A$355,$F154,'Fin Forecast'!$B$5:$B$355,BJ$5)</f>
        <v>126.203661412454</v>
      </c>
      <c r="BK154" s="28">
        <f>SUMIFS('Fin Forecast'!$K$5:$K$355,'Fin Forecast'!$A$5:$A$355,$F154,'Fin Forecast'!$B$5:$B$355,BK$5)</f>
        <v>0</v>
      </c>
      <c r="BL154" s="28">
        <f>SUMIFS('Fin Forecast'!$K$5:$K$355,'Fin Forecast'!$A$5:$A$355,$F154,'Fin Forecast'!$B$5:$B$355,BL$5)</f>
        <v>0</v>
      </c>
      <c r="BM154" s="42">
        <f t="shared" si="264"/>
        <v>0</v>
      </c>
      <c r="BN154" s="42">
        <f t="shared" si="265"/>
        <v>0</v>
      </c>
    </row>
    <row r="155" spans="1:66" x14ac:dyDescent="0.25">
      <c r="A155"/>
      <c r="C155" s="307">
        <f t="shared" si="266"/>
        <v>44228</v>
      </c>
      <c r="D155" s="408">
        <v>996</v>
      </c>
      <c r="E155" s="405" t="s">
        <v>32</v>
      </c>
      <c r="F155" s="405" t="s">
        <v>495</v>
      </c>
      <c r="G155" s="405" t="s">
        <v>624</v>
      </c>
      <c r="H155" s="20">
        <f>SUMIF('Forecasted Customer Cts'!$D$5:$D$28,$F155,'Forecasted Customer Cts'!$S$5:$S$28)</f>
        <v>1</v>
      </c>
      <c r="I155" s="20">
        <v>0</v>
      </c>
      <c r="J155" s="20">
        <f>SUMIF('Forecasted Calendar Month Usage'!$D$5:$D$32,$F155,'Forecasted Calendar Month Usage'!$S$5:$S$32)*10</f>
        <v>262486</v>
      </c>
      <c r="K155" s="20">
        <v>0</v>
      </c>
      <c r="L155" s="20">
        <f>SUMIFS('Fin Forecast'!K4:K503,'Fin Forecast'!A4:A503,'Mar20-Aug20 Billed-RETAIL'!F155,'Fin Forecast'!B4:B503,L5)*10</f>
        <v>165600.00183523301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1">
        <f>VLOOKUP($E155,'Retail Rates'!$B$7:$P$40,4,FALSE)</f>
        <v>750</v>
      </c>
      <c r="S155" s="21">
        <f>VLOOKUP($E155,'Retail Rates'!$B$7:$P$40,5,FALSE)</f>
        <v>0</v>
      </c>
      <c r="T155" s="22">
        <f>VLOOKUP($E155,'Retail Rates'!$B$7:$P$40,8,FALSE)</f>
        <v>2.9920000000000002E-2</v>
      </c>
      <c r="U155" s="22">
        <f>VLOOKUP($E155,'Retail Rates'!$B$7:$P$40,9,FALSE)</f>
        <v>0</v>
      </c>
      <c r="V155" s="22">
        <f>VLOOKUP($E155,'Retail Rates'!$B$7:$P$40,14,FALSE)</f>
        <v>1.08978</v>
      </c>
      <c r="W155" s="22">
        <f>VLOOKUP($E155,'Retail Rates'!$B$7:$P$40,10,FALSE)</f>
        <v>0.29920000000000002</v>
      </c>
      <c r="X155" s="22">
        <f>VLOOKUP($E155,'Retail Rates'!$B$7:$P$40,11,FALSE)</f>
        <v>0</v>
      </c>
      <c r="Y155" s="22">
        <f>VLOOKUP($E155,'Retail Rates'!$B$7:$P$40,15,FALSE)</f>
        <v>10.8978</v>
      </c>
      <c r="Z155" s="22">
        <v>0</v>
      </c>
      <c r="AA155" s="411">
        <f>(+H155*R155)</f>
        <v>750</v>
      </c>
      <c r="AB155" s="411">
        <f>+I155*S155</f>
        <v>0</v>
      </c>
      <c r="AC155" s="411">
        <f t="shared" si="252"/>
        <v>7853.5811200000007</v>
      </c>
      <c r="AD155" s="411">
        <f t="shared" si="252"/>
        <v>0</v>
      </c>
      <c r="AE155" s="411">
        <f>L155*V155</f>
        <v>180467.57000000021</v>
      </c>
      <c r="AF155" s="41">
        <v>0</v>
      </c>
      <c r="AG155" s="41">
        <v>0</v>
      </c>
      <c r="AH155" s="33">
        <v>0</v>
      </c>
      <c r="AI155" s="33">
        <v>0</v>
      </c>
      <c r="AJ155" s="41">
        <v>0</v>
      </c>
      <c r="AK155" s="41">
        <v>0</v>
      </c>
      <c r="AL155" s="33">
        <v>0</v>
      </c>
      <c r="AM155" s="33">
        <v>0</v>
      </c>
      <c r="AN155" s="41">
        <v>0</v>
      </c>
      <c r="AO155" s="33">
        <v>0</v>
      </c>
      <c r="AP155" s="411">
        <f t="shared" si="253"/>
        <v>750</v>
      </c>
      <c r="AQ155" s="411">
        <f t="shared" si="254"/>
        <v>0</v>
      </c>
      <c r="AR155" s="411">
        <f t="shared" si="255"/>
        <v>7853.5811200000007</v>
      </c>
      <c r="AS155" s="411">
        <f t="shared" si="256"/>
        <v>0</v>
      </c>
      <c r="AT155" s="411">
        <f>AE155+AO155</f>
        <v>180467.57000000021</v>
      </c>
      <c r="AU155" s="411">
        <f t="shared" si="258"/>
        <v>0</v>
      </c>
      <c r="AV155" s="28">
        <f t="shared" si="259"/>
        <v>0</v>
      </c>
      <c r="AW155" s="28">
        <f t="shared" si="260"/>
        <v>103347.652225921</v>
      </c>
      <c r="AX155" s="28">
        <f t="shared" si="261"/>
        <v>0</v>
      </c>
      <c r="AY155" s="28">
        <f t="shared" si="262"/>
        <v>0</v>
      </c>
      <c r="AZ155" s="28">
        <f t="shared" si="262"/>
        <v>0</v>
      </c>
      <c r="BA155" s="28">
        <f t="shared" si="232"/>
        <v>292418.8</v>
      </c>
      <c r="BB155" s="28">
        <f t="shared" si="171"/>
        <v>292418.80334592098</v>
      </c>
      <c r="BC155" s="29">
        <f t="shared" si="263"/>
        <v>1</v>
      </c>
      <c r="BD155" s="28">
        <f>SUMIFS('Fin Forecast'!$K$5:$K$3550,'Fin Forecast'!$A$5:$A$3550,$F155,'Fin Forecast'!$B$5:$B$3550,BD$5)</f>
        <v>750</v>
      </c>
      <c r="BE155" s="28">
        <f>SUMIFS('Fin Forecast'!$K$5:$K$3550,'Fin Forecast'!$A$5:$A$3550,$F155,'Fin Forecast'!$B$5:$B$3550,BE$5)</f>
        <v>7853.5811199999998</v>
      </c>
      <c r="BF155" s="28">
        <f>SUMIFS('Fin Forecast'!$K$5:$K$3550,'Fin Forecast'!$A$5:$A$3550,$F155,'Fin Forecast'!$C$5:$C$3550,BF$5)</f>
        <v>180467.57</v>
      </c>
      <c r="BG155" s="28">
        <f>SUMIFS('Fin Forecast'!$K$5:$K$3550,'Fin Forecast'!$A$5:$A$3550,$F155,'Fin Forecast'!$B$5:$B$3550,BG$5)</f>
        <v>0</v>
      </c>
      <c r="BH155" s="28">
        <f>SUMIFS('Fin Forecast'!$K$5:$K$3550,'Fin Forecast'!$A$5:$A$3550,$F155,'Fin Forecast'!$B$5:$B$3550,BH$5)</f>
        <v>103347.652225921</v>
      </c>
      <c r="BI155" s="28">
        <f>SUMIFS('Fin Forecast'!$K$5:$K$3550,'Fin Forecast'!$A$5:$A$3550,$F155,'Fin Forecast'!$B$5:$B$3550,BI$5)</f>
        <v>0</v>
      </c>
      <c r="BJ155" s="28">
        <f>SUMIFS('Fin Forecast'!$K$5:$K$3550,'Fin Forecast'!$A$5:$A$3550,$F155,'Fin Forecast'!$B$5:$B$3550,BJ$5)</f>
        <v>0</v>
      </c>
      <c r="BK155" s="28">
        <f>SUMIFS('Fin Forecast'!$K$5:$K$3550,'Fin Forecast'!$A$5:$A$3550,$F155,'Fin Forecast'!$B$5:$B$3550,BK$5)</f>
        <v>0</v>
      </c>
      <c r="BL155" s="28">
        <f>SUMIFS('Fin Forecast'!$K$5:$K$3550,'Fin Forecast'!$A$5:$A$3550,$F155,'Fin Forecast'!$B$5:$B$3550,BL$5)</f>
        <v>0</v>
      </c>
      <c r="BM155" s="42">
        <f t="shared" si="264"/>
        <v>0</v>
      </c>
      <c r="BN155" s="42">
        <f t="shared" si="265"/>
        <v>0</v>
      </c>
    </row>
    <row r="156" spans="1:66" s="279" customFormat="1" x14ac:dyDescent="0.25">
      <c r="A156"/>
      <c r="B156"/>
      <c r="C156" s="309"/>
      <c r="D156" s="309"/>
      <c r="J156" s="371"/>
      <c r="K156" s="371"/>
      <c r="AV156" s="284">
        <f>SUM(AV7:AV155)</f>
        <v>769217.42706999765</v>
      </c>
      <c r="AW156" s="284">
        <f>SUM(AW7:AW155)</f>
        <v>117047919.13616048</v>
      </c>
      <c r="AY156" s="284">
        <f>SUM(AY7:AY155)</f>
        <v>13367629.478255808</v>
      </c>
      <c r="AZ156" s="284"/>
      <c r="BA156" s="284">
        <f>SUM(BA7:BA155)</f>
        <v>341472472.70716095</v>
      </c>
      <c r="BB156" s="284">
        <f>SUM(BB7:BB155)</f>
        <v>341472473.53454894</v>
      </c>
      <c r="BG156" s="284">
        <f>SUM(BG7:BG155)</f>
        <v>769217.42706999765</v>
      </c>
      <c r="BH156" s="284">
        <f>SUM(BH7:BH155)</f>
        <v>117047919.13616048</v>
      </c>
      <c r="BJ156" s="284">
        <f>SUM(BJ7:BJ155)</f>
        <v>13367629.478255808</v>
      </c>
    </row>
    <row r="157" spans="1:66" x14ac:dyDescent="0.25">
      <c r="A157"/>
      <c r="C157" s="36"/>
      <c r="D157" s="36"/>
      <c r="AF157" s="549">
        <f>SUM(AF6:AF155)</f>
        <v>-3772</v>
      </c>
      <c r="AG157" s="549">
        <f>SUM(AG7:AG155)</f>
        <v>-31</v>
      </c>
      <c r="BB157"/>
      <c r="BD157" s="26" t="s">
        <v>89</v>
      </c>
      <c r="BE157" s="27" t="s">
        <v>374</v>
      </c>
      <c r="BF157" s="27" t="s">
        <v>154</v>
      </c>
      <c r="BG157" s="19" t="s">
        <v>109</v>
      </c>
      <c r="BH157" s="19" t="s">
        <v>107</v>
      </c>
      <c r="BI157" s="19" t="s">
        <v>171</v>
      </c>
      <c r="BJ157" s="27" t="s">
        <v>614</v>
      </c>
      <c r="BK157" s="27" t="s">
        <v>615</v>
      </c>
      <c r="BL157" s="27" t="s">
        <v>652</v>
      </c>
    </row>
    <row r="158" spans="1:66" x14ac:dyDescent="0.25">
      <c r="A158"/>
      <c r="C158" s="36"/>
      <c r="D158" s="36"/>
      <c r="G158" s="758" t="str">
        <f>'Retail Rates'!$B$7</f>
        <v>LGRSG811</v>
      </c>
      <c r="H158" s="274">
        <f>SUMIF($E$7:$E$155,$G158,$H$7:$H$155)</f>
        <v>3619848</v>
      </c>
      <c r="I158" s="274">
        <f t="shared" ref="I158:I172" si="268">SUMIF($E$7:$E$155,$G158,$I$7:$I$155)</f>
        <v>0</v>
      </c>
      <c r="J158" s="274">
        <f t="shared" ref="J158:J172" si="269">((SUMIF($E$7:$E$155,$G158,$J$7:$J$155))/10)*10</f>
        <v>208433190.78806615</v>
      </c>
      <c r="K158" s="274">
        <f t="shared" ref="K158:K172" si="270">((SUMIF($E$7:$E$155,$G158,$K$7:$K$155))/10)*10</f>
        <v>0</v>
      </c>
      <c r="L158" s="274">
        <f t="shared" ref="L158:L172" si="271">SUMIF($E$7:$E$155,$G158,$L$7:$L$155)</f>
        <v>0</v>
      </c>
      <c r="M158" s="274"/>
      <c r="N158" s="274"/>
      <c r="O158" s="274"/>
      <c r="P158" s="274">
        <f>SUMIF($E$7:$E$155,$G158,$P$7:$P$155)</f>
        <v>109296514.99999997</v>
      </c>
      <c r="Q158" s="274">
        <f>SUMIF($E$7:$E$155,$G158,$Q$7:$Q$155)</f>
        <v>0</v>
      </c>
      <c r="AP158" s="274">
        <f t="shared" ref="AP158:AY172" si="272">SUMIF($E$7:$E$155,$AZ158,AP$7:AP$155)</f>
        <v>71043147.339999989</v>
      </c>
      <c r="AQ158" s="274">
        <f t="shared" si="272"/>
        <v>0</v>
      </c>
      <c r="AR158" s="274">
        <f t="shared" si="272"/>
        <v>76643173.005666494</v>
      </c>
      <c r="AS158" s="274">
        <f t="shared" si="272"/>
        <v>0</v>
      </c>
      <c r="AT158" s="274">
        <f t="shared" si="272"/>
        <v>0</v>
      </c>
      <c r="AU158" s="274">
        <f t="shared" si="272"/>
        <v>-229.02999999999997</v>
      </c>
      <c r="AV158" s="274">
        <f t="shared" si="272"/>
        <v>443147.16494988778</v>
      </c>
      <c r="AW158" s="274">
        <f t="shared" si="272"/>
        <v>74274256.69619146</v>
      </c>
      <c r="AX158" s="274">
        <f t="shared" si="272"/>
        <v>1060949.3899999999</v>
      </c>
      <c r="AY158" s="274">
        <f t="shared" si="272"/>
        <v>9138037.2645493858</v>
      </c>
      <c r="AZ158" s="758" t="str">
        <f>'Retail Rates'!$B$7</f>
        <v>LGRSG811</v>
      </c>
      <c r="BA158" s="274">
        <f t="shared" ref="BA158:BA171" si="273">SUMIF($E$7:$E$155,$AZ158,$BA$7:$BA$155)</f>
        <v>233407949.69</v>
      </c>
      <c r="BC158" s="758" t="str">
        <f>'Retail Rates'!$B$7</f>
        <v>LGRSG811</v>
      </c>
      <c r="BD158" s="274">
        <f t="shared" ref="BD158:BD171" si="274">SUMIF($E$7:$E$155,$AZ158,$BD$7:$BD$155)</f>
        <v>71043147.519999981</v>
      </c>
      <c r="BE158" s="274">
        <f t="shared" ref="BE158:BE171" si="275">SUMIF($E$7:$E$155,$AZ158,$BE$7:$BE$155)</f>
        <v>76643173.005226344</v>
      </c>
      <c r="BF158" s="274">
        <f t="shared" ref="BF158:BF171" si="276">SUMIF($E$7:$E$155,$AZ158,$BF$7:$BF$155)</f>
        <v>0</v>
      </c>
      <c r="BG158" s="274">
        <f t="shared" ref="BG158:BG171" si="277">SUMIF($E$7:$E$155,$AZ158,$BG$7:$BG$155)</f>
        <v>443147.16494988778</v>
      </c>
      <c r="BH158" s="274">
        <f t="shared" ref="BH158:BH171" si="278">SUMIF($E$7:$E$155,$AZ158,$BH$7:$BH$155)</f>
        <v>74274256.69619146</v>
      </c>
      <c r="BI158" s="274">
        <f t="shared" ref="BI158:BI171" si="279">SUMIF($E$7:$E$155,$AZ158,$BI$7:$BI$155)</f>
        <v>1060949.3899999999</v>
      </c>
      <c r="BJ158" s="274">
        <f t="shared" ref="BJ158:BJ171" si="280">SUMIF($E$7:$E$155,$AZ158,$BJ$7:$BJ$155)</f>
        <v>9138037.2645493858</v>
      </c>
      <c r="BK158" s="274">
        <f t="shared" ref="BK158:BK171" si="281">SUMIF($E$7:$E$155,$AZ158,$BK$7:$BK$155)</f>
        <v>805467.85999999987</v>
      </c>
      <c r="BL158" s="274">
        <f t="shared" ref="BL158:BL171" si="282">SUMIF($E$7:$E$155,$AZ158,$BL$7:$BL$155)</f>
        <v>-229.02999999999997</v>
      </c>
    </row>
    <row r="159" spans="1:66" x14ac:dyDescent="0.25">
      <c r="A159"/>
      <c r="C159" s="36"/>
      <c r="D159" s="36"/>
      <c r="G159" s="758" t="str">
        <f>'Retail Rates'!$B$8</f>
        <v>LGRSG840</v>
      </c>
      <c r="H159" s="274">
        <f t="shared" ref="H159:H172" si="283">SUMIF($E$7:$E$155,$G159,$H$7:$H$155)</f>
        <v>18</v>
      </c>
      <c r="I159" s="274">
        <f t="shared" si="268"/>
        <v>0</v>
      </c>
      <c r="J159" s="274">
        <f t="shared" si="269"/>
        <v>4286</v>
      </c>
      <c r="K159" s="274">
        <f t="shared" si="270"/>
        <v>0</v>
      </c>
      <c r="L159" s="274">
        <f t="shared" si="271"/>
        <v>0</v>
      </c>
      <c r="M159" s="274"/>
      <c r="N159" s="274"/>
      <c r="O159" s="274"/>
      <c r="P159" s="274">
        <f t="shared" ref="P159:P172" si="284">SUMIF($E$7:$E$155,$G159,$P$7:$P$155)</f>
        <v>550</v>
      </c>
      <c r="Q159" s="274">
        <f t="shared" ref="Q159:Q172" si="285">SUMIF($E$7:$E$155,$G159,$Q$7:$Q$155)</f>
        <v>0</v>
      </c>
      <c r="R159"/>
      <c r="S159"/>
      <c r="T159"/>
      <c r="U159"/>
      <c r="V159"/>
      <c r="W159"/>
      <c r="X159"/>
      <c r="Y159"/>
      <c r="Z159"/>
      <c r="AA159"/>
      <c r="AB159"/>
      <c r="AP159" s="274">
        <f t="shared" si="272"/>
        <v>357.5</v>
      </c>
      <c r="AQ159" s="274">
        <f t="shared" si="272"/>
        <v>0</v>
      </c>
      <c r="AR159" s="274">
        <f t="shared" si="272"/>
        <v>1576.46272</v>
      </c>
      <c r="AS159" s="274">
        <f t="shared" si="272"/>
        <v>0</v>
      </c>
      <c r="AT159" s="274">
        <f t="shared" si="272"/>
        <v>0</v>
      </c>
      <c r="AU159" s="274">
        <f t="shared" si="272"/>
        <v>0</v>
      </c>
      <c r="AV159" s="274">
        <f t="shared" si="272"/>
        <v>-8.4300000000000015</v>
      </c>
      <c r="AW159" s="274">
        <f t="shared" si="272"/>
        <v>1361.02</v>
      </c>
      <c r="AX159" s="274">
        <f t="shared" si="272"/>
        <v>82.240000000000009</v>
      </c>
      <c r="AY159" s="274">
        <f t="shared" si="272"/>
        <v>27.41</v>
      </c>
      <c r="AZ159" s="758" t="str">
        <f>'Retail Rates'!$B$8</f>
        <v>LGRSG840</v>
      </c>
      <c r="BA159" s="274">
        <f t="shared" si="273"/>
        <v>3450.8199999999997</v>
      </c>
      <c r="BC159" s="758" t="str">
        <f>'Retail Rates'!$B$8</f>
        <v>LGRSG840</v>
      </c>
      <c r="BD159" s="274">
        <f t="shared" si="274"/>
        <v>357.5</v>
      </c>
      <c r="BE159" s="274">
        <f t="shared" si="275"/>
        <v>1576.46</v>
      </c>
      <c r="BF159" s="274">
        <f t="shared" si="276"/>
        <v>0</v>
      </c>
      <c r="BG159" s="274">
        <f t="shared" si="277"/>
        <v>-8.4300000000000015</v>
      </c>
      <c r="BH159" s="274">
        <f t="shared" si="278"/>
        <v>1361.02</v>
      </c>
      <c r="BI159" s="274">
        <f t="shared" si="279"/>
        <v>82.240000000000009</v>
      </c>
      <c r="BJ159" s="274">
        <f t="shared" si="280"/>
        <v>27.41</v>
      </c>
      <c r="BK159" s="274">
        <f t="shared" si="281"/>
        <v>54.61999999999999</v>
      </c>
      <c r="BL159" s="274">
        <f t="shared" si="282"/>
        <v>0</v>
      </c>
    </row>
    <row r="160" spans="1:66" x14ac:dyDescent="0.25">
      <c r="A160"/>
      <c r="C160" s="36"/>
      <c r="D160" s="36"/>
      <c r="E160" s="44"/>
      <c r="G160" s="758" t="str">
        <f>'Retail Rates'!$B$9</f>
        <v>LGCMG851</v>
      </c>
      <c r="H160" s="274">
        <f t="shared" si="283"/>
        <v>292454</v>
      </c>
      <c r="I160" s="274">
        <f t="shared" si="268"/>
        <v>14357</v>
      </c>
      <c r="J160" s="274">
        <f t="shared" si="269"/>
        <v>98587750.143223822</v>
      </c>
      <c r="K160" s="274">
        <f t="shared" si="270"/>
        <v>8691774.1203824393</v>
      </c>
      <c r="L160" s="274">
        <f t="shared" si="271"/>
        <v>0</v>
      </c>
      <c r="M160" s="274"/>
      <c r="N160" s="274"/>
      <c r="O160" s="274"/>
      <c r="P160" s="274">
        <f t="shared" si="284"/>
        <v>8795037</v>
      </c>
      <c r="Q160" s="274">
        <f t="shared" si="285"/>
        <v>433804.99999999953</v>
      </c>
      <c r="R160"/>
      <c r="S160"/>
      <c r="T160"/>
      <c r="U160"/>
      <c r="V160"/>
      <c r="W160"/>
      <c r="X160"/>
      <c r="Y160"/>
      <c r="Z160"/>
      <c r="AA160" s="774"/>
      <c r="AB160"/>
      <c r="AP160" s="274">
        <f t="shared" si="272"/>
        <v>17330099.25</v>
      </c>
      <c r="AQ160" s="274">
        <f t="shared" si="272"/>
        <v>4071630.4299999964</v>
      </c>
      <c r="AR160" s="274">
        <f t="shared" si="272"/>
        <v>30372031.588926747</v>
      </c>
      <c r="AS160" s="274">
        <f t="shared" si="272"/>
        <v>2231178.4167021718</v>
      </c>
      <c r="AT160" s="274">
        <f t="shared" si="272"/>
        <v>0</v>
      </c>
      <c r="AU160" s="274">
        <f t="shared" si="272"/>
        <v>0.81</v>
      </c>
      <c r="AV160" s="274">
        <f t="shared" si="272"/>
        <v>322510.1883306143</v>
      </c>
      <c r="AW160" s="274">
        <f t="shared" si="272"/>
        <v>38274701.986945406</v>
      </c>
      <c r="AX160" s="274">
        <f t="shared" si="272"/>
        <v>398442.02999999997</v>
      </c>
      <c r="AY160" s="274">
        <f t="shared" si="272"/>
        <v>3788107.7017866219</v>
      </c>
      <c r="AZ160" s="758" t="str">
        <f>'Retail Rates'!$B$9</f>
        <v>LGCMG851</v>
      </c>
      <c r="BA160" s="274">
        <f t="shared" si="273"/>
        <v>97140295.370000005</v>
      </c>
      <c r="BC160" s="758" t="str">
        <f>'Retail Rates'!$B$9</f>
        <v>LGCMG851</v>
      </c>
      <c r="BD160" s="274">
        <f t="shared" si="274"/>
        <v>21401729.419999983</v>
      </c>
      <c r="BE160" s="274">
        <f t="shared" si="275"/>
        <v>32603210.007528901</v>
      </c>
      <c r="BF160" s="274">
        <f t="shared" si="276"/>
        <v>0</v>
      </c>
      <c r="BG160" s="274">
        <f t="shared" si="277"/>
        <v>322510.1883306143</v>
      </c>
      <c r="BH160" s="274">
        <f t="shared" si="278"/>
        <v>38274701.986945406</v>
      </c>
      <c r="BI160" s="274">
        <f t="shared" si="279"/>
        <v>398442.02999999997</v>
      </c>
      <c r="BJ160" s="274">
        <f t="shared" si="280"/>
        <v>3788107.7017866219</v>
      </c>
      <c r="BK160" s="274">
        <f t="shared" si="281"/>
        <v>351592.96000000002</v>
      </c>
      <c r="BL160" s="274">
        <f t="shared" si="282"/>
        <v>0.81</v>
      </c>
    </row>
    <row r="161" spans="1:64" x14ac:dyDescent="0.25">
      <c r="A161"/>
      <c r="C161" s="36"/>
      <c r="D161" s="36"/>
      <c r="E161" s="44"/>
      <c r="G161" s="758" t="str">
        <f>'Retail Rates'!$B$10</f>
        <v>LGCMG851LT</v>
      </c>
      <c r="H161" s="274">
        <f t="shared" si="283"/>
        <v>6</v>
      </c>
      <c r="I161" s="274">
        <f t="shared" si="268"/>
        <v>0</v>
      </c>
      <c r="J161" s="274">
        <f t="shared" si="269"/>
        <v>1612</v>
      </c>
      <c r="K161" s="274">
        <f t="shared" si="270"/>
        <v>0</v>
      </c>
      <c r="L161" s="274">
        <f t="shared" si="271"/>
        <v>0</v>
      </c>
      <c r="M161" s="274"/>
      <c r="N161" s="274"/>
      <c r="O161" s="274"/>
      <c r="P161" s="274">
        <f t="shared" si="284"/>
        <v>181</v>
      </c>
      <c r="Q161" s="274">
        <f t="shared" si="285"/>
        <v>0</v>
      </c>
      <c r="R161"/>
      <c r="S161"/>
      <c r="T161"/>
      <c r="U161"/>
      <c r="V161"/>
      <c r="W161"/>
      <c r="X161"/>
      <c r="Y161"/>
      <c r="Z161"/>
      <c r="AA161" s="774"/>
      <c r="AB161"/>
      <c r="AP161" s="274">
        <f t="shared" si="272"/>
        <v>356.57</v>
      </c>
      <c r="AQ161" s="274">
        <f t="shared" si="272"/>
        <v>0</v>
      </c>
      <c r="AR161" s="274">
        <f t="shared" si="272"/>
        <v>494.40039999999993</v>
      </c>
      <c r="AS161" s="274">
        <f t="shared" si="272"/>
        <v>0</v>
      </c>
      <c r="AT161" s="274">
        <f t="shared" si="272"/>
        <v>0</v>
      </c>
      <c r="AU161" s="274">
        <f t="shared" si="272"/>
        <v>0</v>
      </c>
      <c r="AV161" s="274">
        <f t="shared" si="272"/>
        <v>0.68</v>
      </c>
      <c r="AW161" s="274">
        <f t="shared" si="272"/>
        <v>466.23000000000008</v>
      </c>
      <c r="AX161" s="274">
        <f t="shared" si="272"/>
        <v>-0.09</v>
      </c>
      <c r="AY161" s="274">
        <f t="shared" si="272"/>
        <v>46.44</v>
      </c>
      <c r="AZ161" s="758" t="str">
        <f>'Retail Rates'!$B$10</f>
        <v>LGCMG851LT</v>
      </c>
      <c r="BA161" s="274">
        <f t="shared" si="273"/>
        <v>1388.19</v>
      </c>
      <c r="BC161" s="758" t="str">
        <f>'Retail Rates'!$B$10</f>
        <v>LGCMG851LT</v>
      </c>
      <c r="BD161" s="274">
        <f t="shared" si="274"/>
        <v>356.57</v>
      </c>
      <c r="BE161" s="274">
        <f t="shared" si="275"/>
        <v>494.4</v>
      </c>
      <c r="BF161" s="274">
        <f t="shared" si="276"/>
        <v>0</v>
      </c>
      <c r="BG161" s="274">
        <f t="shared" si="277"/>
        <v>0.68</v>
      </c>
      <c r="BH161" s="274">
        <f t="shared" si="278"/>
        <v>466.23000000000008</v>
      </c>
      <c r="BI161" s="274">
        <f t="shared" si="279"/>
        <v>-0.09</v>
      </c>
      <c r="BJ161" s="274">
        <f t="shared" si="280"/>
        <v>46.44</v>
      </c>
      <c r="BK161" s="274">
        <f t="shared" si="281"/>
        <v>23.96</v>
      </c>
      <c r="BL161" s="274">
        <f t="shared" si="282"/>
        <v>0</v>
      </c>
    </row>
    <row r="162" spans="1:64" x14ac:dyDescent="0.25">
      <c r="A162"/>
      <c r="C162" s="36"/>
      <c r="D162" s="36"/>
      <c r="G162" s="758" t="str">
        <f>'Retail Rates'!$B$11</f>
        <v>LGING855</v>
      </c>
      <c r="H162" s="274">
        <f>SUMIF($E$7:$E$155,$G162,$H$7:$H$155)</f>
        <v>943</v>
      </c>
      <c r="I162" s="274">
        <f t="shared" si="268"/>
        <v>831</v>
      </c>
      <c r="J162" s="274">
        <f t="shared" si="269"/>
        <v>5173828.2444412485</v>
      </c>
      <c r="K162" s="274">
        <f t="shared" si="270"/>
        <v>2159860.6932546603</v>
      </c>
      <c r="L162" s="274">
        <f t="shared" si="271"/>
        <v>0</v>
      </c>
      <c r="M162" s="274"/>
      <c r="N162" s="274"/>
      <c r="O162" s="274"/>
      <c r="P162" s="274">
        <f t="shared" si="284"/>
        <v>28331</v>
      </c>
      <c r="Q162" s="274">
        <f>SUMIF($E$7:$E$155,$G162,$Q$7:$Q$155)</f>
        <v>25094.999999999996</v>
      </c>
      <c r="R162"/>
      <c r="S162"/>
      <c r="T162"/>
      <c r="U162"/>
      <c r="V162"/>
      <c r="W162"/>
      <c r="X162"/>
      <c r="Y162"/>
      <c r="Z162"/>
      <c r="AA162"/>
      <c r="AB162"/>
      <c r="AP162" s="274">
        <f t="shared" si="272"/>
        <v>153456.46</v>
      </c>
      <c r="AQ162" s="274">
        <f t="shared" si="272"/>
        <v>618340.79999999993</v>
      </c>
      <c r="AR162" s="274">
        <f t="shared" si="272"/>
        <v>1134568.7557235216</v>
      </c>
      <c r="AS162" s="274">
        <f t="shared" si="272"/>
        <v>365642.81676108146</v>
      </c>
      <c r="AT162" s="274">
        <f t="shared" si="272"/>
        <v>0</v>
      </c>
      <c r="AU162" s="274">
        <f t="shared" si="272"/>
        <v>0</v>
      </c>
      <c r="AV162" s="274">
        <f t="shared" si="272"/>
        <v>0</v>
      </c>
      <c r="AW162" s="274">
        <f t="shared" si="272"/>
        <v>2542992.4920173096</v>
      </c>
      <c r="AX162" s="274">
        <f t="shared" si="272"/>
        <v>0</v>
      </c>
      <c r="AY162" s="274">
        <f t="shared" si="272"/>
        <v>317319.96248895611</v>
      </c>
      <c r="AZ162" s="758" t="str">
        <f>'Retail Rates'!$B$11</f>
        <v>LGING855</v>
      </c>
      <c r="BA162" s="274">
        <f t="shared" si="273"/>
        <v>5150365.4499999993</v>
      </c>
      <c r="BC162" s="758" t="str">
        <f>'Retail Rates'!$B$11</f>
        <v>LGING855</v>
      </c>
      <c r="BD162" s="274">
        <f t="shared" si="274"/>
        <v>771797.25999999989</v>
      </c>
      <c r="BE162" s="274">
        <f t="shared" si="275"/>
        <v>1500211.5810946047</v>
      </c>
      <c r="BF162" s="274">
        <f t="shared" si="276"/>
        <v>0</v>
      </c>
      <c r="BG162" s="274">
        <f t="shared" si="277"/>
        <v>0</v>
      </c>
      <c r="BH162" s="274">
        <f t="shared" si="278"/>
        <v>2542992.4920173096</v>
      </c>
      <c r="BI162" s="274">
        <f t="shared" si="279"/>
        <v>0</v>
      </c>
      <c r="BJ162" s="274">
        <f t="shared" si="280"/>
        <v>317319.96248895611</v>
      </c>
      <c r="BK162" s="274">
        <f t="shared" si="281"/>
        <v>18044.16</v>
      </c>
      <c r="BL162" s="274">
        <f t="shared" si="282"/>
        <v>0</v>
      </c>
    </row>
    <row r="163" spans="1:64" x14ac:dyDescent="0.25">
      <c r="A163"/>
      <c r="C163" s="36"/>
      <c r="D163" s="36"/>
      <c r="G163" s="758" t="str">
        <f>'Retail Rates'!$B$12</f>
        <v>LGING855DS</v>
      </c>
      <c r="H163" s="274">
        <f>SUMIF($E$7:$E$155,$G163,$H$7:$H$155)</f>
        <v>448</v>
      </c>
      <c r="I163" s="274">
        <f t="shared" si="268"/>
        <v>363</v>
      </c>
      <c r="J163" s="274">
        <f t="shared" si="269"/>
        <v>977393</v>
      </c>
      <c r="K163" s="274">
        <f t="shared" si="270"/>
        <v>1729744</v>
      </c>
      <c r="L163" s="274">
        <f t="shared" si="271"/>
        <v>0</v>
      </c>
      <c r="M163" s="274"/>
      <c r="N163" s="274"/>
      <c r="O163" s="274"/>
      <c r="P163" s="274">
        <f>SUMIF($E$7:$E$155,$G163,$P$7:$P$155)</f>
        <v>13248</v>
      </c>
      <c r="Q163" s="274">
        <f t="shared" si="285"/>
        <v>10938</v>
      </c>
      <c r="R163"/>
      <c r="S163"/>
      <c r="T163"/>
      <c r="U163"/>
      <c r="V163"/>
      <c r="W163"/>
      <c r="X163"/>
      <c r="Y163"/>
      <c r="Z163"/>
      <c r="AA163"/>
      <c r="AB163"/>
      <c r="AP163" s="274">
        <f t="shared" si="272"/>
        <v>71804.159999999989</v>
      </c>
      <c r="AQ163" s="274">
        <f t="shared" si="272"/>
        <v>270399.35999999999</v>
      </c>
      <c r="AR163" s="274">
        <f t="shared" si="272"/>
        <v>216787.90097000002</v>
      </c>
      <c r="AS163" s="274">
        <f t="shared" si="272"/>
        <v>292828.36176</v>
      </c>
      <c r="AT163" s="274">
        <f t="shared" si="272"/>
        <v>0</v>
      </c>
      <c r="AU163" s="274">
        <f t="shared" si="272"/>
        <v>0</v>
      </c>
      <c r="AV163" s="274">
        <f t="shared" si="272"/>
        <v>1030.76</v>
      </c>
      <c r="AW163" s="274">
        <f t="shared" si="272"/>
        <v>816305.45</v>
      </c>
      <c r="AX163" s="274">
        <f t="shared" si="272"/>
        <v>0</v>
      </c>
      <c r="AY163" s="274">
        <f t="shared" si="272"/>
        <v>72975.570000000007</v>
      </c>
      <c r="AZ163" s="758" t="str">
        <f>'Retail Rates'!$B$12</f>
        <v>LGING855DS</v>
      </c>
      <c r="BA163" s="274">
        <f t="shared" si="273"/>
        <v>1763717.1900000002</v>
      </c>
      <c r="BC163" s="758" t="str">
        <f>'Retail Rates'!$B$12</f>
        <v>LGING855DS</v>
      </c>
      <c r="BD163" s="274">
        <f t="shared" si="274"/>
        <v>342203.52</v>
      </c>
      <c r="BE163" s="274">
        <f t="shared" si="275"/>
        <v>509616.36</v>
      </c>
      <c r="BF163" s="274">
        <f t="shared" si="276"/>
        <v>0</v>
      </c>
      <c r="BG163" s="274">
        <f t="shared" si="277"/>
        <v>1030.76</v>
      </c>
      <c r="BH163" s="274">
        <f t="shared" si="278"/>
        <v>816305.45</v>
      </c>
      <c r="BI163" s="274">
        <f t="shared" si="279"/>
        <v>0</v>
      </c>
      <c r="BJ163" s="274">
        <f t="shared" si="280"/>
        <v>72975.570000000007</v>
      </c>
      <c r="BK163" s="274">
        <f t="shared" si="281"/>
        <v>21585.62</v>
      </c>
      <c r="BL163" s="274">
        <f t="shared" si="282"/>
        <v>0</v>
      </c>
    </row>
    <row r="164" spans="1:64" x14ac:dyDescent="0.25">
      <c r="A164"/>
      <c r="C164" s="36"/>
      <c r="D164" s="36"/>
      <c r="G164" s="758" t="str">
        <f>'Retail Rates'!$B$13</f>
        <v>LGCMG863</v>
      </c>
      <c r="H164" s="274">
        <f t="shared" si="283"/>
        <v>3647</v>
      </c>
      <c r="I164" s="274">
        <f t="shared" si="268"/>
        <v>0</v>
      </c>
      <c r="J164" s="274">
        <f t="shared" si="269"/>
        <v>3606</v>
      </c>
      <c r="K164" s="274">
        <f t="shared" si="270"/>
        <v>0</v>
      </c>
      <c r="L164" s="274">
        <f t="shared" si="271"/>
        <v>0</v>
      </c>
      <c r="M164" s="274"/>
      <c r="N164" s="274"/>
      <c r="O164" s="274"/>
      <c r="P164" s="274">
        <f>SUMIF($E$7:$E$155,$G164,$P$7:$P$155)</f>
        <v>110431</v>
      </c>
      <c r="Q164" s="274">
        <f t="shared" si="285"/>
        <v>0</v>
      </c>
      <c r="R164"/>
      <c r="S164"/>
      <c r="T164"/>
      <c r="U164"/>
      <c r="V164"/>
      <c r="W164"/>
      <c r="X164"/>
      <c r="Y164"/>
      <c r="Z164"/>
      <c r="AA164" s="774"/>
      <c r="AB164"/>
      <c r="AP164" s="274">
        <f t="shared" si="272"/>
        <v>217549.07</v>
      </c>
      <c r="AQ164" s="274">
        <f t="shared" si="272"/>
        <v>0</v>
      </c>
      <c r="AR164" s="274">
        <f t="shared" si="272"/>
        <v>1117.8599999999999</v>
      </c>
      <c r="AS164" s="274">
        <f t="shared" si="272"/>
        <v>0</v>
      </c>
      <c r="AT164" s="274">
        <f t="shared" si="272"/>
        <v>0</v>
      </c>
      <c r="AU164" s="274">
        <f t="shared" si="272"/>
        <v>0</v>
      </c>
      <c r="AV164" s="274">
        <f t="shared" si="272"/>
        <v>0</v>
      </c>
      <c r="AW164" s="274">
        <f t="shared" si="272"/>
        <v>1053.03</v>
      </c>
      <c r="AX164" s="274">
        <f t="shared" si="272"/>
        <v>0</v>
      </c>
      <c r="AY164" s="274">
        <f t="shared" si="272"/>
        <v>27417.54</v>
      </c>
      <c r="AZ164" s="758" t="str">
        <f>'Retail Rates'!$B$13</f>
        <v>LGCMG863</v>
      </c>
      <c r="BA164" s="274">
        <f t="shared" si="273"/>
        <v>247194.26999999996</v>
      </c>
      <c r="BC164" s="758" t="str">
        <f>'Retail Rates'!$B$13</f>
        <v>LGCMG863</v>
      </c>
      <c r="BD164" s="274">
        <f t="shared" si="274"/>
        <v>217549.07</v>
      </c>
      <c r="BE164" s="274">
        <f t="shared" si="275"/>
        <v>1117.8599999999999</v>
      </c>
      <c r="BF164" s="274">
        <f t="shared" si="276"/>
        <v>0</v>
      </c>
      <c r="BG164" s="274">
        <f t="shared" si="277"/>
        <v>0</v>
      </c>
      <c r="BH164" s="274">
        <f t="shared" si="278"/>
        <v>1053.03</v>
      </c>
      <c r="BI164" s="274">
        <f t="shared" si="279"/>
        <v>0</v>
      </c>
      <c r="BJ164" s="274">
        <f t="shared" si="280"/>
        <v>27417.54</v>
      </c>
      <c r="BK164" s="274">
        <f t="shared" si="281"/>
        <v>56.769999999999996</v>
      </c>
      <c r="BL164" s="274">
        <f t="shared" si="282"/>
        <v>0</v>
      </c>
    </row>
    <row r="165" spans="1:64" x14ac:dyDescent="0.25">
      <c r="A165"/>
      <c r="C165" s="36"/>
      <c r="D165" s="36"/>
      <c r="G165" s="758" t="str">
        <f>'Retail Rates'!$B$14</f>
        <v>LGCMG865</v>
      </c>
      <c r="H165" s="274">
        <f t="shared" si="283"/>
        <v>26</v>
      </c>
      <c r="I165" s="274">
        <f t="shared" si="268"/>
        <v>0</v>
      </c>
      <c r="J165" s="274">
        <f t="shared" si="269"/>
        <v>0</v>
      </c>
      <c r="K165" s="274">
        <f t="shared" si="270"/>
        <v>0</v>
      </c>
      <c r="L165" s="274">
        <f t="shared" si="271"/>
        <v>0</v>
      </c>
      <c r="M165" s="274"/>
      <c r="N165" s="274"/>
      <c r="O165" s="274"/>
      <c r="P165" s="274">
        <f t="shared" si="284"/>
        <v>0</v>
      </c>
      <c r="Q165" s="274">
        <f t="shared" si="285"/>
        <v>0</v>
      </c>
      <c r="R165"/>
      <c r="S165"/>
      <c r="T165"/>
      <c r="U165"/>
      <c r="V165"/>
      <c r="W165"/>
      <c r="X165"/>
      <c r="Y165"/>
      <c r="Z165"/>
      <c r="AA165"/>
      <c r="AB165"/>
      <c r="AP165" s="274">
        <f t="shared" si="272"/>
        <v>13000</v>
      </c>
      <c r="AQ165" s="274">
        <f t="shared" si="272"/>
        <v>0</v>
      </c>
      <c r="AR165" s="274">
        <f t="shared" si="272"/>
        <v>70046.221452770362</v>
      </c>
      <c r="AS165" s="274">
        <f t="shared" si="272"/>
        <v>0</v>
      </c>
      <c r="AT165" s="274">
        <f t="shared" si="272"/>
        <v>0</v>
      </c>
      <c r="AU165" s="274">
        <f t="shared" si="272"/>
        <v>0</v>
      </c>
      <c r="AV165" s="274">
        <f t="shared" si="272"/>
        <v>2421.1426545083432</v>
      </c>
      <c r="AW165" s="274">
        <f t="shared" si="272"/>
        <v>212585.73219336601</v>
      </c>
      <c r="AX165" s="274">
        <f t="shared" si="272"/>
        <v>0</v>
      </c>
      <c r="AY165" s="274">
        <f t="shared" si="272"/>
        <v>14951.799042538591</v>
      </c>
      <c r="AZ165" s="758" t="str">
        <f>'Retail Rates'!$B$14</f>
        <v>LGCMG865</v>
      </c>
      <c r="BA165" s="274">
        <f t="shared" si="273"/>
        <v>315620.94</v>
      </c>
      <c r="BC165" s="758" t="str">
        <f>'Retail Rates'!$B$14</f>
        <v>LGCMG865</v>
      </c>
      <c r="BD165" s="274">
        <f t="shared" si="274"/>
        <v>13000</v>
      </c>
      <c r="BE165" s="274">
        <f t="shared" si="275"/>
        <v>70046.232252770307</v>
      </c>
      <c r="BF165" s="274">
        <f t="shared" si="276"/>
        <v>0</v>
      </c>
      <c r="BG165" s="274">
        <f t="shared" si="277"/>
        <v>2421.1426545083432</v>
      </c>
      <c r="BH165" s="274">
        <f t="shared" si="278"/>
        <v>212585.73219336601</v>
      </c>
      <c r="BI165" s="274">
        <f t="shared" si="279"/>
        <v>0</v>
      </c>
      <c r="BJ165" s="274">
        <f t="shared" si="280"/>
        <v>14951.799042538591</v>
      </c>
      <c r="BK165" s="274">
        <f t="shared" si="281"/>
        <v>2616.04</v>
      </c>
      <c r="BL165" s="274">
        <f t="shared" si="282"/>
        <v>0</v>
      </c>
    </row>
    <row r="166" spans="1:64" x14ac:dyDescent="0.25">
      <c r="A166"/>
      <c r="C166" s="36"/>
      <c r="D166" s="36"/>
      <c r="G166" s="758" t="str">
        <f>'Retail Rates'!$B$15</f>
        <v>LGING866</v>
      </c>
      <c r="H166" s="274">
        <f t="shared" si="283"/>
        <v>0</v>
      </c>
      <c r="I166" s="274">
        <f t="shared" si="268"/>
        <v>0</v>
      </c>
      <c r="J166" s="274">
        <f t="shared" si="269"/>
        <v>0</v>
      </c>
      <c r="K166" s="274">
        <f t="shared" si="270"/>
        <v>0</v>
      </c>
      <c r="L166" s="274">
        <f t="shared" si="271"/>
        <v>0</v>
      </c>
      <c r="M166" s="274"/>
      <c r="N166" s="274"/>
      <c r="O166" s="274"/>
      <c r="P166" s="274">
        <f t="shared" si="284"/>
        <v>0</v>
      </c>
      <c r="Q166" s="274">
        <f t="shared" si="285"/>
        <v>0</v>
      </c>
      <c r="R166"/>
      <c r="S166"/>
      <c r="T166"/>
      <c r="U166"/>
      <c r="V166"/>
      <c r="W166"/>
      <c r="X166"/>
      <c r="Y166"/>
      <c r="Z166"/>
      <c r="AA166"/>
      <c r="AB166"/>
      <c r="AP166" s="274">
        <f t="shared" si="272"/>
        <v>0</v>
      </c>
      <c r="AQ166" s="274">
        <f t="shared" si="272"/>
        <v>0</v>
      </c>
      <c r="AR166" s="274">
        <f t="shared" si="272"/>
        <v>0</v>
      </c>
      <c r="AS166" s="274">
        <f t="shared" si="272"/>
        <v>0</v>
      </c>
      <c r="AT166" s="274">
        <f t="shared" si="272"/>
        <v>0</v>
      </c>
      <c r="AU166" s="274">
        <f t="shared" si="272"/>
        <v>0</v>
      </c>
      <c r="AV166" s="274">
        <f t="shared" si="272"/>
        <v>0</v>
      </c>
      <c r="AW166" s="274">
        <f t="shared" si="272"/>
        <v>0</v>
      </c>
      <c r="AX166" s="274">
        <f t="shared" si="272"/>
        <v>0</v>
      </c>
      <c r="AY166" s="274">
        <f t="shared" si="272"/>
        <v>0</v>
      </c>
      <c r="AZ166" s="758" t="str">
        <f>'Retail Rates'!$B$15</f>
        <v>LGING866</v>
      </c>
      <c r="BA166" s="274">
        <f t="shared" si="273"/>
        <v>0</v>
      </c>
      <c r="BC166" s="758" t="str">
        <f>'Retail Rates'!$B$15</f>
        <v>LGING866</v>
      </c>
      <c r="BD166" s="274">
        <f t="shared" si="274"/>
        <v>0</v>
      </c>
      <c r="BE166" s="274">
        <f t="shared" si="275"/>
        <v>0</v>
      </c>
      <c r="BF166" s="274">
        <f t="shared" si="276"/>
        <v>0</v>
      </c>
      <c r="BG166" s="274">
        <f t="shared" si="277"/>
        <v>0</v>
      </c>
      <c r="BH166" s="274">
        <f t="shared" si="278"/>
        <v>0</v>
      </c>
      <c r="BI166" s="274">
        <f t="shared" si="279"/>
        <v>0</v>
      </c>
      <c r="BJ166" s="274">
        <f t="shared" si="280"/>
        <v>0</v>
      </c>
      <c r="BK166" s="274">
        <f t="shared" si="281"/>
        <v>0</v>
      </c>
      <c r="BL166" s="274">
        <f t="shared" si="282"/>
        <v>0</v>
      </c>
    </row>
    <row r="167" spans="1:64" x14ac:dyDescent="0.25">
      <c r="A167"/>
      <c r="C167" s="36"/>
      <c r="D167" s="36"/>
      <c r="G167" s="758" t="str">
        <f>'Retail Rates'!$B$16</f>
        <v>LGING866DS</v>
      </c>
      <c r="H167" s="274">
        <f t="shared" si="283"/>
        <v>6</v>
      </c>
      <c r="I167" s="274">
        <f t="shared" si="268"/>
        <v>0</v>
      </c>
      <c r="J167" s="274">
        <f t="shared" si="269"/>
        <v>0</v>
      </c>
      <c r="K167" s="274">
        <f t="shared" si="270"/>
        <v>0</v>
      </c>
      <c r="L167" s="274">
        <f t="shared" si="271"/>
        <v>0</v>
      </c>
      <c r="M167" s="274"/>
      <c r="N167" s="274"/>
      <c r="O167" s="274"/>
      <c r="P167" s="274">
        <f t="shared" si="284"/>
        <v>0</v>
      </c>
      <c r="Q167" s="274">
        <f t="shared" si="285"/>
        <v>0</v>
      </c>
      <c r="R167"/>
      <c r="S167"/>
      <c r="T167"/>
      <c r="U167"/>
      <c r="V167"/>
      <c r="W167"/>
      <c r="X167"/>
      <c r="Y167"/>
      <c r="Z167"/>
      <c r="AA167"/>
      <c r="AB167"/>
      <c r="AP167" s="274">
        <f t="shared" si="272"/>
        <v>3000</v>
      </c>
      <c r="AQ167" s="274">
        <f t="shared" si="272"/>
        <v>0</v>
      </c>
      <c r="AR167" s="274">
        <f t="shared" si="272"/>
        <v>19664.15136</v>
      </c>
      <c r="AS167" s="274">
        <f t="shared" si="272"/>
        <v>0</v>
      </c>
      <c r="AT167" s="274">
        <f t="shared" si="272"/>
        <v>0</v>
      </c>
      <c r="AU167" s="274">
        <f t="shared" si="272"/>
        <v>0</v>
      </c>
      <c r="AV167" s="274">
        <f t="shared" si="272"/>
        <v>82.820000000000007</v>
      </c>
      <c r="AW167" s="274">
        <f t="shared" si="272"/>
        <v>52478.44</v>
      </c>
      <c r="AX167" s="274">
        <f t="shared" si="272"/>
        <v>0</v>
      </c>
      <c r="AY167" s="274">
        <f t="shared" si="272"/>
        <v>569.64</v>
      </c>
      <c r="AZ167" s="758" t="str">
        <f>'Retail Rates'!$B$16</f>
        <v>LGING866DS</v>
      </c>
      <c r="BA167" s="274">
        <f t="shared" si="273"/>
        <v>77606.14</v>
      </c>
      <c r="BC167" s="758" t="str">
        <f>'Retail Rates'!$B$16</f>
        <v>LGING866DS</v>
      </c>
      <c r="BD167" s="274">
        <f t="shared" si="274"/>
        <v>3000</v>
      </c>
      <c r="BE167" s="274">
        <f t="shared" si="275"/>
        <v>19664.140000000003</v>
      </c>
      <c r="BF167" s="274">
        <f t="shared" si="276"/>
        <v>0</v>
      </c>
      <c r="BG167" s="274">
        <f t="shared" si="277"/>
        <v>82.820000000000007</v>
      </c>
      <c r="BH167" s="274">
        <f t="shared" si="278"/>
        <v>52478.44</v>
      </c>
      <c r="BI167" s="274">
        <f t="shared" si="279"/>
        <v>0</v>
      </c>
      <c r="BJ167" s="274">
        <f t="shared" si="280"/>
        <v>569.64</v>
      </c>
      <c r="BK167" s="274">
        <f t="shared" si="281"/>
        <v>1811.1000000000001</v>
      </c>
      <c r="BL167" s="274">
        <f t="shared" si="282"/>
        <v>0</v>
      </c>
    </row>
    <row r="168" spans="1:64" x14ac:dyDescent="0.25">
      <c r="A168"/>
      <c r="C168" s="36"/>
      <c r="D168" s="36"/>
      <c r="G168" s="758" t="str">
        <f>'Retail Rates'!$B$17</f>
        <v>LGCMG870</v>
      </c>
      <c r="H168" s="274">
        <f t="shared" si="283"/>
        <v>12</v>
      </c>
      <c r="I168" s="274">
        <f t="shared" si="268"/>
        <v>0</v>
      </c>
      <c r="J168" s="274">
        <f t="shared" si="269"/>
        <v>0</v>
      </c>
      <c r="K168" s="274">
        <f t="shared" si="270"/>
        <v>0</v>
      </c>
      <c r="L168" s="274">
        <f t="shared" si="271"/>
        <v>0</v>
      </c>
      <c r="M168" s="274"/>
      <c r="N168" s="274"/>
      <c r="O168" s="274"/>
      <c r="P168" s="274">
        <f t="shared" si="284"/>
        <v>0</v>
      </c>
      <c r="Q168" s="274">
        <f t="shared" si="285"/>
        <v>0</v>
      </c>
      <c r="R168"/>
      <c r="S168"/>
      <c r="T168"/>
      <c r="U168"/>
      <c r="V168"/>
      <c r="W168"/>
      <c r="X168"/>
      <c r="Y168"/>
      <c r="Z168"/>
      <c r="AA168"/>
      <c r="AB168"/>
      <c r="AP168" s="274">
        <f t="shared" si="272"/>
        <v>3705</v>
      </c>
      <c r="AQ168" s="274">
        <f t="shared" si="272"/>
        <v>0</v>
      </c>
      <c r="AR168" s="274">
        <f t="shared" si="272"/>
        <v>1063.6757499999999</v>
      </c>
      <c r="AS168" s="274">
        <f t="shared" si="272"/>
        <v>0</v>
      </c>
      <c r="AT168" s="274">
        <f t="shared" si="272"/>
        <v>200730.1240000001</v>
      </c>
      <c r="AU168" s="274">
        <f t="shared" si="272"/>
        <v>0</v>
      </c>
      <c r="AV168" s="274">
        <f t="shared" si="272"/>
        <v>33.101134987067731</v>
      </c>
      <c r="AW168" s="274">
        <f t="shared" si="272"/>
        <v>10468.589022697131</v>
      </c>
      <c r="AX168" s="274">
        <f t="shared" si="272"/>
        <v>0</v>
      </c>
      <c r="AY168" s="274">
        <f t="shared" si="272"/>
        <v>5352.8815374135593</v>
      </c>
      <c r="AZ168" s="758" t="str">
        <f>'Retail Rates'!$B$17</f>
        <v>LGCMG870</v>
      </c>
      <c r="BA168" s="274">
        <f t="shared" si="273"/>
        <v>221476.58</v>
      </c>
      <c r="BC168" s="758" t="str">
        <f>'Retail Rates'!$B$17</f>
        <v>LGCMG870</v>
      </c>
      <c r="BD168" s="274">
        <f t="shared" si="274"/>
        <v>3705</v>
      </c>
      <c r="BE168" s="274">
        <f t="shared" si="275"/>
        <v>1063.67</v>
      </c>
      <c r="BF168" s="274">
        <f t="shared" si="276"/>
        <v>200730.13999999998</v>
      </c>
      <c r="BG168" s="274">
        <f t="shared" si="277"/>
        <v>33.101134987067731</v>
      </c>
      <c r="BH168" s="274">
        <f t="shared" si="278"/>
        <v>10468.589022697131</v>
      </c>
      <c r="BI168" s="274">
        <f t="shared" si="279"/>
        <v>0</v>
      </c>
      <c r="BJ168" s="274">
        <f t="shared" si="280"/>
        <v>5352.8815374135593</v>
      </c>
      <c r="BK168" s="274">
        <f t="shared" si="281"/>
        <v>123.22</v>
      </c>
      <c r="BL168" s="274">
        <f t="shared" si="282"/>
        <v>0</v>
      </c>
    </row>
    <row r="169" spans="1:64" x14ac:dyDescent="0.25">
      <c r="A169"/>
      <c r="C169" s="36"/>
      <c r="D169" s="36"/>
      <c r="G169" s="758" t="str">
        <f>'Retail Rates'!$B$18</f>
        <v>LGING871DO</v>
      </c>
      <c r="H169" s="274">
        <f t="shared" si="283"/>
        <v>0</v>
      </c>
      <c r="I169" s="274">
        <f t="shared" si="268"/>
        <v>0</v>
      </c>
      <c r="J169" s="274">
        <f t="shared" si="269"/>
        <v>0</v>
      </c>
      <c r="K169" s="274">
        <f t="shared" si="270"/>
        <v>0</v>
      </c>
      <c r="L169" s="274">
        <f t="shared" si="271"/>
        <v>0</v>
      </c>
      <c r="M169" s="274"/>
      <c r="N169" s="274"/>
      <c r="O169" s="274"/>
      <c r="P169" s="274">
        <f t="shared" si="284"/>
        <v>0</v>
      </c>
      <c r="Q169" s="274">
        <f t="shared" si="285"/>
        <v>0</v>
      </c>
      <c r="R169"/>
      <c r="S169"/>
      <c r="T169"/>
      <c r="U169"/>
      <c r="V169"/>
      <c r="W169"/>
      <c r="X169"/>
      <c r="Y169"/>
      <c r="Z169"/>
      <c r="AA169"/>
      <c r="AB169"/>
      <c r="AP169" s="274">
        <f t="shared" si="272"/>
        <v>0</v>
      </c>
      <c r="AQ169" s="274">
        <f t="shared" si="272"/>
        <v>0</v>
      </c>
      <c r="AR169" s="274">
        <f t="shared" si="272"/>
        <v>0</v>
      </c>
      <c r="AS169" s="274">
        <f t="shared" si="272"/>
        <v>0</v>
      </c>
      <c r="AT169" s="274">
        <f t="shared" si="272"/>
        <v>0</v>
      </c>
      <c r="AU169" s="274">
        <f t="shared" si="272"/>
        <v>0</v>
      </c>
      <c r="AV169" s="274">
        <f t="shared" si="272"/>
        <v>0</v>
      </c>
      <c r="AW169" s="274">
        <f t="shared" si="272"/>
        <v>0</v>
      </c>
      <c r="AX169" s="274">
        <f t="shared" si="272"/>
        <v>0</v>
      </c>
      <c r="AY169" s="274">
        <f t="shared" si="272"/>
        <v>0</v>
      </c>
      <c r="AZ169" s="758" t="str">
        <f>'Retail Rates'!$B$18</f>
        <v>LGING871DO</v>
      </c>
      <c r="BA169" s="274">
        <f t="shared" si="273"/>
        <v>0</v>
      </c>
      <c r="BC169" s="758" t="str">
        <f>'Retail Rates'!$B$18</f>
        <v>LGING871DO</v>
      </c>
      <c r="BD169" s="274">
        <f t="shared" si="274"/>
        <v>0</v>
      </c>
      <c r="BE169" s="274">
        <f t="shared" si="275"/>
        <v>0</v>
      </c>
      <c r="BF169" s="274">
        <f t="shared" si="276"/>
        <v>0</v>
      </c>
      <c r="BG169" s="274">
        <f t="shared" si="277"/>
        <v>0</v>
      </c>
      <c r="BH169" s="274">
        <f t="shared" si="278"/>
        <v>0</v>
      </c>
      <c r="BI169" s="274">
        <f t="shared" si="279"/>
        <v>0</v>
      </c>
      <c r="BJ169" s="274">
        <f t="shared" si="280"/>
        <v>0</v>
      </c>
      <c r="BK169" s="274">
        <f t="shared" si="281"/>
        <v>0</v>
      </c>
      <c r="BL169" s="274">
        <f t="shared" si="282"/>
        <v>0</v>
      </c>
    </row>
    <row r="170" spans="1:64" x14ac:dyDescent="0.25">
      <c r="A170"/>
      <c r="C170" s="36"/>
      <c r="D170" s="36"/>
      <c r="G170" s="758" t="str">
        <f>'Retail Rates'!$B$19</f>
        <v>LGING871DS</v>
      </c>
      <c r="H170" s="274">
        <f t="shared" si="283"/>
        <v>0</v>
      </c>
      <c r="I170" s="274">
        <f t="shared" si="268"/>
        <v>0</v>
      </c>
      <c r="J170" s="274">
        <f t="shared" si="269"/>
        <v>0</v>
      </c>
      <c r="K170" s="274">
        <f t="shared" si="270"/>
        <v>0</v>
      </c>
      <c r="L170" s="274">
        <f t="shared" si="271"/>
        <v>0</v>
      </c>
      <c r="M170" s="274"/>
      <c r="N170" s="274"/>
      <c r="O170" s="274"/>
      <c r="P170" s="274">
        <f t="shared" si="284"/>
        <v>0</v>
      </c>
      <c r="Q170" s="274">
        <f t="shared" si="285"/>
        <v>0</v>
      </c>
      <c r="R170"/>
      <c r="S170"/>
      <c r="T170"/>
      <c r="U170"/>
      <c r="V170"/>
      <c r="W170"/>
      <c r="X170"/>
      <c r="Y170"/>
      <c r="Z170"/>
      <c r="AA170"/>
      <c r="AB170"/>
      <c r="AP170" s="274">
        <f t="shared" si="272"/>
        <v>0</v>
      </c>
      <c r="AQ170" s="274">
        <f t="shared" si="272"/>
        <v>0</v>
      </c>
      <c r="AR170" s="274">
        <f t="shared" si="272"/>
        <v>0</v>
      </c>
      <c r="AS170" s="274">
        <f t="shared" si="272"/>
        <v>0</v>
      </c>
      <c r="AT170" s="274">
        <f t="shared" si="272"/>
        <v>0</v>
      </c>
      <c r="AU170" s="274">
        <f t="shared" si="272"/>
        <v>0</v>
      </c>
      <c r="AV170" s="274">
        <f t="shared" si="272"/>
        <v>0</v>
      </c>
      <c r="AW170" s="274">
        <f t="shared" si="272"/>
        <v>0</v>
      </c>
      <c r="AX170" s="274">
        <f t="shared" si="272"/>
        <v>0</v>
      </c>
      <c r="AY170" s="274">
        <f t="shared" si="272"/>
        <v>0</v>
      </c>
      <c r="AZ170" s="758" t="str">
        <f>'Retail Rates'!$B$19</f>
        <v>LGING871DS</v>
      </c>
      <c r="BA170" s="274">
        <f t="shared" si="273"/>
        <v>0</v>
      </c>
      <c r="BC170" s="758" t="str">
        <f>'Retail Rates'!$B$19</f>
        <v>LGING871DS</v>
      </c>
      <c r="BD170" s="274">
        <f t="shared" si="274"/>
        <v>0</v>
      </c>
      <c r="BE170" s="274">
        <f t="shared" si="275"/>
        <v>0</v>
      </c>
      <c r="BF170" s="274">
        <f t="shared" si="276"/>
        <v>0</v>
      </c>
      <c r="BG170" s="274">
        <f t="shared" si="277"/>
        <v>0</v>
      </c>
      <c r="BH170" s="274">
        <f t="shared" si="278"/>
        <v>0</v>
      </c>
      <c r="BI170" s="274">
        <f t="shared" si="279"/>
        <v>0</v>
      </c>
      <c r="BJ170" s="274">
        <f t="shared" si="280"/>
        <v>0</v>
      </c>
      <c r="BK170" s="274">
        <f t="shared" si="281"/>
        <v>0</v>
      </c>
      <c r="BL170" s="274">
        <f t="shared" si="282"/>
        <v>0</v>
      </c>
    </row>
    <row r="171" spans="1:64" x14ac:dyDescent="0.25">
      <c r="A171"/>
      <c r="C171" s="36"/>
      <c r="D171" s="36"/>
      <c r="G171" s="758" t="str">
        <f>'Retail Rates'!$B$21</f>
        <v>LGCMG875</v>
      </c>
      <c r="H171" s="274">
        <f t="shared" si="283"/>
        <v>28</v>
      </c>
      <c r="I171" s="274">
        <f t="shared" si="268"/>
        <v>0</v>
      </c>
      <c r="J171" s="274">
        <f t="shared" si="269"/>
        <v>258</v>
      </c>
      <c r="K171" s="274">
        <f t="shared" si="270"/>
        <v>0</v>
      </c>
      <c r="L171" s="274">
        <f t="shared" si="271"/>
        <v>14628.236891849732</v>
      </c>
      <c r="M171" s="274"/>
      <c r="N171" s="274"/>
      <c r="O171" s="274"/>
      <c r="P171" s="274">
        <f t="shared" si="284"/>
        <v>0</v>
      </c>
      <c r="Q171" s="274">
        <f t="shared" si="285"/>
        <v>0</v>
      </c>
      <c r="R171"/>
      <c r="S171"/>
      <c r="T171"/>
      <c r="U171"/>
      <c r="V171"/>
      <c r="W171"/>
      <c r="X171"/>
      <c r="Y171"/>
      <c r="Z171"/>
      <c r="AA171"/>
      <c r="AB171"/>
      <c r="AP171" s="274">
        <f t="shared" si="272"/>
        <v>4620</v>
      </c>
      <c r="AQ171" s="274">
        <f t="shared" si="272"/>
        <v>0</v>
      </c>
      <c r="AR171" s="274">
        <f t="shared" si="272"/>
        <v>7.7193599999999982</v>
      </c>
      <c r="AS171" s="274">
        <f t="shared" si="272"/>
        <v>0</v>
      </c>
      <c r="AT171" s="274">
        <f t="shared" si="272"/>
        <v>15941.560000000003</v>
      </c>
      <c r="AU171" s="274">
        <f t="shared" si="272"/>
        <v>0</v>
      </c>
      <c r="AV171" s="274">
        <f t="shared" si="272"/>
        <v>0</v>
      </c>
      <c r="AW171" s="274">
        <f t="shared" si="272"/>
        <v>77.923519507462814</v>
      </c>
      <c r="AX171" s="274">
        <f t="shared" si="272"/>
        <v>0</v>
      </c>
      <c r="AY171" s="274">
        <f t="shared" si="272"/>
        <v>2250.4088508914911</v>
      </c>
      <c r="AZ171" s="758" t="str">
        <f>'Retail Rates'!$B$21</f>
        <v>LGCMG875</v>
      </c>
      <c r="BA171" s="274">
        <f t="shared" si="273"/>
        <v>22899.597161015216</v>
      </c>
      <c r="BC171" s="758" t="str">
        <f>'Retail Rates'!$B$21</f>
        <v>LGCMG875</v>
      </c>
      <c r="BD171" s="274">
        <f t="shared" si="274"/>
        <v>4620</v>
      </c>
      <c r="BE171" s="274">
        <f t="shared" si="275"/>
        <v>7.7266399999999997</v>
      </c>
      <c r="BF171" s="274">
        <f t="shared" si="276"/>
        <v>15941.560000000003</v>
      </c>
      <c r="BG171" s="274">
        <f t="shared" si="277"/>
        <v>0</v>
      </c>
      <c r="BH171" s="274">
        <f t="shared" si="278"/>
        <v>77.923519507462814</v>
      </c>
      <c r="BI171" s="274">
        <f t="shared" si="279"/>
        <v>0</v>
      </c>
      <c r="BJ171" s="274">
        <f t="shared" si="280"/>
        <v>2250.4088508914911</v>
      </c>
      <c r="BK171" s="274">
        <f t="shared" si="281"/>
        <v>1.98</v>
      </c>
      <c r="BL171" s="274">
        <f t="shared" si="282"/>
        <v>0</v>
      </c>
    </row>
    <row r="172" spans="1:64" x14ac:dyDescent="0.25">
      <c r="A172"/>
      <c r="C172" s="36"/>
      <c r="D172" s="36"/>
      <c r="G172" s="758" t="s">
        <v>32</v>
      </c>
      <c r="H172" s="274">
        <f t="shared" si="283"/>
        <v>12</v>
      </c>
      <c r="I172" s="274">
        <f t="shared" si="268"/>
        <v>0</v>
      </c>
      <c r="J172" s="274">
        <f t="shared" si="269"/>
        <v>2576525</v>
      </c>
      <c r="K172" s="274">
        <f t="shared" si="270"/>
        <v>0</v>
      </c>
      <c r="L172" s="274">
        <f t="shared" si="271"/>
        <v>1987200.0201875623</v>
      </c>
      <c r="M172" s="274"/>
      <c r="N172" s="274"/>
      <c r="O172" s="274"/>
      <c r="P172" s="274">
        <f t="shared" si="284"/>
        <v>0</v>
      </c>
      <c r="Q172" s="274">
        <f t="shared" si="285"/>
        <v>0</v>
      </c>
      <c r="R172"/>
      <c r="S172"/>
      <c r="T172"/>
      <c r="U172"/>
      <c r="V172"/>
      <c r="W172"/>
      <c r="X172"/>
      <c r="Y172"/>
      <c r="Z172"/>
      <c r="AA172"/>
      <c r="AB172"/>
      <c r="AP172" s="274">
        <f t="shared" si="272"/>
        <v>0</v>
      </c>
      <c r="AQ172" s="274">
        <f t="shared" si="272"/>
        <v>0</v>
      </c>
      <c r="AR172" s="274">
        <f t="shared" si="272"/>
        <v>0</v>
      </c>
      <c r="AS172" s="274">
        <f t="shared" si="272"/>
        <v>0</v>
      </c>
      <c r="AT172" s="274">
        <f t="shared" si="272"/>
        <v>0</v>
      </c>
      <c r="AU172" s="274">
        <f t="shared" si="272"/>
        <v>0</v>
      </c>
      <c r="AV172" s="274">
        <f t="shared" si="272"/>
        <v>0</v>
      </c>
      <c r="AW172" s="274">
        <f t="shared" si="272"/>
        <v>0</v>
      </c>
      <c r="AX172" s="274">
        <f t="shared" si="272"/>
        <v>0</v>
      </c>
      <c r="AY172" s="274">
        <f t="shared" si="272"/>
        <v>0</v>
      </c>
      <c r="BD172" s="274"/>
      <c r="BE172" s="274"/>
      <c r="BF172" s="274"/>
      <c r="BG172" s="274"/>
      <c r="BH172" s="274"/>
      <c r="BI172" s="274"/>
      <c r="BJ172" s="274"/>
      <c r="BK172" s="274"/>
      <c r="BL172" s="274"/>
    </row>
    <row r="173" spans="1:64" x14ac:dyDescent="0.25">
      <c r="A173"/>
      <c r="C173" s="36"/>
      <c r="D173" s="36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Q173"/>
      <c r="AR173"/>
      <c r="AS173"/>
      <c r="AT173"/>
      <c r="AU173"/>
      <c r="AV173"/>
      <c r="AW173"/>
      <c r="AZ173" s="758" t="s">
        <v>32</v>
      </c>
      <c r="BA173" s="274">
        <f>SUMIF($E$7:$E$155,$AZ173,$BA$7:$BA$155)</f>
        <v>3120508.4699999997</v>
      </c>
      <c r="BC173" s="758" t="s">
        <v>32</v>
      </c>
      <c r="BD173" s="274">
        <f>SUMIF($E$7:$E$155,$AZ173,$BD$7:$BD$155)</f>
        <v>9000</v>
      </c>
      <c r="BE173" s="274">
        <f>SUMIF($E$7:$E$155,$AZ173,$BE$7:$BE$155)</f>
        <v>77089.630320000011</v>
      </c>
      <c r="BF173" s="274">
        <f>SUMIF($E$7:$E$155,$AZ173,$BF$7:$BF$155)</f>
        <v>2165610.8400000003</v>
      </c>
      <c r="BG173" s="274">
        <f>SUMIF($E$7:$E$155,$AZ173,$BG$7:$BG$155)</f>
        <v>0</v>
      </c>
      <c r="BH173" s="274">
        <f>SUMIF($E$7:$E$155,$AZ173,$BH$7:$BH$155)</f>
        <v>861171.54627078143</v>
      </c>
      <c r="BI173" s="274">
        <f>SUMIF($E$7:$E$155,$AZ173,$BI$7:$BI$155)</f>
        <v>0</v>
      </c>
      <c r="BJ173" s="274">
        <f>SUMIF($E$7:$E$155,$AZ173,$BJ$7:$BJ$155)</f>
        <v>572.86</v>
      </c>
      <c r="BK173" s="274">
        <f>SUMIF($E$7:$E$155,$AZ173,$BK$7:$BK$155)</f>
        <v>7063.62</v>
      </c>
      <c r="BL173" s="274">
        <f>SUMIF($E$7:$E$155,$AZ173,$BL$7:$BL$155)</f>
        <v>0</v>
      </c>
    </row>
    <row r="174" spans="1:64" x14ac:dyDescent="0.25">
      <c r="A174"/>
      <c r="C174" s="36"/>
      <c r="D174" s="36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Q174"/>
      <c r="AR174"/>
      <c r="AS174"/>
      <c r="AT174"/>
      <c r="AU174"/>
      <c r="AV174"/>
      <c r="AW174"/>
    </row>
    <row r="175" spans="1:64" x14ac:dyDescent="0.25">
      <c r="A175"/>
      <c r="C175" s="36"/>
      <c r="D175" s="36"/>
      <c r="G175" s="8" t="s">
        <v>338</v>
      </c>
      <c r="H175" s="44">
        <f>SUM(H158:H171)+SUM(I158:I171)</f>
        <v>3932987</v>
      </c>
      <c r="J175" s="44">
        <f>SUM(J158:J171)+SUM(K158:K171)</f>
        <v>325763302.98936832</v>
      </c>
      <c r="AQ175"/>
      <c r="AR175"/>
      <c r="AS175"/>
      <c r="AT175"/>
      <c r="AU175"/>
      <c r="AV175"/>
      <c r="AW175"/>
    </row>
    <row r="176" spans="1:64" x14ac:dyDescent="0.25">
      <c r="A176"/>
      <c r="C176" s="36"/>
      <c r="D176" s="36"/>
      <c r="G176" s="8" t="s">
        <v>624</v>
      </c>
      <c r="H176" s="44">
        <f>H172</f>
        <v>12</v>
      </c>
      <c r="J176" s="44">
        <f>J172</f>
        <v>2576525</v>
      </c>
      <c r="AQ176"/>
      <c r="AR176"/>
      <c r="AS176"/>
      <c r="AT176"/>
      <c r="AU176"/>
      <c r="AV176"/>
      <c r="AW176"/>
      <c r="AZ176" s="8" t="s">
        <v>535</v>
      </c>
      <c r="BA176" s="44">
        <f>SUM(BA158:BA171)</f>
        <v>338351964.23716092</v>
      </c>
    </row>
    <row r="177" spans="1:53" x14ac:dyDescent="0.25">
      <c r="A177"/>
      <c r="C177" s="36"/>
      <c r="D177" s="36"/>
      <c r="AQ177"/>
      <c r="AR177"/>
      <c r="AS177"/>
      <c r="AT177"/>
      <c r="AU177"/>
      <c r="AV177"/>
      <c r="AW177"/>
      <c r="AZ177" s="8" t="s">
        <v>731</v>
      </c>
      <c r="BA177" s="44">
        <f>BA173</f>
        <v>3120508.4699999997</v>
      </c>
    </row>
    <row r="178" spans="1:53" x14ac:dyDescent="0.25">
      <c r="A178"/>
      <c r="C178" s="36"/>
      <c r="D178" s="36"/>
      <c r="H178" s="44"/>
      <c r="AQ178"/>
      <c r="AR178"/>
      <c r="AS178"/>
      <c r="AT178"/>
      <c r="AU178"/>
      <c r="AV178"/>
      <c r="AW178"/>
    </row>
    <row r="179" spans="1:53" x14ac:dyDescent="0.25">
      <c r="A179"/>
      <c r="C179" s="36"/>
      <c r="D179" s="36"/>
      <c r="AQ179"/>
      <c r="AR179"/>
      <c r="AS179"/>
      <c r="AT179"/>
      <c r="AU179"/>
      <c r="AV179"/>
      <c r="AW179"/>
    </row>
    <row r="180" spans="1:53" x14ac:dyDescent="0.25">
      <c r="A180"/>
      <c r="C180" s="36"/>
      <c r="D180" s="36"/>
      <c r="AQ180"/>
      <c r="AR180"/>
      <c r="AS180"/>
      <c r="AT180"/>
      <c r="AU180"/>
      <c r="AV180"/>
      <c r="AW180"/>
    </row>
    <row r="181" spans="1:53" x14ac:dyDescent="0.25">
      <c r="A181"/>
      <c r="C181" s="36"/>
      <c r="D181" s="36"/>
    </row>
    <row r="182" spans="1:53" x14ac:dyDescent="0.25">
      <c r="A182"/>
      <c r="C182" s="36"/>
      <c r="D182" s="36"/>
    </row>
    <row r="183" spans="1:53" x14ac:dyDescent="0.25">
      <c r="A183"/>
      <c r="C183" s="36"/>
      <c r="D183" s="36"/>
    </row>
    <row r="184" spans="1:53" x14ac:dyDescent="0.25">
      <c r="A184"/>
      <c r="C184" s="36"/>
      <c r="D184" s="36"/>
    </row>
    <row r="185" spans="1:53" x14ac:dyDescent="0.25">
      <c r="A185"/>
      <c r="C185" s="36"/>
      <c r="D185" s="36"/>
      <c r="G185" s="8" t="s">
        <v>1068</v>
      </c>
      <c r="H185" s="8">
        <v>-10088</v>
      </c>
    </row>
    <row r="186" spans="1:53" x14ac:dyDescent="0.25">
      <c r="A186"/>
      <c r="C186" s="36"/>
      <c r="D186" s="36"/>
      <c r="G186" s="8" t="s">
        <v>1069</v>
      </c>
      <c r="H186" s="8">
        <v>7289</v>
      </c>
    </row>
    <row r="187" spans="1:53" x14ac:dyDescent="0.25">
      <c r="A187"/>
      <c r="C187" s="36"/>
      <c r="D187" s="36"/>
      <c r="G187" s="8" t="s">
        <v>1070</v>
      </c>
      <c r="H187" s="8">
        <v>539</v>
      </c>
      <c r="I187" s="8">
        <v>2684</v>
      </c>
    </row>
    <row r="188" spans="1:53" x14ac:dyDescent="0.25">
      <c r="A188"/>
      <c r="C188" s="36"/>
      <c r="D188" s="36"/>
    </row>
    <row r="189" spans="1:53" x14ac:dyDescent="0.25">
      <c r="A189"/>
      <c r="C189" s="36"/>
      <c r="D189" s="36"/>
    </row>
    <row r="190" spans="1:53" x14ac:dyDescent="0.25">
      <c r="A190"/>
      <c r="C190" s="36"/>
      <c r="D190" s="36"/>
    </row>
    <row r="191" spans="1:53" x14ac:dyDescent="0.25">
      <c r="A191"/>
      <c r="C191" s="36"/>
      <c r="D191" s="36"/>
    </row>
    <row r="192" spans="1:53" x14ac:dyDescent="0.25">
      <c r="A192"/>
      <c r="C192" s="36"/>
      <c r="D192" s="36"/>
    </row>
    <row r="193" spans="1:4" x14ac:dyDescent="0.25">
      <c r="A193"/>
      <c r="C193" s="36"/>
      <c r="D193" s="36"/>
    </row>
    <row r="194" spans="1:4" x14ac:dyDescent="0.25">
      <c r="A194"/>
      <c r="C194" s="36"/>
      <c r="D194" s="36"/>
    </row>
    <row r="195" spans="1:4" x14ac:dyDescent="0.25">
      <c r="A195"/>
      <c r="C195" s="36"/>
      <c r="D195" s="36"/>
    </row>
    <row r="196" spans="1:4" x14ac:dyDescent="0.25">
      <c r="A196"/>
      <c r="C196" s="36"/>
      <c r="D196" s="36"/>
    </row>
    <row r="197" spans="1:4" x14ac:dyDescent="0.25">
      <c r="A197"/>
      <c r="C197" s="36"/>
      <c r="D197" s="36"/>
    </row>
    <row r="198" spans="1:4" x14ac:dyDescent="0.25">
      <c r="A198"/>
      <c r="C198" s="36"/>
      <c r="D198" s="36"/>
    </row>
    <row r="199" spans="1:4" x14ac:dyDescent="0.25">
      <c r="A199"/>
      <c r="C199" s="36"/>
      <c r="D199" s="36"/>
    </row>
    <row r="200" spans="1:4" x14ac:dyDescent="0.25">
      <c r="A200"/>
      <c r="C200" s="36"/>
      <c r="D200" s="36"/>
    </row>
    <row r="201" spans="1:4" x14ac:dyDescent="0.25">
      <c r="A201"/>
      <c r="C201" s="36"/>
      <c r="D201" s="36"/>
    </row>
    <row r="202" spans="1:4" x14ac:dyDescent="0.25">
      <c r="A202"/>
      <c r="C202" s="36"/>
      <c r="D202" s="36"/>
    </row>
    <row r="203" spans="1:4" x14ac:dyDescent="0.25">
      <c r="A203"/>
      <c r="C203" s="36"/>
      <c r="D203" s="36"/>
    </row>
    <row r="204" spans="1:4" x14ac:dyDescent="0.25">
      <c r="A204"/>
      <c r="C204" s="36"/>
      <c r="D204" s="36"/>
    </row>
    <row r="205" spans="1:4" x14ac:dyDescent="0.25">
      <c r="A205"/>
      <c r="C205" s="36"/>
      <c r="D205" s="36"/>
    </row>
    <row r="206" spans="1:4" x14ac:dyDescent="0.25">
      <c r="A206"/>
      <c r="C206" s="36"/>
      <c r="D206" s="36"/>
    </row>
    <row r="207" spans="1:4" x14ac:dyDescent="0.25">
      <c r="A207"/>
      <c r="C207" s="36"/>
      <c r="D207" s="36"/>
    </row>
    <row r="208" spans="1:4" x14ac:dyDescent="0.25">
      <c r="A208"/>
      <c r="C208" s="36"/>
      <c r="D208" s="36"/>
    </row>
    <row r="209" spans="1:4" x14ac:dyDescent="0.25">
      <c r="A209"/>
      <c r="C209" s="36"/>
      <c r="D209" s="36"/>
    </row>
    <row r="210" spans="1:4" x14ac:dyDescent="0.25">
      <c r="A210"/>
      <c r="C210" s="36"/>
      <c r="D210" s="36"/>
    </row>
    <row r="211" spans="1:4" x14ac:dyDescent="0.25">
      <c r="A211"/>
      <c r="C211" s="36"/>
      <c r="D211" s="36"/>
    </row>
    <row r="212" spans="1:4" x14ac:dyDescent="0.25">
      <c r="A212"/>
      <c r="C212" s="36"/>
      <c r="D212" s="36"/>
    </row>
    <row r="213" spans="1:4" x14ac:dyDescent="0.25">
      <c r="A213"/>
      <c r="C213" s="36"/>
      <c r="D213" s="36"/>
    </row>
    <row r="214" spans="1:4" x14ac:dyDescent="0.25">
      <c r="A214"/>
      <c r="C214" s="36"/>
      <c r="D214" s="36"/>
    </row>
    <row r="215" spans="1:4" x14ac:dyDescent="0.25">
      <c r="A215"/>
      <c r="C215" s="36"/>
      <c r="D215" s="36"/>
    </row>
    <row r="216" spans="1:4" x14ac:dyDescent="0.25">
      <c r="A216"/>
      <c r="C216" s="36"/>
      <c r="D216" s="36"/>
    </row>
    <row r="217" spans="1:4" x14ac:dyDescent="0.25">
      <c r="A217"/>
      <c r="C217" s="36"/>
      <c r="D217" s="36"/>
    </row>
    <row r="218" spans="1:4" x14ac:dyDescent="0.25">
      <c r="A218"/>
      <c r="C218" s="36"/>
      <c r="D218" s="36"/>
    </row>
    <row r="219" spans="1:4" x14ac:dyDescent="0.25">
      <c r="A219"/>
      <c r="C219" s="36"/>
      <c r="D219" s="36"/>
    </row>
    <row r="220" spans="1:4" x14ac:dyDescent="0.25">
      <c r="A220"/>
      <c r="C220" s="36"/>
      <c r="D220" s="36"/>
    </row>
    <row r="221" spans="1:4" x14ac:dyDescent="0.25">
      <c r="A221"/>
      <c r="C221" s="36"/>
      <c r="D221" s="36"/>
    </row>
    <row r="222" spans="1:4" x14ac:dyDescent="0.25">
      <c r="A222"/>
      <c r="C222" s="36"/>
      <c r="D222" s="36"/>
    </row>
    <row r="223" spans="1:4" x14ac:dyDescent="0.25">
      <c r="A223"/>
      <c r="C223" s="36"/>
      <c r="D223" s="36"/>
    </row>
    <row r="224" spans="1:4" x14ac:dyDescent="0.25">
      <c r="A224"/>
      <c r="C224" s="36"/>
      <c r="D224" s="36"/>
    </row>
    <row r="225" spans="1:4" x14ac:dyDescent="0.25">
      <c r="A225"/>
      <c r="C225" s="36"/>
      <c r="D225" s="36"/>
    </row>
    <row r="226" spans="1:4" x14ac:dyDescent="0.25">
      <c r="A226"/>
      <c r="C226" s="36"/>
      <c r="D226" s="36"/>
    </row>
    <row r="227" spans="1:4" x14ac:dyDescent="0.25">
      <c r="A227"/>
      <c r="C227" s="36"/>
      <c r="D227" s="36"/>
    </row>
    <row r="228" spans="1:4" x14ac:dyDescent="0.25">
      <c r="A228"/>
      <c r="C228" s="36"/>
      <c r="D228" s="36"/>
    </row>
    <row r="229" spans="1:4" x14ac:dyDescent="0.25">
      <c r="A229"/>
      <c r="C229" s="36"/>
      <c r="D229" s="36"/>
    </row>
    <row r="230" spans="1:4" x14ac:dyDescent="0.25">
      <c r="A230"/>
      <c r="C230" s="36"/>
      <c r="D230" s="36"/>
    </row>
    <row r="231" spans="1:4" x14ac:dyDescent="0.25">
      <c r="A231"/>
      <c r="C231" s="36"/>
      <c r="D231" s="36"/>
    </row>
    <row r="232" spans="1:4" x14ac:dyDescent="0.25">
      <c r="A232"/>
      <c r="C232" s="36"/>
      <c r="D232" s="36"/>
    </row>
    <row r="233" spans="1:4" x14ac:dyDescent="0.25">
      <c r="A233"/>
      <c r="C233" s="36"/>
      <c r="D233" s="36"/>
    </row>
    <row r="234" spans="1:4" x14ac:dyDescent="0.25">
      <c r="A234"/>
      <c r="C234" s="36"/>
      <c r="D234" s="36"/>
    </row>
    <row r="235" spans="1:4" x14ac:dyDescent="0.25">
      <c r="A235"/>
      <c r="C235" s="36"/>
      <c r="D235" s="36"/>
    </row>
    <row r="236" spans="1:4" x14ac:dyDescent="0.25">
      <c r="A236"/>
      <c r="C236" s="36"/>
      <c r="D236" s="36"/>
    </row>
    <row r="237" spans="1:4" x14ac:dyDescent="0.25">
      <c r="A237"/>
      <c r="C237" s="36"/>
      <c r="D237" s="36"/>
    </row>
    <row r="238" spans="1:4" x14ac:dyDescent="0.25">
      <c r="A238"/>
      <c r="C238" s="36"/>
      <c r="D238" s="36"/>
    </row>
    <row r="239" spans="1:4" x14ac:dyDescent="0.25">
      <c r="A239"/>
      <c r="C239" s="36"/>
      <c r="D239" s="36"/>
    </row>
    <row r="240" spans="1:4" x14ac:dyDescent="0.25">
      <c r="A240"/>
      <c r="C240" s="36"/>
      <c r="D240" s="36"/>
    </row>
    <row r="241" spans="1:4" x14ac:dyDescent="0.25">
      <c r="A241"/>
      <c r="C241" s="36"/>
      <c r="D241" s="36"/>
    </row>
    <row r="242" spans="1:4" x14ac:dyDescent="0.25">
      <c r="A242"/>
      <c r="C242" s="36"/>
      <c r="D242" s="36"/>
    </row>
    <row r="243" spans="1:4" x14ac:dyDescent="0.25">
      <c r="A243"/>
      <c r="C243" s="36"/>
      <c r="D243" s="36"/>
    </row>
    <row r="244" spans="1:4" x14ac:dyDescent="0.25">
      <c r="A244"/>
      <c r="C244" s="36"/>
      <c r="D244" s="36"/>
    </row>
    <row r="245" spans="1:4" x14ac:dyDescent="0.25">
      <c r="A245"/>
      <c r="C245" s="36"/>
      <c r="D245" s="36"/>
    </row>
    <row r="246" spans="1:4" x14ac:dyDescent="0.25">
      <c r="A246"/>
      <c r="C246" s="36"/>
      <c r="D246" s="36"/>
    </row>
    <row r="247" spans="1:4" x14ac:dyDescent="0.25">
      <c r="A247"/>
      <c r="C247" s="36"/>
      <c r="D247" s="36"/>
    </row>
    <row r="248" spans="1:4" x14ac:dyDescent="0.25">
      <c r="A248"/>
      <c r="C248" s="36"/>
      <c r="D248" s="36"/>
    </row>
    <row r="249" spans="1:4" x14ac:dyDescent="0.25">
      <c r="A249"/>
      <c r="C249" s="36"/>
      <c r="D249" s="36"/>
    </row>
    <row r="250" spans="1:4" x14ac:dyDescent="0.25">
      <c r="A250"/>
      <c r="C250" s="36"/>
      <c r="D250" s="36"/>
    </row>
    <row r="251" spans="1:4" x14ac:dyDescent="0.25">
      <c r="A251"/>
      <c r="C251" s="36"/>
      <c r="D251" s="36"/>
    </row>
    <row r="252" spans="1:4" x14ac:dyDescent="0.25">
      <c r="A252"/>
      <c r="C252" s="36"/>
      <c r="D252" s="36"/>
    </row>
    <row r="253" spans="1:4" x14ac:dyDescent="0.25">
      <c r="A253"/>
      <c r="C253" s="36"/>
      <c r="D253" s="36"/>
    </row>
    <row r="254" spans="1:4" x14ac:dyDescent="0.25">
      <c r="A254"/>
      <c r="C254" s="36"/>
      <c r="D254" s="36"/>
    </row>
    <row r="255" spans="1:4" x14ac:dyDescent="0.25">
      <c r="A255"/>
      <c r="C255" s="36"/>
      <c r="D255" s="36"/>
    </row>
    <row r="256" spans="1:4" x14ac:dyDescent="0.25">
      <c r="A256"/>
      <c r="C256" s="36"/>
      <c r="D256" s="36"/>
    </row>
    <row r="257" spans="1:4" x14ac:dyDescent="0.25">
      <c r="A257"/>
      <c r="C257" s="36"/>
      <c r="D257" s="36"/>
    </row>
    <row r="258" spans="1:4" x14ac:dyDescent="0.25">
      <c r="A258"/>
      <c r="C258" s="36"/>
      <c r="D258" s="36"/>
    </row>
    <row r="259" spans="1:4" x14ac:dyDescent="0.25">
      <c r="A259"/>
      <c r="C259" s="36"/>
      <c r="D259" s="36"/>
    </row>
    <row r="260" spans="1:4" x14ac:dyDescent="0.25">
      <c r="A260"/>
      <c r="C260" s="36"/>
      <c r="D260" s="36"/>
    </row>
    <row r="261" spans="1:4" x14ac:dyDescent="0.25">
      <c r="A261"/>
      <c r="C261" s="36"/>
      <c r="D261" s="36"/>
    </row>
    <row r="262" spans="1:4" x14ac:dyDescent="0.25">
      <c r="A262"/>
      <c r="C262" s="36"/>
      <c r="D262" s="36"/>
    </row>
    <row r="263" spans="1:4" x14ac:dyDescent="0.25">
      <c r="A263"/>
      <c r="C263" s="36"/>
      <c r="D263" s="36"/>
    </row>
    <row r="264" spans="1:4" x14ac:dyDescent="0.25">
      <c r="A264"/>
      <c r="C264" s="36"/>
      <c r="D264" s="36"/>
    </row>
    <row r="265" spans="1:4" x14ac:dyDescent="0.25">
      <c r="A265"/>
      <c r="C265" s="36"/>
      <c r="D265" s="36"/>
    </row>
    <row r="266" spans="1:4" x14ac:dyDescent="0.25">
      <c r="A266"/>
      <c r="C266" s="36"/>
      <c r="D266" s="36"/>
    </row>
    <row r="267" spans="1:4" x14ac:dyDescent="0.25">
      <c r="A267"/>
      <c r="C267" s="36"/>
      <c r="D267" s="36"/>
    </row>
    <row r="268" spans="1:4" x14ac:dyDescent="0.25">
      <c r="A268"/>
      <c r="C268" s="36"/>
      <c r="D268" s="36"/>
    </row>
    <row r="269" spans="1:4" x14ac:dyDescent="0.25">
      <c r="A269"/>
      <c r="C269" s="307"/>
    </row>
    <row r="270" spans="1:4" x14ac:dyDescent="0.25">
      <c r="A270"/>
      <c r="C270" s="307"/>
    </row>
    <row r="271" spans="1:4" x14ac:dyDescent="0.25">
      <c r="A271"/>
      <c r="C271" s="307"/>
    </row>
    <row r="272" spans="1:4" x14ac:dyDescent="0.25">
      <c r="A272"/>
      <c r="C272" s="307"/>
    </row>
    <row r="273" spans="1:3" x14ac:dyDescent="0.25">
      <c r="A273"/>
      <c r="C273" s="307"/>
    </row>
    <row r="274" spans="1:3" x14ac:dyDescent="0.25">
      <c r="A274"/>
      <c r="C274" s="307"/>
    </row>
    <row r="275" spans="1:3" x14ac:dyDescent="0.25">
      <c r="A275"/>
      <c r="C275" s="307"/>
    </row>
    <row r="276" spans="1:3" x14ac:dyDescent="0.25">
      <c r="A276"/>
      <c r="C276" s="307"/>
    </row>
    <row r="277" spans="1:3" x14ac:dyDescent="0.25">
      <c r="A277"/>
      <c r="C277" s="307"/>
    </row>
    <row r="278" spans="1:3" x14ac:dyDescent="0.25">
      <c r="A278"/>
      <c r="C278" s="307"/>
    </row>
    <row r="279" spans="1:3" x14ac:dyDescent="0.25">
      <c r="A279"/>
      <c r="C279" s="307"/>
    </row>
    <row r="280" spans="1:3" x14ac:dyDescent="0.25">
      <c r="A280"/>
      <c r="C280" s="307"/>
    </row>
    <row r="281" spans="1:3" x14ac:dyDescent="0.25">
      <c r="A281"/>
      <c r="C281" s="307"/>
    </row>
    <row r="282" spans="1:3" x14ac:dyDescent="0.25">
      <c r="A282"/>
      <c r="C282" s="307"/>
    </row>
    <row r="283" spans="1:3" x14ac:dyDescent="0.25">
      <c r="A283"/>
      <c r="C283" s="307"/>
    </row>
    <row r="284" spans="1:3" x14ac:dyDescent="0.25">
      <c r="A284"/>
      <c r="C284" s="307"/>
    </row>
    <row r="285" spans="1:3" x14ac:dyDescent="0.25">
      <c r="A285"/>
      <c r="C285" s="307"/>
    </row>
    <row r="286" spans="1:3" x14ac:dyDescent="0.25">
      <c r="A286"/>
      <c r="C286" s="307"/>
    </row>
    <row r="287" spans="1:3" x14ac:dyDescent="0.25">
      <c r="A287"/>
      <c r="C287" s="307"/>
    </row>
    <row r="288" spans="1:3" x14ac:dyDescent="0.25">
      <c r="A288"/>
      <c r="C288" s="307"/>
    </row>
    <row r="289" spans="1:3" x14ac:dyDescent="0.25">
      <c r="A289"/>
      <c r="C289" s="307"/>
    </row>
    <row r="290" spans="1:3" x14ac:dyDescent="0.25">
      <c r="A290"/>
      <c r="C290" s="307"/>
    </row>
    <row r="291" spans="1:3" x14ac:dyDescent="0.25">
      <c r="A291"/>
      <c r="C291" s="307"/>
    </row>
    <row r="292" spans="1:3" x14ac:dyDescent="0.25">
      <c r="A292"/>
      <c r="C292" s="307"/>
    </row>
    <row r="293" spans="1:3" x14ac:dyDescent="0.25">
      <c r="A293"/>
      <c r="C293" s="307"/>
    </row>
    <row r="294" spans="1:3" x14ac:dyDescent="0.25">
      <c r="A294"/>
      <c r="C294" s="307"/>
    </row>
    <row r="295" spans="1:3" x14ac:dyDescent="0.25">
      <c r="A295"/>
      <c r="C295" s="307"/>
    </row>
    <row r="296" spans="1:3" x14ac:dyDescent="0.25">
      <c r="A296"/>
      <c r="C296" s="307"/>
    </row>
    <row r="297" spans="1:3" x14ac:dyDescent="0.25">
      <c r="A297"/>
      <c r="C297" s="307"/>
    </row>
    <row r="298" spans="1:3" x14ac:dyDescent="0.25">
      <c r="A298"/>
      <c r="C298" s="307"/>
    </row>
    <row r="299" spans="1:3" x14ac:dyDescent="0.25">
      <c r="A299"/>
      <c r="C299" s="307"/>
    </row>
    <row r="300" spans="1:3" x14ac:dyDescent="0.25">
      <c r="A300"/>
      <c r="C300" s="307"/>
    </row>
    <row r="301" spans="1:3" x14ac:dyDescent="0.25">
      <c r="A301"/>
      <c r="C301" s="307"/>
    </row>
    <row r="302" spans="1:3" x14ac:dyDescent="0.25">
      <c r="A302"/>
      <c r="C302" s="307"/>
    </row>
    <row r="303" spans="1:3" x14ac:dyDescent="0.25">
      <c r="C303" s="307"/>
    </row>
    <row r="304" spans="1:3" x14ac:dyDescent="0.25">
      <c r="C304" s="307"/>
    </row>
    <row r="305" spans="3:3" x14ac:dyDescent="0.25">
      <c r="C305" s="307"/>
    </row>
    <row r="306" spans="3:3" x14ac:dyDescent="0.25">
      <c r="C306" s="307"/>
    </row>
    <row r="307" spans="3:3" x14ac:dyDescent="0.25">
      <c r="C307" s="307"/>
    </row>
    <row r="308" spans="3:3" x14ac:dyDescent="0.25">
      <c r="C308" s="307"/>
    </row>
    <row r="309" spans="3:3" x14ac:dyDescent="0.25">
      <c r="C309" s="307"/>
    </row>
    <row r="310" spans="3:3" x14ac:dyDescent="0.25">
      <c r="C310" s="307"/>
    </row>
    <row r="311" spans="3:3" x14ac:dyDescent="0.25">
      <c r="C311" s="307"/>
    </row>
    <row r="312" spans="3:3" x14ac:dyDescent="0.25">
      <c r="C312" s="307"/>
    </row>
    <row r="313" spans="3:3" x14ac:dyDescent="0.25">
      <c r="C313" s="307"/>
    </row>
    <row r="314" spans="3:3" x14ac:dyDescent="0.25">
      <c r="C314" s="307"/>
    </row>
    <row r="315" spans="3:3" x14ac:dyDescent="0.25">
      <c r="C315" s="307"/>
    </row>
    <row r="316" spans="3:3" x14ac:dyDescent="0.25">
      <c r="C316" s="307"/>
    </row>
    <row r="317" spans="3:3" x14ac:dyDescent="0.25">
      <c r="C317" s="307"/>
    </row>
    <row r="318" spans="3:3" x14ac:dyDescent="0.25">
      <c r="C318" s="307"/>
    </row>
    <row r="319" spans="3:3" x14ac:dyDescent="0.25">
      <c r="C319" s="307"/>
    </row>
    <row r="320" spans="3:3" x14ac:dyDescent="0.25">
      <c r="C320" s="307"/>
    </row>
    <row r="321" spans="3:3" x14ac:dyDescent="0.25">
      <c r="C321" s="307"/>
    </row>
    <row r="322" spans="3:3" x14ac:dyDescent="0.25">
      <c r="C322" s="307"/>
    </row>
    <row r="323" spans="3:3" x14ac:dyDescent="0.25">
      <c r="C323" s="307"/>
    </row>
    <row r="324" spans="3:3" x14ac:dyDescent="0.25">
      <c r="C324" s="307"/>
    </row>
  </sheetData>
  <mergeCells count="9">
    <mergeCell ref="J4:O4"/>
    <mergeCell ref="H3:Q3"/>
    <mergeCell ref="BD3:BJ3"/>
    <mergeCell ref="BM3:BN3"/>
    <mergeCell ref="R3:V3"/>
    <mergeCell ref="AA3:AE3"/>
    <mergeCell ref="AF3:AO3"/>
    <mergeCell ref="AP3:AT3"/>
    <mergeCell ref="AV3:AY3"/>
  </mergeCells>
  <conditionalFormatting sqref="BC86 BC102 BC120 BC129 BC138 BC147 BC7 BC104:BC107 BC109:BC111">
    <cfRule type="cellIs" dxfId="31" priority="103" operator="notBetween">
      <formula>0.998</formula>
      <formula>1.002</formula>
    </cfRule>
  </conditionalFormatting>
  <conditionalFormatting sqref="BC8:BC21">
    <cfRule type="cellIs" dxfId="30" priority="39" operator="notBetween">
      <formula>0.998</formula>
      <formula>1.002</formula>
    </cfRule>
  </conditionalFormatting>
  <conditionalFormatting sqref="BC112">
    <cfRule type="cellIs" dxfId="29" priority="16" operator="notBetween">
      <formula>0.998</formula>
      <formula>1.002</formula>
    </cfRule>
  </conditionalFormatting>
  <conditionalFormatting sqref="BC113:BC119">
    <cfRule type="cellIs" dxfId="28" priority="15" operator="notBetween">
      <formula>0.998</formula>
      <formula>1.002</formula>
    </cfRule>
  </conditionalFormatting>
  <conditionalFormatting sqref="BC130">
    <cfRule type="cellIs" dxfId="27" priority="12" operator="notBetween">
      <formula>0.998</formula>
      <formula>1.002</formula>
    </cfRule>
  </conditionalFormatting>
  <conditionalFormatting sqref="BC131:BC137">
    <cfRule type="cellIs" dxfId="26" priority="11" operator="notBetween">
      <formula>0.998</formula>
      <formula>1.002</formula>
    </cfRule>
  </conditionalFormatting>
  <conditionalFormatting sqref="BC23">
    <cfRule type="cellIs" dxfId="25" priority="28" operator="notBetween">
      <formula>0.998</formula>
      <formula>1.002</formula>
    </cfRule>
  </conditionalFormatting>
  <conditionalFormatting sqref="BC24:BC36">
    <cfRule type="cellIs" dxfId="24" priority="27" operator="notBetween">
      <formula>0.998</formula>
      <formula>1.002</formula>
    </cfRule>
  </conditionalFormatting>
  <conditionalFormatting sqref="BC39">
    <cfRule type="cellIs" dxfId="23" priority="26" operator="notBetween">
      <formula>0.998</formula>
      <formula>1.002</formula>
    </cfRule>
  </conditionalFormatting>
  <conditionalFormatting sqref="BC40:BC52">
    <cfRule type="cellIs" dxfId="22" priority="25" operator="notBetween">
      <formula>0.998</formula>
      <formula>1.002</formula>
    </cfRule>
  </conditionalFormatting>
  <conditionalFormatting sqref="BC55">
    <cfRule type="cellIs" dxfId="21" priority="24" operator="notBetween">
      <formula>0.998</formula>
      <formula>1.002</formula>
    </cfRule>
  </conditionalFormatting>
  <conditionalFormatting sqref="BC56:BC68">
    <cfRule type="cellIs" dxfId="20" priority="23" operator="notBetween">
      <formula>0.998</formula>
      <formula>1.002</formula>
    </cfRule>
  </conditionalFormatting>
  <conditionalFormatting sqref="BC71">
    <cfRule type="cellIs" dxfId="19" priority="22" operator="notBetween">
      <formula>0.998</formula>
      <formula>1.002</formula>
    </cfRule>
  </conditionalFormatting>
  <conditionalFormatting sqref="BC72:BC84">
    <cfRule type="cellIs" dxfId="18" priority="21" operator="notBetween">
      <formula>0.998</formula>
      <formula>1.002</formula>
    </cfRule>
  </conditionalFormatting>
  <conditionalFormatting sqref="BC87">
    <cfRule type="cellIs" dxfId="17" priority="20" operator="notBetween">
      <formula>0.998</formula>
      <formula>1.002</formula>
    </cfRule>
  </conditionalFormatting>
  <conditionalFormatting sqref="BC88:BC100">
    <cfRule type="cellIs" dxfId="16" priority="19" operator="notBetween">
      <formula>0.998</formula>
      <formula>1.002</formula>
    </cfRule>
  </conditionalFormatting>
  <conditionalFormatting sqref="BC103">
    <cfRule type="cellIs" dxfId="15" priority="18" operator="notBetween">
      <formula>0.998</formula>
      <formula>1.002</formula>
    </cfRule>
  </conditionalFormatting>
  <conditionalFormatting sqref="BC121">
    <cfRule type="cellIs" dxfId="14" priority="14" operator="notBetween">
      <formula>0.998</formula>
      <formula>1.002</formula>
    </cfRule>
  </conditionalFormatting>
  <conditionalFormatting sqref="BC122:BC128">
    <cfRule type="cellIs" dxfId="13" priority="13" operator="notBetween">
      <formula>0.998</formula>
      <formula>1.002</formula>
    </cfRule>
  </conditionalFormatting>
  <conditionalFormatting sqref="BC139">
    <cfRule type="cellIs" dxfId="12" priority="10" operator="notBetween">
      <formula>0.998</formula>
      <formula>1.002</formula>
    </cfRule>
  </conditionalFormatting>
  <conditionalFormatting sqref="BC140:BC146">
    <cfRule type="cellIs" dxfId="11" priority="9" operator="notBetween">
      <formula>0.998</formula>
      <formula>1.002</formula>
    </cfRule>
  </conditionalFormatting>
  <conditionalFormatting sqref="BC148">
    <cfRule type="cellIs" dxfId="10" priority="8" operator="notBetween">
      <formula>0.998</formula>
      <formula>1.002</formula>
    </cfRule>
  </conditionalFormatting>
  <conditionalFormatting sqref="BC149:BC155">
    <cfRule type="cellIs" dxfId="9" priority="7" operator="notBetween">
      <formula>0.998</formula>
      <formula>1.002</formula>
    </cfRule>
  </conditionalFormatting>
  <conditionalFormatting sqref="BC37">
    <cfRule type="cellIs" dxfId="8" priority="6" operator="notBetween">
      <formula>0.998</formula>
      <formula>1.002</formula>
    </cfRule>
  </conditionalFormatting>
  <conditionalFormatting sqref="BC53">
    <cfRule type="cellIs" dxfId="7" priority="5" operator="notBetween">
      <formula>0.998</formula>
      <formula>1.002</formula>
    </cfRule>
  </conditionalFormatting>
  <conditionalFormatting sqref="BC69">
    <cfRule type="cellIs" dxfId="6" priority="4" operator="notBetween">
      <formula>0.998</formula>
      <formula>1.002</formula>
    </cfRule>
  </conditionalFormatting>
  <conditionalFormatting sqref="BC85">
    <cfRule type="cellIs" dxfId="5" priority="3" operator="notBetween">
      <formula>0.998</formula>
      <formula>1.002</formula>
    </cfRule>
  </conditionalFormatting>
  <conditionalFormatting sqref="BC101">
    <cfRule type="cellIs" dxfId="4" priority="2" operator="notBetween">
      <formula>0.998</formula>
      <formula>1.002</formula>
    </cfRule>
  </conditionalFormatting>
  <conditionalFormatting sqref="BC108">
    <cfRule type="cellIs" dxfId="3" priority="1" operator="notBetween">
      <formula>0.998</formula>
      <formula>1.002</formula>
    </cfRule>
  </conditionalFormatting>
  <pageMargins left="0.7" right="0.7" top="0.75" bottom="0.75" header="0.3" footer="0.3"/>
  <pageSetup scale="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2">
    <tabColor theme="8" tint="0.39997558519241921"/>
    <pageSetUpPr fitToPage="1"/>
  </sheetPr>
  <dimension ref="A1:AI291"/>
  <sheetViews>
    <sheetView workbookViewId="0">
      <pane xSplit="4" topLeftCell="E1" activePane="topRight" state="frozen"/>
      <selection pane="topRight" activeCell="D8" sqref="D8"/>
    </sheetView>
  </sheetViews>
  <sheetFormatPr defaultRowHeight="15" outlineLevelRow="1" x14ac:dyDescent="0.25"/>
  <cols>
    <col min="1" max="1" width="13" customWidth="1"/>
    <col min="2" max="2" width="37" bestFit="1" customWidth="1"/>
    <col min="3" max="3" width="22.28515625" customWidth="1"/>
    <col min="4" max="4" width="32.28515625" customWidth="1"/>
    <col min="5" max="5" width="12.85546875" customWidth="1"/>
    <col min="6" max="7" width="13.140625" customWidth="1"/>
    <col min="8" max="8" width="12" customWidth="1"/>
    <col min="9" max="9" width="14.140625" customWidth="1"/>
    <col min="10" max="10" width="14.42578125" customWidth="1"/>
    <col min="11" max="11" width="16" customWidth="1"/>
    <col min="12" max="12" width="11.7109375" bestFit="1" customWidth="1"/>
    <col min="13" max="13" width="14.42578125" customWidth="1"/>
    <col min="14" max="14" width="10.85546875" customWidth="1"/>
    <col min="15" max="15" width="11.7109375" customWidth="1"/>
    <col min="16" max="16" width="10" customWidth="1"/>
    <col min="17" max="18" width="9.140625" customWidth="1"/>
    <col min="19" max="20" width="12" customWidth="1"/>
    <col min="21" max="21" width="14.28515625" customWidth="1"/>
    <col min="22" max="22" width="12" customWidth="1"/>
    <col min="23" max="23" width="9.5703125" customWidth="1"/>
    <col min="24" max="24" width="12.85546875" customWidth="1"/>
    <col min="25" max="26" width="11.28515625" customWidth="1"/>
    <col min="27" max="27" width="10.28515625" bestFit="1" customWidth="1"/>
    <col min="28" max="28" width="7.7109375" customWidth="1"/>
    <col min="29" max="29" width="9.140625" customWidth="1"/>
    <col min="30" max="30" width="11.7109375" customWidth="1"/>
    <col min="31" max="31" width="11.28515625" customWidth="1"/>
    <col min="32" max="32" width="11.140625" bestFit="1" customWidth="1"/>
    <col min="33" max="33" width="14.42578125" customWidth="1"/>
    <col min="34" max="34" width="8.28515625" bestFit="1" customWidth="1"/>
    <col min="35" max="35" width="10.85546875" bestFit="1" customWidth="1"/>
    <col min="36" max="36" width="9.140625" customWidth="1"/>
  </cols>
  <sheetData>
    <row r="1" spans="1:35" ht="34.5" thickBot="1" x14ac:dyDescent="0.3">
      <c r="A1" s="428"/>
      <c r="B1" s="427"/>
      <c r="C1" s="52"/>
      <c r="D1" s="430" t="s">
        <v>0</v>
      </c>
      <c r="E1" s="430" t="s">
        <v>10</v>
      </c>
      <c r="F1" s="431" t="s">
        <v>331</v>
      </c>
      <c r="G1" s="431" t="s">
        <v>168</v>
      </c>
      <c r="H1" s="431" t="s">
        <v>1</v>
      </c>
      <c r="I1" s="431" t="s">
        <v>332</v>
      </c>
      <c r="J1" s="431" t="s">
        <v>341</v>
      </c>
      <c r="K1" s="431" t="s">
        <v>330</v>
      </c>
      <c r="L1" s="432" t="s">
        <v>601</v>
      </c>
      <c r="M1" s="430" t="s">
        <v>109</v>
      </c>
      <c r="N1" s="433" t="s">
        <v>107</v>
      </c>
      <c r="O1" s="433" t="s">
        <v>285</v>
      </c>
      <c r="P1" s="433" t="s">
        <v>334</v>
      </c>
      <c r="Q1" s="433" t="s">
        <v>335</v>
      </c>
      <c r="R1" s="433" t="s">
        <v>336</v>
      </c>
      <c r="S1" s="433" t="s">
        <v>343</v>
      </c>
      <c r="T1" s="433" t="s">
        <v>342</v>
      </c>
      <c r="U1" s="434" t="s">
        <v>602</v>
      </c>
      <c r="V1" s="430" t="s">
        <v>333</v>
      </c>
      <c r="W1" s="430" t="s">
        <v>603</v>
      </c>
      <c r="X1" s="430" t="s">
        <v>604</v>
      </c>
      <c r="Y1" s="430" t="s">
        <v>171</v>
      </c>
      <c r="Z1" s="430" t="s">
        <v>645</v>
      </c>
      <c r="AA1" s="430" t="s">
        <v>5</v>
      </c>
      <c r="AB1" s="430" t="s">
        <v>317</v>
      </c>
      <c r="AC1" s="430" t="s">
        <v>6</v>
      </c>
      <c r="AD1" s="430" t="s">
        <v>337</v>
      </c>
      <c r="AE1" s="430" t="s">
        <v>77</v>
      </c>
      <c r="AF1" s="51" t="s">
        <v>78</v>
      </c>
      <c r="AG1" s="430" t="s">
        <v>79</v>
      </c>
      <c r="AH1" s="430" t="s">
        <v>80</v>
      </c>
      <c r="AI1" s="51" t="s">
        <v>344</v>
      </c>
    </row>
    <row r="2" spans="1:35" ht="15.75" thickBot="1" x14ac:dyDescent="0.3">
      <c r="A2" s="430"/>
      <c r="B2" s="430" t="s">
        <v>8</v>
      </c>
      <c r="C2" s="435"/>
      <c r="D2" s="436" t="s">
        <v>11</v>
      </c>
      <c r="E2" s="436" t="s">
        <v>10</v>
      </c>
      <c r="F2" s="436" t="s">
        <v>11</v>
      </c>
      <c r="G2" s="436" t="s">
        <v>11</v>
      </c>
      <c r="H2" s="436" t="s">
        <v>11</v>
      </c>
      <c r="I2" s="436" t="s">
        <v>11</v>
      </c>
      <c r="J2" s="436" t="s">
        <v>11</v>
      </c>
      <c r="K2" s="436" t="s">
        <v>11</v>
      </c>
      <c r="L2" s="437" t="s">
        <v>11</v>
      </c>
      <c r="M2" s="436" t="s">
        <v>11</v>
      </c>
      <c r="N2" s="436" t="s">
        <v>11</v>
      </c>
      <c r="O2" s="436" t="s">
        <v>11</v>
      </c>
      <c r="P2" s="436" t="s">
        <v>11</v>
      </c>
      <c r="Q2" s="436" t="s">
        <v>11</v>
      </c>
      <c r="R2" s="436" t="s">
        <v>11</v>
      </c>
      <c r="S2" s="436" t="s">
        <v>11</v>
      </c>
      <c r="T2" s="436" t="s">
        <v>11</v>
      </c>
      <c r="U2" s="436" t="s">
        <v>11</v>
      </c>
      <c r="V2" s="436" t="s">
        <v>11</v>
      </c>
      <c r="W2" s="436" t="s">
        <v>11</v>
      </c>
      <c r="X2" s="436" t="s">
        <v>11</v>
      </c>
      <c r="Y2" s="436" t="s">
        <v>11</v>
      </c>
      <c r="Z2" s="436"/>
      <c r="AA2" s="436" t="s">
        <v>11</v>
      </c>
      <c r="AB2" s="436" t="s">
        <v>11</v>
      </c>
      <c r="AC2" s="436" t="s">
        <v>11</v>
      </c>
      <c r="AD2" s="436" t="s">
        <v>11</v>
      </c>
      <c r="AE2" s="436" t="s">
        <v>11</v>
      </c>
      <c r="AF2" s="436" t="s">
        <v>11</v>
      </c>
      <c r="AG2" s="436" t="s">
        <v>11</v>
      </c>
      <c r="AH2" s="436" t="s">
        <v>11</v>
      </c>
      <c r="AI2" s="52" t="s">
        <v>10</v>
      </c>
    </row>
    <row r="3" spans="1:35" ht="15.75" thickBot="1" x14ac:dyDescent="0.3">
      <c r="A3" s="456">
        <v>43891</v>
      </c>
      <c r="B3" s="438" t="s">
        <v>13</v>
      </c>
      <c r="C3" s="439" t="s">
        <v>228</v>
      </c>
      <c r="D3" s="54">
        <v>34681.440000000002</v>
      </c>
      <c r="E3" s="54">
        <v>74444</v>
      </c>
      <c r="F3" s="54">
        <v>1000</v>
      </c>
      <c r="G3" s="53"/>
      <c r="H3" s="54">
        <v>7923.82</v>
      </c>
      <c r="I3" s="53"/>
      <c r="J3" s="53"/>
      <c r="K3" s="53"/>
      <c r="L3" s="437">
        <v>8923.82</v>
      </c>
      <c r="M3" s="54">
        <v>13.4</v>
      </c>
      <c r="N3" s="54">
        <v>25311.71</v>
      </c>
      <c r="O3" s="53"/>
      <c r="P3" s="53"/>
      <c r="Q3" s="53"/>
      <c r="R3" s="53"/>
      <c r="S3" s="53"/>
      <c r="T3" s="53"/>
      <c r="U3" s="440">
        <v>25311.71</v>
      </c>
      <c r="V3" s="53"/>
      <c r="W3" s="54">
        <v>128.78</v>
      </c>
      <c r="X3" s="54">
        <v>303.73</v>
      </c>
      <c r="Y3" s="53"/>
      <c r="Z3" s="53"/>
      <c r="AA3" s="53"/>
      <c r="AB3" s="53"/>
      <c r="AC3" s="53">
        <v>0</v>
      </c>
      <c r="AD3" s="54">
        <v>678.4</v>
      </c>
      <c r="AE3" s="54"/>
      <c r="AF3" s="53">
        <v>35359.839999999997</v>
      </c>
      <c r="AG3" s="54">
        <v>0</v>
      </c>
      <c r="AH3" s="54"/>
      <c r="AI3" s="54"/>
    </row>
    <row r="4" spans="1:35" ht="15.75" thickBot="1" x14ac:dyDescent="0.3">
      <c r="A4" s="456">
        <v>43891</v>
      </c>
      <c r="B4" s="438" t="s">
        <v>429</v>
      </c>
      <c r="C4" s="439" t="s">
        <v>430</v>
      </c>
      <c r="D4" s="56">
        <v>7555.35</v>
      </c>
      <c r="E4" s="56">
        <v>15511</v>
      </c>
      <c r="F4" s="56">
        <v>500</v>
      </c>
      <c r="G4" s="55"/>
      <c r="H4" s="56">
        <v>1650.99</v>
      </c>
      <c r="I4" s="55"/>
      <c r="J4" s="55"/>
      <c r="K4" s="55"/>
      <c r="L4" s="437">
        <v>2150.9899999999998</v>
      </c>
      <c r="M4" s="56">
        <v>2.79</v>
      </c>
      <c r="N4" s="56">
        <v>5273.9</v>
      </c>
      <c r="O4" s="55"/>
      <c r="P4" s="55"/>
      <c r="Q4" s="55"/>
      <c r="R4" s="55"/>
      <c r="S4" s="55"/>
      <c r="T4" s="55"/>
      <c r="U4" s="440">
        <v>5273.9</v>
      </c>
      <c r="V4" s="55"/>
      <c r="W4" s="56">
        <v>64.39</v>
      </c>
      <c r="X4" s="56">
        <v>63.28</v>
      </c>
      <c r="Y4" s="55"/>
      <c r="Z4" s="55"/>
      <c r="AA4" s="56"/>
      <c r="AB4" s="55"/>
      <c r="AC4" s="55">
        <v>0</v>
      </c>
      <c r="AD4" s="56">
        <v>0</v>
      </c>
      <c r="AE4" s="56"/>
      <c r="AF4" s="55">
        <v>7555.35</v>
      </c>
      <c r="AG4" s="56">
        <v>0</v>
      </c>
      <c r="AH4" s="56"/>
      <c r="AI4" s="56"/>
    </row>
    <row r="5" spans="1:35" ht="15.75" thickBot="1" x14ac:dyDescent="0.3">
      <c r="A5" s="456">
        <v>43891</v>
      </c>
      <c r="B5" s="441" t="s">
        <v>223</v>
      </c>
      <c r="C5" s="441" t="s">
        <v>223</v>
      </c>
      <c r="D5" s="54">
        <v>42236.79</v>
      </c>
      <c r="E5" s="54">
        <v>89955</v>
      </c>
      <c r="F5" s="54">
        <v>1500</v>
      </c>
      <c r="G5" s="53"/>
      <c r="H5" s="54">
        <v>9574.81</v>
      </c>
      <c r="I5" s="53"/>
      <c r="J5" s="53"/>
      <c r="K5" s="53"/>
      <c r="L5" s="437">
        <v>11074.81</v>
      </c>
      <c r="M5" s="54">
        <v>16.190000000000001</v>
      </c>
      <c r="N5" s="54">
        <v>30585.61</v>
      </c>
      <c r="O5" s="53"/>
      <c r="P5" s="53"/>
      <c r="Q5" s="53"/>
      <c r="R5" s="53"/>
      <c r="S5" s="53"/>
      <c r="T5" s="53"/>
      <c r="U5" s="440">
        <v>30585.61</v>
      </c>
      <c r="V5" s="53"/>
      <c r="W5" s="54">
        <v>193.17</v>
      </c>
      <c r="X5" s="54">
        <v>367.01</v>
      </c>
      <c r="Y5" s="54"/>
      <c r="Z5" s="54"/>
      <c r="AA5" s="54"/>
      <c r="AB5" s="54"/>
      <c r="AC5" s="54">
        <v>0</v>
      </c>
      <c r="AD5" s="54">
        <v>678.4</v>
      </c>
      <c r="AE5" s="54"/>
      <c r="AF5" s="54">
        <v>42915.19</v>
      </c>
      <c r="AG5" s="54">
        <v>0</v>
      </c>
      <c r="AH5" s="54"/>
      <c r="AI5" s="54"/>
    </row>
    <row r="6" spans="1:35" ht="23.25" thickBot="1" x14ac:dyDescent="0.3">
      <c r="A6" s="456">
        <v>43891</v>
      </c>
      <c r="B6" s="438" t="s">
        <v>19</v>
      </c>
      <c r="C6" s="439" t="s">
        <v>431</v>
      </c>
      <c r="D6" s="56">
        <v>10813326.439999999</v>
      </c>
      <c r="E6" s="56">
        <v>13490564</v>
      </c>
      <c r="F6" s="56">
        <v>1716212.93</v>
      </c>
      <c r="G6" s="55"/>
      <c r="H6" s="56">
        <v>4137556.33</v>
      </c>
      <c r="I6" s="55"/>
      <c r="J6" s="55"/>
      <c r="K6" s="55"/>
      <c r="L6" s="437">
        <v>5853769.2599999998</v>
      </c>
      <c r="M6" s="56">
        <v>2425.9699999999998</v>
      </c>
      <c r="N6" s="56">
        <v>4590475.96</v>
      </c>
      <c r="O6" s="55"/>
      <c r="P6" s="55"/>
      <c r="Q6" s="55"/>
      <c r="R6" s="55"/>
      <c r="S6" s="55"/>
      <c r="T6" s="55"/>
      <c r="U6" s="440">
        <v>4590475.96</v>
      </c>
      <c r="V6" s="55"/>
      <c r="W6" s="56">
        <v>130993.59</v>
      </c>
      <c r="X6" s="56">
        <v>91870.58</v>
      </c>
      <c r="Y6" s="442">
        <v>143791.07999999999</v>
      </c>
      <c r="Z6" s="442">
        <v>0</v>
      </c>
      <c r="AA6" s="56"/>
      <c r="AB6" s="55"/>
      <c r="AC6" s="55">
        <v>17980.59</v>
      </c>
      <c r="AD6" s="56">
        <v>534869.34</v>
      </c>
      <c r="AE6" s="56"/>
      <c r="AF6" s="55">
        <v>11366176.369999999</v>
      </c>
      <c r="AG6" s="56">
        <v>0</v>
      </c>
      <c r="AH6" s="56"/>
      <c r="AI6" s="56"/>
    </row>
    <row r="7" spans="1:35" ht="15.75" thickBot="1" x14ac:dyDescent="0.3">
      <c r="A7" s="456">
        <v>43891</v>
      </c>
      <c r="B7" s="438" t="s">
        <v>350</v>
      </c>
      <c r="C7" s="439" t="s">
        <v>432</v>
      </c>
      <c r="D7" s="54">
        <v>222.24</v>
      </c>
      <c r="E7" s="54">
        <v>248</v>
      </c>
      <c r="F7" s="54">
        <v>55.16</v>
      </c>
      <c r="G7" s="53"/>
      <c r="H7" s="54">
        <v>76.06</v>
      </c>
      <c r="I7" s="53"/>
      <c r="J7" s="53"/>
      <c r="K7" s="53"/>
      <c r="L7" s="437">
        <v>131.22</v>
      </c>
      <c r="M7" s="54">
        <v>0.04</v>
      </c>
      <c r="N7" s="54">
        <v>84.32</v>
      </c>
      <c r="O7" s="53"/>
      <c r="P7" s="53"/>
      <c r="Q7" s="53"/>
      <c r="R7" s="53"/>
      <c r="S7" s="53"/>
      <c r="T7" s="53"/>
      <c r="U7" s="440">
        <v>84.32</v>
      </c>
      <c r="V7" s="53"/>
      <c r="W7" s="54">
        <v>5.12</v>
      </c>
      <c r="X7" s="54">
        <v>1.69</v>
      </c>
      <c r="Y7" s="54">
        <v>-0.15</v>
      </c>
      <c r="Z7" s="54"/>
      <c r="AA7" s="53"/>
      <c r="AB7" s="53"/>
      <c r="AC7" s="53">
        <v>0</v>
      </c>
      <c r="AD7" s="54">
        <v>13.33</v>
      </c>
      <c r="AE7" s="54"/>
      <c r="AF7" s="53">
        <v>235.57</v>
      </c>
      <c r="AG7" s="54">
        <v>0</v>
      </c>
      <c r="AH7" s="54"/>
      <c r="AI7" s="54"/>
    </row>
    <row r="8" spans="1:35" ht="23.25" thickBot="1" x14ac:dyDescent="0.3">
      <c r="A8" s="456">
        <v>43891</v>
      </c>
      <c r="B8" s="438" t="s">
        <v>599</v>
      </c>
      <c r="C8" s="439" t="s">
        <v>600</v>
      </c>
      <c r="D8" s="56">
        <v>39142.980000000003</v>
      </c>
      <c r="E8" s="56">
        <v>601</v>
      </c>
      <c r="F8" s="56">
        <v>35633.360000000001</v>
      </c>
      <c r="G8" s="55"/>
      <c r="H8" s="56">
        <v>186.31</v>
      </c>
      <c r="I8" s="55"/>
      <c r="J8" s="55"/>
      <c r="K8" s="55"/>
      <c r="L8" s="437">
        <v>35819.67</v>
      </c>
      <c r="M8" s="56">
        <v>0</v>
      </c>
      <c r="N8" s="56">
        <v>204.34</v>
      </c>
      <c r="O8" s="55"/>
      <c r="P8" s="55"/>
      <c r="Q8" s="55"/>
      <c r="R8" s="55"/>
      <c r="S8" s="55"/>
      <c r="T8" s="55"/>
      <c r="U8" s="440">
        <v>204.34</v>
      </c>
      <c r="V8" s="55"/>
      <c r="W8" s="56">
        <v>3112.96</v>
      </c>
      <c r="X8" s="56">
        <v>6.01</v>
      </c>
      <c r="Y8" s="56"/>
      <c r="Z8" s="56"/>
      <c r="AA8" s="56"/>
      <c r="AB8" s="55"/>
      <c r="AC8" s="55">
        <v>13.47</v>
      </c>
      <c r="AD8" s="56">
        <v>2481.34</v>
      </c>
      <c r="AE8" s="56"/>
      <c r="AF8" s="55">
        <v>41637.79</v>
      </c>
      <c r="AG8" s="56">
        <v>0</v>
      </c>
      <c r="AH8" s="56"/>
      <c r="AI8" s="56"/>
    </row>
    <row r="9" spans="1:35" ht="15.75" customHeight="1" thickBot="1" x14ac:dyDescent="0.3">
      <c r="A9" s="456">
        <v>43891</v>
      </c>
      <c r="B9" s="441" t="s">
        <v>56</v>
      </c>
      <c r="C9" s="441" t="s">
        <v>56</v>
      </c>
      <c r="D9" s="54">
        <v>10852691.66</v>
      </c>
      <c r="E9" s="54">
        <v>13491413</v>
      </c>
      <c r="F9" s="54">
        <v>1751901.45</v>
      </c>
      <c r="G9" s="53"/>
      <c r="H9" s="54">
        <v>4137818.7</v>
      </c>
      <c r="I9" s="53"/>
      <c r="J9" s="53"/>
      <c r="K9" s="53"/>
      <c r="L9" s="437">
        <v>5889720.1500000004</v>
      </c>
      <c r="M9" s="54">
        <v>2426.0100000000002</v>
      </c>
      <c r="N9" s="54">
        <v>4590764.62</v>
      </c>
      <c r="O9" s="53"/>
      <c r="P9" s="53"/>
      <c r="Q9" s="53"/>
      <c r="R9" s="53"/>
      <c r="S9" s="53"/>
      <c r="T9" s="53"/>
      <c r="U9" s="440">
        <v>4590764.62</v>
      </c>
      <c r="V9" s="53"/>
      <c r="W9" s="54">
        <v>134111.67000000001</v>
      </c>
      <c r="X9" s="54">
        <v>91878.28</v>
      </c>
      <c r="Y9" s="54">
        <v>143790.93</v>
      </c>
      <c r="Z9" s="54">
        <v>0</v>
      </c>
      <c r="AA9" s="54"/>
      <c r="AB9" s="54"/>
      <c r="AC9" s="54">
        <v>17994.060000000001</v>
      </c>
      <c r="AD9" s="54">
        <v>537364.01</v>
      </c>
      <c r="AE9" s="54"/>
      <c r="AF9" s="54">
        <v>11408049.73</v>
      </c>
      <c r="AG9" s="54">
        <v>0</v>
      </c>
      <c r="AH9" s="54"/>
      <c r="AI9" s="54"/>
    </row>
    <row r="10" spans="1:35" ht="23.25" thickBot="1" x14ac:dyDescent="0.3">
      <c r="A10" s="456">
        <v>43891</v>
      </c>
      <c r="B10" s="438" t="s">
        <v>43</v>
      </c>
      <c r="C10" s="439" t="s">
        <v>433</v>
      </c>
      <c r="D10" s="56">
        <v>1659.82</v>
      </c>
      <c r="E10" s="56">
        <v>6</v>
      </c>
      <c r="F10" s="56">
        <v>330</v>
      </c>
      <c r="G10" s="836">
        <v>1198.8</v>
      </c>
      <c r="H10" s="56">
        <v>0.18</v>
      </c>
      <c r="I10" s="55"/>
      <c r="J10" s="55"/>
      <c r="K10" s="55"/>
      <c r="L10" s="437">
        <v>1528.98</v>
      </c>
      <c r="M10" s="56"/>
      <c r="N10" s="56">
        <v>2.04</v>
      </c>
      <c r="O10" s="55"/>
      <c r="P10" s="55"/>
      <c r="Q10" s="55"/>
      <c r="R10" s="55"/>
      <c r="S10" s="55"/>
      <c r="T10" s="55"/>
      <c r="U10" s="440">
        <v>2.04</v>
      </c>
      <c r="V10" s="55"/>
      <c r="W10" s="56">
        <v>128.78</v>
      </c>
      <c r="X10" s="56">
        <v>0.02</v>
      </c>
      <c r="Y10" s="56"/>
      <c r="Z10" s="56"/>
      <c r="AA10" s="56"/>
      <c r="AB10" s="55"/>
      <c r="AC10" s="55">
        <v>0</v>
      </c>
      <c r="AD10" s="56">
        <v>45.41</v>
      </c>
      <c r="AE10" s="56"/>
      <c r="AF10" s="55">
        <v>1705.23</v>
      </c>
      <c r="AG10" s="56">
        <v>0</v>
      </c>
      <c r="AH10" s="56"/>
      <c r="AI10" s="56"/>
    </row>
    <row r="11" spans="1:35" ht="15.75" customHeight="1" thickBot="1" x14ac:dyDescent="0.3">
      <c r="A11" s="456">
        <v>43891</v>
      </c>
      <c r="B11" s="441" t="s">
        <v>428</v>
      </c>
      <c r="C11" s="441" t="s">
        <v>428</v>
      </c>
      <c r="D11" s="54">
        <v>1659.82</v>
      </c>
      <c r="E11" s="54">
        <v>6</v>
      </c>
      <c r="F11" s="54">
        <v>330</v>
      </c>
      <c r="G11" s="54">
        <v>1198.8</v>
      </c>
      <c r="H11" s="54">
        <v>0.18</v>
      </c>
      <c r="I11" s="54"/>
      <c r="J11" s="54"/>
      <c r="K11" s="54"/>
      <c r="L11" s="437">
        <v>1528.98</v>
      </c>
      <c r="M11" s="54"/>
      <c r="N11" s="54">
        <v>2.04</v>
      </c>
      <c r="O11" s="54"/>
      <c r="P11" s="53"/>
      <c r="Q11" s="54"/>
      <c r="R11" s="53"/>
      <c r="S11" s="53"/>
      <c r="T11" s="53"/>
      <c r="U11" s="440">
        <v>2.04</v>
      </c>
      <c r="V11" s="54"/>
      <c r="W11" s="54">
        <v>128.78</v>
      </c>
      <c r="X11" s="54">
        <v>0.02</v>
      </c>
      <c r="Y11" s="53"/>
      <c r="Z11" s="53"/>
      <c r="AA11" s="54"/>
      <c r="AB11" s="53"/>
      <c r="AC11" s="53">
        <v>0</v>
      </c>
      <c r="AD11" s="444">
        <v>45.41</v>
      </c>
      <c r="AE11" s="443"/>
      <c r="AF11" s="443">
        <v>1705.23</v>
      </c>
      <c r="AG11" s="443">
        <v>0</v>
      </c>
      <c r="AH11" s="444"/>
      <c r="AI11" s="53"/>
    </row>
    <row r="12" spans="1:35" ht="23.25" thickBot="1" x14ac:dyDescent="0.3">
      <c r="A12" s="456">
        <v>43891</v>
      </c>
      <c r="B12" s="438" t="s">
        <v>24</v>
      </c>
      <c r="C12" s="439" t="s">
        <v>436</v>
      </c>
      <c r="D12" s="56">
        <v>400215.7</v>
      </c>
      <c r="E12" s="56">
        <v>627481</v>
      </c>
      <c r="F12" s="56">
        <v>40997.58</v>
      </c>
      <c r="G12" s="55"/>
      <c r="H12" s="56">
        <v>137600.28</v>
      </c>
      <c r="I12" s="55"/>
      <c r="J12" s="55"/>
      <c r="K12" s="55"/>
      <c r="L12" s="437">
        <v>178597.86</v>
      </c>
      <c r="M12" s="56"/>
      <c r="N12" s="56">
        <v>213481.58</v>
      </c>
      <c r="O12" s="56"/>
      <c r="P12" s="55"/>
      <c r="Q12" s="56"/>
      <c r="R12" s="55"/>
      <c r="S12" s="55"/>
      <c r="T12" s="55"/>
      <c r="U12" s="440">
        <v>213481.58</v>
      </c>
      <c r="V12" s="56"/>
      <c r="W12" s="56">
        <v>5576.17</v>
      </c>
      <c r="X12" s="56">
        <v>2560.09</v>
      </c>
      <c r="Y12" s="55"/>
      <c r="Z12" s="55"/>
      <c r="AA12" s="56"/>
      <c r="AB12" s="55"/>
      <c r="AC12" s="55">
        <v>404.17</v>
      </c>
      <c r="AD12" s="445">
        <v>20946.71</v>
      </c>
      <c r="AE12" s="442"/>
      <c r="AF12" s="442">
        <v>421566.58</v>
      </c>
      <c r="AG12" s="442">
        <v>0</v>
      </c>
      <c r="AH12" s="445"/>
      <c r="AI12" s="55"/>
    </row>
    <row r="13" spans="1:35" ht="23.25" thickBot="1" x14ac:dyDescent="0.3">
      <c r="A13" s="456">
        <v>43891</v>
      </c>
      <c r="B13" s="438" t="s">
        <v>434</v>
      </c>
      <c r="C13" s="439" t="s">
        <v>435</v>
      </c>
      <c r="D13" s="54">
        <v>448547.66</v>
      </c>
      <c r="E13" s="54">
        <v>682439</v>
      </c>
      <c r="F13" s="54">
        <v>55318.12</v>
      </c>
      <c r="G13" s="53"/>
      <c r="H13" s="54">
        <v>149652.04999999999</v>
      </c>
      <c r="I13" s="53"/>
      <c r="J13" s="53"/>
      <c r="K13" s="53"/>
      <c r="L13" s="437">
        <v>204970.16999999998</v>
      </c>
      <c r="M13" s="54">
        <v>122.82</v>
      </c>
      <c r="N13" s="54">
        <v>232200.86</v>
      </c>
      <c r="O13" s="54"/>
      <c r="P13" s="53"/>
      <c r="Q13" s="54"/>
      <c r="R13" s="53"/>
      <c r="S13" s="53"/>
      <c r="T13" s="53"/>
      <c r="U13" s="440">
        <v>232200.86</v>
      </c>
      <c r="V13" s="54"/>
      <c r="W13" s="54">
        <v>8469.43</v>
      </c>
      <c r="X13" s="54">
        <v>2784.38</v>
      </c>
      <c r="Y13" s="53"/>
      <c r="Z13" s="53"/>
      <c r="AA13" s="54"/>
      <c r="AB13" s="53"/>
      <c r="AC13" s="53">
        <v>0</v>
      </c>
      <c r="AD13" s="444">
        <v>25155.040000000001</v>
      </c>
      <c r="AE13" s="443"/>
      <c r="AF13" s="443">
        <v>473702.7</v>
      </c>
      <c r="AG13" s="443">
        <v>0</v>
      </c>
      <c r="AH13" s="444"/>
      <c r="AI13" s="53"/>
    </row>
    <row r="14" spans="1:35" ht="15.75" thickBot="1" x14ac:dyDescent="0.3">
      <c r="A14" s="456">
        <v>43891</v>
      </c>
      <c r="B14" s="441" t="s">
        <v>59</v>
      </c>
      <c r="C14" s="441" t="s">
        <v>59</v>
      </c>
      <c r="D14" s="56">
        <v>848763.36</v>
      </c>
      <c r="E14" s="56">
        <v>1309920</v>
      </c>
      <c r="F14" s="56">
        <v>96315.7</v>
      </c>
      <c r="G14" s="56"/>
      <c r="H14" s="56">
        <v>287252.33</v>
      </c>
      <c r="I14" s="55"/>
      <c r="J14" s="55"/>
      <c r="K14" s="55"/>
      <c r="L14" s="437">
        <v>383568.03</v>
      </c>
      <c r="M14" s="56">
        <v>122.82</v>
      </c>
      <c r="N14" s="56">
        <v>445682.44</v>
      </c>
      <c r="O14" s="56"/>
      <c r="P14" s="55"/>
      <c r="Q14" s="56"/>
      <c r="R14" s="55"/>
      <c r="S14" s="55"/>
      <c r="T14" s="55"/>
      <c r="U14" s="440">
        <v>445682.44</v>
      </c>
      <c r="V14" s="56"/>
      <c r="W14" s="56">
        <v>14045.6</v>
      </c>
      <c r="X14" s="56">
        <v>5344.47</v>
      </c>
      <c r="Y14" s="55"/>
      <c r="Z14" s="55"/>
      <c r="AA14" s="56"/>
      <c r="AB14" s="55"/>
      <c r="AC14" s="55">
        <v>404.17</v>
      </c>
      <c r="AD14" s="445">
        <v>46101.75</v>
      </c>
      <c r="AE14" s="445"/>
      <c r="AF14" s="442">
        <v>895269.28</v>
      </c>
      <c r="AG14" s="442">
        <v>0</v>
      </c>
      <c r="AH14" s="445"/>
      <c r="AI14" s="55"/>
    </row>
    <row r="15" spans="1:35" ht="15.75" thickBot="1" x14ac:dyDescent="0.3">
      <c r="A15" s="456">
        <v>43891</v>
      </c>
      <c r="B15" s="438" t="s">
        <v>26</v>
      </c>
      <c r="C15" s="439" t="s">
        <v>27</v>
      </c>
      <c r="D15" s="825">
        <v>25299167.100000001</v>
      </c>
      <c r="E15" s="825">
        <v>26525601</v>
      </c>
      <c r="F15" s="825">
        <v>5711386.0599999996</v>
      </c>
      <c r="G15" s="826"/>
      <c r="H15" s="825">
        <v>9756634.9499999993</v>
      </c>
      <c r="I15" s="53"/>
      <c r="J15" s="53"/>
      <c r="K15" s="53"/>
      <c r="L15" s="437">
        <v>15468021.009999998</v>
      </c>
      <c r="M15" s="446">
        <v>-60988.9</v>
      </c>
      <c r="N15" s="446">
        <v>9018585.9700000007</v>
      </c>
      <c r="O15" s="53"/>
      <c r="P15" s="53"/>
      <c r="Q15" s="53"/>
      <c r="R15" s="53"/>
      <c r="S15" s="53"/>
      <c r="T15" s="53"/>
      <c r="U15" s="440">
        <v>9018585.9700000007</v>
      </c>
      <c r="V15" s="53"/>
      <c r="W15" s="446">
        <v>306737.03000000003</v>
      </c>
      <c r="X15" s="446">
        <v>222558.05</v>
      </c>
      <c r="Y15" s="447">
        <v>344331.43</v>
      </c>
      <c r="Z15" s="447">
        <v>-77.489999999999995</v>
      </c>
      <c r="AA15" s="53"/>
      <c r="AB15" s="53">
        <v>75965</v>
      </c>
      <c r="AC15" s="448">
        <v>29863.54</v>
      </c>
      <c r="AD15" s="54">
        <v>107740.95</v>
      </c>
      <c r="AE15" s="54"/>
      <c r="AF15" s="53">
        <v>25512736.59</v>
      </c>
      <c r="AG15" s="446">
        <v>0</v>
      </c>
      <c r="AH15" s="54"/>
      <c r="AI15" s="54"/>
    </row>
    <row r="16" spans="1:35" ht="15.75" customHeight="1" outlineLevel="1" thickBot="1" x14ac:dyDescent="0.3">
      <c r="A16" s="456">
        <v>43891</v>
      </c>
      <c r="B16" s="441" t="s">
        <v>62</v>
      </c>
      <c r="C16" s="441" t="s">
        <v>62</v>
      </c>
      <c r="D16" s="827">
        <v>25299167.100000001</v>
      </c>
      <c r="E16" s="827">
        <v>26525601</v>
      </c>
      <c r="F16" s="827">
        <v>5711386.0599999996</v>
      </c>
      <c r="G16" s="828"/>
      <c r="H16" s="827">
        <v>9756634.9499999993</v>
      </c>
      <c r="I16" s="55"/>
      <c r="J16" s="55"/>
      <c r="K16" s="55"/>
      <c r="L16" s="437">
        <v>15468021.009999998</v>
      </c>
      <c r="M16" s="446">
        <v>-60988.9</v>
      </c>
      <c r="N16" s="446">
        <v>9018585.9700000007</v>
      </c>
      <c r="O16" s="55"/>
      <c r="P16" s="55"/>
      <c r="Q16" s="55"/>
      <c r="R16" s="55"/>
      <c r="S16" s="55"/>
      <c r="T16" s="55"/>
      <c r="U16" s="440">
        <v>9018585.9700000007</v>
      </c>
      <c r="V16" s="55"/>
      <c r="W16" s="446">
        <v>306737.03000000003</v>
      </c>
      <c r="X16" s="446">
        <v>222558.05</v>
      </c>
      <c r="Y16" s="447">
        <v>344331.43</v>
      </c>
      <c r="Z16" s="447">
        <v>-77.489999999999995</v>
      </c>
      <c r="AA16" s="55"/>
      <c r="AB16" s="55">
        <v>75965</v>
      </c>
      <c r="AC16" s="446">
        <v>29863.54</v>
      </c>
      <c r="AD16" s="56">
        <v>107740.95</v>
      </c>
      <c r="AE16" s="56"/>
      <c r="AF16" s="55">
        <v>25512736.59</v>
      </c>
      <c r="AG16" s="446">
        <v>0</v>
      </c>
      <c r="AH16" s="56"/>
      <c r="AI16" s="56"/>
    </row>
    <row r="17" spans="1:35" ht="15.75" customHeight="1" outlineLevel="1" thickBot="1" x14ac:dyDescent="0.3">
      <c r="A17" s="456">
        <v>43891</v>
      </c>
      <c r="B17" s="438" t="s">
        <v>28</v>
      </c>
      <c r="C17" s="439" t="s">
        <v>29</v>
      </c>
      <c r="D17" s="54">
        <v>1474.53</v>
      </c>
      <c r="E17" s="54">
        <v>1933</v>
      </c>
      <c r="F17" s="54">
        <v>57.2</v>
      </c>
      <c r="G17" s="53"/>
      <c r="H17" s="54">
        <v>710.99</v>
      </c>
      <c r="I17" s="53"/>
      <c r="J17" s="53"/>
      <c r="K17" s="53"/>
      <c r="L17" s="437">
        <v>768.19</v>
      </c>
      <c r="M17" s="54">
        <v>-4.45</v>
      </c>
      <c r="N17" s="54">
        <v>657.24</v>
      </c>
      <c r="O17" s="53"/>
      <c r="P17" s="53"/>
      <c r="Q17" s="53"/>
      <c r="R17" s="53"/>
      <c r="S17" s="53"/>
      <c r="T17" s="53"/>
      <c r="U17" s="440">
        <v>657.24</v>
      </c>
      <c r="V17" s="53"/>
      <c r="W17" s="54">
        <v>3.06</v>
      </c>
      <c r="X17" s="54">
        <v>16.22</v>
      </c>
      <c r="Y17" s="54">
        <v>34.270000000000003</v>
      </c>
      <c r="Z17" s="54"/>
      <c r="AA17" s="53"/>
      <c r="AB17" s="53"/>
      <c r="AC17" s="53">
        <v>0</v>
      </c>
      <c r="AD17" s="54">
        <v>0</v>
      </c>
      <c r="AE17" s="54"/>
      <c r="AF17" s="53">
        <v>1474.53</v>
      </c>
      <c r="AG17" s="54">
        <v>0</v>
      </c>
      <c r="AH17" s="54"/>
      <c r="AI17" s="54"/>
    </row>
    <row r="18" spans="1:35" ht="15.75" thickBot="1" x14ac:dyDescent="0.3">
      <c r="A18" s="456">
        <v>43891</v>
      </c>
      <c r="B18" s="441" t="s">
        <v>606</v>
      </c>
      <c r="C18" s="441" t="s">
        <v>606</v>
      </c>
      <c r="D18" s="56">
        <v>1474.53</v>
      </c>
      <c r="E18" s="56">
        <v>1933</v>
      </c>
      <c r="F18" s="56">
        <v>57.2</v>
      </c>
      <c r="G18" s="55"/>
      <c r="H18" s="56">
        <v>710.99</v>
      </c>
      <c r="I18" s="55"/>
      <c r="J18" s="55"/>
      <c r="K18" s="55"/>
      <c r="L18" s="437">
        <v>768.19</v>
      </c>
      <c r="M18" s="56">
        <v>-4.45</v>
      </c>
      <c r="N18" s="56">
        <v>657.24</v>
      </c>
      <c r="O18" s="55"/>
      <c r="P18" s="55"/>
      <c r="Q18" s="55"/>
      <c r="R18" s="55"/>
      <c r="S18" s="55"/>
      <c r="T18" s="55"/>
      <c r="U18" s="440">
        <v>657.24</v>
      </c>
      <c r="V18" s="55"/>
      <c r="W18" s="56">
        <v>3.06</v>
      </c>
      <c r="X18" s="56">
        <v>16.22</v>
      </c>
      <c r="Y18" s="56">
        <v>34.270000000000003</v>
      </c>
      <c r="Z18" s="56"/>
      <c r="AA18" s="55"/>
      <c r="AB18" s="55"/>
      <c r="AC18" s="56">
        <v>0</v>
      </c>
      <c r="AD18" s="56">
        <v>0</v>
      </c>
      <c r="AE18" s="56"/>
      <c r="AF18" s="55">
        <v>1474.53</v>
      </c>
      <c r="AG18" s="56">
        <v>0</v>
      </c>
      <c r="AH18" s="56"/>
      <c r="AI18" s="56"/>
    </row>
    <row r="19" spans="1:35" ht="23.25" customHeight="1" outlineLevel="1" thickBot="1" x14ac:dyDescent="0.3">
      <c r="A19" s="456">
        <v>43891</v>
      </c>
      <c r="B19" s="438" t="s">
        <v>563</v>
      </c>
      <c r="C19" s="439" t="s">
        <v>607</v>
      </c>
      <c r="D19" s="54">
        <v>38889.230000000003</v>
      </c>
      <c r="E19" s="54">
        <v>17188</v>
      </c>
      <c r="F19" s="54">
        <v>570</v>
      </c>
      <c r="G19" s="53">
        <v>31725.48</v>
      </c>
      <c r="H19" s="54">
        <v>619.28</v>
      </c>
      <c r="I19" s="53"/>
      <c r="J19" s="53"/>
      <c r="K19" s="53"/>
      <c r="L19" s="437">
        <v>32914.76</v>
      </c>
      <c r="M19" s="54">
        <v>3.09</v>
      </c>
      <c r="N19" s="54">
        <v>5844.09</v>
      </c>
      <c r="O19" s="53"/>
      <c r="P19" s="53"/>
      <c r="Q19" s="53"/>
      <c r="R19" s="53"/>
      <c r="S19" s="53"/>
      <c r="T19" s="53"/>
      <c r="U19" s="440">
        <v>5844.09</v>
      </c>
      <c r="V19" s="53"/>
      <c r="W19" s="54">
        <v>10.24</v>
      </c>
      <c r="X19" s="54">
        <v>117.05</v>
      </c>
      <c r="Y19" s="449"/>
      <c r="Z19" s="449"/>
      <c r="AA19" s="53"/>
      <c r="AB19" s="53"/>
      <c r="AC19" s="53">
        <v>0</v>
      </c>
      <c r="AD19" s="54">
        <v>0</v>
      </c>
      <c r="AE19" s="54"/>
      <c r="AF19" s="53">
        <v>38889.230000000003</v>
      </c>
      <c r="AG19" s="54">
        <v>0</v>
      </c>
      <c r="AH19" s="54"/>
      <c r="AI19" s="54"/>
    </row>
    <row r="20" spans="1:35" ht="15.75" customHeight="1" outlineLevel="1" thickBot="1" x14ac:dyDescent="0.3">
      <c r="A20" s="456">
        <v>43891</v>
      </c>
      <c r="B20" s="441" t="s">
        <v>608</v>
      </c>
      <c r="C20" s="441" t="s">
        <v>608</v>
      </c>
      <c r="D20" s="56">
        <v>38889.230000000003</v>
      </c>
      <c r="E20" s="56">
        <v>17188</v>
      </c>
      <c r="F20" s="56">
        <v>570</v>
      </c>
      <c r="G20" s="55">
        <v>31725.48</v>
      </c>
      <c r="H20" s="56">
        <v>619.28</v>
      </c>
      <c r="I20" s="55"/>
      <c r="J20" s="55"/>
      <c r="K20" s="55"/>
      <c r="L20" s="437">
        <v>32914.76</v>
      </c>
      <c r="M20" s="56">
        <v>3.09</v>
      </c>
      <c r="N20" s="56">
        <v>5844.09</v>
      </c>
      <c r="O20" s="55"/>
      <c r="P20" s="55"/>
      <c r="Q20" s="55"/>
      <c r="R20" s="55"/>
      <c r="S20" s="55"/>
      <c r="T20" s="55"/>
      <c r="U20" s="440">
        <v>5844.09</v>
      </c>
      <c r="V20" s="55"/>
      <c r="W20" s="56">
        <v>10.24</v>
      </c>
      <c r="X20" s="56">
        <v>117.05</v>
      </c>
      <c r="Y20" s="56"/>
      <c r="Z20" s="450"/>
      <c r="AA20" s="55"/>
      <c r="AB20" s="55"/>
      <c r="AC20" s="56">
        <v>0</v>
      </c>
      <c r="AD20" s="56">
        <v>0</v>
      </c>
      <c r="AE20" s="56"/>
      <c r="AF20" s="55">
        <v>38889.230000000003</v>
      </c>
      <c r="AG20" s="56">
        <v>0</v>
      </c>
      <c r="AH20" s="56"/>
      <c r="AI20" s="56"/>
    </row>
    <row r="21" spans="1:35" ht="15.75" thickBot="1" x14ac:dyDescent="0.3">
      <c r="A21" s="456">
        <v>43891</v>
      </c>
      <c r="B21" s="438" t="s">
        <v>947</v>
      </c>
      <c r="C21" s="439"/>
      <c r="D21" s="54">
        <v>37084882.490000002</v>
      </c>
      <c r="E21" s="54">
        <v>41436016</v>
      </c>
      <c r="F21" s="54">
        <v>7562060.4100000001</v>
      </c>
      <c r="G21" s="53">
        <v>32924.28</v>
      </c>
      <c r="H21" s="54">
        <v>14192611.24</v>
      </c>
      <c r="I21" s="53"/>
      <c r="J21" s="53"/>
      <c r="K21" s="53"/>
      <c r="L21" s="437">
        <v>21787595.93</v>
      </c>
      <c r="M21" s="54">
        <v>-58425.24</v>
      </c>
      <c r="N21" s="54">
        <v>14092122.01</v>
      </c>
      <c r="O21" s="53"/>
      <c r="P21" s="53"/>
      <c r="Q21" s="53"/>
      <c r="R21" s="53"/>
      <c r="S21" s="53"/>
      <c r="T21" s="53"/>
      <c r="U21" s="440">
        <v>14092122.01</v>
      </c>
      <c r="V21" s="53"/>
      <c r="W21" s="54">
        <v>455229.55</v>
      </c>
      <c r="X21" s="54">
        <v>320281.09999999998</v>
      </c>
      <c r="Y21" s="54">
        <v>488156.63</v>
      </c>
      <c r="Z21" s="54">
        <v>-77.489999999999995</v>
      </c>
      <c r="AA21" s="53"/>
      <c r="AB21" s="53">
        <v>75965</v>
      </c>
      <c r="AC21" s="53">
        <v>48261.77</v>
      </c>
      <c r="AD21" s="54">
        <v>691930.52</v>
      </c>
      <c r="AE21" s="54"/>
      <c r="AF21" s="53">
        <v>37901039.780000001</v>
      </c>
      <c r="AG21" s="54">
        <v>0</v>
      </c>
      <c r="AH21" s="54"/>
      <c r="AI21" s="54"/>
    </row>
    <row r="22" spans="1:35" ht="15.75" customHeight="1" outlineLevel="1" thickBot="1" x14ac:dyDescent="0.3">
      <c r="A22" s="456">
        <v>43891</v>
      </c>
      <c r="B22" s="441" t="s">
        <v>55</v>
      </c>
      <c r="C22" s="441" t="s">
        <v>51</v>
      </c>
      <c r="D22" s="56"/>
      <c r="E22" s="56"/>
      <c r="F22" s="56"/>
      <c r="G22" s="55"/>
      <c r="H22" s="56"/>
      <c r="I22" s="55"/>
      <c r="J22" s="55"/>
      <c r="K22" s="55"/>
      <c r="L22" s="437">
        <v>0</v>
      </c>
      <c r="M22" s="56"/>
      <c r="N22" s="56"/>
      <c r="O22" s="55"/>
      <c r="P22" s="55"/>
      <c r="Q22" s="55"/>
      <c r="R22" s="55"/>
      <c r="S22" s="55"/>
      <c r="T22" s="55"/>
      <c r="U22" s="440">
        <v>0</v>
      </c>
      <c r="V22" s="55"/>
      <c r="W22" s="56"/>
      <c r="X22" s="56"/>
      <c r="Y22" s="56"/>
      <c r="Z22" s="56"/>
      <c r="AA22" s="55"/>
      <c r="AB22" s="55"/>
      <c r="AC22" s="56"/>
      <c r="AD22" s="56"/>
      <c r="AE22" s="56"/>
      <c r="AF22" s="55"/>
      <c r="AG22" s="56"/>
      <c r="AH22" s="56"/>
      <c r="AI22" s="56"/>
    </row>
    <row r="23" spans="1:35" ht="15.75" customHeight="1" outlineLevel="1" thickBot="1" x14ac:dyDescent="0.3">
      <c r="A23" s="456">
        <v>43891</v>
      </c>
      <c r="B23" s="438" t="s">
        <v>609</v>
      </c>
      <c r="C23" s="439"/>
      <c r="D23" s="54"/>
      <c r="E23" s="54"/>
      <c r="F23" s="54"/>
      <c r="G23" s="53"/>
      <c r="H23" s="54"/>
      <c r="I23" s="53"/>
      <c r="J23" s="53"/>
      <c r="K23" s="53"/>
      <c r="L23" s="437">
        <v>0</v>
      </c>
      <c r="M23" s="54"/>
      <c r="N23" s="54"/>
      <c r="O23" s="53"/>
      <c r="P23" s="53"/>
      <c r="Q23" s="53"/>
      <c r="R23" s="53"/>
      <c r="S23" s="53"/>
      <c r="T23" s="53"/>
      <c r="U23" s="440">
        <v>0</v>
      </c>
      <c r="V23" s="53"/>
      <c r="W23" s="54"/>
      <c r="X23" s="54"/>
      <c r="Y23" s="54"/>
      <c r="Z23" s="54"/>
      <c r="AA23" s="53"/>
      <c r="AB23" s="53"/>
      <c r="AC23" s="53"/>
      <c r="AD23" s="54"/>
      <c r="AE23" s="54"/>
      <c r="AF23" s="449"/>
      <c r="AG23" s="54"/>
      <c r="AH23" s="54"/>
      <c r="AI23" s="54"/>
    </row>
    <row r="24" spans="1:35" ht="15.75" thickBot="1" x14ac:dyDescent="0.3">
      <c r="A24" s="456">
        <v>43891</v>
      </c>
      <c r="B24" s="451" t="s">
        <v>947</v>
      </c>
      <c r="C24" s="451"/>
      <c r="D24" s="452">
        <v>0</v>
      </c>
      <c r="E24" s="452">
        <v>0</v>
      </c>
      <c r="F24" s="452">
        <v>0</v>
      </c>
      <c r="G24" s="452">
        <v>0</v>
      </c>
      <c r="H24" s="452">
        <v>0</v>
      </c>
      <c r="I24" s="453">
        <v>0</v>
      </c>
      <c r="J24" s="453">
        <v>0</v>
      </c>
      <c r="K24" s="453">
        <v>0</v>
      </c>
      <c r="L24" s="454">
        <v>0</v>
      </c>
      <c r="M24" s="452"/>
      <c r="N24" s="452"/>
      <c r="O24" s="838"/>
      <c r="P24" s="838"/>
      <c r="Q24" s="838"/>
      <c r="R24" s="838"/>
      <c r="S24" s="838"/>
      <c r="T24" s="838"/>
      <c r="U24" s="440">
        <v>0</v>
      </c>
      <c r="V24" s="453">
        <v>0</v>
      </c>
      <c r="W24" s="452">
        <v>0</v>
      </c>
      <c r="X24" s="452"/>
      <c r="Y24" s="452">
        <v>0</v>
      </c>
      <c r="Z24" s="452">
        <v>0</v>
      </c>
      <c r="AA24" s="453">
        <v>0</v>
      </c>
      <c r="AB24" s="453">
        <v>0</v>
      </c>
      <c r="AC24" s="452">
        <v>0</v>
      </c>
      <c r="AD24" s="452">
        <v>0</v>
      </c>
      <c r="AE24" s="452">
        <v>0</v>
      </c>
      <c r="AF24" s="455">
        <v>0</v>
      </c>
      <c r="AG24" s="452">
        <v>0</v>
      </c>
      <c r="AH24" s="452">
        <v>0</v>
      </c>
      <c r="AI24" s="452"/>
    </row>
    <row r="25" spans="1:35" ht="15.75" thickBot="1" x14ac:dyDescent="0.3">
      <c r="A25" s="456">
        <v>43891</v>
      </c>
      <c r="B25" s="438" t="s">
        <v>34</v>
      </c>
      <c r="C25" s="439" t="s">
        <v>437</v>
      </c>
      <c r="D25" s="54">
        <v>28183.32</v>
      </c>
      <c r="E25" s="54">
        <v>612351</v>
      </c>
      <c r="F25" s="54">
        <v>11700</v>
      </c>
      <c r="G25" s="53">
        <v>13585.4</v>
      </c>
      <c r="H25" s="54">
        <v>2326.9499999999998</v>
      </c>
      <c r="I25" s="54">
        <v>3.8</v>
      </c>
      <c r="J25" s="53"/>
      <c r="K25" s="53">
        <v>114.14</v>
      </c>
      <c r="L25" s="437">
        <v>27730.29</v>
      </c>
      <c r="M25" s="53">
        <v>110.22</v>
      </c>
      <c r="N25" s="839"/>
      <c r="O25" s="53"/>
      <c r="P25" s="54">
        <v>0</v>
      </c>
      <c r="Q25" s="54">
        <v>48.88</v>
      </c>
      <c r="R25" s="53"/>
      <c r="S25" s="53"/>
      <c r="T25" s="53"/>
      <c r="U25" s="440">
        <v>48.88</v>
      </c>
      <c r="V25" s="53"/>
      <c r="W25" s="54">
        <v>0</v>
      </c>
      <c r="X25" s="54">
        <v>293.93</v>
      </c>
      <c r="Y25" s="53"/>
      <c r="Z25" s="53"/>
      <c r="AA25" s="53"/>
      <c r="AB25" s="53"/>
      <c r="AC25" s="53">
        <v>0</v>
      </c>
      <c r="AD25" s="54">
        <v>286.07</v>
      </c>
      <c r="AE25" s="54"/>
      <c r="AF25" s="53">
        <v>28469.39</v>
      </c>
      <c r="AG25" s="54">
        <v>0</v>
      </c>
      <c r="AH25" s="54"/>
      <c r="AI25" s="53"/>
    </row>
    <row r="26" spans="1:35" ht="15.75" outlineLevel="1" thickBot="1" x14ac:dyDescent="0.3">
      <c r="A26" s="456">
        <v>43891</v>
      </c>
      <c r="B26" s="438" t="s">
        <v>36</v>
      </c>
      <c r="C26" s="439" t="s">
        <v>438</v>
      </c>
      <c r="D26" s="56">
        <v>462924.28</v>
      </c>
      <c r="E26" s="56">
        <v>13224094</v>
      </c>
      <c r="F26" s="56">
        <v>65000</v>
      </c>
      <c r="G26" s="55">
        <v>338773.87</v>
      </c>
      <c r="H26" s="56">
        <v>50251.57</v>
      </c>
      <c r="I26" s="56">
        <v>44.28</v>
      </c>
      <c r="J26" s="55"/>
      <c r="K26" s="55">
        <v>1617.98</v>
      </c>
      <c r="L26" s="437">
        <v>455687.7</v>
      </c>
      <c r="M26" s="836"/>
      <c r="N26" s="836"/>
      <c r="O26" s="55"/>
      <c r="P26" s="56">
        <v>196.15</v>
      </c>
      <c r="Q26" s="56">
        <v>692.87</v>
      </c>
      <c r="R26" s="55"/>
      <c r="S26" s="55"/>
      <c r="T26" s="55"/>
      <c r="U26" s="440">
        <v>889.02</v>
      </c>
      <c r="V26" s="55"/>
      <c r="W26" s="56">
        <v>0</v>
      </c>
      <c r="X26" s="56">
        <v>6347.56</v>
      </c>
      <c r="Y26" s="55"/>
      <c r="Z26" s="55"/>
      <c r="AA26" s="55"/>
      <c r="AB26" s="55"/>
      <c r="AC26" s="55">
        <v>0</v>
      </c>
      <c r="AD26" s="56">
        <v>19699.13</v>
      </c>
      <c r="AE26" s="56"/>
      <c r="AF26" s="55">
        <v>482623.41</v>
      </c>
      <c r="AG26" s="56">
        <v>0</v>
      </c>
      <c r="AH26" s="56"/>
      <c r="AI26" s="55"/>
    </row>
    <row r="27" spans="1:35" ht="15.75" thickBot="1" x14ac:dyDescent="0.3">
      <c r="A27" s="456">
        <v>43891</v>
      </c>
      <c r="B27" s="438" t="s">
        <v>447</v>
      </c>
      <c r="C27" s="439" t="s">
        <v>494</v>
      </c>
      <c r="D27" s="54">
        <v>49790.1</v>
      </c>
      <c r="E27" s="54">
        <v>1014404</v>
      </c>
      <c r="F27" s="54">
        <v>19500</v>
      </c>
      <c r="G27" s="53">
        <v>25767.360000000001</v>
      </c>
      <c r="H27" s="54">
        <v>3854.76</v>
      </c>
      <c r="I27" s="54">
        <v>11.01</v>
      </c>
      <c r="J27" s="53"/>
      <c r="K27" s="54"/>
      <c r="L27" s="437">
        <v>49133.130000000005</v>
      </c>
      <c r="M27" s="54">
        <v>182.58</v>
      </c>
      <c r="N27" s="839"/>
      <c r="O27" s="53"/>
      <c r="P27" s="54">
        <v>0</v>
      </c>
      <c r="Q27" s="54">
        <v>0</v>
      </c>
      <c r="R27" s="53"/>
      <c r="S27" s="53">
        <v>-12.52</v>
      </c>
      <c r="T27" s="53"/>
      <c r="U27" s="440">
        <v>-12.52</v>
      </c>
      <c r="V27" s="53"/>
      <c r="W27" s="54">
        <v>0</v>
      </c>
      <c r="X27" s="54">
        <v>486.91</v>
      </c>
      <c r="Y27" s="53"/>
      <c r="Z27" s="53"/>
      <c r="AA27" s="53"/>
      <c r="AB27" s="53"/>
      <c r="AC27" s="53">
        <v>452.33</v>
      </c>
      <c r="AD27" s="54">
        <v>2138.31</v>
      </c>
      <c r="AE27" s="54"/>
      <c r="AF27" s="53">
        <v>52380.74</v>
      </c>
      <c r="AG27" s="54">
        <v>0</v>
      </c>
      <c r="AH27" s="54"/>
      <c r="AI27" s="53"/>
    </row>
    <row r="28" spans="1:35" ht="15.75" outlineLevel="1" thickBot="1" x14ac:dyDescent="0.3">
      <c r="A28" s="456">
        <v>43891</v>
      </c>
      <c r="B28" s="441" t="s">
        <v>610</v>
      </c>
      <c r="C28" s="441" t="s">
        <v>610</v>
      </c>
      <c r="D28" s="56">
        <v>540897.69999999995</v>
      </c>
      <c r="E28" s="56">
        <v>14850849</v>
      </c>
      <c r="F28" s="56">
        <v>96200</v>
      </c>
      <c r="G28" s="836">
        <v>378126.63</v>
      </c>
      <c r="H28" s="56">
        <v>56433.279999999999</v>
      </c>
      <c r="I28" s="56">
        <v>59.09</v>
      </c>
      <c r="J28" s="55"/>
      <c r="K28" s="56">
        <v>1732.12</v>
      </c>
      <c r="L28" s="437">
        <v>532551.12</v>
      </c>
      <c r="M28" s="56">
        <v>292.8</v>
      </c>
      <c r="N28" s="838"/>
      <c r="O28" s="55"/>
      <c r="P28" s="56">
        <v>196.15</v>
      </c>
      <c r="Q28" s="56">
        <v>741.75</v>
      </c>
      <c r="R28" s="55"/>
      <c r="S28" s="836">
        <v>-12.52</v>
      </c>
      <c r="T28" s="55"/>
      <c r="U28" s="440">
        <v>925.38</v>
      </c>
      <c r="V28" s="55"/>
      <c r="W28" s="56">
        <v>0</v>
      </c>
      <c r="X28" s="56">
        <v>7128.4</v>
      </c>
      <c r="Y28" s="55"/>
      <c r="Z28" s="55"/>
      <c r="AA28" s="55"/>
      <c r="AB28" s="55"/>
      <c r="AC28" s="55">
        <v>452.33</v>
      </c>
      <c r="AD28" s="56">
        <v>22123.51</v>
      </c>
      <c r="AE28" s="56"/>
      <c r="AF28" s="55">
        <v>563473.54</v>
      </c>
      <c r="AG28" s="56">
        <v>0</v>
      </c>
      <c r="AH28" s="56"/>
      <c r="AI28" s="55"/>
    </row>
    <row r="29" spans="1:35" ht="23.25" thickBot="1" x14ac:dyDescent="0.3">
      <c r="A29" s="456">
        <v>43891</v>
      </c>
      <c r="B29" s="438" t="s">
        <v>38</v>
      </c>
      <c r="C29" s="439" t="s">
        <v>39</v>
      </c>
      <c r="D29" s="54">
        <v>36957.35</v>
      </c>
      <c r="E29" s="53"/>
      <c r="F29" s="54">
        <v>5325</v>
      </c>
      <c r="G29" s="53"/>
      <c r="H29" s="54">
        <v>0</v>
      </c>
      <c r="I29" s="53"/>
      <c r="J29" s="53"/>
      <c r="K29" s="54">
        <v>16594.330000000002</v>
      </c>
      <c r="L29" s="437">
        <v>21919.33</v>
      </c>
      <c r="M29" s="839"/>
      <c r="N29" s="839"/>
      <c r="O29" s="53"/>
      <c r="P29" s="54">
        <v>7931.78</v>
      </c>
      <c r="Q29" s="54">
        <v>7106.24</v>
      </c>
      <c r="R29" s="53"/>
      <c r="S29" s="53"/>
      <c r="T29" s="53"/>
      <c r="U29" s="440">
        <v>15038.02</v>
      </c>
      <c r="V29" s="53"/>
      <c r="W29" s="53"/>
      <c r="X29" s="53"/>
      <c r="Y29" s="53"/>
      <c r="Z29" s="53"/>
      <c r="AA29" s="53"/>
      <c r="AB29" s="53"/>
      <c r="AC29" s="53">
        <v>0</v>
      </c>
      <c r="AD29" s="54">
        <v>0</v>
      </c>
      <c r="AE29" s="54"/>
      <c r="AF29" s="53">
        <v>36957.35</v>
      </c>
      <c r="AG29" s="54">
        <v>0</v>
      </c>
      <c r="AH29" s="54"/>
      <c r="AI29" s="53"/>
    </row>
    <row r="30" spans="1:35" ht="15.75" outlineLevel="1" thickBot="1" x14ac:dyDescent="0.3">
      <c r="A30" s="456">
        <v>43891</v>
      </c>
      <c r="B30" s="441" t="s">
        <v>611</v>
      </c>
      <c r="C30" s="441" t="s">
        <v>611</v>
      </c>
      <c r="D30" s="56">
        <v>36957.35</v>
      </c>
      <c r="E30" s="55"/>
      <c r="F30" s="56">
        <v>5325</v>
      </c>
      <c r="G30" s="55"/>
      <c r="H30" s="56">
        <v>0</v>
      </c>
      <c r="I30" s="55"/>
      <c r="J30" s="55"/>
      <c r="K30" s="56">
        <v>16594.330000000002</v>
      </c>
      <c r="L30" s="437">
        <v>21919.33</v>
      </c>
      <c r="M30" s="836"/>
      <c r="N30" s="836"/>
      <c r="O30" s="55"/>
      <c r="P30" s="56">
        <v>7931.78</v>
      </c>
      <c r="Q30" s="56">
        <v>7106.24</v>
      </c>
      <c r="R30" s="55"/>
      <c r="S30" s="55"/>
      <c r="T30" s="55"/>
      <c r="U30" s="440">
        <v>15038.02</v>
      </c>
      <c r="V30" s="55"/>
      <c r="W30" s="55"/>
      <c r="X30" s="55"/>
      <c r="Y30" s="55"/>
      <c r="Z30" s="55"/>
      <c r="AA30" s="55"/>
      <c r="AB30" s="55"/>
      <c r="AC30" s="55">
        <v>0</v>
      </c>
      <c r="AD30" s="56">
        <v>0</v>
      </c>
      <c r="AE30" s="56"/>
      <c r="AF30" s="55">
        <v>36957.35</v>
      </c>
      <c r="AG30" s="56">
        <v>0</v>
      </c>
      <c r="AH30" s="56"/>
      <c r="AI30" s="55"/>
    </row>
    <row r="31" spans="1:35" ht="23.25" outlineLevel="1" thickBot="1" x14ac:dyDescent="0.3">
      <c r="A31" s="456">
        <v>43891</v>
      </c>
      <c r="B31" s="438" t="s">
        <v>52</v>
      </c>
      <c r="C31" s="439" t="s">
        <v>355</v>
      </c>
      <c r="D31" s="54">
        <v>675</v>
      </c>
      <c r="E31" s="53"/>
      <c r="F31" s="54">
        <v>675</v>
      </c>
      <c r="G31" s="53"/>
      <c r="H31" s="54">
        <v>0</v>
      </c>
      <c r="I31" s="53"/>
      <c r="J31" s="53"/>
      <c r="K31" s="53"/>
      <c r="L31" s="437">
        <v>675</v>
      </c>
      <c r="M31" s="839"/>
      <c r="N31" s="839"/>
      <c r="O31" s="53"/>
      <c r="P31" s="53"/>
      <c r="Q31" s="53"/>
      <c r="R31" s="53"/>
      <c r="S31" s="53"/>
      <c r="T31" s="54">
        <v>0</v>
      </c>
      <c r="U31" s="440">
        <v>0</v>
      </c>
      <c r="V31" s="53"/>
      <c r="W31" s="53"/>
      <c r="X31" s="53"/>
      <c r="Y31" s="53"/>
      <c r="Z31" s="53"/>
      <c r="AA31" s="53"/>
      <c r="AB31" s="53"/>
      <c r="AC31" s="53">
        <v>0</v>
      </c>
      <c r="AD31" s="54">
        <v>0</v>
      </c>
      <c r="AE31" s="54"/>
      <c r="AF31" s="53">
        <v>675</v>
      </c>
      <c r="AG31" s="54">
        <v>0</v>
      </c>
      <c r="AH31" s="54"/>
      <c r="AI31" s="53"/>
    </row>
    <row r="32" spans="1:35" ht="15.75" thickBot="1" x14ac:dyDescent="0.3">
      <c r="A32" s="456">
        <v>43891</v>
      </c>
      <c r="B32" s="441" t="s">
        <v>612</v>
      </c>
      <c r="C32" s="441" t="s">
        <v>612</v>
      </c>
      <c r="D32" s="56">
        <v>675</v>
      </c>
      <c r="E32" s="55"/>
      <c r="F32" s="56">
        <v>675</v>
      </c>
      <c r="G32" s="55"/>
      <c r="H32" s="56">
        <v>0</v>
      </c>
      <c r="I32" s="55"/>
      <c r="J32" s="55"/>
      <c r="K32" s="55"/>
      <c r="L32" s="437">
        <v>675</v>
      </c>
      <c r="M32" s="836"/>
      <c r="N32" s="836"/>
      <c r="O32" s="55"/>
      <c r="P32" s="55"/>
      <c r="Q32" s="55"/>
      <c r="R32" s="55"/>
      <c r="S32" s="55"/>
      <c r="T32" s="56">
        <v>0</v>
      </c>
      <c r="U32" s="440">
        <v>0</v>
      </c>
      <c r="V32" s="55"/>
      <c r="W32" s="55"/>
      <c r="X32" s="55"/>
      <c r="Y32" s="55"/>
      <c r="Z32" s="55"/>
      <c r="AA32" s="55"/>
      <c r="AB32" s="55"/>
      <c r="AC32" s="55">
        <v>0</v>
      </c>
      <c r="AD32" s="56">
        <v>0</v>
      </c>
      <c r="AE32" s="56"/>
      <c r="AF32" s="55">
        <v>675</v>
      </c>
      <c r="AG32" s="56">
        <v>0</v>
      </c>
      <c r="AH32" s="56"/>
      <c r="AI32" s="55"/>
    </row>
    <row r="33" spans="1:35" ht="23.25" outlineLevel="1" thickBot="1" x14ac:dyDescent="0.3">
      <c r="A33" s="456">
        <v>43891</v>
      </c>
      <c r="B33" s="438" t="s">
        <v>53</v>
      </c>
      <c r="C33" s="439" t="s">
        <v>836</v>
      </c>
      <c r="D33" s="54">
        <v>34586.800000000003</v>
      </c>
      <c r="E33" s="54">
        <v>170647</v>
      </c>
      <c r="F33" s="54">
        <v>1050</v>
      </c>
      <c r="G33" s="53"/>
      <c r="H33" s="54">
        <v>18163.669999999998</v>
      </c>
      <c r="I33" s="53"/>
      <c r="J33" s="53"/>
      <c r="K33" s="53"/>
      <c r="L33" s="437">
        <v>19213.669999999998</v>
      </c>
      <c r="M33" s="54"/>
      <c r="N33" s="54">
        <v>0</v>
      </c>
      <c r="O33" s="53"/>
      <c r="P33" s="53"/>
      <c r="Q33" s="53"/>
      <c r="R33" s="54">
        <v>14612.5</v>
      </c>
      <c r="S33" s="53"/>
      <c r="T33" s="53"/>
      <c r="U33" s="440">
        <v>14612.5</v>
      </c>
      <c r="V33" s="53"/>
      <c r="W33" s="54">
        <v>64.39</v>
      </c>
      <c r="X33" s="54">
        <v>696.24</v>
      </c>
      <c r="Y33" s="53"/>
      <c r="Z33" s="53"/>
      <c r="AA33" s="53">
        <v>0</v>
      </c>
      <c r="AB33" s="54"/>
      <c r="AC33" s="53">
        <v>1037.5999999999999</v>
      </c>
      <c r="AD33" s="54">
        <v>0</v>
      </c>
      <c r="AE33" s="54"/>
      <c r="AF33" s="53">
        <v>35624.400000000001</v>
      </c>
      <c r="AG33" s="54">
        <v>0</v>
      </c>
      <c r="AH33" s="54"/>
      <c r="AI33" s="53"/>
    </row>
    <row r="34" spans="1:35" ht="23.25" outlineLevel="1" thickBot="1" x14ac:dyDescent="0.3">
      <c r="A34" s="456">
        <v>43891</v>
      </c>
      <c r="B34" s="438" t="s">
        <v>31</v>
      </c>
      <c r="C34" s="439" t="s">
        <v>835</v>
      </c>
      <c r="D34" s="54">
        <v>19019.07</v>
      </c>
      <c r="E34" s="54">
        <v>52940</v>
      </c>
      <c r="F34" s="54">
        <v>2529.12</v>
      </c>
      <c r="G34" s="53"/>
      <c r="H34" s="54">
        <v>11609.22</v>
      </c>
      <c r="I34" s="53"/>
      <c r="J34" s="53"/>
      <c r="K34" s="53"/>
      <c r="L34" s="437">
        <v>14138.34</v>
      </c>
      <c r="M34" s="54"/>
      <c r="N34" s="54">
        <v>0</v>
      </c>
      <c r="O34" s="53"/>
      <c r="P34" s="53"/>
      <c r="Q34" s="53"/>
      <c r="R34" s="54">
        <v>4533.25</v>
      </c>
      <c r="S34" s="53">
        <v>2.7</v>
      </c>
      <c r="T34" s="53"/>
      <c r="U34" s="440">
        <v>4535.95</v>
      </c>
      <c r="V34" s="53"/>
      <c r="W34" s="54">
        <v>128.78</v>
      </c>
      <c r="X34" s="54">
        <v>216</v>
      </c>
      <c r="Y34" s="53"/>
      <c r="Z34" s="53"/>
      <c r="AA34" s="53">
        <v>0</v>
      </c>
      <c r="AB34" s="54"/>
      <c r="AC34" s="53">
        <v>0</v>
      </c>
      <c r="AD34" s="54">
        <v>1184.22</v>
      </c>
      <c r="AE34" s="54"/>
      <c r="AF34" s="53">
        <v>20203.29</v>
      </c>
      <c r="AG34" s="54">
        <v>0</v>
      </c>
      <c r="AH34" s="54"/>
      <c r="AI34" s="53"/>
    </row>
    <row r="35" spans="1:35" ht="15.75" outlineLevel="1" thickBot="1" x14ac:dyDescent="0.3">
      <c r="A35" s="456">
        <v>43891</v>
      </c>
      <c r="B35" s="441" t="s">
        <v>491</v>
      </c>
      <c r="C35" s="441" t="s">
        <v>492</v>
      </c>
      <c r="D35" s="54">
        <v>15763.52</v>
      </c>
      <c r="E35" s="54">
        <v>25195</v>
      </c>
      <c r="F35" s="54">
        <v>7587.36</v>
      </c>
      <c r="G35" s="54"/>
      <c r="H35" s="54">
        <v>5525.02</v>
      </c>
      <c r="I35" s="53"/>
      <c r="J35" s="53"/>
      <c r="K35" s="53"/>
      <c r="L35" s="437">
        <v>13112.380000000001</v>
      </c>
      <c r="M35" s="54">
        <v>4.54</v>
      </c>
      <c r="N35" s="54">
        <v>0</v>
      </c>
      <c r="O35" s="53"/>
      <c r="P35" s="53"/>
      <c r="Q35" s="53"/>
      <c r="R35" s="54">
        <v>2157.4499999999998</v>
      </c>
      <c r="S35" s="54">
        <v>0</v>
      </c>
      <c r="T35" s="53"/>
      <c r="U35" s="440">
        <v>2157.4499999999998</v>
      </c>
      <c r="V35" s="53"/>
      <c r="W35" s="54">
        <v>386.34</v>
      </c>
      <c r="X35" s="54">
        <v>102.81</v>
      </c>
      <c r="Y35" s="53"/>
      <c r="Z35" s="53"/>
      <c r="AA35" s="53">
        <v>0</v>
      </c>
      <c r="AB35" s="54"/>
      <c r="AC35" s="53">
        <v>0</v>
      </c>
      <c r="AD35" s="54">
        <v>642.4</v>
      </c>
      <c r="AE35" s="54"/>
      <c r="AF35" s="53">
        <v>16405.919999999998</v>
      </c>
      <c r="AG35" s="54">
        <v>0</v>
      </c>
      <c r="AH35" s="54"/>
      <c r="AI35" s="53"/>
    </row>
    <row r="36" spans="1:35" ht="15.75" outlineLevel="1" thickBot="1" x14ac:dyDescent="0.3">
      <c r="A36" s="456">
        <v>43891</v>
      </c>
      <c r="B36" s="438" t="s">
        <v>613</v>
      </c>
      <c r="C36" s="439" t="s">
        <v>613</v>
      </c>
      <c r="D36" s="450">
        <v>69369.39</v>
      </c>
      <c r="E36" s="56">
        <v>248782</v>
      </c>
      <c r="F36" s="55">
        <v>11166.48</v>
      </c>
      <c r="G36" s="55"/>
      <c r="H36" s="56">
        <v>35297.910000000003</v>
      </c>
      <c r="I36" s="55"/>
      <c r="J36" s="55"/>
      <c r="K36" s="55"/>
      <c r="L36" s="437">
        <v>46464.39</v>
      </c>
      <c r="M36" s="836">
        <v>4.54</v>
      </c>
      <c r="N36" s="836">
        <v>0</v>
      </c>
      <c r="O36" s="450"/>
      <c r="P36" s="55"/>
      <c r="Q36" s="55"/>
      <c r="R36" s="55">
        <v>21303.200000000001</v>
      </c>
      <c r="S36" s="55">
        <v>2.7</v>
      </c>
      <c r="T36" s="55"/>
      <c r="U36" s="440">
        <v>21305.9</v>
      </c>
      <c r="V36" s="56"/>
      <c r="W36" s="55">
        <v>579.51</v>
      </c>
      <c r="X36" s="55">
        <v>1015.05</v>
      </c>
      <c r="Y36" s="55"/>
      <c r="Z36" s="55"/>
      <c r="AA36" s="55">
        <v>0</v>
      </c>
      <c r="AB36" s="55"/>
      <c r="AC36" s="55">
        <v>1037.5999999999999</v>
      </c>
      <c r="AD36" s="55">
        <v>1826.62</v>
      </c>
      <c r="AE36" s="450"/>
      <c r="AF36" s="450">
        <v>72233.61</v>
      </c>
      <c r="AG36" s="450">
        <v>0</v>
      </c>
      <c r="AH36" s="56"/>
      <c r="AI36" s="55"/>
    </row>
    <row r="37" spans="1:35" ht="15.75" outlineLevel="1" thickBot="1" x14ac:dyDescent="0.3">
      <c r="A37" s="456"/>
      <c r="B37" s="438" t="s">
        <v>947</v>
      </c>
      <c r="C37" s="439"/>
      <c r="D37" s="450">
        <v>647899.43999999994</v>
      </c>
      <c r="E37" s="56">
        <v>15099631</v>
      </c>
      <c r="F37" s="55">
        <v>113366.48</v>
      </c>
      <c r="G37" s="55">
        <v>378126.63</v>
      </c>
      <c r="H37" s="56">
        <v>91731.19</v>
      </c>
      <c r="I37" s="55">
        <v>59.09</v>
      </c>
      <c r="J37" s="55"/>
      <c r="K37" s="55">
        <v>18326.45</v>
      </c>
      <c r="L37" s="437">
        <v>601609.84</v>
      </c>
      <c r="M37" s="836">
        <v>297.33999999999997</v>
      </c>
      <c r="N37" s="836">
        <v>0</v>
      </c>
      <c r="O37" s="450"/>
      <c r="P37" s="55">
        <v>8127.93</v>
      </c>
      <c r="Q37" s="55">
        <v>7847.99</v>
      </c>
      <c r="R37" s="55">
        <v>21303.200000000001</v>
      </c>
      <c r="S37" s="55">
        <v>-9.82</v>
      </c>
      <c r="T37" s="55">
        <v>0</v>
      </c>
      <c r="U37" s="440">
        <v>37269.300000000003</v>
      </c>
      <c r="V37" s="56"/>
      <c r="W37" s="55">
        <v>579.51</v>
      </c>
      <c r="X37" s="55">
        <v>8143.45</v>
      </c>
      <c r="Y37" s="55"/>
      <c r="Z37" s="55"/>
      <c r="AA37" s="55">
        <v>0</v>
      </c>
      <c r="AB37" s="55"/>
      <c r="AC37" s="55">
        <v>1489.93</v>
      </c>
      <c r="AD37" s="55">
        <v>23950.13</v>
      </c>
      <c r="AE37" s="450"/>
      <c r="AF37" s="450">
        <v>673339.5</v>
      </c>
      <c r="AG37" s="450">
        <v>0</v>
      </c>
      <c r="AH37" s="56"/>
      <c r="AI37" s="55"/>
    </row>
    <row r="38" spans="1:35" ht="15.75" thickBot="1" x14ac:dyDescent="0.3">
      <c r="A38" s="456">
        <v>43891</v>
      </c>
      <c r="B38" s="441" t="s">
        <v>34</v>
      </c>
      <c r="C38" s="441" t="s">
        <v>437</v>
      </c>
      <c r="D38" s="450">
        <v>-445.2</v>
      </c>
      <c r="E38" s="450">
        <v>0</v>
      </c>
      <c r="F38" s="445"/>
      <c r="G38" s="445"/>
      <c r="H38" s="450">
        <v>0</v>
      </c>
      <c r="I38" s="837"/>
      <c r="J38" s="55"/>
      <c r="K38" s="55"/>
      <c r="L38" s="835">
        <v>0</v>
      </c>
      <c r="M38" s="836"/>
      <c r="N38" s="836"/>
      <c r="O38" s="450">
        <v>-423.02</v>
      </c>
      <c r="P38" s="55"/>
      <c r="Q38" s="55"/>
      <c r="R38" s="55"/>
      <c r="S38" s="55"/>
      <c r="T38" s="55"/>
      <c r="U38" s="440">
        <v>-423.02</v>
      </c>
      <c r="V38" s="56">
        <v>-22.18</v>
      </c>
      <c r="W38" s="55"/>
      <c r="X38" s="836">
        <v>0</v>
      </c>
      <c r="Y38" s="55"/>
      <c r="Z38" s="55"/>
      <c r="AA38" s="55"/>
      <c r="AB38" s="55"/>
      <c r="AC38" s="55"/>
      <c r="AD38" s="55">
        <v>-13.36</v>
      </c>
      <c r="AE38" s="450"/>
      <c r="AF38" s="450">
        <v>-458.56</v>
      </c>
      <c r="AG38" s="450">
        <v>0</v>
      </c>
      <c r="AH38" s="56"/>
      <c r="AI38" s="55"/>
    </row>
    <row r="39" spans="1:35" ht="15.75" outlineLevel="1" thickBot="1" x14ac:dyDescent="0.3">
      <c r="A39" s="456">
        <v>43891</v>
      </c>
      <c r="B39" s="438" t="s">
        <v>36</v>
      </c>
      <c r="C39" s="439" t="s">
        <v>438</v>
      </c>
      <c r="D39" s="449">
        <v>-602.39</v>
      </c>
      <c r="E39" s="53">
        <v>291</v>
      </c>
      <c r="F39" s="53"/>
      <c r="G39" s="53"/>
      <c r="H39" s="53">
        <v>1.1100000000000001</v>
      </c>
      <c r="I39" s="53"/>
      <c r="J39" s="53"/>
      <c r="K39" s="53"/>
      <c r="L39" s="437">
        <v>1.1100000000000001</v>
      </c>
      <c r="M39" s="839"/>
      <c r="N39" s="839"/>
      <c r="O39" s="449">
        <v>-543.07000000000005</v>
      </c>
      <c r="P39" s="53"/>
      <c r="Q39" s="53"/>
      <c r="R39" s="53"/>
      <c r="S39" s="53"/>
      <c r="T39" s="53"/>
      <c r="U39" s="440">
        <v>-543.07000000000005</v>
      </c>
      <c r="V39" s="54">
        <v>-60.57</v>
      </c>
      <c r="W39" s="53"/>
      <c r="X39" s="53">
        <v>0.14000000000000001</v>
      </c>
      <c r="Y39" s="53"/>
      <c r="Z39" s="53"/>
      <c r="AA39" s="53"/>
      <c r="AB39" s="53"/>
      <c r="AC39" s="53"/>
      <c r="AD39" s="53">
        <v>-36.130000000000003</v>
      </c>
      <c r="AE39" s="54"/>
      <c r="AF39" s="449">
        <v>-638.52</v>
      </c>
      <c r="AG39" s="449">
        <v>0</v>
      </c>
      <c r="AH39" s="54"/>
      <c r="AI39" s="53"/>
    </row>
    <row r="40" spans="1:35" ht="15.75" outlineLevel="1" thickBot="1" x14ac:dyDescent="0.3">
      <c r="A40" s="456">
        <v>43891</v>
      </c>
      <c r="B40" s="441" t="s">
        <v>610</v>
      </c>
      <c r="C40" s="441" t="s">
        <v>610</v>
      </c>
      <c r="D40" s="450">
        <v>-1047.5899999999999</v>
      </c>
      <c r="E40" s="55">
        <v>291</v>
      </c>
      <c r="F40" s="55"/>
      <c r="G40" s="55"/>
      <c r="H40" s="55">
        <v>1.1100000000000001</v>
      </c>
      <c r="I40" s="55"/>
      <c r="J40" s="55"/>
      <c r="K40" s="55"/>
      <c r="L40" s="835">
        <v>1.1100000000000001</v>
      </c>
      <c r="M40" s="836"/>
      <c r="N40" s="836"/>
      <c r="O40" s="450">
        <v>-966.09</v>
      </c>
      <c r="P40" s="55"/>
      <c r="Q40" s="55"/>
      <c r="R40" s="55"/>
      <c r="S40" s="55"/>
      <c r="T40" s="55"/>
      <c r="U40" s="440">
        <v>-966.09</v>
      </c>
      <c r="V40" s="56">
        <v>-82.75</v>
      </c>
      <c r="W40" s="55"/>
      <c r="X40" s="55">
        <v>0.14000000000000001</v>
      </c>
      <c r="Y40" s="55"/>
      <c r="Z40" s="55"/>
      <c r="AA40" s="55"/>
      <c r="AB40" s="55"/>
      <c r="AC40" s="55"/>
      <c r="AD40" s="55">
        <v>-49.49</v>
      </c>
      <c r="AE40" s="56"/>
      <c r="AF40" s="450">
        <v>-1097.08</v>
      </c>
      <c r="AG40" s="450">
        <v>0</v>
      </c>
      <c r="AH40" s="56"/>
      <c r="AI40" s="55"/>
    </row>
    <row r="41" spans="1:35" ht="23.25" thickBot="1" x14ac:dyDescent="0.3">
      <c r="A41" s="456">
        <v>43891</v>
      </c>
      <c r="B41" s="438" t="s">
        <v>38</v>
      </c>
      <c r="C41" s="439" t="s">
        <v>39</v>
      </c>
      <c r="D41" s="449">
        <v>54247.09</v>
      </c>
      <c r="E41" s="53"/>
      <c r="F41" s="53"/>
      <c r="G41" s="53"/>
      <c r="H41" s="53"/>
      <c r="I41" s="53"/>
      <c r="J41" s="53"/>
      <c r="K41" s="53"/>
      <c r="L41" s="437">
        <v>0</v>
      </c>
      <c r="M41" s="839"/>
      <c r="N41" s="839"/>
      <c r="O41" s="449">
        <v>60240.49</v>
      </c>
      <c r="P41" s="53"/>
      <c r="Q41" s="53"/>
      <c r="R41" s="53"/>
      <c r="S41" s="53"/>
      <c r="T41" s="53"/>
      <c r="U41" s="440">
        <v>60240.49</v>
      </c>
      <c r="V41" s="54">
        <v>-5993.4</v>
      </c>
      <c r="W41" s="53"/>
      <c r="X41" s="53"/>
      <c r="Y41" s="53"/>
      <c r="Z41" s="53"/>
      <c r="AA41" s="53"/>
      <c r="AB41" s="53"/>
      <c r="AC41" s="53"/>
      <c r="AD41" s="53">
        <v>0</v>
      </c>
      <c r="AE41" s="54"/>
      <c r="AF41" s="449">
        <v>54247.09</v>
      </c>
      <c r="AG41" s="449">
        <v>0</v>
      </c>
      <c r="AH41" s="54"/>
      <c r="AI41" s="53"/>
    </row>
    <row r="42" spans="1:35" ht="15.75" outlineLevel="1" thickBot="1" x14ac:dyDescent="0.3">
      <c r="A42" s="456">
        <v>43891</v>
      </c>
      <c r="B42" s="441" t="s">
        <v>611</v>
      </c>
      <c r="C42" s="441" t="s">
        <v>611</v>
      </c>
      <c r="D42" s="450">
        <v>54247.09</v>
      </c>
      <c r="E42" s="55"/>
      <c r="F42" s="55"/>
      <c r="G42" s="55"/>
      <c r="H42" s="55"/>
      <c r="I42" s="55"/>
      <c r="J42" s="55"/>
      <c r="K42" s="55"/>
      <c r="L42" s="437">
        <v>0</v>
      </c>
      <c r="M42" s="836"/>
      <c r="N42" s="836"/>
      <c r="O42" s="450">
        <v>60240.49</v>
      </c>
      <c r="P42" s="55"/>
      <c r="Q42" s="55"/>
      <c r="R42" s="55"/>
      <c r="S42" s="55"/>
      <c r="T42" s="55"/>
      <c r="U42" s="440">
        <v>60240.49</v>
      </c>
      <c r="V42" s="56">
        <v>-5993.4</v>
      </c>
      <c r="W42" s="55"/>
      <c r="X42" s="55"/>
      <c r="Y42" s="55"/>
      <c r="Z42" s="55"/>
      <c r="AA42" s="55"/>
      <c r="AB42" s="55"/>
      <c r="AC42" s="55"/>
      <c r="AD42" s="55">
        <v>0</v>
      </c>
      <c r="AE42" s="56"/>
      <c r="AF42" s="450">
        <v>54247.09</v>
      </c>
      <c r="AG42" s="450">
        <v>0</v>
      </c>
      <c r="AH42" s="56"/>
      <c r="AI42" s="55"/>
    </row>
    <row r="43" spans="1:35" ht="23.25" outlineLevel="1" thickBot="1" x14ac:dyDescent="0.3">
      <c r="A43" s="456">
        <v>43891</v>
      </c>
      <c r="B43" s="441" t="s">
        <v>52</v>
      </c>
      <c r="C43" s="441" t="s">
        <v>355</v>
      </c>
      <c r="D43" s="450">
        <v>-1418.26</v>
      </c>
      <c r="E43" s="450"/>
      <c r="F43" s="55"/>
      <c r="G43" s="55"/>
      <c r="H43" s="55"/>
      <c r="I43" s="55"/>
      <c r="J43" s="55"/>
      <c r="K43" s="55"/>
      <c r="L43" s="437">
        <v>0</v>
      </c>
      <c r="M43" s="836"/>
      <c r="N43" s="836"/>
      <c r="O43" s="450">
        <v>-1537.14</v>
      </c>
      <c r="P43" s="55"/>
      <c r="Q43" s="55"/>
      <c r="R43" s="55"/>
      <c r="S43" s="836"/>
      <c r="T43" s="55"/>
      <c r="U43" s="440">
        <v>-1537.14</v>
      </c>
      <c r="V43" s="56">
        <v>118.88</v>
      </c>
      <c r="W43" s="55"/>
      <c r="X43" s="836"/>
      <c r="Y43" s="55"/>
      <c r="Z43" s="55"/>
      <c r="AA43" s="55"/>
      <c r="AB43" s="55"/>
      <c r="AC43" s="55"/>
      <c r="AD43" s="55">
        <v>0</v>
      </c>
      <c r="AE43" s="56"/>
      <c r="AF43" s="450">
        <v>-1418.26</v>
      </c>
      <c r="AG43" s="450">
        <v>0</v>
      </c>
      <c r="AH43" s="56"/>
      <c r="AI43" s="55"/>
    </row>
    <row r="44" spans="1:35" ht="15.75" thickBot="1" x14ac:dyDescent="0.3">
      <c r="A44" s="456">
        <v>43891</v>
      </c>
      <c r="B44" s="441" t="s">
        <v>612</v>
      </c>
      <c r="C44" s="441" t="s">
        <v>612</v>
      </c>
      <c r="D44" s="449">
        <v>-1418.26</v>
      </c>
      <c r="E44" s="54"/>
      <c r="F44" s="54"/>
      <c r="G44" s="53"/>
      <c r="H44" s="54"/>
      <c r="I44" s="53"/>
      <c r="J44" s="53"/>
      <c r="K44" s="53"/>
      <c r="L44" s="437">
        <v>0</v>
      </c>
      <c r="M44" s="839"/>
      <c r="N44" s="839"/>
      <c r="O44" s="53">
        <v>-1537.14</v>
      </c>
      <c r="P44" s="53"/>
      <c r="Q44" s="53"/>
      <c r="R44" s="839"/>
      <c r="S44" s="839"/>
      <c r="T44" s="53"/>
      <c r="U44" s="440">
        <v>-1537.14</v>
      </c>
      <c r="V44" s="53">
        <v>118.88</v>
      </c>
      <c r="W44" s="839"/>
      <c r="X44" s="839"/>
      <c r="Y44" s="53"/>
      <c r="Z44" s="53"/>
      <c r="AA44" s="53"/>
      <c r="AB44" s="53"/>
      <c r="AC44" s="53"/>
      <c r="AD44" s="53">
        <v>0</v>
      </c>
      <c r="AE44" s="449"/>
      <c r="AF44" s="449">
        <v>-1418.26</v>
      </c>
      <c r="AG44" s="449">
        <v>0</v>
      </c>
      <c r="AH44" s="54"/>
      <c r="AI44" s="53"/>
    </row>
    <row r="45" spans="1:35" ht="15.75" thickBot="1" x14ac:dyDescent="0.3">
      <c r="A45" s="456">
        <v>43891</v>
      </c>
      <c r="B45" s="438" t="s">
        <v>947</v>
      </c>
      <c r="C45" s="439"/>
      <c r="D45" s="449">
        <v>51781.24</v>
      </c>
      <c r="E45" s="53">
        <v>291</v>
      </c>
      <c r="F45" s="54"/>
      <c r="G45" s="53"/>
      <c r="H45" s="53">
        <v>1.1100000000000001</v>
      </c>
      <c r="I45" s="53"/>
      <c r="J45" s="53"/>
      <c r="K45" s="53"/>
      <c r="L45" s="437">
        <v>1.1100000000000001</v>
      </c>
      <c r="M45" s="839"/>
      <c r="N45" s="54"/>
      <c r="O45" s="53">
        <v>57737.26</v>
      </c>
      <c r="P45" s="53"/>
      <c r="Q45" s="53"/>
      <c r="R45" s="53"/>
      <c r="S45" s="53"/>
      <c r="T45" s="53"/>
      <c r="U45" s="440">
        <v>57737.26</v>
      </c>
      <c r="V45" s="53">
        <v>-5957.27</v>
      </c>
      <c r="W45" s="54"/>
      <c r="X45" s="54">
        <v>0.14000000000000001</v>
      </c>
      <c r="Y45" s="53"/>
      <c r="Z45" s="53"/>
      <c r="AA45" s="53"/>
      <c r="AB45" s="53"/>
      <c r="AC45" s="53"/>
      <c r="AD45" s="54">
        <v>-49.49</v>
      </c>
      <c r="AE45" s="54"/>
      <c r="AF45" s="53">
        <v>51731.75</v>
      </c>
      <c r="AG45" s="54">
        <v>0</v>
      </c>
      <c r="AH45" s="54"/>
      <c r="AI45" s="53"/>
    </row>
    <row r="46" spans="1:35" ht="15.75" outlineLevel="1" thickBot="1" x14ac:dyDescent="0.3">
      <c r="A46" s="456">
        <v>43891</v>
      </c>
      <c r="B46" s="441" t="s">
        <v>32</v>
      </c>
      <c r="C46" s="441" t="s">
        <v>33</v>
      </c>
      <c r="D46" s="450">
        <v>82749.899999999994</v>
      </c>
      <c r="E46" s="55"/>
      <c r="F46" s="56">
        <v>0</v>
      </c>
      <c r="G46" s="55"/>
      <c r="H46" s="55"/>
      <c r="I46" s="55"/>
      <c r="J46" s="55"/>
      <c r="K46" s="55"/>
      <c r="L46" s="437">
        <v>0</v>
      </c>
      <c r="M46" s="836"/>
      <c r="N46" s="56">
        <v>81705.08</v>
      </c>
      <c r="O46" s="55"/>
      <c r="P46" s="55"/>
      <c r="Q46" s="55"/>
      <c r="R46" s="55"/>
      <c r="S46" s="55"/>
      <c r="T46" s="55"/>
      <c r="U46" s="440">
        <v>81705.08</v>
      </c>
      <c r="V46" s="55"/>
      <c r="W46" s="56">
        <v>64.39</v>
      </c>
      <c r="X46" s="56">
        <v>980.43</v>
      </c>
      <c r="Y46" s="55"/>
      <c r="Z46" s="55"/>
      <c r="AA46" s="55"/>
      <c r="AB46" s="55"/>
      <c r="AC46" s="55">
        <v>0</v>
      </c>
      <c r="AD46" s="56">
        <v>0</v>
      </c>
      <c r="AE46" s="56"/>
      <c r="AF46" s="55">
        <v>82749.899999999994</v>
      </c>
      <c r="AG46" s="56">
        <v>0</v>
      </c>
      <c r="AH46" s="56"/>
      <c r="AI46" s="55"/>
    </row>
    <row r="47" spans="1:35" ht="15.75" outlineLevel="1" thickBot="1" x14ac:dyDescent="0.3">
      <c r="A47" s="456">
        <v>43891</v>
      </c>
      <c r="B47" s="438" t="s">
        <v>605</v>
      </c>
      <c r="C47" s="439" t="s">
        <v>605</v>
      </c>
      <c r="D47" s="56">
        <v>82749.899999999994</v>
      </c>
      <c r="E47" s="56"/>
      <c r="F47" s="56">
        <v>0</v>
      </c>
      <c r="G47" s="55"/>
      <c r="H47" s="56"/>
      <c r="I47" s="55"/>
      <c r="J47" s="55"/>
      <c r="K47" s="55"/>
      <c r="L47" s="437">
        <v>0</v>
      </c>
      <c r="M47" s="56"/>
      <c r="N47" s="56">
        <v>81705.08</v>
      </c>
      <c r="O47" s="55"/>
      <c r="P47" s="55"/>
      <c r="Q47" s="55"/>
      <c r="R47" s="56"/>
      <c r="S47" s="56"/>
      <c r="T47" s="55"/>
      <c r="U47" s="440">
        <v>81705.08</v>
      </c>
      <c r="V47" s="55"/>
      <c r="W47" s="56">
        <v>64.39</v>
      </c>
      <c r="X47" s="56">
        <v>980.43</v>
      </c>
      <c r="Y47" s="55"/>
      <c r="Z47" s="55"/>
      <c r="AA47" s="55"/>
      <c r="AB47" s="56"/>
      <c r="AC47" s="55">
        <v>0</v>
      </c>
      <c r="AD47" s="56">
        <v>0</v>
      </c>
      <c r="AE47" s="56"/>
      <c r="AF47" s="55">
        <v>82749.899999999994</v>
      </c>
      <c r="AG47" s="56">
        <v>0</v>
      </c>
      <c r="AH47" s="56"/>
      <c r="AI47" s="55"/>
    </row>
    <row r="48" spans="1:35" ht="15.75" customHeight="1" outlineLevel="1" thickBot="1" x14ac:dyDescent="0.3">
      <c r="A48" s="456">
        <v>43891</v>
      </c>
      <c r="B48" s="441" t="s">
        <v>947</v>
      </c>
      <c r="C48" s="441"/>
      <c r="D48" s="54">
        <v>82749.899999999994</v>
      </c>
      <c r="E48" s="54">
        <v>0</v>
      </c>
      <c r="F48" s="54">
        <v>0</v>
      </c>
      <c r="G48" s="54">
        <v>0</v>
      </c>
      <c r="H48" s="54">
        <v>0</v>
      </c>
      <c r="I48" s="53">
        <v>0</v>
      </c>
      <c r="J48" s="53">
        <v>0</v>
      </c>
      <c r="K48" s="53">
        <v>0</v>
      </c>
      <c r="L48" s="437">
        <v>0</v>
      </c>
      <c r="M48" s="54">
        <v>0</v>
      </c>
      <c r="N48" s="54">
        <v>81705.08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440">
        <v>81705.08</v>
      </c>
      <c r="V48" s="53">
        <v>0</v>
      </c>
      <c r="W48" s="54">
        <v>64.39</v>
      </c>
      <c r="X48" s="54">
        <v>980.43</v>
      </c>
      <c r="Y48" s="53">
        <v>0</v>
      </c>
      <c r="Z48" s="53">
        <v>0</v>
      </c>
      <c r="AA48" s="54">
        <v>0</v>
      </c>
      <c r="AB48" s="53">
        <v>0</v>
      </c>
      <c r="AC48" s="53">
        <v>0</v>
      </c>
      <c r="AD48" s="54">
        <v>0</v>
      </c>
      <c r="AE48" s="54">
        <v>0</v>
      </c>
      <c r="AF48" s="53">
        <v>82749.899999999994</v>
      </c>
      <c r="AG48" s="54">
        <v>0</v>
      </c>
      <c r="AH48" s="54"/>
      <c r="AI48" s="54"/>
    </row>
    <row r="49" spans="1:35" ht="15.75" customHeight="1" thickBot="1" x14ac:dyDescent="0.3">
      <c r="A49" s="456">
        <v>43891</v>
      </c>
      <c r="B49" s="438" t="s">
        <v>32</v>
      </c>
      <c r="C49" s="439" t="s">
        <v>33</v>
      </c>
      <c r="D49" s="54">
        <v>188407.41</v>
      </c>
      <c r="E49" s="54">
        <v>240302</v>
      </c>
      <c r="F49" s="54">
        <v>750</v>
      </c>
      <c r="G49" s="53">
        <v>180467.57</v>
      </c>
      <c r="H49" s="54">
        <v>7189.84</v>
      </c>
      <c r="I49" s="53"/>
      <c r="J49" s="53"/>
      <c r="K49" s="53"/>
      <c r="L49" s="437">
        <v>188407.41</v>
      </c>
      <c r="M49" s="54"/>
      <c r="N49" s="54"/>
      <c r="O49" s="53"/>
      <c r="P49" s="53"/>
      <c r="Q49" s="53"/>
      <c r="R49" s="53"/>
      <c r="S49" s="53"/>
      <c r="T49" s="53"/>
      <c r="U49" s="440">
        <v>0</v>
      </c>
      <c r="V49" s="53"/>
      <c r="W49" s="54"/>
      <c r="X49" s="54"/>
      <c r="Y49" s="53"/>
      <c r="Z49" s="53"/>
      <c r="AA49" s="53"/>
      <c r="AB49" s="53"/>
      <c r="AC49" s="53"/>
      <c r="AD49" s="54">
        <v>0</v>
      </c>
      <c r="AE49" s="54"/>
      <c r="AF49" s="53">
        <v>188407.41</v>
      </c>
      <c r="AG49" s="54">
        <v>0</v>
      </c>
      <c r="AH49" s="54"/>
      <c r="AI49" s="54"/>
    </row>
    <row r="50" spans="1:35" ht="15.75" customHeight="1" thickBot="1" x14ac:dyDescent="0.3">
      <c r="A50" s="456">
        <v>43891</v>
      </c>
      <c r="B50" s="438" t="s">
        <v>605</v>
      </c>
      <c r="C50" s="439" t="s">
        <v>605</v>
      </c>
      <c r="D50" s="56">
        <v>188407.41</v>
      </c>
      <c r="E50" s="56">
        <v>240302</v>
      </c>
      <c r="F50" s="56">
        <v>750</v>
      </c>
      <c r="G50" s="55">
        <v>180467.57</v>
      </c>
      <c r="H50" s="56">
        <v>7189.84</v>
      </c>
      <c r="I50" s="55"/>
      <c r="J50" s="55"/>
      <c r="K50" s="55"/>
      <c r="L50" s="437">
        <v>188407.41</v>
      </c>
      <c r="M50" s="56"/>
      <c r="N50" s="56"/>
      <c r="O50" s="55"/>
      <c r="P50" s="55"/>
      <c r="Q50" s="55"/>
      <c r="R50" s="55"/>
      <c r="S50" s="55"/>
      <c r="T50" s="55"/>
      <c r="U50" s="440">
        <v>0</v>
      </c>
      <c r="V50" s="55"/>
      <c r="W50" s="56"/>
      <c r="X50" s="56"/>
      <c r="Y50" s="55"/>
      <c r="Z50" s="55"/>
      <c r="AA50" s="56"/>
      <c r="AB50" s="55"/>
      <c r="AC50" s="55"/>
      <c r="AD50" s="56">
        <v>0</v>
      </c>
      <c r="AE50" s="56"/>
      <c r="AF50" s="55">
        <v>188407.41</v>
      </c>
      <c r="AG50" s="56">
        <v>0</v>
      </c>
      <c r="AH50" s="56"/>
      <c r="AI50" s="56"/>
    </row>
    <row r="51" spans="1:35" ht="12.75" customHeight="1" thickBot="1" x14ac:dyDescent="0.3">
      <c r="A51" s="456">
        <v>43891</v>
      </c>
      <c r="B51" s="441" t="s">
        <v>947</v>
      </c>
      <c r="C51" s="441"/>
      <c r="D51" s="54">
        <v>188407.41</v>
      </c>
      <c r="E51" s="54">
        <v>240302</v>
      </c>
      <c r="F51" s="54">
        <v>750</v>
      </c>
      <c r="G51" s="53">
        <v>180467.57</v>
      </c>
      <c r="H51" s="54">
        <v>7189.84</v>
      </c>
      <c r="I51" s="53">
        <v>0</v>
      </c>
      <c r="J51" s="53">
        <v>0</v>
      </c>
      <c r="K51" s="53">
        <v>0</v>
      </c>
      <c r="L51" s="437">
        <v>188407.41</v>
      </c>
      <c r="M51" s="54">
        <v>0</v>
      </c>
      <c r="N51" s="54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440">
        <v>0</v>
      </c>
      <c r="V51" s="53">
        <v>0</v>
      </c>
      <c r="W51" s="54">
        <v>0</v>
      </c>
      <c r="X51" s="54"/>
      <c r="Y51" s="53">
        <v>0</v>
      </c>
      <c r="Z51" s="53">
        <v>0</v>
      </c>
      <c r="AA51" s="54">
        <v>0</v>
      </c>
      <c r="AB51" s="53">
        <v>0</v>
      </c>
      <c r="AC51" s="53">
        <v>0</v>
      </c>
      <c r="AD51" s="54">
        <v>0</v>
      </c>
      <c r="AE51" s="54">
        <v>0</v>
      </c>
      <c r="AF51" s="53">
        <v>188407.41</v>
      </c>
      <c r="AG51" s="54">
        <v>0</v>
      </c>
      <c r="AH51" s="54"/>
      <c r="AI51" s="54"/>
    </row>
    <row r="52" spans="1:35" ht="15.75" thickBot="1" x14ac:dyDescent="0.3">
      <c r="A52" s="456">
        <v>43922</v>
      </c>
      <c r="B52" s="438" t="s">
        <v>13</v>
      </c>
      <c r="C52" s="439" t="s">
        <v>228</v>
      </c>
      <c r="D52" s="54">
        <v>31024.66</v>
      </c>
      <c r="E52" s="54">
        <v>66305</v>
      </c>
      <c r="F52" s="54">
        <v>1000</v>
      </c>
      <c r="G52" s="822"/>
      <c r="H52" s="54">
        <v>7057.5</v>
      </c>
      <c r="I52" s="822"/>
      <c r="J52" s="822"/>
      <c r="K52" s="822"/>
      <c r="L52" s="437">
        <f>SUM(F52:K52)</f>
        <v>8057.5</v>
      </c>
      <c r="M52" s="54">
        <v>23.5</v>
      </c>
      <c r="N52" s="54">
        <v>22544.36</v>
      </c>
      <c r="O52" s="822"/>
      <c r="P52" s="822"/>
      <c r="Q52" s="822"/>
      <c r="R52" s="822"/>
      <c r="S52" s="822"/>
      <c r="T52" s="822"/>
      <c r="U52" s="440">
        <f t="shared" ref="U52:U97" si="0">SUM(N52:T52)</f>
        <v>22544.36</v>
      </c>
      <c r="V52" s="822"/>
      <c r="W52" s="54">
        <v>128.78</v>
      </c>
      <c r="X52" s="54">
        <v>270.52</v>
      </c>
      <c r="Y52" s="822"/>
      <c r="Z52" s="822"/>
      <c r="AA52" s="822"/>
      <c r="AB52" s="822"/>
      <c r="AC52" s="54">
        <v>0</v>
      </c>
      <c r="AD52" s="54">
        <v>666.34</v>
      </c>
      <c r="AE52" s="822"/>
      <c r="AF52" s="54">
        <v>31691</v>
      </c>
      <c r="AG52" s="54">
        <v>0</v>
      </c>
      <c r="AH52" s="822"/>
      <c r="AI52" s="56"/>
    </row>
    <row r="53" spans="1:35" ht="15.75" thickBot="1" x14ac:dyDescent="0.3">
      <c r="A53" s="456">
        <v>43922</v>
      </c>
      <c r="B53" s="438" t="s">
        <v>429</v>
      </c>
      <c r="C53" s="439" t="s">
        <v>430</v>
      </c>
      <c r="D53" s="56">
        <v>13712.39</v>
      </c>
      <c r="E53" s="56">
        <v>29155</v>
      </c>
      <c r="F53" s="56">
        <v>500</v>
      </c>
      <c r="G53" s="823"/>
      <c r="H53" s="56">
        <v>3103.26</v>
      </c>
      <c r="I53" s="823"/>
      <c r="J53" s="823"/>
      <c r="K53" s="823"/>
      <c r="L53" s="437">
        <f t="shared" ref="L53:L97" si="1">SUM(F53:K53)</f>
        <v>3603.26</v>
      </c>
      <c r="M53" s="56">
        <v>12.8</v>
      </c>
      <c r="N53" s="56">
        <v>9912.99</v>
      </c>
      <c r="O53" s="823"/>
      <c r="P53" s="823"/>
      <c r="Q53" s="823"/>
      <c r="R53" s="823"/>
      <c r="S53" s="823"/>
      <c r="T53" s="823"/>
      <c r="U53" s="440">
        <f t="shared" si="0"/>
        <v>9912.99</v>
      </c>
      <c r="V53" s="823"/>
      <c r="W53" s="56">
        <v>64.39</v>
      </c>
      <c r="X53" s="56">
        <v>118.95</v>
      </c>
      <c r="Y53" s="823"/>
      <c r="Z53" s="823"/>
      <c r="AA53" s="823"/>
      <c r="AB53" s="823"/>
      <c r="AC53" s="56">
        <v>0</v>
      </c>
      <c r="AD53" s="56">
        <v>0</v>
      </c>
      <c r="AE53" s="823"/>
      <c r="AF53" s="56">
        <v>13712.39</v>
      </c>
      <c r="AG53" s="56">
        <v>0</v>
      </c>
      <c r="AH53" s="823"/>
      <c r="AI53" s="54"/>
    </row>
    <row r="54" spans="1:35" ht="15.75" thickBot="1" x14ac:dyDescent="0.3">
      <c r="A54" s="456">
        <v>43922</v>
      </c>
      <c r="B54" s="441" t="s">
        <v>223</v>
      </c>
      <c r="C54" s="441" t="s">
        <v>223</v>
      </c>
      <c r="D54" s="54">
        <v>44737.05</v>
      </c>
      <c r="E54" s="54">
        <v>95460</v>
      </c>
      <c r="F54" s="54">
        <v>1500</v>
      </c>
      <c r="G54" s="822"/>
      <c r="H54" s="54">
        <v>10160.76</v>
      </c>
      <c r="I54" s="822"/>
      <c r="J54" s="822"/>
      <c r="K54" s="822"/>
      <c r="L54" s="437">
        <f>SUM(F54:K54)</f>
        <v>11660.76</v>
      </c>
      <c r="M54" s="54">
        <v>36.299999999999997</v>
      </c>
      <c r="N54" s="54">
        <v>32457.35</v>
      </c>
      <c r="O54" s="822"/>
      <c r="P54" s="822"/>
      <c r="Q54" s="822"/>
      <c r="R54" s="822"/>
      <c r="S54" s="822"/>
      <c r="T54" s="822"/>
      <c r="U54" s="440">
        <f>SUM(N54:T54)</f>
        <v>32457.35</v>
      </c>
      <c r="V54" s="822"/>
      <c r="W54" s="54">
        <v>193.17</v>
      </c>
      <c r="X54" s="54">
        <v>389.47</v>
      </c>
      <c r="Y54" s="822"/>
      <c r="Z54" s="822"/>
      <c r="AA54" s="822"/>
      <c r="AB54" s="822"/>
      <c r="AC54" s="54">
        <v>0</v>
      </c>
      <c r="AD54" s="54">
        <v>666.34</v>
      </c>
      <c r="AE54" s="822"/>
      <c r="AF54" s="54">
        <v>45403.39</v>
      </c>
      <c r="AG54" s="54">
        <v>0</v>
      </c>
      <c r="AH54" s="822"/>
      <c r="AI54" s="56"/>
    </row>
    <row r="55" spans="1:35" ht="23.25" thickBot="1" x14ac:dyDescent="0.3">
      <c r="A55" s="456">
        <v>43922</v>
      </c>
      <c r="B55" s="438" t="s">
        <v>19</v>
      </c>
      <c r="C55" s="439" t="s">
        <v>431</v>
      </c>
      <c r="D55" s="56">
        <v>7093566.4800000004</v>
      </c>
      <c r="E55" s="56">
        <v>7634280</v>
      </c>
      <c r="F55" s="56">
        <v>1821825.85</v>
      </c>
      <c r="G55" s="823"/>
      <c r="H55" s="56">
        <v>2213223.48</v>
      </c>
      <c r="I55" s="823"/>
      <c r="J55" s="823"/>
      <c r="K55" s="823"/>
      <c r="L55" s="437">
        <f t="shared" si="1"/>
        <v>4035049.33</v>
      </c>
      <c r="M55" s="56">
        <v>2226.67</v>
      </c>
      <c r="N55" s="56">
        <v>2595650.4500000002</v>
      </c>
      <c r="O55" s="823"/>
      <c r="P55" s="823"/>
      <c r="Q55" s="823"/>
      <c r="R55" s="823"/>
      <c r="S55" s="823"/>
      <c r="T55" s="823"/>
      <c r="U55" s="440">
        <f t="shared" si="0"/>
        <v>2595650.4500000002</v>
      </c>
      <c r="V55" s="823"/>
      <c r="W55" s="56">
        <v>130661.79</v>
      </c>
      <c r="X55" s="56">
        <v>51988.06</v>
      </c>
      <c r="Y55" s="56">
        <v>277990.18</v>
      </c>
      <c r="Z55" s="56">
        <v>0</v>
      </c>
      <c r="AA55" s="823"/>
      <c r="AB55" s="823"/>
      <c r="AC55" s="56">
        <v>12503.52</v>
      </c>
      <c r="AD55" s="56">
        <v>357965.92</v>
      </c>
      <c r="AE55" s="823"/>
      <c r="AF55" s="56">
        <v>7464035.9199999999</v>
      </c>
      <c r="AG55" s="56">
        <v>0</v>
      </c>
      <c r="AH55" s="823"/>
      <c r="AI55" s="54"/>
    </row>
    <row r="56" spans="1:35" ht="15.75" thickBot="1" x14ac:dyDescent="0.3">
      <c r="A56" s="456">
        <v>43922</v>
      </c>
      <c r="B56" s="438" t="s">
        <v>350</v>
      </c>
      <c r="C56" s="439" t="s">
        <v>432</v>
      </c>
      <c r="D56" s="54">
        <v>229.72</v>
      </c>
      <c r="E56" s="54">
        <v>256</v>
      </c>
      <c r="F56" s="54">
        <v>57.13</v>
      </c>
      <c r="G56" s="822"/>
      <c r="H56" s="54">
        <v>78.52</v>
      </c>
      <c r="I56" s="822"/>
      <c r="J56" s="822"/>
      <c r="K56" s="822"/>
      <c r="L56" s="437">
        <f t="shared" si="1"/>
        <v>135.65</v>
      </c>
      <c r="M56" s="54">
        <v>0.11</v>
      </c>
      <c r="N56" s="54">
        <v>87.04</v>
      </c>
      <c r="O56" s="822"/>
      <c r="P56" s="822"/>
      <c r="Q56" s="822"/>
      <c r="R56" s="822"/>
      <c r="S56" s="822"/>
      <c r="T56" s="822"/>
      <c r="U56" s="440">
        <f t="shared" si="0"/>
        <v>87.04</v>
      </c>
      <c r="V56" s="822"/>
      <c r="W56" s="54">
        <v>5.12</v>
      </c>
      <c r="X56" s="54">
        <v>1.74</v>
      </c>
      <c r="Y56" s="822">
        <v>0.06</v>
      </c>
      <c r="Z56" s="822"/>
      <c r="AA56" s="822"/>
      <c r="AB56" s="822"/>
      <c r="AC56" s="54">
        <v>0</v>
      </c>
      <c r="AD56" s="54">
        <v>13.78</v>
      </c>
      <c r="AE56" s="822"/>
      <c r="AF56" s="54">
        <v>243.5</v>
      </c>
      <c r="AG56" s="54">
        <v>0</v>
      </c>
      <c r="AH56" s="822"/>
      <c r="AI56" s="56"/>
    </row>
    <row r="57" spans="1:35" ht="23.25" thickBot="1" x14ac:dyDescent="0.3">
      <c r="A57" s="456">
        <v>43922</v>
      </c>
      <c r="B57" s="438" t="s">
        <v>599</v>
      </c>
      <c r="C57" s="439" t="s">
        <v>600</v>
      </c>
      <c r="D57" s="56">
        <v>40557.440000000002</v>
      </c>
      <c r="E57" s="56">
        <v>601</v>
      </c>
      <c r="F57" s="56">
        <v>37047.82</v>
      </c>
      <c r="G57" s="823"/>
      <c r="H57" s="56">
        <v>186.31</v>
      </c>
      <c r="I57" s="823"/>
      <c r="J57" s="823"/>
      <c r="K57" s="823"/>
      <c r="L57" s="437">
        <f t="shared" si="1"/>
        <v>37234.129999999997</v>
      </c>
      <c r="M57" s="56">
        <v>0</v>
      </c>
      <c r="N57" s="56">
        <v>204.34</v>
      </c>
      <c r="O57" s="823"/>
      <c r="P57" s="823"/>
      <c r="Q57" s="823"/>
      <c r="R57" s="823"/>
      <c r="S57" s="823"/>
      <c r="T57" s="823"/>
      <c r="U57" s="440">
        <f t="shared" si="0"/>
        <v>204.34</v>
      </c>
      <c r="V57" s="823"/>
      <c r="W57" s="56">
        <v>3112.96</v>
      </c>
      <c r="X57" s="56">
        <v>6.01</v>
      </c>
      <c r="Y57" s="823"/>
      <c r="Z57" s="823"/>
      <c r="AA57" s="823"/>
      <c r="AB57" s="823"/>
      <c r="AC57" s="56">
        <v>13.82</v>
      </c>
      <c r="AD57" s="56">
        <v>2572.54</v>
      </c>
      <c r="AE57" s="823"/>
      <c r="AF57" s="56">
        <v>43143.8</v>
      </c>
      <c r="AG57" s="56">
        <v>0</v>
      </c>
      <c r="AH57" s="823"/>
      <c r="AI57" s="53"/>
    </row>
    <row r="58" spans="1:35" ht="15.75" thickBot="1" x14ac:dyDescent="0.3">
      <c r="A58" s="456">
        <v>43922</v>
      </c>
      <c r="B58" s="441" t="s">
        <v>56</v>
      </c>
      <c r="C58" s="441" t="s">
        <v>56</v>
      </c>
      <c r="D58" s="54">
        <v>7134353.6399999997</v>
      </c>
      <c r="E58" s="54">
        <v>7635137</v>
      </c>
      <c r="F58" s="54">
        <v>1858930.8</v>
      </c>
      <c r="G58" s="822"/>
      <c r="H58" s="54">
        <v>2213488.31</v>
      </c>
      <c r="I58" s="822"/>
      <c r="J58" s="822"/>
      <c r="K58" s="822"/>
      <c r="L58" s="437">
        <f t="shared" si="1"/>
        <v>4072419.1100000003</v>
      </c>
      <c r="M58" s="54">
        <v>2226.7800000000002</v>
      </c>
      <c r="N58" s="54">
        <v>2595941.83</v>
      </c>
      <c r="O58" s="822"/>
      <c r="P58" s="822"/>
      <c r="Q58" s="822"/>
      <c r="R58" s="822"/>
      <c r="S58" s="822"/>
      <c r="T58" s="822"/>
      <c r="U58" s="440">
        <f t="shared" si="0"/>
        <v>2595941.83</v>
      </c>
      <c r="V58" s="822"/>
      <c r="W58" s="54">
        <v>133779.87</v>
      </c>
      <c r="X58" s="54">
        <v>51995.81</v>
      </c>
      <c r="Y58" s="54">
        <v>277990.24</v>
      </c>
      <c r="Z58" s="54">
        <v>0</v>
      </c>
      <c r="AA58" s="822"/>
      <c r="AB58" s="822"/>
      <c r="AC58" s="54">
        <v>12517.34</v>
      </c>
      <c r="AD58" s="54">
        <v>360552.24</v>
      </c>
      <c r="AE58" s="822"/>
      <c r="AF58" s="54">
        <v>7507423.2199999997</v>
      </c>
      <c r="AG58" s="54">
        <v>0</v>
      </c>
      <c r="AH58" s="822"/>
      <c r="AI58" s="55"/>
    </row>
    <row r="59" spans="1:35" ht="23.25" thickBot="1" x14ac:dyDescent="0.3">
      <c r="A59" s="456">
        <v>43922</v>
      </c>
      <c r="B59" s="438" t="s">
        <v>43</v>
      </c>
      <c r="C59" s="439" t="s">
        <v>433</v>
      </c>
      <c r="D59" s="56">
        <v>1661.69</v>
      </c>
      <c r="E59" s="56">
        <v>11</v>
      </c>
      <c r="F59" s="56">
        <v>330</v>
      </c>
      <c r="G59" s="56">
        <v>1198.8</v>
      </c>
      <c r="H59" s="56">
        <v>0.33</v>
      </c>
      <c r="I59" s="823"/>
      <c r="J59" s="823"/>
      <c r="K59" s="823"/>
      <c r="L59" s="437">
        <f t="shared" si="1"/>
        <v>1529.1299999999999</v>
      </c>
      <c r="M59" s="823"/>
      <c r="N59" s="56">
        <v>3.74</v>
      </c>
      <c r="O59" s="823"/>
      <c r="P59" s="823"/>
      <c r="Q59" s="823"/>
      <c r="R59" s="823"/>
      <c r="S59" s="823"/>
      <c r="T59" s="823"/>
      <c r="U59" s="440">
        <f t="shared" si="0"/>
        <v>3.74</v>
      </c>
      <c r="V59" s="823"/>
      <c r="W59" s="56">
        <v>128.78</v>
      </c>
      <c r="X59" s="56">
        <v>0.04</v>
      </c>
      <c r="Y59" s="823"/>
      <c r="Z59" s="823"/>
      <c r="AA59" s="823"/>
      <c r="AB59" s="823"/>
      <c r="AC59" s="56">
        <v>0</v>
      </c>
      <c r="AD59" s="56">
        <v>45.48</v>
      </c>
      <c r="AE59" s="823"/>
      <c r="AF59" s="56">
        <v>1707.17</v>
      </c>
      <c r="AG59" s="56">
        <v>0</v>
      </c>
      <c r="AH59" s="823"/>
      <c r="AI59" s="53"/>
    </row>
    <row r="60" spans="1:35" ht="15.75" thickBot="1" x14ac:dyDescent="0.3">
      <c r="A60" s="456">
        <v>43922</v>
      </c>
      <c r="B60" s="441" t="s">
        <v>428</v>
      </c>
      <c r="C60" s="441" t="s">
        <v>428</v>
      </c>
      <c r="D60" s="54">
        <v>1661.69</v>
      </c>
      <c r="E60" s="54">
        <v>11</v>
      </c>
      <c r="F60" s="54">
        <v>330</v>
      </c>
      <c r="G60" s="54">
        <v>1198.8</v>
      </c>
      <c r="H60" s="54">
        <v>0.33</v>
      </c>
      <c r="I60" s="822"/>
      <c r="J60" s="822"/>
      <c r="K60" s="822"/>
      <c r="L60" s="437">
        <f>SUM(F60:K60)</f>
        <v>1529.1299999999999</v>
      </c>
      <c r="M60" s="822"/>
      <c r="N60" s="54">
        <v>3.74</v>
      </c>
      <c r="O60" s="822"/>
      <c r="P60" s="822"/>
      <c r="Q60" s="822"/>
      <c r="R60" s="822"/>
      <c r="S60" s="822"/>
      <c r="T60" s="822"/>
      <c r="U60" s="440">
        <f t="shared" si="0"/>
        <v>3.74</v>
      </c>
      <c r="V60" s="822"/>
      <c r="W60" s="54">
        <v>128.78</v>
      </c>
      <c r="X60" s="54">
        <v>0.04</v>
      </c>
      <c r="Y60" s="822"/>
      <c r="Z60" s="822"/>
      <c r="AA60" s="822"/>
      <c r="AB60" s="822"/>
      <c r="AC60" s="54">
        <v>0</v>
      </c>
      <c r="AD60" s="54">
        <v>45.48</v>
      </c>
      <c r="AE60" s="822"/>
      <c r="AF60" s="54">
        <v>1707.17</v>
      </c>
      <c r="AG60" s="54">
        <v>0</v>
      </c>
      <c r="AH60" s="822"/>
      <c r="AI60" s="55"/>
    </row>
    <row r="61" spans="1:35" ht="23.25" thickBot="1" x14ac:dyDescent="0.3">
      <c r="A61" s="456">
        <v>43922</v>
      </c>
      <c r="B61" s="438" t="s">
        <v>24</v>
      </c>
      <c r="C61" s="439" t="s">
        <v>436</v>
      </c>
      <c r="D61" s="56">
        <v>299045.42</v>
      </c>
      <c r="E61" s="56">
        <v>478083</v>
      </c>
      <c r="F61" s="56">
        <v>44262.239999999998</v>
      </c>
      <c r="G61" s="823"/>
      <c r="H61" s="56">
        <v>84349.38</v>
      </c>
      <c r="I61" s="823"/>
      <c r="J61" s="823"/>
      <c r="K61" s="823"/>
      <c r="L61" s="437">
        <f t="shared" si="1"/>
        <v>128611.62</v>
      </c>
      <c r="M61" s="823"/>
      <c r="N61" s="56">
        <v>162552.95000000001</v>
      </c>
      <c r="O61" s="823"/>
      <c r="P61" s="823"/>
      <c r="Q61" s="823"/>
      <c r="R61" s="823"/>
      <c r="S61" s="823"/>
      <c r="T61" s="823"/>
      <c r="U61" s="440">
        <f t="shared" si="0"/>
        <v>162552.95000000001</v>
      </c>
      <c r="V61" s="823"/>
      <c r="W61" s="56">
        <v>5930.32</v>
      </c>
      <c r="X61" s="56">
        <v>1950.53</v>
      </c>
      <c r="Y61" s="823"/>
      <c r="Z61" s="823"/>
      <c r="AA61" s="823"/>
      <c r="AB61" s="823"/>
      <c r="AC61" s="56">
        <v>295.52999999999997</v>
      </c>
      <c r="AD61" s="56">
        <v>16830.57</v>
      </c>
      <c r="AE61" s="823"/>
      <c r="AF61" s="56">
        <v>316171.52000000002</v>
      </c>
      <c r="AG61" s="56">
        <v>0</v>
      </c>
      <c r="AH61" s="823"/>
      <c r="AI61" s="53"/>
    </row>
    <row r="62" spans="1:35" ht="23.25" thickBot="1" x14ac:dyDescent="0.3">
      <c r="A62" s="456">
        <v>43922</v>
      </c>
      <c r="B62" s="438" t="s">
        <v>434</v>
      </c>
      <c r="C62" s="439" t="s">
        <v>435</v>
      </c>
      <c r="D62" s="54">
        <v>308631.65000000002</v>
      </c>
      <c r="E62" s="54">
        <v>457538</v>
      </c>
      <c r="F62" s="54">
        <v>60077.32</v>
      </c>
      <c r="G62" s="822"/>
      <c r="H62" s="54">
        <v>82083.88</v>
      </c>
      <c r="I62" s="822"/>
      <c r="J62" s="822"/>
      <c r="K62" s="822"/>
      <c r="L62" s="437">
        <f t="shared" si="1"/>
        <v>142161.20000000001</v>
      </c>
      <c r="M62" s="54">
        <v>150.36000000000001</v>
      </c>
      <c r="N62" s="54">
        <v>155567.45000000001</v>
      </c>
      <c r="O62" s="822"/>
      <c r="P62" s="822"/>
      <c r="Q62" s="822"/>
      <c r="R62" s="822"/>
      <c r="S62" s="822"/>
      <c r="T62" s="822"/>
      <c r="U62" s="440">
        <f t="shared" si="0"/>
        <v>155567.45000000001</v>
      </c>
      <c r="V62" s="822"/>
      <c r="W62" s="54">
        <v>8885.85</v>
      </c>
      <c r="X62" s="54">
        <v>1866.79</v>
      </c>
      <c r="Y62" s="822"/>
      <c r="Z62" s="822"/>
      <c r="AA62" s="822"/>
      <c r="AB62" s="822"/>
      <c r="AC62" s="54">
        <v>0</v>
      </c>
      <c r="AD62" s="54">
        <v>16968.78</v>
      </c>
      <c r="AE62" s="822"/>
      <c r="AF62" s="54">
        <v>325600.43</v>
      </c>
      <c r="AG62" s="54">
        <v>0</v>
      </c>
      <c r="AH62" s="822"/>
      <c r="AI62" s="55"/>
    </row>
    <row r="63" spans="1:35" ht="15.75" thickBot="1" x14ac:dyDescent="0.3">
      <c r="A63" s="456">
        <v>43922</v>
      </c>
      <c r="B63" s="441" t="s">
        <v>59</v>
      </c>
      <c r="C63" s="441" t="s">
        <v>59</v>
      </c>
      <c r="D63" s="54">
        <v>607677.06999999995</v>
      </c>
      <c r="E63" s="54">
        <v>935621</v>
      </c>
      <c r="F63" s="54">
        <v>104339.56</v>
      </c>
      <c r="G63" s="822"/>
      <c r="H63" s="54">
        <v>166433.26</v>
      </c>
      <c r="I63" s="822"/>
      <c r="J63" s="822"/>
      <c r="K63" s="822"/>
      <c r="L63" s="437">
        <f t="shared" si="1"/>
        <v>270772.82</v>
      </c>
      <c r="M63" s="54">
        <v>150.36000000000001</v>
      </c>
      <c r="N63" s="54">
        <v>318120.40000000002</v>
      </c>
      <c r="O63" s="822"/>
      <c r="P63" s="822"/>
      <c r="Q63" s="822"/>
      <c r="R63" s="822"/>
      <c r="S63" s="822"/>
      <c r="T63" s="822"/>
      <c r="U63" s="440">
        <f t="shared" si="0"/>
        <v>318120.40000000002</v>
      </c>
      <c r="V63" s="822"/>
      <c r="W63" s="54">
        <v>14816.17</v>
      </c>
      <c r="X63" s="54">
        <v>3817.32</v>
      </c>
      <c r="Y63" s="822"/>
      <c r="Z63" s="822"/>
      <c r="AA63" s="822"/>
      <c r="AB63" s="822"/>
      <c r="AC63" s="54">
        <v>295.52999999999997</v>
      </c>
      <c r="AD63" s="54">
        <v>33799.35</v>
      </c>
      <c r="AE63" s="822"/>
      <c r="AF63" s="54">
        <v>641771.94999999995</v>
      </c>
      <c r="AG63" s="54">
        <v>0</v>
      </c>
      <c r="AH63" s="822"/>
      <c r="AI63" s="54"/>
    </row>
    <row r="64" spans="1:35" ht="15.75" thickBot="1" x14ac:dyDescent="0.3">
      <c r="A64" s="456">
        <v>43922</v>
      </c>
      <c r="B64" s="438" t="s">
        <v>26</v>
      </c>
      <c r="C64" s="439" t="s">
        <v>27</v>
      </c>
      <c r="D64" s="54">
        <v>17734978.879999999</v>
      </c>
      <c r="E64" s="54">
        <v>14936454</v>
      </c>
      <c r="F64" s="54">
        <v>6036800.5199999996</v>
      </c>
      <c r="G64" s="822"/>
      <c r="H64" s="54">
        <v>5493907.1900000004</v>
      </c>
      <c r="I64" s="822"/>
      <c r="J64" s="822"/>
      <c r="K64" s="822"/>
      <c r="L64" s="437">
        <f t="shared" si="1"/>
        <v>11530707.710000001</v>
      </c>
      <c r="M64" s="54">
        <v>-29571.51</v>
      </c>
      <c r="N64" s="54">
        <v>5078571.57</v>
      </c>
      <c r="O64" s="822"/>
      <c r="P64" s="822"/>
      <c r="Q64" s="822"/>
      <c r="R64" s="822"/>
      <c r="S64" s="822"/>
      <c r="T64" s="822"/>
      <c r="U64" s="440">
        <f t="shared" si="0"/>
        <v>5078571.57</v>
      </c>
      <c r="V64" s="822"/>
      <c r="W64" s="54">
        <v>306454.65999999997</v>
      </c>
      <c r="X64" s="54">
        <v>125332.73</v>
      </c>
      <c r="Y64" s="822">
        <v>723517.73</v>
      </c>
      <c r="Z64" s="822">
        <v>-34.01</v>
      </c>
      <c r="AA64" s="822"/>
      <c r="AB64" s="822">
        <v>75701.25</v>
      </c>
      <c r="AC64" s="54">
        <v>21414.13</v>
      </c>
      <c r="AD64" s="54">
        <v>76579.38</v>
      </c>
      <c r="AE64" s="822"/>
      <c r="AF64" s="54">
        <v>17908673.640000001</v>
      </c>
      <c r="AG64" s="54">
        <v>0</v>
      </c>
      <c r="AH64" s="822"/>
      <c r="AI64" s="56"/>
    </row>
    <row r="65" spans="1:35" ht="15.75" thickBot="1" x14ac:dyDescent="0.3">
      <c r="A65" s="456">
        <v>43922</v>
      </c>
      <c r="B65" s="441" t="s">
        <v>62</v>
      </c>
      <c r="C65" s="441" t="s">
        <v>62</v>
      </c>
      <c r="D65" s="56">
        <v>17734978.879999999</v>
      </c>
      <c r="E65" s="56">
        <v>14936454</v>
      </c>
      <c r="F65" s="56">
        <v>6036800.5199999996</v>
      </c>
      <c r="G65" s="823"/>
      <c r="H65" s="56">
        <v>5493907.1900000004</v>
      </c>
      <c r="I65" s="823"/>
      <c r="J65" s="823"/>
      <c r="K65" s="823"/>
      <c r="L65" s="437">
        <f t="shared" si="1"/>
        <v>11530707.710000001</v>
      </c>
      <c r="M65" s="56">
        <v>-29571.51</v>
      </c>
      <c r="N65" s="56">
        <v>5078571.57</v>
      </c>
      <c r="O65" s="823"/>
      <c r="P65" s="823"/>
      <c r="Q65" s="823"/>
      <c r="R65" s="823"/>
      <c r="S65" s="823"/>
      <c r="T65" s="823"/>
      <c r="U65" s="440">
        <f t="shared" si="0"/>
        <v>5078571.57</v>
      </c>
      <c r="V65" s="823"/>
      <c r="W65" s="56">
        <v>306454.65999999997</v>
      </c>
      <c r="X65" s="56">
        <v>125332.73</v>
      </c>
      <c r="Y65" s="823">
        <v>723517.73</v>
      </c>
      <c r="Z65" s="823">
        <v>-34.01</v>
      </c>
      <c r="AA65" s="823"/>
      <c r="AB65" s="823">
        <v>75701.25</v>
      </c>
      <c r="AC65" s="56">
        <v>21414.13</v>
      </c>
      <c r="AD65" s="56">
        <v>76579.38</v>
      </c>
      <c r="AE65" s="823"/>
      <c r="AF65" s="56">
        <v>17908673.640000001</v>
      </c>
      <c r="AG65" s="56">
        <v>0</v>
      </c>
      <c r="AH65" s="823"/>
      <c r="AI65" s="54"/>
    </row>
    <row r="66" spans="1:35" ht="23.25" thickBot="1" x14ac:dyDescent="0.3">
      <c r="A66" s="456">
        <v>43922</v>
      </c>
      <c r="B66" s="438" t="s">
        <v>28</v>
      </c>
      <c r="C66" s="439" t="s">
        <v>29</v>
      </c>
      <c r="D66" s="54">
        <v>709.54</v>
      </c>
      <c r="E66" s="54">
        <v>840</v>
      </c>
      <c r="F66" s="54">
        <v>58.5</v>
      </c>
      <c r="G66" s="822"/>
      <c r="H66" s="54">
        <v>308.97000000000003</v>
      </c>
      <c r="I66" s="822"/>
      <c r="J66" s="822"/>
      <c r="K66" s="822"/>
      <c r="L66" s="437">
        <f t="shared" si="1"/>
        <v>367.47</v>
      </c>
      <c r="M66" s="54">
        <v>-1.6</v>
      </c>
      <c r="N66" s="54">
        <v>285.60000000000002</v>
      </c>
      <c r="O66" s="822"/>
      <c r="P66" s="822"/>
      <c r="Q66" s="822"/>
      <c r="R66" s="822"/>
      <c r="S66" s="822"/>
      <c r="T66" s="822"/>
      <c r="U66" s="440">
        <f t="shared" si="0"/>
        <v>285.60000000000002</v>
      </c>
      <c r="V66" s="822"/>
      <c r="W66" s="54">
        <v>3.06</v>
      </c>
      <c r="X66" s="54">
        <v>7.04</v>
      </c>
      <c r="Y66" s="54">
        <v>47.97</v>
      </c>
      <c r="Z66" s="54"/>
      <c r="AA66" s="822"/>
      <c r="AB66" s="54"/>
      <c r="AC66" s="54">
        <v>0</v>
      </c>
      <c r="AD66" s="54">
        <v>0</v>
      </c>
      <c r="AE66" s="822"/>
      <c r="AF66" s="54">
        <v>709.54</v>
      </c>
      <c r="AG66" s="54">
        <v>0</v>
      </c>
      <c r="AH66" s="822"/>
      <c r="AI66" s="56"/>
    </row>
    <row r="67" spans="1:35" ht="15.75" thickBot="1" x14ac:dyDescent="0.3">
      <c r="A67" s="456">
        <v>43922</v>
      </c>
      <c r="B67" s="441" t="s">
        <v>606</v>
      </c>
      <c r="C67" s="441" t="s">
        <v>606</v>
      </c>
      <c r="D67" s="56">
        <v>709.54</v>
      </c>
      <c r="E67" s="56">
        <v>840</v>
      </c>
      <c r="F67" s="56">
        <v>58.5</v>
      </c>
      <c r="G67" s="823"/>
      <c r="H67" s="56">
        <v>308.97000000000003</v>
      </c>
      <c r="I67" s="823"/>
      <c r="J67" s="823"/>
      <c r="K67" s="823"/>
      <c r="L67" s="437">
        <f t="shared" si="1"/>
        <v>367.47</v>
      </c>
      <c r="M67" s="56">
        <v>-1.6</v>
      </c>
      <c r="N67" s="56">
        <v>285.60000000000002</v>
      </c>
      <c r="O67" s="823"/>
      <c r="P67" s="823"/>
      <c r="Q67" s="823"/>
      <c r="R67" s="823"/>
      <c r="S67" s="823"/>
      <c r="T67" s="823"/>
      <c r="U67" s="440">
        <f t="shared" si="0"/>
        <v>285.60000000000002</v>
      </c>
      <c r="V67" s="823"/>
      <c r="W67" s="56">
        <v>3.06</v>
      </c>
      <c r="X67" s="56">
        <v>7.04</v>
      </c>
      <c r="Y67" s="56">
        <v>47.97</v>
      </c>
      <c r="Z67" s="56"/>
      <c r="AA67" s="823"/>
      <c r="AB67" s="56"/>
      <c r="AC67" s="56">
        <v>0</v>
      </c>
      <c r="AD67" s="56">
        <v>0</v>
      </c>
      <c r="AE67" s="823"/>
      <c r="AF67" s="56">
        <v>709.54</v>
      </c>
      <c r="AG67" s="56">
        <v>0</v>
      </c>
      <c r="AH67" s="823"/>
      <c r="AI67" s="54"/>
    </row>
    <row r="68" spans="1:35" ht="15.75" thickBot="1" x14ac:dyDescent="0.3">
      <c r="A68" s="456">
        <v>43922</v>
      </c>
      <c r="B68" s="937" t="s">
        <v>947</v>
      </c>
      <c r="C68" s="938"/>
      <c r="D68" s="847">
        <v>25524117.870000001</v>
      </c>
      <c r="E68" s="847">
        <v>23603523</v>
      </c>
      <c r="F68" s="847">
        <v>8001959.3799999999</v>
      </c>
      <c r="G68" s="847">
        <v>1198.8</v>
      </c>
      <c r="H68" s="847">
        <v>7884298.8200000003</v>
      </c>
      <c r="I68" s="848"/>
      <c r="J68" s="848"/>
      <c r="K68" s="848"/>
      <c r="L68" s="849">
        <f t="shared" si="1"/>
        <v>15887457</v>
      </c>
      <c r="M68" s="847">
        <v>-27159.67</v>
      </c>
      <c r="N68" s="847">
        <v>8025380.4900000002</v>
      </c>
      <c r="O68" s="848"/>
      <c r="P68" s="848"/>
      <c r="Q68" s="848"/>
      <c r="R68" s="848"/>
      <c r="S68" s="848"/>
      <c r="T68" s="848"/>
      <c r="U68" s="849">
        <f t="shared" si="0"/>
        <v>8025380.4900000002</v>
      </c>
      <c r="V68" s="848"/>
      <c r="W68" s="847">
        <v>455375.71</v>
      </c>
      <c r="X68" s="847">
        <v>181542.41</v>
      </c>
      <c r="Y68" s="847">
        <v>1001555.94</v>
      </c>
      <c r="Z68" s="847">
        <v>-34.01</v>
      </c>
      <c r="AA68" s="848"/>
      <c r="AB68" s="847">
        <v>75701.25</v>
      </c>
      <c r="AC68" s="847">
        <v>34227</v>
      </c>
      <c r="AD68" s="847">
        <v>471642.79</v>
      </c>
      <c r="AE68" s="848"/>
      <c r="AF68" s="847">
        <v>26105688.91</v>
      </c>
      <c r="AG68" s="847">
        <v>0</v>
      </c>
      <c r="AH68" s="848"/>
      <c r="AI68" s="56"/>
    </row>
    <row r="69" spans="1:35" ht="15.75" thickBot="1" x14ac:dyDescent="0.3">
      <c r="A69" s="456">
        <v>43922</v>
      </c>
      <c r="B69" s="438" t="s">
        <v>55</v>
      </c>
      <c r="C69" s="439" t="s">
        <v>51</v>
      </c>
      <c r="D69" s="449"/>
      <c r="E69" s="449"/>
      <c r="F69" s="449"/>
      <c r="G69" s="449"/>
      <c r="H69" s="449"/>
      <c r="I69" s="449"/>
      <c r="J69" s="449"/>
      <c r="K69" s="449"/>
      <c r="L69" s="437">
        <f t="shared" si="1"/>
        <v>0</v>
      </c>
      <c r="M69" s="449"/>
      <c r="N69" s="449"/>
      <c r="O69" s="449"/>
      <c r="P69" s="449"/>
      <c r="Q69" s="449"/>
      <c r="R69" s="449"/>
      <c r="S69" s="449"/>
      <c r="T69" s="449"/>
      <c r="U69" s="440">
        <f t="shared" si="0"/>
        <v>0</v>
      </c>
      <c r="V69" s="449"/>
      <c r="W69" s="449"/>
      <c r="X69" s="449"/>
      <c r="Y69" s="449"/>
      <c r="Z69" s="449"/>
      <c r="AA69" s="449"/>
      <c r="AB69" s="449"/>
      <c r="AC69" s="449"/>
      <c r="AD69" s="449"/>
      <c r="AE69" s="449"/>
      <c r="AF69" s="449"/>
      <c r="AG69" s="449"/>
      <c r="AH69" s="449"/>
      <c r="AI69" s="54"/>
    </row>
    <row r="70" spans="1:35" ht="15.75" thickBot="1" x14ac:dyDescent="0.3">
      <c r="A70" s="456">
        <v>43922</v>
      </c>
      <c r="B70" s="451" t="s">
        <v>609</v>
      </c>
      <c r="C70" s="451"/>
      <c r="D70" s="455"/>
      <c r="E70" s="455"/>
      <c r="F70" s="455"/>
      <c r="G70" s="455"/>
      <c r="H70" s="455"/>
      <c r="I70" s="455"/>
      <c r="J70" s="455"/>
      <c r="K70" s="455"/>
      <c r="L70" s="437">
        <f t="shared" si="1"/>
        <v>0</v>
      </c>
      <c r="M70" s="455"/>
      <c r="N70" s="455"/>
      <c r="O70" s="455"/>
      <c r="P70" s="455"/>
      <c r="Q70" s="455"/>
      <c r="R70" s="455"/>
      <c r="S70" s="455"/>
      <c r="T70" s="455"/>
      <c r="U70" s="440">
        <f t="shared" si="0"/>
        <v>0</v>
      </c>
      <c r="V70" s="455"/>
      <c r="W70" s="455"/>
      <c r="X70" s="455"/>
      <c r="Y70" s="455"/>
      <c r="Z70" s="455"/>
      <c r="AA70" s="455"/>
      <c r="AB70" s="455"/>
      <c r="AC70" s="455"/>
      <c r="AD70" s="455"/>
      <c r="AE70" s="455"/>
      <c r="AF70" s="455"/>
      <c r="AG70" s="455"/>
      <c r="AH70" s="455"/>
      <c r="AI70" s="452"/>
    </row>
    <row r="71" spans="1:35" ht="15.75" thickBot="1" x14ac:dyDescent="0.3">
      <c r="A71" s="456">
        <v>43922</v>
      </c>
      <c r="B71" s="850" t="s">
        <v>947</v>
      </c>
      <c r="C71" s="851"/>
      <c r="D71" s="849">
        <f>D70</f>
        <v>0</v>
      </c>
      <c r="E71" s="849">
        <f t="shared" ref="E71:L71" si="2">E70</f>
        <v>0</v>
      </c>
      <c r="F71" s="849">
        <f t="shared" si="2"/>
        <v>0</v>
      </c>
      <c r="G71" s="849">
        <f t="shared" si="2"/>
        <v>0</v>
      </c>
      <c r="H71" s="849">
        <f t="shared" si="2"/>
        <v>0</v>
      </c>
      <c r="I71" s="849">
        <f t="shared" si="2"/>
        <v>0</v>
      </c>
      <c r="J71" s="849">
        <f t="shared" si="2"/>
        <v>0</v>
      </c>
      <c r="K71" s="849">
        <f t="shared" si="2"/>
        <v>0</v>
      </c>
      <c r="L71" s="849">
        <f t="shared" si="2"/>
        <v>0</v>
      </c>
      <c r="M71" s="849"/>
      <c r="N71" s="849"/>
      <c r="O71" s="849"/>
      <c r="P71" s="849"/>
      <c r="Q71" s="849"/>
      <c r="R71" s="849"/>
      <c r="S71" s="849"/>
      <c r="T71" s="849"/>
      <c r="U71" s="849">
        <f t="shared" ref="U71:AH71" si="3">U70</f>
        <v>0</v>
      </c>
      <c r="V71" s="849">
        <f t="shared" si="3"/>
        <v>0</v>
      </c>
      <c r="W71" s="849">
        <f t="shared" si="3"/>
        <v>0</v>
      </c>
      <c r="X71" s="849"/>
      <c r="Y71" s="849">
        <f t="shared" si="3"/>
        <v>0</v>
      </c>
      <c r="Z71" s="849">
        <f t="shared" si="3"/>
        <v>0</v>
      </c>
      <c r="AA71" s="849">
        <f t="shared" si="3"/>
        <v>0</v>
      </c>
      <c r="AB71" s="849">
        <f t="shared" si="3"/>
        <v>0</v>
      </c>
      <c r="AC71" s="849">
        <f t="shared" si="3"/>
        <v>0</v>
      </c>
      <c r="AD71" s="849">
        <f t="shared" si="3"/>
        <v>0</v>
      </c>
      <c r="AE71" s="849">
        <f t="shared" si="3"/>
        <v>0</v>
      </c>
      <c r="AF71" s="849">
        <f t="shared" si="3"/>
        <v>0</v>
      </c>
      <c r="AG71" s="849">
        <f t="shared" si="3"/>
        <v>0</v>
      </c>
      <c r="AH71" s="849">
        <f t="shared" si="3"/>
        <v>0</v>
      </c>
      <c r="AI71" s="53"/>
    </row>
    <row r="72" spans="1:35" ht="15.75" thickBot="1" x14ac:dyDescent="0.3">
      <c r="A72" s="456">
        <v>43922</v>
      </c>
      <c r="B72" s="438" t="s">
        <v>34</v>
      </c>
      <c r="C72" s="439" t="s">
        <v>437</v>
      </c>
      <c r="D72" s="56">
        <v>27840.11</v>
      </c>
      <c r="E72" s="56">
        <v>541778</v>
      </c>
      <c r="F72" s="56">
        <v>11700</v>
      </c>
      <c r="G72" s="56">
        <v>13585.4</v>
      </c>
      <c r="H72" s="56">
        <v>2058.77</v>
      </c>
      <c r="I72" s="56">
        <v>5.22</v>
      </c>
      <c r="J72" s="823"/>
      <c r="K72" s="56">
        <v>93.21</v>
      </c>
      <c r="L72" s="437">
        <f t="shared" si="1"/>
        <v>27442.600000000002</v>
      </c>
      <c r="M72" s="56">
        <v>97.52</v>
      </c>
      <c r="N72" s="823"/>
      <c r="O72" s="823"/>
      <c r="P72" s="56">
        <v>0</v>
      </c>
      <c r="Q72" s="56">
        <v>39.92</v>
      </c>
      <c r="R72" s="823"/>
      <c r="S72" s="823"/>
      <c r="T72" s="823"/>
      <c r="U72" s="440">
        <f t="shared" ref="U72:U83" si="4">SUM(N72:T72)</f>
        <v>39.92</v>
      </c>
      <c r="V72" s="823"/>
      <c r="W72" s="56">
        <v>0</v>
      </c>
      <c r="X72" s="56">
        <v>260.07</v>
      </c>
      <c r="Y72" s="823"/>
      <c r="Z72" s="823"/>
      <c r="AA72" s="823"/>
      <c r="AB72" s="823"/>
      <c r="AC72" s="56">
        <v>0</v>
      </c>
      <c r="AD72" s="56">
        <v>279.06</v>
      </c>
      <c r="AE72" s="823"/>
      <c r="AF72" s="56">
        <v>28119.17</v>
      </c>
      <c r="AG72" s="56">
        <v>0</v>
      </c>
      <c r="AH72" s="823"/>
      <c r="AI72" s="55"/>
    </row>
    <row r="73" spans="1:35" ht="15.75" thickBot="1" x14ac:dyDescent="0.3">
      <c r="A73" s="456">
        <v>43922</v>
      </c>
      <c r="B73" s="438" t="s">
        <v>36</v>
      </c>
      <c r="C73" s="439" t="s">
        <v>438</v>
      </c>
      <c r="D73" s="54">
        <v>451993.43</v>
      </c>
      <c r="E73" s="54">
        <v>10351301</v>
      </c>
      <c r="F73" s="54">
        <v>65260</v>
      </c>
      <c r="G73" s="54">
        <v>340047.6</v>
      </c>
      <c r="H73" s="54">
        <v>39334.980000000003</v>
      </c>
      <c r="I73" s="54">
        <v>77.47</v>
      </c>
      <c r="J73" s="822"/>
      <c r="K73" s="54">
        <v>1613.7</v>
      </c>
      <c r="L73" s="437">
        <f t="shared" si="1"/>
        <v>446333.74999999994</v>
      </c>
      <c r="M73" s="822"/>
      <c r="N73" s="822"/>
      <c r="O73" s="822"/>
      <c r="P73" s="54">
        <v>0</v>
      </c>
      <c r="Q73" s="54">
        <v>691.03</v>
      </c>
      <c r="R73" s="822"/>
      <c r="S73" s="822"/>
      <c r="T73" s="822"/>
      <c r="U73" s="440">
        <f t="shared" si="4"/>
        <v>691.03</v>
      </c>
      <c r="V73" s="822"/>
      <c r="W73" s="54">
        <v>0</v>
      </c>
      <c r="X73" s="54">
        <v>4968.6499999999996</v>
      </c>
      <c r="Y73" s="822"/>
      <c r="Z73" s="822"/>
      <c r="AA73" s="822"/>
      <c r="AB73" s="822"/>
      <c r="AC73" s="54">
        <v>0</v>
      </c>
      <c r="AD73" s="54">
        <v>19069.86</v>
      </c>
      <c r="AE73" s="822"/>
      <c r="AF73" s="54">
        <v>471063.29</v>
      </c>
      <c r="AG73" s="54">
        <v>0</v>
      </c>
      <c r="AH73" s="822"/>
      <c r="AI73" s="53"/>
    </row>
    <row r="74" spans="1:35" ht="15.75" thickBot="1" x14ac:dyDescent="0.3">
      <c r="A74" s="456">
        <v>43922</v>
      </c>
      <c r="B74" s="438" t="s">
        <v>447</v>
      </c>
      <c r="C74" s="439" t="s">
        <v>494</v>
      </c>
      <c r="D74" s="56">
        <v>49482.19</v>
      </c>
      <c r="E74" s="56">
        <v>937435</v>
      </c>
      <c r="F74" s="56">
        <v>19500</v>
      </c>
      <c r="G74" s="56">
        <v>25772.25</v>
      </c>
      <c r="H74" s="56">
        <v>3562.25</v>
      </c>
      <c r="I74" s="56">
        <v>41.58</v>
      </c>
      <c r="J74" s="823"/>
      <c r="K74" s="823"/>
      <c r="L74" s="437">
        <f>SUM(F74:K74)</f>
        <v>48876.08</v>
      </c>
      <c r="M74" s="56">
        <v>168.73</v>
      </c>
      <c r="N74" s="823"/>
      <c r="O74" s="823"/>
      <c r="P74" s="56">
        <v>0</v>
      </c>
      <c r="Q74" s="56">
        <v>0</v>
      </c>
      <c r="R74" s="823"/>
      <c r="S74" s="56">
        <v>-12.58</v>
      </c>
      <c r="T74" s="823"/>
      <c r="U74" s="440">
        <f t="shared" si="4"/>
        <v>-12.58</v>
      </c>
      <c r="V74" s="823"/>
      <c r="W74" s="56">
        <v>0</v>
      </c>
      <c r="X74" s="56">
        <v>449.96</v>
      </c>
      <c r="Y74" s="823"/>
      <c r="Z74" s="823"/>
      <c r="AA74" s="823"/>
      <c r="AB74" s="823"/>
      <c r="AC74" s="56">
        <v>449.59</v>
      </c>
      <c r="AD74" s="56">
        <v>2128.7199999999998</v>
      </c>
      <c r="AE74" s="823"/>
      <c r="AF74" s="56">
        <v>52060.5</v>
      </c>
      <c r="AG74" s="56">
        <v>0</v>
      </c>
      <c r="AH74" s="823"/>
      <c r="AI74" s="55"/>
    </row>
    <row r="75" spans="1:35" ht="15.75" thickBot="1" x14ac:dyDescent="0.3">
      <c r="A75" s="456">
        <v>43922</v>
      </c>
      <c r="B75" s="441" t="s">
        <v>610</v>
      </c>
      <c r="C75" s="441" t="s">
        <v>610</v>
      </c>
      <c r="D75" s="54">
        <v>529315.73</v>
      </c>
      <c r="E75" s="54">
        <v>11830514</v>
      </c>
      <c r="F75" s="54">
        <v>96460</v>
      </c>
      <c r="G75" s="54">
        <v>379405.25</v>
      </c>
      <c r="H75" s="54">
        <v>44956</v>
      </c>
      <c r="I75" s="54">
        <v>124.27</v>
      </c>
      <c r="J75" s="822"/>
      <c r="K75" s="54">
        <v>1706.91</v>
      </c>
      <c r="L75" s="437">
        <f t="shared" si="1"/>
        <v>522652.43</v>
      </c>
      <c r="M75" s="54">
        <v>266.25</v>
      </c>
      <c r="N75" s="822"/>
      <c r="O75" s="822"/>
      <c r="P75" s="54">
        <v>0</v>
      </c>
      <c r="Q75" s="54">
        <v>730.95</v>
      </c>
      <c r="R75" s="822"/>
      <c r="S75" s="54">
        <v>-12.58</v>
      </c>
      <c r="T75" s="822"/>
      <c r="U75" s="440">
        <f t="shared" si="4"/>
        <v>718.37</v>
      </c>
      <c r="V75" s="822"/>
      <c r="W75" s="54">
        <v>0</v>
      </c>
      <c r="X75" s="54">
        <v>5678.68</v>
      </c>
      <c r="Y75" s="822"/>
      <c r="Z75" s="822"/>
      <c r="AA75" s="822"/>
      <c r="AB75" s="822"/>
      <c r="AC75" s="54">
        <v>449.59</v>
      </c>
      <c r="AD75" s="54">
        <v>21477.64</v>
      </c>
      <c r="AE75" s="822"/>
      <c r="AF75" s="54">
        <v>551242.96</v>
      </c>
      <c r="AG75" s="54">
        <v>0</v>
      </c>
      <c r="AH75" s="822"/>
      <c r="AI75" s="53"/>
    </row>
    <row r="76" spans="1:35" ht="23.25" thickBot="1" x14ac:dyDescent="0.3">
      <c r="A76" s="456">
        <v>43922</v>
      </c>
      <c r="B76" s="438" t="s">
        <v>38</v>
      </c>
      <c r="C76" s="439" t="s">
        <v>39</v>
      </c>
      <c r="D76" s="56">
        <v>38657.69</v>
      </c>
      <c r="E76" s="823"/>
      <c r="F76" s="56">
        <v>5325</v>
      </c>
      <c r="G76" s="823"/>
      <c r="H76" s="56">
        <v>0</v>
      </c>
      <c r="I76" s="823"/>
      <c r="J76" s="823"/>
      <c r="K76" s="56">
        <v>23338.41</v>
      </c>
      <c r="L76" s="437">
        <f t="shared" si="1"/>
        <v>28663.41</v>
      </c>
      <c r="M76" s="823"/>
      <c r="N76" s="823"/>
      <c r="O76" s="823"/>
      <c r="P76" s="56">
        <v>0</v>
      </c>
      <c r="Q76" s="56">
        <v>9994.2800000000007</v>
      </c>
      <c r="R76" s="823"/>
      <c r="S76" s="823"/>
      <c r="T76" s="823"/>
      <c r="U76" s="440">
        <f t="shared" si="4"/>
        <v>9994.2800000000007</v>
      </c>
      <c r="V76" s="823"/>
      <c r="W76" s="823"/>
      <c r="X76" s="823"/>
      <c r="Y76" s="823"/>
      <c r="Z76" s="823"/>
      <c r="AA76" s="823"/>
      <c r="AB76" s="823"/>
      <c r="AC76" s="56">
        <v>0</v>
      </c>
      <c r="AD76" s="56">
        <v>0</v>
      </c>
      <c r="AE76" s="823"/>
      <c r="AF76" s="56">
        <v>38657.69</v>
      </c>
      <c r="AG76" s="56">
        <v>0</v>
      </c>
      <c r="AH76" s="823"/>
      <c r="AI76" s="55"/>
    </row>
    <row r="77" spans="1:35" ht="15.75" thickBot="1" x14ac:dyDescent="0.3">
      <c r="A77" s="456">
        <v>43922</v>
      </c>
      <c r="B77" s="441" t="s">
        <v>611</v>
      </c>
      <c r="C77" s="441" t="s">
        <v>611</v>
      </c>
      <c r="D77" s="54">
        <v>38657.69</v>
      </c>
      <c r="E77" s="822"/>
      <c r="F77" s="54">
        <v>5325</v>
      </c>
      <c r="G77" s="822"/>
      <c r="H77" s="54">
        <v>0</v>
      </c>
      <c r="I77" s="822"/>
      <c r="J77" s="822"/>
      <c r="K77" s="54">
        <v>23338.41</v>
      </c>
      <c r="L77" s="437">
        <f t="shared" si="1"/>
        <v>28663.41</v>
      </c>
      <c r="M77" s="822"/>
      <c r="N77" s="822"/>
      <c r="O77" s="822"/>
      <c r="P77" s="54">
        <v>0</v>
      </c>
      <c r="Q77" s="54">
        <v>9994.2800000000007</v>
      </c>
      <c r="R77" s="822"/>
      <c r="S77" s="822"/>
      <c r="T77" s="822"/>
      <c r="U77" s="440">
        <f t="shared" si="4"/>
        <v>9994.2800000000007</v>
      </c>
      <c r="V77" s="822"/>
      <c r="W77" s="822"/>
      <c r="X77" s="822"/>
      <c r="Y77" s="822"/>
      <c r="Z77" s="822"/>
      <c r="AA77" s="822"/>
      <c r="AB77" s="822"/>
      <c r="AC77" s="54">
        <v>0</v>
      </c>
      <c r="AD77" s="54">
        <v>0</v>
      </c>
      <c r="AE77" s="822"/>
      <c r="AF77" s="54">
        <v>38657.69</v>
      </c>
      <c r="AG77" s="54">
        <v>0</v>
      </c>
      <c r="AH77" s="822"/>
      <c r="AI77" s="53"/>
    </row>
    <row r="78" spans="1:35" ht="23.25" thickBot="1" x14ac:dyDescent="0.3">
      <c r="A78" s="456">
        <v>43922</v>
      </c>
      <c r="B78" s="438" t="s">
        <v>52</v>
      </c>
      <c r="C78" s="439" t="s">
        <v>355</v>
      </c>
      <c r="D78" s="56">
        <v>675</v>
      </c>
      <c r="E78" s="823"/>
      <c r="F78" s="56">
        <v>675</v>
      </c>
      <c r="G78" s="823"/>
      <c r="H78" s="56">
        <v>0</v>
      </c>
      <c r="I78" s="823"/>
      <c r="J78" s="823"/>
      <c r="K78" s="823"/>
      <c r="L78" s="437">
        <f t="shared" si="1"/>
        <v>675</v>
      </c>
      <c r="M78" s="823"/>
      <c r="N78" s="823"/>
      <c r="O78" s="823"/>
      <c r="P78" s="823"/>
      <c r="Q78" s="823"/>
      <c r="R78" s="823"/>
      <c r="S78" s="823"/>
      <c r="T78" s="56">
        <v>0</v>
      </c>
      <c r="U78" s="440">
        <f t="shared" si="4"/>
        <v>0</v>
      </c>
      <c r="V78" s="823"/>
      <c r="W78" s="823"/>
      <c r="X78" s="823"/>
      <c r="Y78" s="823"/>
      <c r="Z78" s="823"/>
      <c r="AA78" s="823"/>
      <c r="AB78" s="823"/>
      <c r="AC78" s="56">
        <v>0</v>
      </c>
      <c r="AD78" s="56">
        <v>0</v>
      </c>
      <c r="AE78" s="823"/>
      <c r="AF78" s="56">
        <v>675</v>
      </c>
      <c r="AG78" s="56">
        <v>0</v>
      </c>
      <c r="AH78" s="823"/>
      <c r="AI78" s="55"/>
    </row>
    <row r="79" spans="1:35" ht="15.75" thickBot="1" x14ac:dyDescent="0.3">
      <c r="A79" s="456">
        <v>43922</v>
      </c>
      <c r="B79" s="441" t="s">
        <v>612</v>
      </c>
      <c r="C79" s="441" t="s">
        <v>612</v>
      </c>
      <c r="D79" s="54">
        <v>675</v>
      </c>
      <c r="E79" s="822"/>
      <c r="F79" s="54">
        <v>675</v>
      </c>
      <c r="G79" s="822"/>
      <c r="H79" s="54">
        <v>0</v>
      </c>
      <c r="I79" s="822"/>
      <c r="J79" s="822"/>
      <c r="K79" s="822"/>
      <c r="L79" s="437">
        <f t="shared" si="1"/>
        <v>675</v>
      </c>
      <c r="M79" s="822"/>
      <c r="N79" s="822"/>
      <c r="O79" s="822"/>
      <c r="P79" s="822"/>
      <c r="Q79" s="822"/>
      <c r="R79" s="822"/>
      <c r="S79" s="822"/>
      <c r="T79" s="54">
        <v>0</v>
      </c>
      <c r="U79" s="440">
        <f t="shared" si="4"/>
        <v>0</v>
      </c>
      <c r="V79" s="822"/>
      <c r="W79" s="822"/>
      <c r="X79" s="822"/>
      <c r="Y79" s="822"/>
      <c r="Z79" s="822"/>
      <c r="AA79" s="822"/>
      <c r="AB79" s="822"/>
      <c r="AC79" s="54">
        <v>0</v>
      </c>
      <c r="AD79" s="54">
        <v>0</v>
      </c>
      <c r="AE79" s="822"/>
      <c r="AF79" s="54">
        <v>675</v>
      </c>
      <c r="AG79" s="54">
        <v>0</v>
      </c>
      <c r="AH79" s="822"/>
      <c r="AI79" s="53"/>
    </row>
    <row r="80" spans="1:35" ht="23.25" thickBot="1" x14ac:dyDescent="0.3">
      <c r="A80" s="456">
        <v>43922</v>
      </c>
      <c r="B80" s="438" t="s">
        <v>53</v>
      </c>
      <c r="C80" s="439" t="s">
        <v>836</v>
      </c>
      <c r="D80" s="56">
        <v>17986.23</v>
      </c>
      <c r="E80" s="56">
        <v>86015</v>
      </c>
      <c r="F80" s="56">
        <v>1050</v>
      </c>
      <c r="G80" s="823"/>
      <c r="H80" s="56">
        <v>9155.44</v>
      </c>
      <c r="I80" s="823"/>
      <c r="J80" s="823"/>
      <c r="K80" s="823"/>
      <c r="L80" s="437">
        <f t="shared" si="1"/>
        <v>10205.44</v>
      </c>
      <c r="M80" s="823"/>
      <c r="N80" s="56">
        <v>0</v>
      </c>
      <c r="O80" s="823"/>
      <c r="P80" s="823"/>
      <c r="Q80" s="823"/>
      <c r="R80" s="56">
        <v>7365.46</v>
      </c>
      <c r="S80" s="823"/>
      <c r="T80" s="823"/>
      <c r="U80" s="440">
        <f t="shared" si="4"/>
        <v>7365.46</v>
      </c>
      <c r="V80" s="823"/>
      <c r="W80" s="56">
        <v>64.39</v>
      </c>
      <c r="X80" s="56">
        <v>350.94</v>
      </c>
      <c r="Y80" s="823"/>
      <c r="Z80" s="823"/>
      <c r="AA80" s="56">
        <v>0</v>
      </c>
      <c r="AB80" s="823"/>
      <c r="AC80" s="56">
        <v>539.59</v>
      </c>
      <c r="AD80" s="56">
        <v>0</v>
      </c>
      <c r="AE80" s="823"/>
      <c r="AF80" s="56">
        <v>18525.82</v>
      </c>
      <c r="AG80" s="56">
        <v>0</v>
      </c>
      <c r="AH80" s="823"/>
      <c r="AI80" s="55"/>
    </row>
    <row r="81" spans="1:35" ht="23.25" thickBot="1" x14ac:dyDescent="0.3">
      <c r="A81" s="456">
        <v>43922</v>
      </c>
      <c r="B81" s="438" t="s">
        <v>31</v>
      </c>
      <c r="C81" s="439" t="s">
        <v>835</v>
      </c>
      <c r="D81" s="54">
        <v>42210.68</v>
      </c>
      <c r="E81" s="54">
        <v>118514</v>
      </c>
      <c r="F81" s="54">
        <v>2627.68</v>
      </c>
      <c r="G81" s="822"/>
      <c r="H81" s="54">
        <v>25988.94</v>
      </c>
      <c r="I81" s="822"/>
      <c r="J81" s="822"/>
      <c r="K81" s="822"/>
      <c r="L81" s="437">
        <f t="shared" si="1"/>
        <v>28616.62</v>
      </c>
      <c r="M81" s="54"/>
      <c r="N81" s="54">
        <v>0</v>
      </c>
      <c r="O81" s="822"/>
      <c r="P81" s="822"/>
      <c r="Q81" s="822"/>
      <c r="R81" s="54">
        <v>10148.35</v>
      </c>
      <c r="S81" s="54">
        <v>2833.4</v>
      </c>
      <c r="T81" s="822"/>
      <c r="U81" s="440">
        <f t="shared" si="4"/>
        <v>12981.75</v>
      </c>
      <c r="V81" s="822"/>
      <c r="W81" s="54">
        <v>128.78</v>
      </c>
      <c r="X81" s="54">
        <v>483.53</v>
      </c>
      <c r="Y81" s="822"/>
      <c r="Z81" s="822"/>
      <c r="AA81" s="54">
        <v>0</v>
      </c>
      <c r="AB81" s="822"/>
      <c r="AC81" s="54">
        <v>0</v>
      </c>
      <c r="AD81" s="54">
        <v>3441.25</v>
      </c>
      <c r="AE81" s="822"/>
      <c r="AF81" s="54">
        <v>45651.93</v>
      </c>
      <c r="AG81" s="54">
        <v>0</v>
      </c>
      <c r="AH81" s="822"/>
      <c r="AI81" s="53"/>
    </row>
    <row r="82" spans="1:35" ht="15.75" thickBot="1" x14ac:dyDescent="0.3">
      <c r="A82" s="456">
        <v>43922</v>
      </c>
      <c r="B82" s="438" t="s">
        <v>491</v>
      </c>
      <c r="C82" s="439" t="s">
        <v>492</v>
      </c>
      <c r="D82" s="56">
        <v>38566.550000000003</v>
      </c>
      <c r="E82" s="56">
        <v>97992</v>
      </c>
      <c r="F82" s="56">
        <v>7883.04</v>
      </c>
      <c r="G82" s="823"/>
      <c r="H82" s="56">
        <v>21488.67</v>
      </c>
      <c r="I82" s="823"/>
      <c r="J82" s="823"/>
      <c r="K82" s="823"/>
      <c r="L82" s="437">
        <f t="shared" si="1"/>
        <v>29371.71</v>
      </c>
      <c r="M82" s="56">
        <v>17.64</v>
      </c>
      <c r="N82" s="56">
        <v>0</v>
      </c>
      <c r="O82" s="823"/>
      <c r="P82" s="823"/>
      <c r="Q82" s="823"/>
      <c r="R82" s="56">
        <v>8391.06</v>
      </c>
      <c r="S82" s="56">
        <v>0</v>
      </c>
      <c r="T82" s="823"/>
      <c r="U82" s="440">
        <f t="shared" si="4"/>
        <v>8391.06</v>
      </c>
      <c r="V82" s="823"/>
      <c r="W82" s="56">
        <v>386.34</v>
      </c>
      <c r="X82" s="56">
        <v>399.8</v>
      </c>
      <c r="Y82" s="823"/>
      <c r="Z82" s="823"/>
      <c r="AA82" s="56">
        <v>0</v>
      </c>
      <c r="AB82" s="823"/>
      <c r="AC82" s="56">
        <v>0</v>
      </c>
      <c r="AD82" s="56">
        <v>823.07</v>
      </c>
      <c r="AE82" s="823"/>
      <c r="AF82" s="56">
        <v>39389.620000000003</v>
      </c>
      <c r="AG82" s="56">
        <v>0</v>
      </c>
      <c r="AH82" s="823"/>
      <c r="AI82" s="55"/>
    </row>
    <row r="83" spans="1:35" ht="15.75" thickBot="1" x14ac:dyDescent="0.3">
      <c r="A83" s="456">
        <v>43922</v>
      </c>
      <c r="B83" s="441" t="s">
        <v>613</v>
      </c>
      <c r="C83" s="441" t="s">
        <v>613</v>
      </c>
      <c r="D83" s="56">
        <v>98763.46</v>
      </c>
      <c r="E83" s="56">
        <v>302521</v>
      </c>
      <c r="F83" s="56">
        <v>11560.72</v>
      </c>
      <c r="G83" s="823"/>
      <c r="H83" s="56">
        <v>56633.05</v>
      </c>
      <c r="I83" s="823"/>
      <c r="J83" s="823"/>
      <c r="K83" s="823"/>
      <c r="L83" s="437">
        <f t="shared" si="1"/>
        <v>68193.77</v>
      </c>
      <c r="M83" s="56">
        <v>17.64</v>
      </c>
      <c r="N83" s="56">
        <v>0</v>
      </c>
      <c r="O83" s="823"/>
      <c r="P83" s="823"/>
      <c r="Q83" s="823"/>
      <c r="R83" s="56">
        <v>25904.87</v>
      </c>
      <c r="S83" s="56">
        <v>2833.4</v>
      </c>
      <c r="T83" s="823"/>
      <c r="U83" s="440">
        <f t="shared" si="4"/>
        <v>28738.27</v>
      </c>
      <c r="V83" s="823"/>
      <c r="W83" s="56">
        <v>579.51</v>
      </c>
      <c r="X83" s="56">
        <v>1234.27</v>
      </c>
      <c r="Y83" s="823"/>
      <c r="Z83" s="823"/>
      <c r="AA83" s="56">
        <v>0</v>
      </c>
      <c r="AB83" s="823"/>
      <c r="AC83" s="56">
        <v>539.59</v>
      </c>
      <c r="AD83" s="56">
        <v>4264.32</v>
      </c>
      <c r="AE83" s="823"/>
      <c r="AF83" s="56">
        <v>103567.37</v>
      </c>
      <c r="AG83" s="56">
        <v>0</v>
      </c>
      <c r="AH83" s="823"/>
      <c r="AI83" s="53"/>
    </row>
    <row r="84" spans="1:35" ht="15.75" thickBot="1" x14ac:dyDescent="0.3">
      <c r="A84" s="456">
        <v>43922</v>
      </c>
      <c r="B84" s="937" t="s">
        <v>947</v>
      </c>
      <c r="C84" s="938"/>
      <c r="D84" s="847">
        <v>667411.88</v>
      </c>
      <c r="E84" s="847">
        <v>12133035</v>
      </c>
      <c r="F84" s="847">
        <v>114020.72</v>
      </c>
      <c r="G84" s="847">
        <v>379405.25</v>
      </c>
      <c r="H84" s="847">
        <v>101589.05</v>
      </c>
      <c r="I84" s="847">
        <v>124.27</v>
      </c>
      <c r="J84" s="848"/>
      <c r="K84" s="847">
        <v>25045.32</v>
      </c>
      <c r="L84" s="849">
        <f t="shared" si="1"/>
        <v>620184.61</v>
      </c>
      <c r="M84" s="847">
        <v>283.89</v>
      </c>
      <c r="N84" s="847">
        <v>0</v>
      </c>
      <c r="O84" s="848"/>
      <c r="P84" s="847">
        <v>0</v>
      </c>
      <c r="Q84" s="847">
        <v>10725.23</v>
      </c>
      <c r="R84" s="847">
        <v>25904.87</v>
      </c>
      <c r="S84" s="847">
        <v>2820.82</v>
      </c>
      <c r="T84" s="847">
        <v>0</v>
      </c>
      <c r="U84" s="849">
        <f>SUM(N84:T84)</f>
        <v>39450.92</v>
      </c>
      <c r="V84" s="848"/>
      <c r="W84" s="847">
        <v>579.51</v>
      </c>
      <c r="X84" s="847">
        <v>6912.95</v>
      </c>
      <c r="Y84" s="848"/>
      <c r="Z84" s="848"/>
      <c r="AA84" s="847">
        <v>0</v>
      </c>
      <c r="AB84" s="848"/>
      <c r="AC84" s="847">
        <v>989.18</v>
      </c>
      <c r="AD84" s="847">
        <v>25741.96</v>
      </c>
      <c r="AE84" s="848"/>
      <c r="AF84" s="847">
        <v>694143.02</v>
      </c>
      <c r="AG84" s="847">
        <v>0</v>
      </c>
      <c r="AH84" s="848"/>
      <c r="AI84" s="55"/>
    </row>
    <row r="85" spans="1:35" ht="15.75" thickBot="1" x14ac:dyDescent="0.3">
      <c r="A85" s="456">
        <v>43922</v>
      </c>
      <c r="B85" s="438" t="s">
        <v>34</v>
      </c>
      <c r="C85" s="439" t="s">
        <v>437</v>
      </c>
      <c r="D85" s="56">
        <v>-841.81</v>
      </c>
      <c r="E85" s="56">
        <v>0</v>
      </c>
      <c r="F85" s="823"/>
      <c r="G85" s="823"/>
      <c r="H85" s="56">
        <v>0</v>
      </c>
      <c r="I85" s="823"/>
      <c r="J85" s="823"/>
      <c r="K85" s="823"/>
      <c r="L85" s="437">
        <f t="shared" si="1"/>
        <v>0</v>
      </c>
      <c r="M85" s="823"/>
      <c r="N85" s="823"/>
      <c r="O85" s="56">
        <v>-896.38</v>
      </c>
      <c r="P85" s="823"/>
      <c r="Q85" s="823"/>
      <c r="R85" s="823"/>
      <c r="S85" s="823"/>
      <c r="T85" s="823"/>
      <c r="U85" s="440">
        <f t="shared" si="0"/>
        <v>-896.38</v>
      </c>
      <c r="V85" s="56">
        <v>54.57</v>
      </c>
      <c r="W85" s="823"/>
      <c r="X85" s="56">
        <v>0</v>
      </c>
      <c r="Y85" s="823"/>
      <c r="Z85" s="823"/>
      <c r="AA85" s="823"/>
      <c r="AB85" s="823"/>
      <c r="AC85" s="823"/>
      <c r="AD85" s="56">
        <v>-25.25</v>
      </c>
      <c r="AE85" s="823"/>
      <c r="AF85" s="56">
        <v>-867.06</v>
      </c>
      <c r="AG85" s="56">
        <v>0</v>
      </c>
      <c r="AH85" s="823"/>
      <c r="AI85" s="53"/>
    </row>
    <row r="86" spans="1:35" ht="15.75" thickBot="1" x14ac:dyDescent="0.3">
      <c r="A86" s="456">
        <v>43922</v>
      </c>
      <c r="B86" s="438" t="s">
        <v>36</v>
      </c>
      <c r="C86" s="439" t="s">
        <v>438</v>
      </c>
      <c r="D86" s="54">
        <v>-2303.27</v>
      </c>
      <c r="E86" s="54">
        <v>65</v>
      </c>
      <c r="F86" s="822"/>
      <c r="G86" s="822"/>
      <c r="H86" s="54">
        <v>0.25</v>
      </c>
      <c r="I86" s="822"/>
      <c r="J86" s="822"/>
      <c r="K86" s="822"/>
      <c r="L86" s="437">
        <f t="shared" si="1"/>
        <v>0.25</v>
      </c>
      <c r="M86" s="822"/>
      <c r="N86" s="822"/>
      <c r="O86" s="54">
        <v>-2421.91</v>
      </c>
      <c r="P86" s="822"/>
      <c r="Q86" s="822"/>
      <c r="R86" s="822"/>
      <c r="S86" s="822"/>
      <c r="T86" s="822"/>
      <c r="U86" s="440">
        <f t="shared" si="0"/>
        <v>-2421.91</v>
      </c>
      <c r="V86" s="54">
        <v>118.36</v>
      </c>
      <c r="W86" s="822"/>
      <c r="X86" s="54">
        <v>0.03</v>
      </c>
      <c r="Y86" s="822"/>
      <c r="Z86" s="822"/>
      <c r="AA86" s="822"/>
      <c r="AB86" s="822"/>
      <c r="AC86" s="822"/>
      <c r="AD86" s="54">
        <v>-138.21</v>
      </c>
      <c r="AE86" s="822"/>
      <c r="AF86" s="54">
        <v>-2441.48</v>
      </c>
      <c r="AG86" s="54">
        <v>0</v>
      </c>
      <c r="AH86" s="822"/>
      <c r="AI86" s="55"/>
    </row>
    <row r="87" spans="1:35" ht="15.75" thickBot="1" x14ac:dyDescent="0.3">
      <c r="A87" s="456">
        <v>43922</v>
      </c>
      <c r="B87" s="441" t="s">
        <v>610</v>
      </c>
      <c r="C87" s="441" t="s">
        <v>610</v>
      </c>
      <c r="D87" s="56">
        <v>-3145.08</v>
      </c>
      <c r="E87" s="56">
        <v>65</v>
      </c>
      <c r="F87" s="823"/>
      <c r="G87" s="823"/>
      <c r="H87" s="56">
        <v>0.25</v>
      </c>
      <c r="I87" s="823"/>
      <c r="J87" s="823"/>
      <c r="K87" s="823"/>
      <c r="L87" s="437">
        <f t="shared" si="1"/>
        <v>0.25</v>
      </c>
      <c r="M87" s="823"/>
      <c r="N87" s="823"/>
      <c r="O87" s="56">
        <v>-3318.29</v>
      </c>
      <c r="P87" s="823"/>
      <c r="Q87" s="823"/>
      <c r="R87" s="823"/>
      <c r="S87" s="823"/>
      <c r="T87" s="823"/>
      <c r="U87" s="440">
        <f t="shared" si="0"/>
        <v>-3318.29</v>
      </c>
      <c r="V87" s="56">
        <v>172.93</v>
      </c>
      <c r="W87" s="823"/>
      <c r="X87" s="56">
        <v>0.03</v>
      </c>
      <c r="Y87" s="823"/>
      <c r="Z87" s="823"/>
      <c r="AA87" s="823"/>
      <c r="AB87" s="823"/>
      <c r="AC87" s="823"/>
      <c r="AD87" s="56">
        <v>-163.46</v>
      </c>
      <c r="AE87" s="823"/>
      <c r="AF87" s="56">
        <v>-3308.54</v>
      </c>
      <c r="AG87" s="56">
        <v>0</v>
      </c>
      <c r="AH87" s="823"/>
      <c r="AI87" s="53"/>
    </row>
    <row r="88" spans="1:35" ht="23.25" thickBot="1" x14ac:dyDescent="0.3">
      <c r="A88" s="456">
        <v>43922</v>
      </c>
      <c r="B88" s="438" t="s">
        <v>38</v>
      </c>
      <c r="C88" s="439" t="s">
        <v>39</v>
      </c>
      <c r="D88" s="54">
        <v>19886.52</v>
      </c>
      <c r="E88" s="822"/>
      <c r="F88" s="822"/>
      <c r="G88" s="822"/>
      <c r="H88" s="822"/>
      <c r="I88" s="822"/>
      <c r="J88" s="822"/>
      <c r="K88" s="822"/>
      <c r="L88" s="437">
        <f t="shared" si="1"/>
        <v>0</v>
      </c>
      <c r="M88" s="822"/>
      <c r="N88" s="822"/>
      <c r="O88" s="54">
        <v>12610.13</v>
      </c>
      <c r="P88" s="822"/>
      <c r="Q88" s="822"/>
      <c r="R88" s="822"/>
      <c r="S88" s="822"/>
      <c r="T88" s="822"/>
      <c r="U88" s="440">
        <f t="shared" si="0"/>
        <v>12610.13</v>
      </c>
      <c r="V88" s="54">
        <v>7276.39</v>
      </c>
      <c r="W88" s="822"/>
      <c r="X88" s="822"/>
      <c r="Y88" s="822"/>
      <c r="Z88" s="822"/>
      <c r="AA88" s="822"/>
      <c r="AB88" s="822"/>
      <c r="AC88" s="822"/>
      <c r="AD88" s="54">
        <v>0</v>
      </c>
      <c r="AE88" s="822"/>
      <c r="AF88" s="54">
        <v>19886.52</v>
      </c>
      <c r="AG88" s="54">
        <v>0</v>
      </c>
      <c r="AH88" s="822"/>
      <c r="AI88" s="55"/>
    </row>
    <row r="89" spans="1:35" ht="15.75" thickBot="1" x14ac:dyDescent="0.3">
      <c r="A89" s="456">
        <v>43922</v>
      </c>
      <c r="B89" s="441" t="s">
        <v>611</v>
      </c>
      <c r="C89" s="441" t="s">
        <v>611</v>
      </c>
      <c r="D89" s="56">
        <v>19886.52</v>
      </c>
      <c r="E89" s="823"/>
      <c r="F89" s="823"/>
      <c r="G89" s="823"/>
      <c r="H89" s="823"/>
      <c r="I89" s="823"/>
      <c r="J89" s="823"/>
      <c r="K89" s="823"/>
      <c r="L89" s="437">
        <f t="shared" si="1"/>
        <v>0</v>
      </c>
      <c r="M89" s="823"/>
      <c r="N89" s="823"/>
      <c r="O89" s="56">
        <v>12610.13</v>
      </c>
      <c r="P89" s="823"/>
      <c r="Q89" s="823"/>
      <c r="R89" s="823"/>
      <c r="S89" s="823"/>
      <c r="T89" s="823"/>
      <c r="U89" s="440">
        <f t="shared" si="0"/>
        <v>12610.13</v>
      </c>
      <c r="V89" s="56">
        <v>7276.39</v>
      </c>
      <c r="W89" s="823"/>
      <c r="X89" s="823"/>
      <c r="Y89" s="823"/>
      <c r="Z89" s="823"/>
      <c r="AA89" s="823"/>
      <c r="AB89" s="823"/>
      <c r="AC89" s="823"/>
      <c r="AD89" s="56">
        <v>0</v>
      </c>
      <c r="AE89" s="823"/>
      <c r="AF89" s="56">
        <v>19886.52</v>
      </c>
      <c r="AG89" s="56">
        <v>0</v>
      </c>
      <c r="AH89" s="823"/>
      <c r="AI89" s="53"/>
    </row>
    <row r="90" spans="1:35" ht="23.25" thickBot="1" x14ac:dyDescent="0.3">
      <c r="A90" s="456">
        <v>43922</v>
      </c>
      <c r="B90" s="438" t="s">
        <v>52</v>
      </c>
      <c r="C90" s="439" t="s">
        <v>355</v>
      </c>
      <c r="D90" s="54">
        <v>5077.82</v>
      </c>
      <c r="E90" s="822"/>
      <c r="F90" s="822"/>
      <c r="G90" s="822"/>
      <c r="H90" s="822"/>
      <c r="I90" s="822"/>
      <c r="J90" s="822"/>
      <c r="K90" s="822"/>
      <c r="L90" s="437">
        <f t="shared" si="1"/>
        <v>0</v>
      </c>
      <c r="M90" s="822"/>
      <c r="N90" s="822"/>
      <c r="O90" s="54">
        <v>4839.1899999999996</v>
      </c>
      <c r="P90" s="822"/>
      <c r="Q90" s="822"/>
      <c r="R90" s="822"/>
      <c r="S90" s="822"/>
      <c r="T90" s="822"/>
      <c r="U90" s="440">
        <f t="shared" si="0"/>
        <v>4839.1899999999996</v>
      </c>
      <c r="V90" s="54">
        <v>238.63</v>
      </c>
      <c r="W90" s="822"/>
      <c r="X90" s="822"/>
      <c r="Y90" s="822"/>
      <c r="Z90" s="822"/>
      <c r="AA90" s="822"/>
      <c r="AB90" s="822"/>
      <c r="AC90" s="822"/>
      <c r="AD90" s="54">
        <v>0</v>
      </c>
      <c r="AE90" s="822"/>
      <c r="AF90" s="54">
        <v>5077.82</v>
      </c>
      <c r="AG90" s="54">
        <v>0</v>
      </c>
      <c r="AH90" s="822"/>
      <c r="AI90" s="55"/>
    </row>
    <row r="91" spans="1:35" ht="15.75" thickBot="1" x14ac:dyDescent="0.3">
      <c r="A91" s="456">
        <v>43922</v>
      </c>
      <c r="B91" s="441" t="s">
        <v>612</v>
      </c>
      <c r="C91" s="441" t="s">
        <v>612</v>
      </c>
      <c r="D91" s="56">
        <v>5077.82</v>
      </c>
      <c r="E91" s="823"/>
      <c r="F91" s="823"/>
      <c r="G91" s="823"/>
      <c r="H91" s="823"/>
      <c r="I91" s="823"/>
      <c r="J91" s="823"/>
      <c r="K91" s="823"/>
      <c r="L91" s="437">
        <f t="shared" si="1"/>
        <v>0</v>
      </c>
      <c r="M91" s="823"/>
      <c r="N91" s="823"/>
      <c r="O91" s="56">
        <v>4839.1899999999996</v>
      </c>
      <c r="P91" s="823"/>
      <c r="Q91" s="823"/>
      <c r="R91" s="823"/>
      <c r="S91" s="823"/>
      <c r="T91" s="823"/>
      <c r="U91" s="440">
        <f t="shared" si="0"/>
        <v>4839.1899999999996</v>
      </c>
      <c r="V91" s="56">
        <v>238.63</v>
      </c>
      <c r="W91" s="823"/>
      <c r="X91" s="823"/>
      <c r="Y91" s="823"/>
      <c r="Z91" s="823"/>
      <c r="AA91" s="823"/>
      <c r="AB91" s="823"/>
      <c r="AC91" s="823"/>
      <c r="AD91" s="56">
        <v>0</v>
      </c>
      <c r="AE91" s="823"/>
      <c r="AF91" s="56">
        <v>5077.82</v>
      </c>
      <c r="AG91" s="56">
        <v>0</v>
      </c>
      <c r="AH91" s="823"/>
      <c r="AI91" s="53"/>
    </row>
    <row r="92" spans="1:35" ht="15.75" thickBot="1" x14ac:dyDescent="0.3">
      <c r="A92" s="456">
        <v>43922</v>
      </c>
      <c r="B92" s="937" t="s">
        <v>947</v>
      </c>
      <c r="C92" s="938"/>
      <c r="D92" s="847">
        <v>21819.26</v>
      </c>
      <c r="E92" s="847">
        <v>65</v>
      </c>
      <c r="F92" s="848"/>
      <c r="G92" s="848"/>
      <c r="H92" s="847">
        <v>0.25</v>
      </c>
      <c r="I92" s="848"/>
      <c r="J92" s="848"/>
      <c r="K92" s="848"/>
      <c r="L92" s="849">
        <f t="shared" si="1"/>
        <v>0.25</v>
      </c>
      <c r="M92" s="848"/>
      <c r="N92" s="848"/>
      <c r="O92" s="847">
        <v>14131.03</v>
      </c>
      <c r="P92" s="848"/>
      <c r="Q92" s="848"/>
      <c r="R92" s="848"/>
      <c r="S92" s="848"/>
      <c r="T92" s="848"/>
      <c r="U92" s="849">
        <f t="shared" si="0"/>
        <v>14131.03</v>
      </c>
      <c r="V92" s="847">
        <v>7687.95</v>
      </c>
      <c r="W92" s="848"/>
      <c r="X92" s="847">
        <v>0.03</v>
      </c>
      <c r="Y92" s="848"/>
      <c r="Z92" s="848"/>
      <c r="AA92" s="848"/>
      <c r="AB92" s="848"/>
      <c r="AC92" s="848"/>
      <c r="AD92" s="847">
        <v>-163.46</v>
      </c>
      <c r="AE92" s="848"/>
      <c r="AF92" s="847">
        <v>21655.8</v>
      </c>
      <c r="AG92" s="847">
        <v>0</v>
      </c>
      <c r="AH92" s="848"/>
      <c r="AI92" s="55"/>
    </row>
    <row r="93" spans="1:35" ht="15.75" thickBot="1" x14ac:dyDescent="0.3">
      <c r="A93" s="456">
        <v>43922</v>
      </c>
      <c r="B93" s="438" t="s">
        <v>32</v>
      </c>
      <c r="C93" s="439" t="s">
        <v>33</v>
      </c>
      <c r="D93" s="56">
        <v>67978.81</v>
      </c>
      <c r="E93" s="823"/>
      <c r="F93" s="56">
        <v>0</v>
      </c>
      <c r="G93" s="823"/>
      <c r="H93" s="823"/>
      <c r="I93" s="823"/>
      <c r="J93" s="823"/>
      <c r="K93" s="823"/>
      <c r="L93" s="437">
        <f t="shared" si="1"/>
        <v>0</v>
      </c>
      <c r="M93" s="823"/>
      <c r="N93" s="56">
        <v>67109.13</v>
      </c>
      <c r="O93" s="823"/>
      <c r="P93" s="823"/>
      <c r="Q93" s="823"/>
      <c r="R93" s="823"/>
      <c r="S93" s="823"/>
      <c r="T93" s="823"/>
      <c r="U93" s="440">
        <f t="shared" si="0"/>
        <v>67109.13</v>
      </c>
      <c r="V93" s="823"/>
      <c r="W93" s="56">
        <v>64.39</v>
      </c>
      <c r="X93" s="56">
        <v>805.29</v>
      </c>
      <c r="Y93" s="823"/>
      <c r="Z93" s="823"/>
      <c r="AA93" s="823"/>
      <c r="AB93" s="823"/>
      <c r="AC93" s="56">
        <v>0</v>
      </c>
      <c r="AD93" s="56">
        <v>0</v>
      </c>
      <c r="AE93" s="823"/>
      <c r="AF93" s="56">
        <v>67978.81</v>
      </c>
      <c r="AG93" s="56">
        <v>0</v>
      </c>
      <c r="AH93" s="823"/>
      <c r="AI93" s="53"/>
    </row>
    <row r="94" spans="1:35" ht="15.75" thickBot="1" x14ac:dyDescent="0.3">
      <c r="A94" s="456">
        <v>43922</v>
      </c>
      <c r="B94" s="441" t="s">
        <v>605</v>
      </c>
      <c r="C94" s="441" t="s">
        <v>605</v>
      </c>
      <c r="D94" s="54">
        <v>67978.81</v>
      </c>
      <c r="E94" s="822"/>
      <c r="F94" s="54">
        <v>0</v>
      </c>
      <c r="G94" s="822"/>
      <c r="H94" s="822"/>
      <c r="I94" s="822"/>
      <c r="J94" s="822"/>
      <c r="K94" s="822"/>
      <c r="L94" s="437">
        <f>SUM(F94:K94)</f>
        <v>0</v>
      </c>
      <c r="M94" s="822"/>
      <c r="N94" s="54">
        <v>67109.13</v>
      </c>
      <c r="O94" s="822"/>
      <c r="P94" s="822"/>
      <c r="Q94" s="822"/>
      <c r="R94" s="822"/>
      <c r="S94" s="822"/>
      <c r="T94" s="822"/>
      <c r="U94" s="440">
        <f t="shared" si="0"/>
        <v>67109.13</v>
      </c>
      <c r="V94" s="822"/>
      <c r="W94" s="54">
        <v>64.39</v>
      </c>
      <c r="X94" s="54">
        <v>805.29</v>
      </c>
      <c r="Y94" s="822"/>
      <c r="Z94" s="822"/>
      <c r="AA94" s="822"/>
      <c r="AB94" s="822"/>
      <c r="AC94" s="54">
        <v>0</v>
      </c>
      <c r="AD94" s="54">
        <v>0</v>
      </c>
      <c r="AE94" s="822"/>
      <c r="AF94" s="54">
        <v>67978.81</v>
      </c>
      <c r="AG94" s="54">
        <v>0</v>
      </c>
      <c r="AH94" s="822"/>
      <c r="AI94" s="55"/>
    </row>
    <row r="95" spans="1:35" ht="15.75" thickBot="1" x14ac:dyDescent="0.3">
      <c r="A95" s="456">
        <v>43922</v>
      </c>
      <c r="B95" s="852" t="s">
        <v>947</v>
      </c>
      <c r="C95" s="853"/>
      <c r="D95" s="849">
        <f>D94</f>
        <v>67978.81</v>
      </c>
      <c r="E95" s="849">
        <f t="shared" ref="E95:AG95" si="5">E94</f>
        <v>0</v>
      </c>
      <c r="F95" s="849">
        <f t="shared" si="5"/>
        <v>0</v>
      </c>
      <c r="G95" s="849">
        <f t="shared" si="5"/>
        <v>0</v>
      </c>
      <c r="H95" s="849">
        <f t="shared" si="5"/>
        <v>0</v>
      </c>
      <c r="I95" s="849">
        <f t="shared" si="5"/>
        <v>0</v>
      </c>
      <c r="J95" s="849">
        <f t="shared" si="5"/>
        <v>0</v>
      </c>
      <c r="K95" s="849">
        <f t="shared" si="5"/>
        <v>0</v>
      </c>
      <c r="L95" s="849">
        <f t="shared" si="5"/>
        <v>0</v>
      </c>
      <c r="M95" s="849">
        <f t="shared" si="5"/>
        <v>0</v>
      </c>
      <c r="N95" s="849">
        <f>N94</f>
        <v>67109.13</v>
      </c>
      <c r="O95" s="849">
        <f t="shared" si="5"/>
        <v>0</v>
      </c>
      <c r="P95" s="849">
        <f t="shared" si="5"/>
        <v>0</v>
      </c>
      <c r="Q95" s="849">
        <f t="shared" si="5"/>
        <v>0</v>
      </c>
      <c r="R95" s="849">
        <f t="shared" si="5"/>
        <v>0</v>
      </c>
      <c r="S95" s="849">
        <f t="shared" si="5"/>
        <v>0</v>
      </c>
      <c r="T95" s="849">
        <f t="shared" si="5"/>
        <v>0</v>
      </c>
      <c r="U95" s="849">
        <f t="shared" si="5"/>
        <v>67109.13</v>
      </c>
      <c r="V95" s="849">
        <f t="shared" si="5"/>
        <v>0</v>
      </c>
      <c r="W95" s="849">
        <f>W94</f>
        <v>64.39</v>
      </c>
      <c r="X95" s="849">
        <f>X94</f>
        <v>805.29</v>
      </c>
      <c r="Y95" s="849">
        <f t="shared" si="5"/>
        <v>0</v>
      </c>
      <c r="Z95" s="849">
        <f t="shared" si="5"/>
        <v>0</v>
      </c>
      <c r="AA95" s="849">
        <f t="shared" si="5"/>
        <v>0</v>
      </c>
      <c r="AB95" s="849">
        <f t="shared" si="5"/>
        <v>0</v>
      </c>
      <c r="AC95" s="849">
        <f t="shared" si="5"/>
        <v>0</v>
      </c>
      <c r="AD95" s="849">
        <f t="shared" si="5"/>
        <v>0</v>
      </c>
      <c r="AE95" s="849">
        <f t="shared" si="5"/>
        <v>0</v>
      </c>
      <c r="AF95" s="849">
        <f t="shared" si="5"/>
        <v>67978.81</v>
      </c>
      <c r="AG95" s="849">
        <f t="shared" si="5"/>
        <v>0</v>
      </c>
      <c r="AH95" s="849"/>
      <c r="AI95" s="53"/>
    </row>
    <row r="96" spans="1:35" ht="15.75" thickBot="1" x14ac:dyDescent="0.3">
      <c r="A96" s="456">
        <v>43922</v>
      </c>
      <c r="B96" s="438" t="s">
        <v>32</v>
      </c>
      <c r="C96" s="439" t="s">
        <v>33</v>
      </c>
      <c r="D96" s="56">
        <v>187123</v>
      </c>
      <c r="E96" s="56">
        <v>197374</v>
      </c>
      <c r="F96" s="56">
        <v>750</v>
      </c>
      <c r="G96" s="56">
        <v>180467.57</v>
      </c>
      <c r="H96" s="56">
        <v>5905.43</v>
      </c>
      <c r="I96" s="823"/>
      <c r="J96" s="823"/>
      <c r="K96" s="823"/>
      <c r="L96" s="437">
        <f t="shared" si="1"/>
        <v>187123</v>
      </c>
      <c r="M96" s="823"/>
      <c r="N96" s="823"/>
      <c r="O96" s="823"/>
      <c r="P96" s="823"/>
      <c r="Q96" s="823"/>
      <c r="R96" s="823"/>
      <c r="S96" s="823"/>
      <c r="T96" s="823"/>
      <c r="U96" s="440">
        <f t="shared" si="0"/>
        <v>0</v>
      </c>
      <c r="V96" s="823"/>
      <c r="W96" s="823"/>
      <c r="X96" s="823"/>
      <c r="Y96" s="823"/>
      <c r="Z96" s="823"/>
      <c r="AA96" s="823"/>
      <c r="AB96" s="823"/>
      <c r="AC96" s="823"/>
      <c r="AD96" s="56">
        <v>0</v>
      </c>
      <c r="AE96" s="823"/>
      <c r="AF96" s="56">
        <v>187123</v>
      </c>
      <c r="AG96" s="56">
        <v>0</v>
      </c>
      <c r="AH96" s="823"/>
      <c r="AI96" s="55"/>
    </row>
    <row r="97" spans="1:35" ht="15.75" thickBot="1" x14ac:dyDescent="0.3">
      <c r="A97" s="456">
        <v>43922</v>
      </c>
      <c r="B97" s="441" t="s">
        <v>605</v>
      </c>
      <c r="C97" s="441" t="s">
        <v>605</v>
      </c>
      <c r="D97" s="54">
        <v>187123</v>
      </c>
      <c r="E97" s="54">
        <v>197374</v>
      </c>
      <c r="F97" s="54">
        <v>750</v>
      </c>
      <c r="G97" s="54">
        <v>180467.57</v>
      </c>
      <c r="H97" s="54">
        <v>5905.43</v>
      </c>
      <c r="I97" s="822"/>
      <c r="J97" s="822"/>
      <c r="K97" s="822"/>
      <c r="L97" s="437">
        <f t="shared" si="1"/>
        <v>187123</v>
      </c>
      <c r="M97" s="822"/>
      <c r="N97" s="822"/>
      <c r="O97" s="822"/>
      <c r="P97" s="822"/>
      <c r="Q97" s="822"/>
      <c r="R97" s="822"/>
      <c r="S97" s="822"/>
      <c r="T97" s="822"/>
      <c r="U97" s="440">
        <f t="shared" si="0"/>
        <v>0</v>
      </c>
      <c r="V97" s="822"/>
      <c r="W97" s="822"/>
      <c r="X97" s="822"/>
      <c r="Y97" s="822"/>
      <c r="Z97" s="822"/>
      <c r="AA97" s="822"/>
      <c r="AB97" s="822"/>
      <c r="AC97" s="822"/>
      <c r="AD97" s="54">
        <v>0</v>
      </c>
      <c r="AE97" s="822"/>
      <c r="AF97" s="54">
        <v>187123</v>
      </c>
      <c r="AG97" s="54">
        <v>0</v>
      </c>
      <c r="AH97" s="822"/>
      <c r="AI97" s="54"/>
    </row>
    <row r="98" spans="1:35" ht="15.75" thickBot="1" x14ac:dyDescent="0.3">
      <c r="A98" s="456">
        <v>43922</v>
      </c>
      <c r="B98" s="852" t="s">
        <v>947</v>
      </c>
      <c r="C98" s="853"/>
      <c r="D98" s="849">
        <f>D97</f>
        <v>187123</v>
      </c>
      <c r="E98" s="849">
        <f t="shared" ref="E98:AG98" si="6">E97</f>
        <v>197374</v>
      </c>
      <c r="F98" s="849">
        <f t="shared" si="6"/>
        <v>750</v>
      </c>
      <c r="G98" s="849">
        <f t="shared" si="6"/>
        <v>180467.57</v>
      </c>
      <c r="H98" s="849">
        <f t="shared" si="6"/>
        <v>5905.43</v>
      </c>
      <c r="I98" s="849">
        <f t="shared" si="6"/>
        <v>0</v>
      </c>
      <c r="J98" s="849">
        <f t="shared" si="6"/>
        <v>0</v>
      </c>
      <c r="K98" s="849">
        <f t="shared" si="6"/>
        <v>0</v>
      </c>
      <c r="L98" s="849">
        <f t="shared" si="6"/>
        <v>187123</v>
      </c>
      <c r="M98" s="849">
        <f t="shared" si="6"/>
        <v>0</v>
      </c>
      <c r="N98" s="849">
        <f t="shared" si="6"/>
        <v>0</v>
      </c>
      <c r="O98" s="849">
        <f t="shared" si="6"/>
        <v>0</v>
      </c>
      <c r="P98" s="849">
        <f t="shared" si="6"/>
        <v>0</v>
      </c>
      <c r="Q98" s="849">
        <f t="shared" si="6"/>
        <v>0</v>
      </c>
      <c r="R98" s="849">
        <f t="shared" si="6"/>
        <v>0</v>
      </c>
      <c r="S98" s="849">
        <f t="shared" si="6"/>
        <v>0</v>
      </c>
      <c r="T98" s="849">
        <f t="shared" si="6"/>
        <v>0</v>
      </c>
      <c r="U98" s="849">
        <f t="shared" si="6"/>
        <v>0</v>
      </c>
      <c r="V98" s="849">
        <f t="shared" si="6"/>
        <v>0</v>
      </c>
      <c r="W98" s="849">
        <f t="shared" si="6"/>
        <v>0</v>
      </c>
      <c r="X98" s="849"/>
      <c r="Y98" s="849">
        <f t="shared" si="6"/>
        <v>0</v>
      </c>
      <c r="Z98" s="849">
        <f t="shared" si="6"/>
        <v>0</v>
      </c>
      <c r="AA98" s="849">
        <f t="shared" si="6"/>
        <v>0</v>
      </c>
      <c r="AB98" s="849">
        <f t="shared" si="6"/>
        <v>0</v>
      </c>
      <c r="AC98" s="849">
        <f t="shared" si="6"/>
        <v>0</v>
      </c>
      <c r="AD98" s="849">
        <f t="shared" si="6"/>
        <v>0</v>
      </c>
      <c r="AE98" s="849">
        <f t="shared" si="6"/>
        <v>0</v>
      </c>
      <c r="AF98" s="849">
        <f t="shared" si="6"/>
        <v>187123</v>
      </c>
      <c r="AG98" s="849">
        <f t="shared" si="6"/>
        <v>0</v>
      </c>
      <c r="AH98" s="849"/>
      <c r="AI98" s="54"/>
    </row>
    <row r="99" spans="1:35" ht="15.75" thickBot="1" x14ac:dyDescent="0.3">
      <c r="A99" s="456">
        <v>43952</v>
      </c>
      <c r="B99" s="438" t="s">
        <v>13</v>
      </c>
      <c r="C99" s="439" t="s">
        <v>228</v>
      </c>
      <c r="D99" s="54">
        <v>22875.15</v>
      </c>
      <c r="E99" s="54">
        <v>53732</v>
      </c>
      <c r="F99" s="54">
        <v>1000</v>
      </c>
      <c r="G99" s="822"/>
      <c r="H99" s="54">
        <v>5719.24</v>
      </c>
      <c r="I99" s="822"/>
      <c r="J99" s="822"/>
      <c r="K99" s="822"/>
      <c r="L99" s="437">
        <f>SUM(F99:K99)</f>
        <v>6719.24</v>
      </c>
      <c r="M99" s="54">
        <v>25.79</v>
      </c>
      <c r="N99" s="54">
        <v>15489.28</v>
      </c>
      <c r="O99" s="822"/>
      <c r="P99" s="822"/>
      <c r="Q99" s="822"/>
      <c r="R99" s="822"/>
      <c r="S99" s="822"/>
      <c r="T99" s="822"/>
      <c r="U99" s="440">
        <f t="shared" ref="U99:U162" si="7">SUM(N99:T99)</f>
        <v>15489.28</v>
      </c>
      <c r="V99" s="822"/>
      <c r="W99" s="54">
        <v>175.03</v>
      </c>
      <c r="X99" s="54">
        <v>465.81</v>
      </c>
      <c r="Y99" s="822"/>
      <c r="Z99" s="822"/>
      <c r="AA99" s="822"/>
      <c r="AB99" s="822"/>
      <c r="AC99" s="54">
        <v>0</v>
      </c>
      <c r="AD99" s="54">
        <v>451.42</v>
      </c>
      <c r="AE99" s="822"/>
      <c r="AF99" s="54">
        <v>23326.57</v>
      </c>
      <c r="AG99" s="54">
        <v>0</v>
      </c>
      <c r="AH99" s="822"/>
      <c r="AI99" s="56"/>
    </row>
    <row r="100" spans="1:35" ht="15.75" thickBot="1" x14ac:dyDescent="0.3">
      <c r="A100" s="456">
        <v>43952</v>
      </c>
      <c r="B100" s="438" t="s">
        <v>429</v>
      </c>
      <c r="C100" s="439" t="s">
        <v>430</v>
      </c>
      <c r="D100" s="56">
        <v>7698.37</v>
      </c>
      <c r="E100" s="56">
        <v>18747</v>
      </c>
      <c r="F100" s="56">
        <v>500</v>
      </c>
      <c r="G100" s="823"/>
      <c r="H100" s="56">
        <v>1995.43</v>
      </c>
      <c r="I100" s="823"/>
      <c r="J100" s="823"/>
      <c r="K100" s="823"/>
      <c r="L100" s="437">
        <f t="shared" ref="L100:L146" si="8">SUM(F100:K100)</f>
        <v>2495.4300000000003</v>
      </c>
      <c r="M100" s="56">
        <v>9</v>
      </c>
      <c r="N100" s="56">
        <v>4876.84</v>
      </c>
      <c r="O100" s="823"/>
      <c r="P100" s="823"/>
      <c r="Q100" s="823"/>
      <c r="R100" s="823"/>
      <c r="S100" s="823"/>
      <c r="T100" s="823"/>
      <c r="U100" s="440">
        <f t="shared" si="7"/>
        <v>4876.84</v>
      </c>
      <c r="V100" s="823"/>
      <c r="W100" s="56">
        <v>107.8</v>
      </c>
      <c r="X100" s="56">
        <v>209.3</v>
      </c>
      <c r="Y100" s="823"/>
      <c r="Z100" s="823"/>
      <c r="AA100" s="823"/>
      <c r="AB100" s="823"/>
      <c r="AC100" s="56">
        <v>0</v>
      </c>
      <c r="AD100" s="56">
        <v>0</v>
      </c>
      <c r="AE100" s="823"/>
      <c r="AF100" s="56">
        <v>7698.37</v>
      </c>
      <c r="AG100" s="56">
        <v>0</v>
      </c>
      <c r="AH100" s="823"/>
      <c r="AI100" s="54"/>
    </row>
    <row r="101" spans="1:35" ht="15.75" thickBot="1" x14ac:dyDescent="0.3">
      <c r="A101" s="456">
        <v>43952</v>
      </c>
      <c r="B101" s="441" t="s">
        <v>223</v>
      </c>
      <c r="C101" s="441" t="s">
        <v>223</v>
      </c>
      <c r="D101" s="54">
        <v>30573.52</v>
      </c>
      <c r="E101" s="54">
        <v>72479</v>
      </c>
      <c r="F101" s="54">
        <v>1500</v>
      </c>
      <c r="G101" s="822"/>
      <c r="H101" s="54">
        <v>7714.67</v>
      </c>
      <c r="I101" s="822"/>
      <c r="J101" s="822"/>
      <c r="K101" s="822"/>
      <c r="L101" s="437">
        <f>SUM(F101:K101)</f>
        <v>9214.67</v>
      </c>
      <c r="M101" s="54">
        <v>34.79</v>
      </c>
      <c r="N101" s="54">
        <v>20366.12</v>
      </c>
      <c r="O101" s="822"/>
      <c r="P101" s="822"/>
      <c r="Q101" s="822"/>
      <c r="R101" s="822"/>
      <c r="S101" s="822"/>
      <c r="T101" s="822"/>
      <c r="U101" s="440">
        <f>SUM(N101:T101)</f>
        <v>20366.12</v>
      </c>
      <c r="V101" s="822"/>
      <c r="W101" s="54">
        <v>282.83</v>
      </c>
      <c r="X101" s="54">
        <v>675.11</v>
      </c>
      <c r="Y101" s="822"/>
      <c r="Z101" s="822"/>
      <c r="AA101" s="822"/>
      <c r="AB101" s="822"/>
      <c r="AC101" s="54">
        <v>0</v>
      </c>
      <c r="AD101" s="54">
        <v>451.42</v>
      </c>
      <c r="AE101" s="822"/>
      <c r="AF101" s="54">
        <v>31024.94</v>
      </c>
      <c r="AG101" s="54">
        <v>0</v>
      </c>
      <c r="AH101" s="822"/>
      <c r="AI101" s="56"/>
    </row>
    <row r="102" spans="1:35" ht="23.25" thickBot="1" x14ac:dyDescent="0.3">
      <c r="A102" s="456">
        <v>43952</v>
      </c>
      <c r="B102" s="438" t="s">
        <v>19</v>
      </c>
      <c r="C102" s="439" t="s">
        <v>431</v>
      </c>
      <c r="D102" s="56">
        <v>4800180.8899999997</v>
      </c>
      <c r="E102" s="56">
        <v>4778933</v>
      </c>
      <c r="F102" s="56">
        <v>1743012.6</v>
      </c>
      <c r="G102" s="823"/>
      <c r="H102" s="56">
        <v>1392134.56</v>
      </c>
      <c r="I102" s="823"/>
      <c r="J102" s="823"/>
      <c r="K102" s="823"/>
      <c r="L102" s="437">
        <f t="shared" si="8"/>
        <v>3135147.16</v>
      </c>
      <c r="M102" s="56">
        <v>2332.73</v>
      </c>
      <c r="N102" s="56">
        <v>1441917.91</v>
      </c>
      <c r="O102" s="823"/>
      <c r="P102" s="823"/>
      <c r="Q102" s="823"/>
      <c r="R102" s="823"/>
      <c r="S102" s="823"/>
      <c r="T102" s="823"/>
      <c r="U102" s="440">
        <f t="shared" si="7"/>
        <v>1441917.91</v>
      </c>
      <c r="V102" s="823"/>
      <c r="W102" s="56">
        <v>176468.28</v>
      </c>
      <c r="X102" s="56">
        <v>58931.93</v>
      </c>
      <c r="Y102" s="56">
        <v>-14617.86</v>
      </c>
      <c r="Z102" s="56">
        <v>0.74</v>
      </c>
      <c r="AA102" s="823"/>
      <c r="AB102" s="823"/>
      <c r="AC102" s="56">
        <v>8415.34</v>
      </c>
      <c r="AD102" s="56">
        <v>253322.59</v>
      </c>
      <c r="AE102" s="823"/>
      <c r="AF102" s="56">
        <v>5061918.82</v>
      </c>
      <c r="AG102" s="56">
        <v>0</v>
      </c>
      <c r="AH102" s="823"/>
      <c r="AI102" s="54"/>
    </row>
    <row r="103" spans="1:35" ht="15.75" thickBot="1" x14ac:dyDescent="0.3">
      <c r="A103" s="456">
        <v>43952</v>
      </c>
      <c r="B103" s="438" t="s">
        <v>350</v>
      </c>
      <c r="C103" s="439" t="s">
        <v>432</v>
      </c>
      <c r="D103" s="54">
        <v>249.63</v>
      </c>
      <c r="E103" s="54">
        <v>296</v>
      </c>
      <c r="F103" s="54">
        <v>65.010000000000005</v>
      </c>
      <c r="G103" s="822"/>
      <c r="H103" s="54">
        <v>90.78</v>
      </c>
      <c r="I103" s="822"/>
      <c r="J103" s="822"/>
      <c r="K103" s="822"/>
      <c r="L103" s="437">
        <f t="shared" si="8"/>
        <v>155.79000000000002</v>
      </c>
      <c r="M103" s="54">
        <v>0.14000000000000001</v>
      </c>
      <c r="N103" s="54">
        <v>80.37</v>
      </c>
      <c r="O103" s="822"/>
      <c r="P103" s="822"/>
      <c r="Q103" s="822"/>
      <c r="R103" s="822"/>
      <c r="S103" s="822"/>
      <c r="T103" s="822"/>
      <c r="U103" s="440">
        <f t="shared" si="7"/>
        <v>80.37</v>
      </c>
      <c r="V103" s="822"/>
      <c r="W103" s="54">
        <v>8.39</v>
      </c>
      <c r="X103" s="54">
        <v>4.9400000000000004</v>
      </c>
      <c r="Y103" s="822"/>
      <c r="Z103" s="822"/>
      <c r="AA103" s="822"/>
      <c r="AB103" s="822"/>
      <c r="AC103" s="54">
        <v>0</v>
      </c>
      <c r="AD103" s="54">
        <v>14.98</v>
      </c>
      <c r="AE103" s="822"/>
      <c r="AF103" s="54">
        <v>264.61</v>
      </c>
      <c r="AG103" s="54">
        <v>0</v>
      </c>
      <c r="AH103" s="822"/>
      <c r="AI103" s="56"/>
    </row>
    <row r="104" spans="1:35" ht="23.25" thickBot="1" x14ac:dyDescent="0.3">
      <c r="A104" s="456">
        <v>43952</v>
      </c>
      <c r="B104" s="438" t="s">
        <v>599</v>
      </c>
      <c r="C104" s="439" t="s">
        <v>600</v>
      </c>
      <c r="D104" s="56">
        <v>40654.199999999997</v>
      </c>
      <c r="E104" s="56">
        <v>601</v>
      </c>
      <c r="F104" s="56">
        <v>35995.839999999997</v>
      </c>
      <c r="G104" s="823"/>
      <c r="H104" s="56">
        <v>186.31</v>
      </c>
      <c r="I104" s="823"/>
      <c r="J104" s="823"/>
      <c r="K104" s="823"/>
      <c r="L104" s="437">
        <f t="shared" si="8"/>
        <v>36182.149999999994</v>
      </c>
      <c r="M104" s="56">
        <v>0</v>
      </c>
      <c r="N104" s="56">
        <v>180.22</v>
      </c>
      <c r="O104" s="823"/>
      <c r="P104" s="823"/>
      <c r="Q104" s="823"/>
      <c r="R104" s="823"/>
      <c r="S104" s="823"/>
      <c r="T104" s="823"/>
      <c r="U104" s="440">
        <f t="shared" si="7"/>
        <v>180.22</v>
      </c>
      <c r="V104" s="823"/>
      <c r="W104" s="56">
        <v>4283.1400000000003</v>
      </c>
      <c r="X104" s="56">
        <v>8.69</v>
      </c>
      <c r="Y104" s="823"/>
      <c r="Z104" s="823"/>
      <c r="AA104" s="823"/>
      <c r="AB104" s="823"/>
      <c r="AC104" s="56">
        <v>14.16</v>
      </c>
      <c r="AD104" s="56">
        <v>2583.17</v>
      </c>
      <c r="AE104" s="823"/>
      <c r="AF104" s="56">
        <v>43251.53</v>
      </c>
      <c r="AG104" s="56">
        <v>0</v>
      </c>
      <c r="AH104" s="823"/>
      <c r="AI104" s="54"/>
    </row>
    <row r="105" spans="1:35" ht="15.75" thickBot="1" x14ac:dyDescent="0.3">
      <c r="A105" s="456">
        <v>43952</v>
      </c>
      <c r="B105" s="441" t="s">
        <v>56</v>
      </c>
      <c r="C105" s="441" t="s">
        <v>56</v>
      </c>
      <c r="D105" s="54">
        <v>4841084.72</v>
      </c>
      <c r="E105" s="54">
        <v>4779830</v>
      </c>
      <c r="F105" s="54">
        <v>1779073.45</v>
      </c>
      <c r="G105" s="822"/>
      <c r="H105" s="54">
        <v>1392411.65</v>
      </c>
      <c r="I105" s="822"/>
      <c r="J105" s="822"/>
      <c r="K105" s="822"/>
      <c r="L105" s="437">
        <f t="shared" si="8"/>
        <v>3171485.0999999996</v>
      </c>
      <c r="M105" s="54">
        <v>2332.87</v>
      </c>
      <c r="N105" s="54">
        <v>1442178.5</v>
      </c>
      <c r="O105" s="822"/>
      <c r="P105" s="822"/>
      <c r="Q105" s="822"/>
      <c r="R105" s="822"/>
      <c r="S105" s="822"/>
      <c r="T105" s="822"/>
      <c r="U105" s="440">
        <f t="shared" si="7"/>
        <v>1442178.5</v>
      </c>
      <c r="V105" s="822"/>
      <c r="W105" s="54">
        <v>180759.81</v>
      </c>
      <c r="X105" s="54">
        <v>58945.56</v>
      </c>
      <c r="Y105" s="54">
        <v>-14617.86</v>
      </c>
      <c r="Z105" s="54">
        <v>0.74</v>
      </c>
      <c r="AA105" s="822"/>
      <c r="AB105" s="822"/>
      <c r="AC105" s="54">
        <v>8429.5</v>
      </c>
      <c r="AD105" s="54">
        <v>255920.74</v>
      </c>
      <c r="AE105" s="822"/>
      <c r="AF105" s="54">
        <v>5105434.96</v>
      </c>
      <c r="AG105" s="54">
        <v>0</v>
      </c>
      <c r="AH105" s="822"/>
      <c r="AI105" s="56"/>
    </row>
    <row r="106" spans="1:35" ht="23.25" thickBot="1" x14ac:dyDescent="0.3">
      <c r="A106" s="456">
        <v>43952</v>
      </c>
      <c r="B106" s="438" t="s">
        <v>43</v>
      </c>
      <c r="C106" s="439" t="s">
        <v>433</v>
      </c>
      <c r="D106" s="56">
        <v>2526.13</v>
      </c>
      <c r="E106" s="56">
        <v>77</v>
      </c>
      <c r="F106" s="56">
        <v>495</v>
      </c>
      <c r="G106" s="56">
        <v>1751.32</v>
      </c>
      <c r="H106" s="56">
        <v>2.2999999999999998</v>
      </c>
      <c r="I106" s="823"/>
      <c r="J106" s="823"/>
      <c r="K106" s="823"/>
      <c r="L106" s="437">
        <f t="shared" si="8"/>
        <v>2248.62</v>
      </c>
      <c r="M106" s="823"/>
      <c r="N106" s="56">
        <v>24.29</v>
      </c>
      <c r="O106" s="823"/>
      <c r="P106" s="823"/>
      <c r="Q106" s="823"/>
      <c r="R106" s="823"/>
      <c r="S106" s="823"/>
      <c r="T106" s="823"/>
      <c r="U106" s="440">
        <f t="shared" si="7"/>
        <v>24.29</v>
      </c>
      <c r="V106" s="823"/>
      <c r="W106" s="56">
        <v>252.73</v>
      </c>
      <c r="X106" s="56">
        <v>0.49</v>
      </c>
      <c r="Y106" s="823"/>
      <c r="Z106" s="823"/>
      <c r="AA106" s="823"/>
      <c r="AB106" s="823"/>
      <c r="AC106" s="56">
        <v>0</v>
      </c>
      <c r="AD106" s="56">
        <v>95.77</v>
      </c>
      <c r="AE106" s="823"/>
      <c r="AF106" s="56">
        <v>2621.9</v>
      </c>
      <c r="AG106" s="56">
        <v>0</v>
      </c>
      <c r="AH106" s="823"/>
      <c r="AI106" s="53"/>
    </row>
    <row r="107" spans="1:35" ht="15.75" thickBot="1" x14ac:dyDescent="0.3">
      <c r="A107" s="456">
        <v>43952</v>
      </c>
      <c r="B107" s="441" t="s">
        <v>428</v>
      </c>
      <c r="C107" s="441" t="s">
        <v>428</v>
      </c>
      <c r="D107" s="54">
        <v>2526.13</v>
      </c>
      <c r="E107" s="54">
        <v>77</v>
      </c>
      <c r="F107" s="54">
        <v>495</v>
      </c>
      <c r="G107" s="54">
        <v>1751.32</v>
      </c>
      <c r="H107" s="54">
        <v>2.2999999999999998</v>
      </c>
      <c r="I107" s="822"/>
      <c r="J107" s="822"/>
      <c r="K107" s="822"/>
      <c r="L107" s="437">
        <f>SUM(F107:K107)</f>
        <v>2248.62</v>
      </c>
      <c r="M107" s="822"/>
      <c r="N107" s="54">
        <v>24.29</v>
      </c>
      <c r="O107" s="822"/>
      <c r="P107" s="822"/>
      <c r="Q107" s="822"/>
      <c r="R107" s="822"/>
      <c r="S107" s="822"/>
      <c r="T107" s="822"/>
      <c r="U107" s="440">
        <f t="shared" si="7"/>
        <v>24.29</v>
      </c>
      <c r="V107" s="822"/>
      <c r="W107" s="54">
        <v>252.73</v>
      </c>
      <c r="X107" s="54">
        <v>0.49</v>
      </c>
      <c r="Y107" s="822"/>
      <c r="Z107" s="822"/>
      <c r="AA107" s="822"/>
      <c r="AB107" s="822"/>
      <c r="AC107" s="54">
        <v>0</v>
      </c>
      <c r="AD107" s="54">
        <v>95.77</v>
      </c>
      <c r="AE107" s="822"/>
      <c r="AF107" s="54">
        <v>2621.9</v>
      </c>
      <c r="AG107" s="54">
        <v>0</v>
      </c>
      <c r="AH107" s="822"/>
      <c r="AI107" s="55"/>
    </row>
    <row r="108" spans="1:35" ht="23.25" thickBot="1" x14ac:dyDescent="0.3">
      <c r="A108" s="456">
        <v>43952</v>
      </c>
      <c r="B108" s="438" t="s">
        <v>24</v>
      </c>
      <c r="C108" s="439" t="s">
        <v>436</v>
      </c>
      <c r="D108" s="54">
        <v>247619.42</v>
      </c>
      <c r="E108" s="54">
        <v>403164</v>
      </c>
      <c r="F108" s="54">
        <v>42398.06</v>
      </c>
      <c r="G108" s="54"/>
      <c r="H108" s="54">
        <v>71011.11</v>
      </c>
      <c r="I108" s="822"/>
      <c r="J108" s="822"/>
      <c r="K108" s="822"/>
      <c r="L108" s="437"/>
      <c r="M108" s="822"/>
      <c r="N108" s="54">
        <v>123329.13</v>
      </c>
      <c r="O108" s="822"/>
      <c r="P108" s="822"/>
      <c r="Q108" s="822"/>
      <c r="R108" s="822"/>
      <c r="S108" s="822"/>
      <c r="T108" s="822"/>
      <c r="U108" s="440"/>
      <c r="V108" s="822"/>
      <c r="W108" s="54">
        <v>8016.61</v>
      </c>
      <c r="X108" s="54">
        <v>2864.51</v>
      </c>
      <c r="Y108" s="822"/>
      <c r="Z108" s="822"/>
      <c r="AA108" s="822"/>
      <c r="AB108" s="822"/>
      <c r="AC108" s="54">
        <v>226.43</v>
      </c>
      <c r="AD108" s="54">
        <v>14506.64</v>
      </c>
      <c r="AE108" s="822"/>
      <c r="AF108" s="54">
        <v>262352.49</v>
      </c>
      <c r="AG108" s="54">
        <v>0</v>
      </c>
      <c r="AH108" s="822"/>
      <c r="AI108" s="53"/>
    </row>
    <row r="109" spans="1:35" ht="23.25" thickBot="1" x14ac:dyDescent="0.3">
      <c r="A109" s="456">
        <v>43952</v>
      </c>
      <c r="B109" s="438" t="s">
        <v>434</v>
      </c>
      <c r="C109" s="439" t="s">
        <v>435</v>
      </c>
      <c r="D109" s="54">
        <v>268919.15999999997</v>
      </c>
      <c r="E109" s="54">
        <v>414953</v>
      </c>
      <c r="F109" s="54">
        <v>57393.68</v>
      </c>
      <c r="G109" s="54"/>
      <c r="H109" s="54">
        <v>73615.100000000006</v>
      </c>
      <c r="I109" s="822"/>
      <c r="J109" s="822"/>
      <c r="K109" s="822"/>
      <c r="L109" s="437"/>
      <c r="M109" s="822">
        <v>199.32</v>
      </c>
      <c r="N109" s="54">
        <v>122679.03</v>
      </c>
      <c r="O109" s="822"/>
      <c r="P109" s="822"/>
      <c r="Q109" s="822"/>
      <c r="R109" s="822"/>
      <c r="S109" s="822"/>
      <c r="T109" s="822"/>
      <c r="U109" s="440"/>
      <c r="V109" s="822"/>
      <c r="W109" s="54">
        <v>11706.14</v>
      </c>
      <c r="X109" s="54">
        <v>3325.89</v>
      </c>
      <c r="Y109" s="822"/>
      <c r="Z109" s="822"/>
      <c r="AA109" s="822"/>
      <c r="AB109" s="822"/>
      <c r="AC109" s="54">
        <v>0</v>
      </c>
      <c r="AD109" s="54">
        <v>14038.2</v>
      </c>
      <c r="AE109" s="822"/>
      <c r="AF109" s="54">
        <v>282957.36</v>
      </c>
      <c r="AG109" s="54">
        <v>0</v>
      </c>
      <c r="AH109" s="822"/>
      <c r="AI109" s="55"/>
    </row>
    <row r="110" spans="1:35" ht="15.75" thickBot="1" x14ac:dyDescent="0.3">
      <c r="A110" s="456">
        <v>43952</v>
      </c>
      <c r="B110" s="441" t="s">
        <v>59</v>
      </c>
      <c r="C110" s="441" t="s">
        <v>59</v>
      </c>
      <c r="D110" s="56">
        <v>516538.58</v>
      </c>
      <c r="E110" s="56">
        <v>818117</v>
      </c>
      <c r="F110" s="56">
        <v>99791.74</v>
      </c>
      <c r="G110" s="823"/>
      <c r="H110" s="56">
        <v>144626.21</v>
      </c>
      <c r="I110" s="823"/>
      <c r="J110" s="823"/>
      <c r="K110" s="823"/>
      <c r="L110" s="437">
        <f t="shared" si="8"/>
        <v>244417.95</v>
      </c>
      <c r="M110" s="823">
        <v>199.32</v>
      </c>
      <c r="N110" s="56">
        <v>246008.16</v>
      </c>
      <c r="O110" s="823"/>
      <c r="P110" s="823"/>
      <c r="Q110" s="823"/>
      <c r="R110" s="823"/>
      <c r="S110" s="823"/>
      <c r="T110" s="823"/>
      <c r="U110" s="440">
        <f t="shared" si="7"/>
        <v>246008.16</v>
      </c>
      <c r="V110" s="823"/>
      <c r="W110" s="56">
        <v>19722.75</v>
      </c>
      <c r="X110" s="56">
        <v>6190.4</v>
      </c>
      <c r="Y110" s="823"/>
      <c r="Z110" s="823"/>
      <c r="AA110" s="823"/>
      <c r="AB110" s="823"/>
      <c r="AC110" s="56">
        <v>226.43</v>
      </c>
      <c r="AD110" s="56">
        <v>28544.84</v>
      </c>
      <c r="AE110" s="823"/>
      <c r="AF110" s="56">
        <v>545309.85</v>
      </c>
      <c r="AG110" s="56">
        <v>0</v>
      </c>
      <c r="AH110" s="823"/>
      <c r="AI110" s="53"/>
    </row>
    <row r="111" spans="1:35" ht="15.75" thickBot="1" x14ac:dyDescent="0.3">
      <c r="A111" s="456">
        <v>43952</v>
      </c>
      <c r="B111" s="438" t="s">
        <v>26</v>
      </c>
      <c r="C111" s="439" t="s">
        <v>27</v>
      </c>
      <c r="D111" s="54">
        <v>13724484.99</v>
      </c>
      <c r="E111" s="54">
        <v>10925822</v>
      </c>
      <c r="F111" s="54">
        <v>5838459.6500000004</v>
      </c>
      <c r="G111" s="822"/>
      <c r="H111" s="54">
        <v>4018728.25</v>
      </c>
      <c r="I111" s="822"/>
      <c r="J111" s="822"/>
      <c r="K111" s="822"/>
      <c r="L111" s="437">
        <f t="shared" si="8"/>
        <v>9857187.9000000004</v>
      </c>
      <c r="M111" s="54">
        <v>-17092.5</v>
      </c>
      <c r="N111" s="54">
        <v>3298920.92</v>
      </c>
      <c r="O111" s="822"/>
      <c r="P111" s="822"/>
      <c r="Q111" s="822"/>
      <c r="R111" s="822"/>
      <c r="S111" s="822"/>
      <c r="T111" s="822"/>
      <c r="U111" s="440">
        <f t="shared" si="7"/>
        <v>3298920.92</v>
      </c>
      <c r="V111" s="822"/>
      <c r="W111" s="54">
        <v>424978.29</v>
      </c>
      <c r="X111" s="54">
        <v>166288.16</v>
      </c>
      <c r="Y111" s="822">
        <v>-5796.28</v>
      </c>
      <c r="Z111" s="822">
        <v>-1.5</v>
      </c>
      <c r="AA111" s="822"/>
      <c r="AB111" s="822">
        <v>75712.5</v>
      </c>
      <c r="AC111" s="54">
        <v>15949.4</v>
      </c>
      <c r="AD111" s="54">
        <v>60020.36</v>
      </c>
      <c r="AE111" s="822"/>
      <c r="AF111" s="54">
        <v>13876167.25</v>
      </c>
      <c r="AG111" s="54">
        <v>0</v>
      </c>
      <c r="AH111" s="822"/>
      <c r="AI111" s="55"/>
    </row>
    <row r="112" spans="1:35" ht="15.75" thickBot="1" x14ac:dyDescent="0.3">
      <c r="A112" s="456">
        <v>43952</v>
      </c>
      <c r="B112" s="441" t="s">
        <v>62</v>
      </c>
      <c r="C112" s="441" t="s">
        <v>62</v>
      </c>
      <c r="D112" s="54">
        <v>13724484.99</v>
      </c>
      <c r="E112" s="54">
        <v>10925822</v>
      </c>
      <c r="F112" s="54">
        <v>5838459.6500000004</v>
      </c>
      <c r="G112" s="822"/>
      <c r="H112" s="54">
        <v>4018728.25</v>
      </c>
      <c r="I112" s="822"/>
      <c r="J112" s="822"/>
      <c r="K112" s="822"/>
      <c r="L112" s="437">
        <f t="shared" si="8"/>
        <v>9857187.9000000004</v>
      </c>
      <c r="M112" s="54">
        <v>-17092.5</v>
      </c>
      <c r="N112" s="54">
        <v>3298920.92</v>
      </c>
      <c r="O112" s="822"/>
      <c r="P112" s="822"/>
      <c r="Q112" s="822"/>
      <c r="R112" s="822"/>
      <c r="S112" s="822"/>
      <c r="T112" s="822"/>
      <c r="U112" s="440">
        <f t="shared" si="7"/>
        <v>3298920.92</v>
      </c>
      <c r="V112" s="822"/>
      <c r="W112" s="54">
        <v>424978.29</v>
      </c>
      <c r="X112" s="54">
        <v>166288.16</v>
      </c>
      <c r="Y112" s="822">
        <v>-5796.28</v>
      </c>
      <c r="Z112" s="822">
        <v>-1.5</v>
      </c>
      <c r="AA112" s="822"/>
      <c r="AB112" s="822">
        <v>75712.5</v>
      </c>
      <c r="AC112" s="54">
        <v>15949.4</v>
      </c>
      <c r="AD112" s="54">
        <v>60020.36</v>
      </c>
      <c r="AE112" s="822"/>
      <c r="AF112" s="54">
        <v>13876167.25</v>
      </c>
      <c r="AG112" s="54">
        <v>0</v>
      </c>
      <c r="AH112" s="822"/>
      <c r="AI112" s="53"/>
    </row>
    <row r="113" spans="1:35" ht="23.25" thickBot="1" x14ac:dyDescent="0.3">
      <c r="A113" s="456">
        <v>43952</v>
      </c>
      <c r="B113" s="438" t="s">
        <v>28</v>
      </c>
      <c r="C113" s="439" t="s">
        <v>29</v>
      </c>
      <c r="D113" s="54">
        <v>484.85</v>
      </c>
      <c r="E113" s="54">
        <v>620</v>
      </c>
      <c r="F113" s="54">
        <v>59.8</v>
      </c>
      <c r="G113" s="822"/>
      <c r="H113" s="54">
        <v>228.05</v>
      </c>
      <c r="I113" s="822"/>
      <c r="J113" s="822"/>
      <c r="K113" s="822"/>
      <c r="L113" s="437">
        <f t="shared" si="8"/>
        <v>287.85000000000002</v>
      </c>
      <c r="M113" s="54">
        <v>-0.98</v>
      </c>
      <c r="N113" s="54">
        <v>183.4</v>
      </c>
      <c r="O113" s="822"/>
      <c r="P113" s="822"/>
      <c r="Q113" s="822"/>
      <c r="R113" s="822"/>
      <c r="S113" s="822"/>
      <c r="T113" s="822"/>
      <c r="U113" s="440">
        <f t="shared" si="7"/>
        <v>183.4</v>
      </c>
      <c r="V113" s="822"/>
      <c r="W113" s="54">
        <v>4.46</v>
      </c>
      <c r="X113" s="54">
        <v>10.119999999999999</v>
      </c>
      <c r="Y113" s="822"/>
      <c r="Z113" s="822"/>
      <c r="AA113" s="822"/>
      <c r="AB113" s="822"/>
      <c r="AC113" s="54">
        <v>0</v>
      </c>
      <c r="AD113" s="54">
        <v>0</v>
      </c>
      <c r="AE113" s="822"/>
      <c r="AF113" s="54">
        <v>484.85</v>
      </c>
      <c r="AG113" s="54">
        <v>0</v>
      </c>
      <c r="AH113" s="822"/>
      <c r="AI113" s="55"/>
    </row>
    <row r="114" spans="1:35" ht="15.75" thickBot="1" x14ac:dyDescent="0.3">
      <c r="A114" s="456">
        <v>43952</v>
      </c>
      <c r="B114" s="441" t="s">
        <v>606</v>
      </c>
      <c r="C114" s="441" t="s">
        <v>606</v>
      </c>
      <c r="D114" s="56">
        <v>484.85</v>
      </c>
      <c r="E114" s="56">
        <v>620</v>
      </c>
      <c r="F114" s="56">
        <v>59.8</v>
      </c>
      <c r="G114" s="823"/>
      <c r="H114" s="56">
        <v>228.05</v>
      </c>
      <c r="I114" s="823"/>
      <c r="J114" s="823"/>
      <c r="K114" s="823"/>
      <c r="L114" s="437">
        <f t="shared" si="8"/>
        <v>287.85000000000002</v>
      </c>
      <c r="M114" s="56">
        <v>-0.98</v>
      </c>
      <c r="N114" s="56">
        <v>183.4</v>
      </c>
      <c r="O114" s="823"/>
      <c r="P114" s="823"/>
      <c r="Q114" s="823"/>
      <c r="R114" s="823"/>
      <c r="S114" s="823"/>
      <c r="T114" s="823"/>
      <c r="U114" s="440">
        <f t="shared" si="7"/>
        <v>183.4</v>
      </c>
      <c r="V114" s="823"/>
      <c r="W114" s="56">
        <v>4.46</v>
      </c>
      <c r="X114" s="56">
        <v>10.119999999999999</v>
      </c>
      <c r="Y114" s="823"/>
      <c r="Z114" s="823"/>
      <c r="AA114" s="823"/>
      <c r="AB114" s="823"/>
      <c r="AC114" s="56">
        <v>0</v>
      </c>
      <c r="AD114" s="56">
        <v>0</v>
      </c>
      <c r="AE114" s="823"/>
      <c r="AF114" s="56">
        <v>484.85</v>
      </c>
      <c r="AG114" s="56">
        <v>0</v>
      </c>
      <c r="AH114" s="823"/>
      <c r="AI114" s="54"/>
    </row>
    <row r="115" spans="1:35" ht="23.25" thickBot="1" x14ac:dyDescent="0.3">
      <c r="A115" s="456">
        <v>43952</v>
      </c>
      <c r="B115" s="438" t="s">
        <v>563</v>
      </c>
      <c r="C115" s="439" t="s">
        <v>607</v>
      </c>
      <c r="D115" s="54">
        <v>32337.06</v>
      </c>
      <c r="E115" s="54">
        <v>83</v>
      </c>
      <c r="F115" s="54">
        <v>570</v>
      </c>
      <c r="G115" s="822">
        <v>31725.48</v>
      </c>
      <c r="H115" s="54">
        <v>2.99</v>
      </c>
      <c r="I115" s="822"/>
      <c r="J115" s="822"/>
      <c r="K115" s="822"/>
      <c r="L115" s="437">
        <f t="shared" si="8"/>
        <v>32298.47</v>
      </c>
      <c r="M115" s="54">
        <v>0.04</v>
      </c>
      <c r="N115" s="54">
        <v>22.81</v>
      </c>
      <c r="O115" s="822"/>
      <c r="P115" s="822"/>
      <c r="Q115" s="822"/>
      <c r="R115" s="822"/>
      <c r="S115" s="822"/>
      <c r="T115" s="822"/>
      <c r="U115" s="440">
        <f t="shared" si="7"/>
        <v>22.81</v>
      </c>
      <c r="V115" s="822"/>
      <c r="W115" s="54">
        <v>14.39</v>
      </c>
      <c r="X115" s="54">
        <v>1.35</v>
      </c>
      <c r="Y115" s="54"/>
      <c r="Z115" s="54"/>
      <c r="AA115" s="822"/>
      <c r="AB115" s="54"/>
      <c r="AC115" s="54">
        <v>0</v>
      </c>
      <c r="AD115" s="54">
        <v>0</v>
      </c>
      <c r="AE115" s="822"/>
      <c r="AF115" s="54">
        <v>32337.06</v>
      </c>
      <c r="AG115" s="54">
        <v>0</v>
      </c>
      <c r="AH115" s="822"/>
      <c r="AI115" s="56"/>
    </row>
    <row r="116" spans="1:35" ht="15.75" thickBot="1" x14ac:dyDescent="0.3">
      <c r="A116" s="456">
        <v>43952</v>
      </c>
      <c r="B116" s="441" t="s">
        <v>608</v>
      </c>
      <c r="C116" s="441" t="s">
        <v>608</v>
      </c>
      <c r="D116" s="56">
        <v>32337.06</v>
      </c>
      <c r="E116" s="56">
        <v>83</v>
      </c>
      <c r="F116" s="56">
        <v>570</v>
      </c>
      <c r="G116" s="823">
        <v>31725.48</v>
      </c>
      <c r="H116" s="56">
        <v>2.99</v>
      </c>
      <c r="I116" s="823"/>
      <c r="J116" s="823"/>
      <c r="K116" s="823"/>
      <c r="L116" s="437">
        <f t="shared" si="8"/>
        <v>32298.47</v>
      </c>
      <c r="M116" s="56">
        <v>0.04</v>
      </c>
      <c r="N116" s="56">
        <v>22.81</v>
      </c>
      <c r="O116" s="823"/>
      <c r="P116" s="823"/>
      <c r="Q116" s="823"/>
      <c r="R116" s="823"/>
      <c r="S116" s="823"/>
      <c r="T116" s="823"/>
      <c r="U116" s="440">
        <f t="shared" si="7"/>
        <v>22.81</v>
      </c>
      <c r="V116" s="823"/>
      <c r="W116" s="56">
        <v>14.39</v>
      </c>
      <c r="X116" s="56">
        <v>1.35</v>
      </c>
      <c r="Y116" s="56"/>
      <c r="Z116" s="56"/>
      <c r="AA116" s="823"/>
      <c r="AB116" s="56"/>
      <c r="AC116" s="56">
        <v>0</v>
      </c>
      <c r="AD116" s="56">
        <v>0</v>
      </c>
      <c r="AE116" s="823"/>
      <c r="AF116" s="56">
        <v>32337.06</v>
      </c>
      <c r="AG116" s="56">
        <v>0</v>
      </c>
      <c r="AH116" s="823"/>
      <c r="AI116" s="54"/>
    </row>
    <row r="117" spans="1:35" ht="15.75" thickBot="1" x14ac:dyDescent="0.3">
      <c r="A117" s="456">
        <v>43952</v>
      </c>
      <c r="B117" s="937" t="s">
        <v>947</v>
      </c>
      <c r="C117" s="938"/>
      <c r="D117" s="847">
        <v>19148029.850000001</v>
      </c>
      <c r="E117" s="847">
        <v>16597028</v>
      </c>
      <c r="F117" s="847">
        <v>7719949.6399999997</v>
      </c>
      <c r="G117" s="847">
        <v>33476.800000000003</v>
      </c>
      <c r="H117" s="847">
        <v>5563714.1200000001</v>
      </c>
      <c r="I117" s="848"/>
      <c r="J117" s="848"/>
      <c r="K117" s="848"/>
      <c r="L117" s="849">
        <f t="shared" si="8"/>
        <v>13317140.559999999</v>
      </c>
      <c r="M117" s="847">
        <v>-14526.46</v>
      </c>
      <c r="N117" s="847">
        <v>5007704.2</v>
      </c>
      <c r="O117" s="848"/>
      <c r="P117" s="848"/>
      <c r="Q117" s="848"/>
      <c r="R117" s="848"/>
      <c r="S117" s="848"/>
      <c r="T117" s="848"/>
      <c r="U117" s="849">
        <f t="shared" si="7"/>
        <v>5007704.2</v>
      </c>
      <c r="V117" s="848"/>
      <c r="W117" s="847">
        <v>626015.26</v>
      </c>
      <c r="X117" s="847">
        <v>232111.19</v>
      </c>
      <c r="Y117" s="847">
        <v>-20414.14</v>
      </c>
      <c r="Z117" s="847">
        <v>-0.76</v>
      </c>
      <c r="AA117" s="848"/>
      <c r="AB117" s="847">
        <v>75712.5</v>
      </c>
      <c r="AC117" s="847">
        <v>24605.33</v>
      </c>
      <c r="AD117" s="847">
        <v>345033.13</v>
      </c>
      <c r="AE117" s="848"/>
      <c r="AF117" s="847">
        <v>19593380.809999999</v>
      </c>
      <c r="AG117" s="847">
        <v>0</v>
      </c>
      <c r="AH117" s="848"/>
      <c r="AI117" s="56"/>
    </row>
    <row r="118" spans="1:35" ht="15.75" thickBot="1" x14ac:dyDescent="0.3">
      <c r="A118" s="456">
        <v>43952</v>
      </c>
      <c r="B118" s="438" t="s">
        <v>55</v>
      </c>
      <c r="C118" s="439" t="s">
        <v>51</v>
      </c>
      <c r="D118" s="449"/>
      <c r="E118" s="449"/>
      <c r="F118" s="449"/>
      <c r="G118" s="449"/>
      <c r="H118" s="449"/>
      <c r="I118" s="449"/>
      <c r="J118" s="449"/>
      <c r="K118" s="449"/>
      <c r="L118" s="437">
        <f t="shared" si="8"/>
        <v>0</v>
      </c>
      <c r="M118" s="449"/>
      <c r="N118" s="449"/>
      <c r="O118" s="449"/>
      <c r="P118" s="449"/>
      <c r="Q118" s="449"/>
      <c r="R118" s="449"/>
      <c r="S118" s="449"/>
      <c r="T118" s="449"/>
      <c r="U118" s="440">
        <f t="shared" si="7"/>
        <v>0</v>
      </c>
      <c r="V118" s="449"/>
      <c r="W118" s="449"/>
      <c r="X118" s="449"/>
      <c r="Y118" s="449"/>
      <c r="Z118" s="449"/>
      <c r="AA118" s="449"/>
      <c r="AB118" s="449"/>
      <c r="AC118" s="449"/>
      <c r="AD118" s="449"/>
      <c r="AE118" s="449"/>
      <c r="AF118" s="449"/>
      <c r="AG118" s="449"/>
      <c r="AH118" s="449"/>
      <c r="AI118" s="54"/>
    </row>
    <row r="119" spans="1:35" ht="15.75" thickBot="1" x14ac:dyDescent="0.3">
      <c r="A119" s="456">
        <v>43952</v>
      </c>
      <c r="B119" s="451" t="s">
        <v>609</v>
      </c>
      <c r="C119" s="451"/>
      <c r="D119" s="455"/>
      <c r="E119" s="455"/>
      <c r="F119" s="455"/>
      <c r="G119" s="455"/>
      <c r="H119" s="455"/>
      <c r="I119" s="455"/>
      <c r="J119" s="455"/>
      <c r="K119" s="455"/>
      <c r="L119" s="437">
        <f t="shared" si="8"/>
        <v>0</v>
      </c>
      <c r="M119" s="455"/>
      <c r="N119" s="455"/>
      <c r="O119" s="455"/>
      <c r="P119" s="455"/>
      <c r="Q119" s="455"/>
      <c r="R119" s="455"/>
      <c r="S119" s="455"/>
      <c r="T119" s="455"/>
      <c r="U119" s="440">
        <f t="shared" si="7"/>
        <v>0</v>
      </c>
      <c r="V119" s="455"/>
      <c r="W119" s="455"/>
      <c r="X119" s="455"/>
      <c r="Y119" s="455"/>
      <c r="Z119" s="455"/>
      <c r="AA119" s="455"/>
      <c r="AB119" s="455"/>
      <c r="AC119" s="455"/>
      <c r="AD119" s="455"/>
      <c r="AE119" s="455"/>
      <c r="AF119" s="455"/>
      <c r="AG119" s="455"/>
      <c r="AH119" s="455"/>
      <c r="AI119" s="452"/>
    </row>
    <row r="120" spans="1:35" ht="15.75" thickBot="1" x14ac:dyDescent="0.3">
      <c r="A120" s="456">
        <v>43952</v>
      </c>
      <c r="B120" s="850" t="s">
        <v>947</v>
      </c>
      <c r="C120" s="851"/>
      <c r="D120" s="849">
        <f>D119</f>
        <v>0</v>
      </c>
      <c r="E120" s="849">
        <f t="shared" ref="E120:L120" si="9">E119</f>
        <v>0</v>
      </c>
      <c r="F120" s="849">
        <f t="shared" si="9"/>
        <v>0</v>
      </c>
      <c r="G120" s="849">
        <f t="shared" si="9"/>
        <v>0</v>
      </c>
      <c r="H120" s="849">
        <f t="shared" si="9"/>
        <v>0</v>
      </c>
      <c r="I120" s="849">
        <f t="shared" si="9"/>
        <v>0</v>
      </c>
      <c r="J120" s="849">
        <f t="shared" si="9"/>
        <v>0</v>
      </c>
      <c r="K120" s="849">
        <f t="shared" si="9"/>
        <v>0</v>
      </c>
      <c r="L120" s="849">
        <f t="shared" si="9"/>
        <v>0</v>
      </c>
      <c r="M120" s="849"/>
      <c r="N120" s="849"/>
      <c r="O120" s="849"/>
      <c r="P120" s="849"/>
      <c r="Q120" s="849"/>
      <c r="R120" s="849"/>
      <c r="S120" s="849"/>
      <c r="T120" s="849"/>
      <c r="U120" s="849">
        <f t="shared" ref="U120:AH120" si="10">U119</f>
        <v>0</v>
      </c>
      <c r="V120" s="849">
        <f t="shared" si="10"/>
        <v>0</v>
      </c>
      <c r="W120" s="849">
        <f t="shared" si="10"/>
        <v>0</v>
      </c>
      <c r="X120" s="849"/>
      <c r="Y120" s="849">
        <f t="shared" si="10"/>
        <v>0</v>
      </c>
      <c r="Z120" s="849">
        <f t="shared" si="10"/>
        <v>0</v>
      </c>
      <c r="AA120" s="849">
        <f t="shared" si="10"/>
        <v>0</v>
      </c>
      <c r="AB120" s="849">
        <f t="shared" si="10"/>
        <v>0</v>
      </c>
      <c r="AC120" s="849">
        <f t="shared" si="10"/>
        <v>0</v>
      </c>
      <c r="AD120" s="849">
        <f t="shared" si="10"/>
        <v>0</v>
      </c>
      <c r="AE120" s="849">
        <f t="shared" si="10"/>
        <v>0</v>
      </c>
      <c r="AF120" s="849">
        <f t="shared" si="10"/>
        <v>0</v>
      </c>
      <c r="AG120" s="849">
        <f t="shared" si="10"/>
        <v>0</v>
      </c>
      <c r="AH120" s="849">
        <f t="shared" si="10"/>
        <v>0</v>
      </c>
      <c r="AI120" s="53"/>
    </row>
    <row r="121" spans="1:35" ht="15.75" thickBot="1" x14ac:dyDescent="0.3">
      <c r="A121" s="456">
        <v>43952</v>
      </c>
      <c r="B121" s="438" t="s">
        <v>34</v>
      </c>
      <c r="C121" s="439" t="s">
        <v>437</v>
      </c>
      <c r="D121" s="56">
        <v>27544.19</v>
      </c>
      <c r="E121" s="56">
        <v>457863</v>
      </c>
      <c r="F121" s="56">
        <v>11700</v>
      </c>
      <c r="G121" s="56">
        <v>13585.4</v>
      </c>
      <c r="H121" s="56">
        <v>1739.89</v>
      </c>
      <c r="I121" s="56">
        <v>13.48</v>
      </c>
      <c r="J121" s="823"/>
      <c r="K121" s="56">
        <v>46.1</v>
      </c>
      <c r="L121" s="437">
        <f t="shared" si="8"/>
        <v>27084.87</v>
      </c>
      <c r="M121" s="56">
        <v>219.79</v>
      </c>
      <c r="N121" s="823"/>
      <c r="O121" s="823"/>
      <c r="P121" s="56">
        <v>0</v>
      </c>
      <c r="Q121" s="56">
        <v>19.739999999999998</v>
      </c>
      <c r="R121" s="823"/>
      <c r="S121" s="823"/>
      <c r="T121" s="823"/>
      <c r="U121" s="440">
        <f t="shared" ref="U121:U132" si="11">SUM(N121:T121)</f>
        <v>19.739999999999998</v>
      </c>
      <c r="V121" s="823"/>
      <c r="W121" s="56">
        <v>0</v>
      </c>
      <c r="X121" s="56">
        <v>219.79</v>
      </c>
      <c r="Y121" s="823"/>
      <c r="Z121" s="823"/>
      <c r="AA121" s="823"/>
      <c r="AB121" s="823"/>
      <c r="AC121" s="56">
        <v>0</v>
      </c>
      <c r="AD121" s="56">
        <v>270.77</v>
      </c>
      <c r="AE121" s="823"/>
      <c r="AF121" s="56">
        <v>27814.959999999999</v>
      </c>
      <c r="AG121" s="56">
        <v>0</v>
      </c>
      <c r="AH121" s="823"/>
      <c r="AI121" s="55"/>
    </row>
    <row r="122" spans="1:35" ht="15.75" thickBot="1" x14ac:dyDescent="0.3">
      <c r="A122" s="456">
        <v>43952</v>
      </c>
      <c r="B122" s="438" t="s">
        <v>36</v>
      </c>
      <c r="C122" s="439" t="s">
        <v>438</v>
      </c>
      <c r="D122" s="54">
        <v>440325.19</v>
      </c>
      <c r="E122" s="54">
        <v>7183279</v>
      </c>
      <c r="F122" s="54">
        <v>66300</v>
      </c>
      <c r="G122" s="54">
        <v>340572.47</v>
      </c>
      <c r="H122" s="54">
        <v>27296.42</v>
      </c>
      <c r="I122" s="54">
        <v>132.34</v>
      </c>
      <c r="J122" s="822"/>
      <c r="K122" s="54">
        <v>1803.61</v>
      </c>
      <c r="L122" s="437">
        <f t="shared" si="8"/>
        <v>436104.83999999997</v>
      </c>
      <c r="M122" s="822"/>
      <c r="N122" s="822"/>
      <c r="O122" s="822"/>
      <c r="P122" s="54">
        <v>0</v>
      </c>
      <c r="Q122" s="54">
        <v>772.37</v>
      </c>
      <c r="R122" s="822"/>
      <c r="S122" s="822"/>
      <c r="T122" s="822"/>
      <c r="U122" s="440">
        <f t="shared" si="11"/>
        <v>772.37</v>
      </c>
      <c r="V122" s="822"/>
      <c r="W122" s="54">
        <v>0</v>
      </c>
      <c r="X122" s="54">
        <v>3447.98</v>
      </c>
      <c r="Y122" s="822"/>
      <c r="Z122" s="822"/>
      <c r="AA122" s="822"/>
      <c r="AB122" s="822"/>
      <c r="AC122" s="54">
        <v>0</v>
      </c>
      <c r="AD122" s="54">
        <v>18737.02</v>
      </c>
      <c r="AE122" s="822"/>
      <c r="AF122" s="54">
        <v>459062.21</v>
      </c>
      <c r="AG122" s="54">
        <v>0</v>
      </c>
      <c r="AH122" s="822"/>
      <c r="AI122" s="53"/>
    </row>
    <row r="123" spans="1:35" ht="15.75" thickBot="1" x14ac:dyDescent="0.3">
      <c r="A123" s="456">
        <v>43952</v>
      </c>
      <c r="B123" s="438" t="s">
        <v>447</v>
      </c>
      <c r="C123" s="439" t="s">
        <v>494</v>
      </c>
      <c r="D123" s="56">
        <v>48728.31</v>
      </c>
      <c r="E123" s="56">
        <v>715529</v>
      </c>
      <c r="F123" s="56">
        <v>19500</v>
      </c>
      <c r="G123" s="56">
        <v>25772.25</v>
      </c>
      <c r="H123" s="56">
        <v>2719.01</v>
      </c>
      <c r="I123" s="56">
        <v>62.36</v>
      </c>
      <c r="J123" s="823"/>
      <c r="K123" s="823"/>
      <c r="L123" s="437">
        <f>SUM(F123:K123)</f>
        <v>48053.62</v>
      </c>
      <c r="M123" s="56">
        <v>343.47</v>
      </c>
      <c r="N123" s="823"/>
      <c r="O123" s="823"/>
      <c r="P123" s="56">
        <v>0</v>
      </c>
      <c r="Q123" s="56">
        <v>0</v>
      </c>
      <c r="R123" s="823"/>
      <c r="S123" s="56">
        <v>-12.25</v>
      </c>
      <c r="T123" s="823"/>
      <c r="U123" s="440">
        <f t="shared" si="11"/>
        <v>-12.25</v>
      </c>
      <c r="V123" s="823"/>
      <c r="W123" s="56">
        <v>0</v>
      </c>
      <c r="X123" s="56">
        <v>343.47</v>
      </c>
      <c r="Y123" s="823"/>
      <c r="Z123" s="823"/>
      <c r="AA123" s="823"/>
      <c r="AB123" s="823"/>
      <c r="AC123" s="56">
        <v>448.16</v>
      </c>
      <c r="AD123" s="56">
        <v>2102.2600000000002</v>
      </c>
      <c r="AE123" s="823"/>
      <c r="AF123" s="56">
        <v>51278.73</v>
      </c>
      <c r="AG123" s="56">
        <v>0</v>
      </c>
      <c r="AH123" s="823"/>
      <c r="AI123" s="55"/>
    </row>
    <row r="124" spans="1:35" ht="15.75" thickBot="1" x14ac:dyDescent="0.3">
      <c r="A124" s="456">
        <v>43952</v>
      </c>
      <c r="B124" s="441" t="s">
        <v>610</v>
      </c>
      <c r="C124" s="441" t="s">
        <v>610</v>
      </c>
      <c r="D124" s="54">
        <v>516597.69</v>
      </c>
      <c r="E124" s="54">
        <v>8356671</v>
      </c>
      <c r="F124" s="54">
        <v>97500</v>
      </c>
      <c r="G124" s="54">
        <v>379930.12</v>
      </c>
      <c r="H124" s="54">
        <v>31755.32</v>
      </c>
      <c r="I124" s="54">
        <v>208.18</v>
      </c>
      <c r="J124" s="822"/>
      <c r="K124" s="54">
        <v>1849.71</v>
      </c>
      <c r="L124" s="437">
        <f t="shared" si="8"/>
        <v>511243.33</v>
      </c>
      <c r="M124" s="54">
        <v>563.26</v>
      </c>
      <c r="N124" s="822"/>
      <c r="O124" s="822"/>
      <c r="P124" s="54">
        <v>0</v>
      </c>
      <c r="Q124" s="54">
        <v>792.11</v>
      </c>
      <c r="R124" s="822"/>
      <c r="S124" s="54">
        <v>-12.25</v>
      </c>
      <c r="T124" s="822"/>
      <c r="U124" s="440">
        <f t="shared" si="11"/>
        <v>779.86</v>
      </c>
      <c r="V124" s="822"/>
      <c r="W124" s="54">
        <v>0</v>
      </c>
      <c r="X124" s="54">
        <v>4011.24</v>
      </c>
      <c r="Y124" s="822"/>
      <c r="Z124" s="822"/>
      <c r="AA124" s="822"/>
      <c r="AB124" s="822"/>
      <c r="AC124" s="54">
        <v>448.16</v>
      </c>
      <c r="AD124" s="54">
        <v>21110.05</v>
      </c>
      <c r="AE124" s="822"/>
      <c r="AF124" s="54">
        <v>538155.9</v>
      </c>
      <c r="AG124" s="54">
        <v>0</v>
      </c>
      <c r="AH124" s="822"/>
      <c r="AI124" s="53"/>
    </row>
    <row r="125" spans="1:35" ht="23.25" thickBot="1" x14ac:dyDescent="0.3">
      <c r="A125" s="456">
        <v>43952</v>
      </c>
      <c r="B125" s="438" t="s">
        <v>38</v>
      </c>
      <c r="C125" s="439" t="s">
        <v>39</v>
      </c>
      <c r="D125" s="56">
        <v>25755.06</v>
      </c>
      <c r="E125" s="823"/>
      <c r="F125" s="56">
        <v>5325</v>
      </c>
      <c r="G125" s="823"/>
      <c r="H125" s="56">
        <v>0</v>
      </c>
      <c r="I125" s="823"/>
      <c r="J125" s="823"/>
      <c r="K125" s="56">
        <v>14304.43</v>
      </c>
      <c r="L125" s="437">
        <f t="shared" si="8"/>
        <v>19629.43</v>
      </c>
      <c r="M125" s="823"/>
      <c r="N125" s="823"/>
      <c r="O125" s="823"/>
      <c r="P125" s="56">
        <v>0</v>
      </c>
      <c r="Q125" s="56">
        <v>6125.63</v>
      </c>
      <c r="R125" s="823"/>
      <c r="S125" s="823"/>
      <c r="T125" s="823"/>
      <c r="U125" s="440">
        <f t="shared" si="11"/>
        <v>6125.63</v>
      </c>
      <c r="V125" s="823"/>
      <c r="W125" s="823"/>
      <c r="X125" s="823"/>
      <c r="Y125" s="823"/>
      <c r="Z125" s="823"/>
      <c r="AA125" s="823"/>
      <c r="AB125" s="823"/>
      <c r="AC125" s="56">
        <v>0</v>
      </c>
      <c r="AD125" s="56">
        <v>0</v>
      </c>
      <c r="AE125" s="823"/>
      <c r="AF125" s="56">
        <v>25755.06</v>
      </c>
      <c r="AG125" s="56">
        <v>0</v>
      </c>
      <c r="AH125" s="823"/>
      <c r="AI125" s="55"/>
    </row>
    <row r="126" spans="1:35" ht="15.75" thickBot="1" x14ac:dyDescent="0.3">
      <c r="A126" s="456">
        <v>43952</v>
      </c>
      <c r="B126" s="441" t="s">
        <v>611</v>
      </c>
      <c r="C126" s="441" t="s">
        <v>611</v>
      </c>
      <c r="D126" s="54">
        <v>25755.06</v>
      </c>
      <c r="E126" s="822"/>
      <c r="F126" s="54">
        <v>5325</v>
      </c>
      <c r="G126" s="822"/>
      <c r="H126" s="54">
        <v>0</v>
      </c>
      <c r="I126" s="822"/>
      <c r="J126" s="822"/>
      <c r="K126" s="54">
        <v>14304.43</v>
      </c>
      <c r="L126" s="437">
        <f t="shared" si="8"/>
        <v>19629.43</v>
      </c>
      <c r="M126" s="822"/>
      <c r="N126" s="822"/>
      <c r="O126" s="822"/>
      <c r="P126" s="54">
        <v>0</v>
      </c>
      <c r="Q126" s="54">
        <v>6125.63</v>
      </c>
      <c r="R126" s="822"/>
      <c r="S126" s="822"/>
      <c r="T126" s="822"/>
      <c r="U126" s="440">
        <f t="shared" si="11"/>
        <v>6125.63</v>
      </c>
      <c r="V126" s="822"/>
      <c r="W126" s="822"/>
      <c r="X126" s="822"/>
      <c r="Y126" s="822"/>
      <c r="Z126" s="822"/>
      <c r="AA126" s="822"/>
      <c r="AB126" s="822"/>
      <c r="AC126" s="54">
        <v>0</v>
      </c>
      <c r="AD126" s="54">
        <v>0</v>
      </c>
      <c r="AE126" s="822"/>
      <c r="AF126" s="54">
        <v>25755.06</v>
      </c>
      <c r="AG126" s="54">
        <v>0</v>
      </c>
      <c r="AH126" s="822"/>
      <c r="AI126" s="53"/>
    </row>
    <row r="127" spans="1:35" ht="23.25" thickBot="1" x14ac:dyDescent="0.3">
      <c r="A127" s="456">
        <v>43952</v>
      </c>
      <c r="B127" s="438" t="s">
        <v>52</v>
      </c>
      <c r="C127" s="439" t="s">
        <v>355</v>
      </c>
      <c r="D127" s="56">
        <v>675</v>
      </c>
      <c r="E127" s="823"/>
      <c r="F127" s="56">
        <v>675</v>
      </c>
      <c r="G127" s="823"/>
      <c r="H127" s="56">
        <v>0</v>
      </c>
      <c r="I127" s="823"/>
      <c r="J127" s="823"/>
      <c r="K127" s="823"/>
      <c r="L127" s="437">
        <f t="shared" si="8"/>
        <v>675</v>
      </c>
      <c r="M127" s="823"/>
      <c r="N127" s="823"/>
      <c r="O127" s="823"/>
      <c r="P127" s="823"/>
      <c r="Q127" s="823"/>
      <c r="R127" s="823"/>
      <c r="S127" s="823"/>
      <c r="T127" s="56">
        <v>0</v>
      </c>
      <c r="U127" s="440">
        <f t="shared" si="11"/>
        <v>0</v>
      </c>
      <c r="V127" s="823"/>
      <c r="W127" s="823"/>
      <c r="X127" s="823"/>
      <c r="Y127" s="823"/>
      <c r="Z127" s="823"/>
      <c r="AA127" s="823"/>
      <c r="AB127" s="823"/>
      <c r="AC127" s="56">
        <v>0</v>
      </c>
      <c r="AD127" s="56">
        <v>0</v>
      </c>
      <c r="AE127" s="823"/>
      <c r="AF127" s="56">
        <v>675</v>
      </c>
      <c r="AG127" s="56">
        <v>0</v>
      </c>
      <c r="AH127" s="823"/>
      <c r="AI127" s="55"/>
    </row>
    <row r="128" spans="1:35" ht="15.75" thickBot="1" x14ac:dyDescent="0.3">
      <c r="A128" s="456">
        <v>43952</v>
      </c>
      <c r="B128" s="441" t="s">
        <v>612</v>
      </c>
      <c r="C128" s="441" t="s">
        <v>612</v>
      </c>
      <c r="D128" s="54">
        <v>675</v>
      </c>
      <c r="E128" s="822"/>
      <c r="F128" s="54">
        <v>675</v>
      </c>
      <c r="G128" s="822"/>
      <c r="H128" s="54">
        <v>0</v>
      </c>
      <c r="I128" s="822"/>
      <c r="J128" s="822"/>
      <c r="K128" s="822"/>
      <c r="L128" s="437">
        <f t="shared" si="8"/>
        <v>675</v>
      </c>
      <c r="M128" s="822"/>
      <c r="N128" s="822"/>
      <c r="O128" s="822"/>
      <c r="P128" s="822"/>
      <c r="Q128" s="822"/>
      <c r="R128" s="822"/>
      <c r="S128" s="822"/>
      <c r="T128" s="54">
        <v>0</v>
      </c>
      <c r="U128" s="440">
        <f t="shared" si="11"/>
        <v>0</v>
      </c>
      <c r="V128" s="822"/>
      <c r="W128" s="822"/>
      <c r="X128" s="822"/>
      <c r="Y128" s="822"/>
      <c r="Z128" s="822"/>
      <c r="AA128" s="822"/>
      <c r="AB128" s="822"/>
      <c r="AC128" s="54">
        <v>0</v>
      </c>
      <c r="AD128" s="54">
        <v>0</v>
      </c>
      <c r="AE128" s="822"/>
      <c r="AF128" s="54">
        <v>675</v>
      </c>
      <c r="AG128" s="54">
        <v>0</v>
      </c>
      <c r="AH128" s="822"/>
      <c r="AI128" s="53"/>
    </row>
    <row r="129" spans="1:35" ht="23.25" thickBot="1" x14ac:dyDescent="0.3">
      <c r="A129" s="456">
        <v>43952</v>
      </c>
      <c r="B129" s="438" t="s">
        <v>53</v>
      </c>
      <c r="C129" s="439" t="s">
        <v>836</v>
      </c>
      <c r="D129" s="56">
        <v>35124.65</v>
      </c>
      <c r="E129" s="56">
        <v>173389</v>
      </c>
      <c r="F129" s="56">
        <v>1050</v>
      </c>
      <c r="G129" s="823"/>
      <c r="H129" s="56">
        <v>18455.53</v>
      </c>
      <c r="I129" s="823"/>
      <c r="J129" s="823"/>
      <c r="K129" s="823"/>
      <c r="L129" s="437">
        <f t="shared" si="8"/>
        <v>19505.53</v>
      </c>
      <c r="M129" s="823"/>
      <c r="N129" s="56">
        <v>0</v>
      </c>
      <c r="O129" s="823"/>
      <c r="P129" s="823"/>
      <c r="Q129" s="823"/>
      <c r="R129" s="56">
        <v>14847.3</v>
      </c>
      <c r="S129" s="823"/>
      <c r="T129" s="823"/>
      <c r="U129" s="440">
        <f t="shared" si="11"/>
        <v>14847.3</v>
      </c>
      <c r="V129" s="823"/>
      <c r="W129" s="56">
        <v>64.39</v>
      </c>
      <c r="X129" s="56">
        <v>707.43</v>
      </c>
      <c r="Y129" s="823"/>
      <c r="Z129" s="823"/>
      <c r="AA129" s="56">
        <v>0</v>
      </c>
      <c r="AB129" s="823"/>
      <c r="AC129" s="56">
        <v>1053.74</v>
      </c>
      <c r="AD129" s="56">
        <v>0</v>
      </c>
      <c r="AE129" s="823"/>
      <c r="AF129" s="56">
        <v>36178.39</v>
      </c>
      <c r="AG129" s="56">
        <v>0</v>
      </c>
      <c r="AH129" s="823"/>
      <c r="AI129" s="55"/>
    </row>
    <row r="130" spans="1:35" ht="23.25" thickBot="1" x14ac:dyDescent="0.3">
      <c r="A130" s="456">
        <v>43952</v>
      </c>
      <c r="B130" s="438" t="s">
        <v>31</v>
      </c>
      <c r="C130" s="439" t="s">
        <v>835</v>
      </c>
      <c r="D130" s="54">
        <v>34535.769999999997</v>
      </c>
      <c r="E130" s="54">
        <v>111598</v>
      </c>
      <c r="F130" s="54">
        <v>2578.4</v>
      </c>
      <c r="G130" s="822"/>
      <c r="H130" s="54">
        <v>18992.43</v>
      </c>
      <c r="I130" s="822"/>
      <c r="J130" s="822"/>
      <c r="K130" s="822"/>
      <c r="L130" s="437">
        <f t="shared" si="8"/>
        <v>21570.83</v>
      </c>
      <c r="M130" s="54"/>
      <c r="N130" s="54">
        <v>0</v>
      </c>
      <c r="O130" s="822"/>
      <c r="P130" s="822"/>
      <c r="Q130" s="822"/>
      <c r="R130" s="54">
        <v>9556.14</v>
      </c>
      <c r="S130" s="54">
        <v>2824.7</v>
      </c>
      <c r="T130" s="822"/>
      <c r="U130" s="440">
        <f t="shared" si="11"/>
        <v>12380.84</v>
      </c>
      <c r="V130" s="822"/>
      <c r="W130" s="54">
        <v>128.78</v>
      </c>
      <c r="X130" s="54">
        <v>455.32</v>
      </c>
      <c r="Y130" s="822"/>
      <c r="Z130" s="822"/>
      <c r="AA130" s="54">
        <v>0</v>
      </c>
      <c r="AB130" s="822"/>
      <c r="AC130" s="54">
        <v>0</v>
      </c>
      <c r="AD130" s="54">
        <v>2853.93</v>
      </c>
      <c r="AE130" s="822"/>
      <c r="AF130" s="54">
        <v>37389.699999999997</v>
      </c>
      <c r="AG130" s="54">
        <v>0</v>
      </c>
      <c r="AH130" s="822"/>
      <c r="AI130" s="53"/>
    </row>
    <row r="131" spans="1:35" ht="15.75" thickBot="1" x14ac:dyDescent="0.3">
      <c r="A131" s="456">
        <v>43952</v>
      </c>
      <c r="B131" s="438" t="s">
        <v>491</v>
      </c>
      <c r="C131" s="439" t="s">
        <v>492</v>
      </c>
      <c r="D131" s="56">
        <v>78891.009999999995</v>
      </c>
      <c r="E131" s="56">
        <v>271654</v>
      </c>
      <c r="F131" s="56">
        <v>7735.2</v>
      </c>
      <c r="G131" s="823"/>
      <c r="H131" s="56">
        <v>46269</v>
      </c>
      <c r="I131" s="823"/>
      <c r="J131" s="823"/>
      <c r="K131" s="823"/>
      <c r="L131" s="437">
        <f t="shared" si="8"/>
        <v>54004.2</v>
      </c>
      <c r="M131" s="56">
        <v>130.38999999999999</v>
      </c>
      <c r="N131" s="56">
        <v>0</v>
      </c>
      <c r="O131" s="823"/>
      <c r="P131" s="823"/>
      <c r="Q131" s="823"/>
      <c r="R131" s="56">
        <v>23261.73</v>
      </c>
      <c r="S131" s="56">
        <v>0</v>
      </c>
      <c r="T131" s="823"/>
      <c r="U131" s="440">
        <f t="shared" si="11"/>
        <v>23261.73</v>
      </c>
      <c r="V131" s="823"/>
      <c r="W131" s="56">
        <v>386.34</v>
      </c>
      <c r="X131" s="56">
        <v>1108.3499999999999</v>
      </c>
      <c r="Y131" s="823"/>
      <c r="Z131" s="823"/>
      <c r="AA131" s="56">
        <v>0</v>
      </c>
      <c r="AB131" s="823"/>
      <c r="AC131" s="56">
        <v>0</v>
      </c>
      <c r="AD131" s="56">
        <v>1918.34</v>
      </c>
      <c r="AE131" s="823"/>
      <c r="AF131" s="56">
        <v>80809.350000000006</v>
      </c>
      <c r="AG131" s="56">
        <v>0</v>
      </c>
      <c r="AH131" s="823"/>
      <c r="AI131" s="55"/>
    </row>
    <row r="132" spans="1:35" ht="15.75" thickBot="1" x14ac:dyDescent="0.3">
      <c r="A132" s="456">
        <v>43952</v>
      </c>
      <c r="B132" s="441" t="s">
        <v>613</v>
      </c>
      <c r="C132" s="441" t="s">
        <v>613</v>
      </c>
      <c r="D132" s="56">
        <v>148551.43</v>
      </c>
      <c r="E132" s="56">
        <v>556641</v>
      </c>
      <c r="F132" s="56">
        <v>11363.6</v>
      </c>
      <c r="G132" s="823"/>
      <c r="H132" s="56">
        <v>83716.960000000006</v>
      </c>
      <c r="I132" s="823"/>
      <c r="J132" s="823"/>
      <c r="K132" s="823"/>
      <c r="L132" s="437">
        <f t="shared" si="8"/>
        <v>95080.560000000012</v>
      </c>
      <c r="M132" s="56">
        <v>130.38999999999999</v>
      </c>
      <c r="N132" s="56">
        <v>0</v>
      </c>
      <c r="O132" s="823"/>
      <c r="P132" s="823"/>
      <c r="Q132" s="823"/>
      <c r="R132" s="56">
        <v>47665.17</v>
      </c>
      <c r="S132" s="56">
        <v>2824.7</v>
      </c>
      <c r="T132" s="823"/>
      <c r="U132" s="440">
        <f t="shared" si="11"/>
        <v>50489.869999999995</v>
      </c>
      <c r="V132" s="823"/>
      <c r="W132" s="56">
        <v>579.51</v>
      </c>
      <c r="X132" s="56">
        <v>2271.1</v>
      </c>
      <c r="Y132" s="823"/>
      <c r="Z132" s="823"/>
      <c r="AA132" s="56">
        <v>0</v>
      </c>
      <c r="AB132" s="823"/>
      <c r="AC132" s="56">
        <v>1053.74</v>
      </c>
      <c r="AD132" s="56">
        <v>4772.2700000000004</v>
      </c>
      <c r="AE132" s="823"/>
      <c r="AF132" s="56">
        <v>154377.44</v>
      </c>
      <c r="AG132" s="56">
        <v>0</v>
      </c>
      <c r="AH132" s="823"/>
      <c r="AI132" s="53"/>
    </row>
    <row r="133" spans="1:35" ht="15.75" thickBot="1" x14ac:dyDescent="0.3">
      <c r="A133" s="456">
        <v>43952</v>
      </c>
      <c r="B133" s="937" t="s">
        <v>947</v>
      </c>
      <c r="C133" s="938"/>
      <c r="D133" s="847">
        <v>691579.18</v>
      </c>
      <c r="E133" s="847">
        <v>8913312</v>
      </c>
      <c r="F133" s="847">
        <v>114863.6</v>
      </c>
      <c r="G133" s="847">
        <v>379930.12</v>
      </c>
      <c r="H133" s="847">
        <v>115472.28</v>
      </c>
      <c r="I133" s="847">
        <v>208.18</v>
      </c>
      <c r="J133" s="848"/>
      <c r="K133" s="847">
        <v>16154.14</v>
      </c>
      <c r="L133" s="849">
        <f t="shared" si="8"/>
        <v>626628.32000000007</v>
      </c>
      <c r="M133" s="847">
        <v>693.65</v>
      </c>
      <c r="N133" s="847">
        <v>0</v>
      </c>
      <c r="O133" s="848"/>
      <c r="P133" s="847">
        <v>0</v>
      </c>
      <c r="Q133" s="847">
        <v>6917.74</v>
      </c>
      <c r="R133" s="847">
        <v>47665.17</v>
      </c>
      <c r="S133" s="847">
        <v>2812.45</v>
      </c>
      <c r="T133" s="847">
        <v>0</v>
      </c>
      <c r="U133" s="849">
        <f>SUM(N133:T133)</f>
        <v>57395.359999999993</v>
      </c>
      <c r="V133" s="848"/>
      <c r="W133" s="847">
        <v>579.51</v>
      </c>
      <c r="X133" s="847">
        <v>6282.34</v>
      </c>
      <c r="Y133" s="848"/>
      <c r="Z133" s="848"/>
      <c r="AA133" s="847">
        <v>0</v>
      </c>
      <c r="AB133" s="848"/>
      <c r="AC133" s="847">
        <v>1501.9</v>
      </c>
      <c r="AD133" s="847">
        <v>25882.32</v>
      </c>
      <c r="AE133" s="848"/>
      <c r="AF133" s="847">
        <v>718963.4</v>
      </c>
      <c r="AG133" s="847">
        <v>0</v>
      </c>
      <c r="AH133" s="848"/>
      <c r="AI133" s="55"/>
    </row>
    <row r="134" spans="1:35" ht="15.75" thickBot="1" x14ac:dyDescent="0.3">
      <c r="A134" s="456">
        <v>43952</v>
      </c>
      <c r="B134" s="438" t="s">
        <v>34</v>
      </c>
      <c r="C134" s="439" t="s">
        <v>437</v>
      </c>
      <c r="D134" s="56">
        <v>61.95</v>
      </c>
      <c r="E134" s="56">
        <v>0</v>
      </c>
      <c r="F134" s="823"/>
      <c r="G134" s="823"/>
      <c r="H134" s="56">
        <v>0</v>
      </c>
      <c r="I134" s="823"/>
      <c r="J134" s="823"/>
      <c r="K134" s="823"/>
      <c r="L134" s="437">
        <f t="shared" si="8"/>
        <v>0</v>
      </c>
      <c r="M134" s="823"/>
      <c r="N134" s="823"/>
      <c r="O134" s="56">
        <v>-20.84</v>
      </c>
      <c r="P134" s="823"/>
      <c r="Q134" s="823"/>
      <c r="R134" s="823"/>
      <c r="S134" s="823"/>
      <c r="T134" s="823"/>
      <c r="U134" s="440">
        <f t="shared" si="7"/>
        <v>-20.84</v>
      </c>
      <c r="V134" s="56">
        <v>82.79</v>
      </c>
      <c r="W134" s="823"/>
      <c r="X134" s="56">
        <v>0</v>
      </c>
      <c r="Y134" s="823"/>
      <c r="Z134" s="823"/>
      <c r="AA134" s="823"/>
      <c r="AB134" s="823"/>
      <c r="AC134" s="823"/>
      <c r="AD134" s="56">
        <v>1.85</v>
      </c>
      <c r="AE134" s="823"/>
      <c r="AF134" s="56">
        <v>63.8</v>
      </c>
      <c r="AG134" s="56">
        <v>0</v>
      </c>
      <c r="AH134" s="823"/>
      <c r="AI134" s="53"/>
    </row>
    <row r="135" spans="1:35" ht="15.75" thickBot="1" x14ac:dyDescent="0.3">
      <c r="A135" s="456">
        <v>43952</v>
      </c>
      <c r="B135" s="438" t="s">
        <v>36</v>
      </c>
      <c r="C135" s="439" t="s">
        <v>438</v>
      </c>
      <c r="D135" s="54">
        <v>2891.24</v>
      </c>
      <c r="E135" s="54">
        <v>13403</v>
      </c>
      <c r="F135" s="822"/>
      <c r="G135" s="822"/>
      <c r="H135" s="54">
        <v>50.93</v>
      </c>
      <c r="I135" s="822"/>
      <c r="J135" s="822"/>
      <c r="K135" s="822"/>
      <c r="L135" s="437">
        <f t="shared" si="8"/>
        <v>50.93</v>
      </c>
      <c r="M135" s="822"/>
      <c r="N135" s="822"/>
      <c r="O135" s="54">
        <v>2632.06</v>
      </c>
      <c r="P135" s="822"/>
      <c r="Q135" s="822"/>
      <c r="R135" s="822"/>
      <c r="S135" s="822"/>
      <c r="T135" s="822"/>
      <c r="U135" s="440">
        <f t="shared" si="7"/>
        <v>2632.06</v>
      </c>
      <c r="V135" s="54">
        <v>201.82</v>
      </c>
      <c r="W135" s="822"/>
      <c r="X135" s="54">
        <v>6.43</v>
      </c>
      <c r="Y135" s="822"/>
      <c r="Z135" s="822"/>
      <c r="AA135" s="822"/>
      <c r="AB135" s="822"/>
      <c r="AC135" s="822"/>
      <c r="AD135" s="54">
        <v>173.47</v>
      </c>
      <c r="AE135" s="822"/>
      <c r="AF135" s="54">
        <v>3064.71</v>
      </c>
      <c r="AG135" s="54">
        <v>0</v>
      </c>
      <c r="AH135" s="822"/>
      <c r="AI135" s="55"/>
    </row>
    <row r="136" spans="1:35" ht="15.75" thickBot="1" x14ac:dyDescent="0.3">
      <c r="A136" s="456">
        <v>43952</v>
      </c>
      <c r="B136" s="441" t="s">
        <v>610</v>
      </c>
      <c r="C136" s="441" t="s">
        <v>610</v>
      </c>
      <c r="D136" s="56">
        <v>2953.19</v>
      </c>
      <c r="E136" s="56">
        <v>13403</v>
      </c>
      <c r="F136" s="823"/>
      <c r="G136" s="823"/>
      <c r="H136" s="56">
        <v>50.93</v>
      </c>
      <c r="I136" s="823"/>
      <c r="J136" s="823"/>
      <c r="K136" s="823"/>
      <c r="L136" s="437">
        <f t="shared" si="8"/>
        <v>50.93</v>
      </c>
      <c r="M136" s="823"/>
      <c r="N136" s="823"/>
      <c r="O136" s="56">
        <v>2611.2199999999998</v>
      </c>
      <c r="P136" s="823"/>
      <c r="Q136" s="823"/>
      <c r="R136" s="823"/>
      <c r="S136" s="823"/>
      <c r="T136" s="823"/>
      <c r="U136" s="440">
        <f t="shared" si="7"/>
        <v>2611.2199999999998</v>
      </c>
      <c r="V136" s="56">
        <v>284.61</v>
      </c>
      <c r="W136" s="823"/>
      <c r="X136" s="56">
        <v>6.43</v>
      </c>
      <c r="Y136" s="823"/>
      <c r="Z136" s="823"/>
      <c r="AA136" s="823"/>
      <c r="AB136" s="823"/>
      <c r="AC136" s="823"/>
      <c r="AD136" s="56">
        <v>175.32</v>
      </c>
      <c r="AE136" s="823"/>
      <c r="AF136" s="56">
        <v>3128.51</v>
      </c>
      <c r="AG136" s="56">
        <v>0</v>
      </c>
      <c r="AH136" s="823"/>
      <c r="AI136" s="53"/>
    </row>
    <row r="137" spans="1:35" ht="23.25" thickBot="1" x14ac:dyDescent="0.3">
      <c r="A137" s="456">
        <v>43952</v>
      </c>
      <c r="B137" s="438" t="s">
        <v>38</v>
      </c>
      <c r="C137" s="439" t="s">
        <v>39</v>
      </c>
      <c r="D137" s="54">
        <v>3471.81</v>
      </c>
      <c r="E137" s="822"/>
      <c r="F137" s="822"/>
      <c r="G137" s="822"/>
      <c r="H137" s="822"/>
      <c r="I137" s="822"/>
      <c r="J137" s="822"/>
      <c r="K137" s="822"/>
      <c r="L137" s="437">
        <f t="shared" si="8"/>
        <v>0</v>
      </c>
      <c r="M137" s="822"/>
      <c r="N137" s="822"/>
      <c r="O137" s="54">
        <v>-4624.51</v>
      </c>
      <c r="P137" s="822"/>
      <c r="Q137" s="822"/>
      <c r="R137" s="822"/>
      <c r="S137" s="822"/>
      <c r="T137" s="822"/>
      <c r="U137" s="440">
        <f t="shared" si="7"/>
        <v>-4624.51</v>
      </c>
      <c r="V137" s="54">
        <v>8096.32</v>
      </c>
      <c r="W137" s="822"/>
      <c r="X137" s="822"/>
      <c r="Y137" s="822"/>
      <c r="Z137" s="822"/>
      <c r="AA137" s="822"/>
      <c r="AB137" s="822"/>
      <c r="AC137" s="822"/>
      <c r="AD137" s="54">
        <v>0</v>
      </c>
      <c r="AE137" s="822"/>
      <c r="AF137" s="54">
        <v>3471.81</v>
      </c>
      <c r="AG137" s="54">
        <v>0</v>
      </c>
      <c r="AH137" s="822"/>
      <c r="AI137" s="55"/>
    </row>
    <row r="138" spans="1:35" ht="15.75" thickBot="1" x14ac:dyDescent="0.3">
      <c r="A138" s="456">
        <v>43952</v>
      </c>
      <c r="B138" s="441" t="s">
        <v>611</v>
      </c>
      <c r="C138" s="441" t="s">
        <v>611</v>
      </c>
      <c r="D138" s="56">
        <v>3471.81</v>
      </c>
      <c r="E138" s="823"/>
      <c r="F138" s="823"/>
      <c r="G138" s="823"/>
      <c r="H138" s="823"/>
      <c r="I138" s="823"/>
      <c r="J138" s="823"/>
      <c r="K138" s="823"/>
      <c r="L138" s="437">
        <f t="shared" si="8"/>
        <v>0</v>
      </c>
      <c r="M138" s="823"/>
      <c r="N138" s="823"/>
      <c r="O138" s="56">
        <v>-4624.51</v>
      </c>
      <c r="P138" s="823"/>
      <c r="Q138" s="823"/>
      <c r="R138" s="823"/>
      <c r="S138" s="823"/>
      <c r="T138" s="823"/>
      <c r="U138" s="440">
        <f t="shared" si="7"/>
        <v>-4624.51</v>
      </c>
      <c r="V138" s="56">
        <v>8096.32</v>
      </c>
      <c r="W138" s="823"/>
      <c r="X138" s="823"/>
      <c r="Y138" s="823"/>
      <c r="Z138" s="823"/>
      <c r="AA138" s="823"/>
      <c r="AB138" s="823"/>
      <c r="AC138" s="823"/>
      <c r="AD138" s="56">
        <v>0</v>
      </c>
      <c r="AE138" s="823"/>
      <c r="AF138" s="56">
        <v>3471.81</v>
      </c>
      <c r="AG138" s="56">
        <v>0</v>
      </c>
      <c r="AH138" s="823"/>
      <c r="AI138" s="53"/>
    </row>
    <row r="139" spans="1:35" ht="23.25" thickBot="1" x14ac:dyDescent="0.3">
      <c r="A139" s="456">
        <v>43952</v>
      </c>
      <c r="B139" s="438" t="s">
        <v>52</v>
      </c>
      <c r="C139" s="439" t="s">
        <v>355</v>
      </c>
      <c r="D139" s="54">
        <v>-1417.08</v>
      </c>
      <c r="E139" s="822"/>
      <c r="F139" s="822"/>
      <c r="G139" s="822"/>
      <c r="H139" s="822"/>
      <c r="I139" s="822"/>
      <c r="J139" s="822"/>
      <c r="K139" s="822"/>
      <c r="L139" s="437">
        <f t="shared" si="8"/>
        <v>0</v>
      </c>
      <c r="M139" s="822"/>
      <c r="N139" s="822"/>
      <c r="O139" s="54">
        <v>-1585.36</v>
      </c>
      <c r="P139" s="822"/>
      <c r="Q139" s="822"/>
      <c r="R139" s="822"/>
      <c r="S139" s="822"/>
      <c r="T139" s="822"/>
      <c r="U139" s="440">
        <f t="shared" si="7"/>
        <v>-1585.36</v>
      </c>
      <c r="V139" s="54">
        <v>168.28</v>
      </c>
      <c r="W139" s="822"/>
      <c r="X139" s="822"/>
      <c r="Y139" s="822"/>
      <c r="Z139" s="822"/>
      <c r="AA139" s="822"/>
      <c r="AB139" s="822"/>
      <c r="AC139" s="822"/>
      <c r="AD139" s="54">
        <v>0</v>
      </c>
      <c r="AE139" s="822"/>
      <c r="AF139" s="54">
        <v>-1417.08</v>
      </c>
      <c r="AG139" s="54">
        <v>0</v>
      </c>
      <c r="AH139" s="822"/>
      <c r="AI139" s="55"/>
    </row>
    <row r="140" spans="1:35" ht="15.75" thickBot="1" x14ac:dyDescent="0.3">
      <c r="A140" s="456">
        <v>43952</v>
      </c>
      <c r="B140" s="441" t="s">
        <v>612</v>
      </c>
      <c r="C140" s="441" t="s">
        <v>612</v>
      </c>
      <c r="D140" s="56">
        <v>-1417.08</v>
      </c>
      <c r="E140" s="823"/>
      <c r="F140" s="823"/>
      <c r="G140" s="823"/>
      <c r="H140" s="823"/>
      <c r="I140" s="823"/>
      <c r="J140" s="823"/>
      <c r="K140" s="823"/>
      <c r="L140" s="437">
        <f t="shared" si="8"/>
        <v>0</v>
      </c>
      <c r="M140" s="823"/>
      <c r="N140" s="823"/>
      <c r="O140" s="56">
        <v>-1585.36</v>
      </c>
      <c r="P140" s="823"/>
      <c r="Q140" s="823"/>
      <c r="R140" s="823"/>
      <c r="S140" s="823"/>
      <c r="T140" s="823"/>
      <c r="U140" s="440">
        <f t="shared" si="7"/>
        <v>-1585.36</v>
      </c>
      <c r="V140" s="56">
        <v>168.28</v>
      </c>
      <c r="W140" s="823"/>
      <c r="X140" s="823"/>
      <c r="Y140" s="823"/>
      <c r="Z140" s="823"/>
      <c r="AA140" s="823"/>
      <c r="AB140" s="823"/>
      <c r="AC140" s="823"/>
      <c r="AD140" s="56">
        <v>0</v>
      </c>
      <c r="AE140" s="823"/>
      <c r="AF140" s="56">
        <v>-1417.08</v>
      </c>
      <c r="AG140" s="56">
        <v>0</v>
      </c>
      <c r="AH140" s="823"/>
      <c r="AI140" s="53"/>
    </row>
    <row r="141" spans="1:35" ht="15.75" thickBot="1" x14ac:dyDescent="0.3">
      <c r="A141" s="456">
        <v>43952</v>
      </c>
      <c r="B141" s="937" t="s">
        <v>947</v>
      </c>
      <c r="C141" s="938"/>
      <c r="D141" s="847">
        <v>5007.92</v>
      </c>
      <c r="E141" s="847">
        <v>13403</v>
      </c>
      <c r="F141" s="848"/>
      <c r="G141" s="848"/>
      <c r="H141" s="847">
        <v>50.93</v>
      </c>
      <c r="I141" s="848"/>
      <c r="J141" s="848"/>
      <c r="K141" s="848"/>
      <c r="L141" s="849">
        <f t="shared" si="8"/>
        <v>50.93</v>
      </c>
      <c r="M141" s="848"/>
      <c r="N141" s="848"/>
      <c r="O141" s="847">
        <v>-3598.65</v>
      </c>
      <c r="P141" s="848"/>
      <c r="Q141" s="848"/>
      <c r="R141" s="848"/>
      <c r="S141" s="848"/>
      <c r="T141" s="848"/>
      <c r="U141" s="849">
        <f t="shared" si="7"/>
        <v>-3598.65</v>
      </c>
      <c r="V141" s="847">
        <v>8549.2099999999991</v>
      </c>
      <c r="W141" s="848"/>
      <c r="X141" s="847">
        <v>6.43</v>
      </c>
      <c r="Y141" s="848"/>
      <c r="Z141" s="848"/>
      <c r="AA141" s="848"/>
      <c r="AB141" s="848"/>
      <c r="AC141" s="848"/>
      <c r="AD141" s="847">
        <v>175.32</v>
      </c>
      <c r="AE141" s="848"/>
      <c r="AF141" s="847">
        <v>5183.24</v>
      </c>
      <c r="AG141" s="847">
        <v>0</v>
      </c>
      <c r="AH141" s="848"/>
      <c r="AI141" s="55"/>
    </row>
    <row r="142" spans="1:35" ht="15.75" thickBot="1" x14ac:dyDescent="0.3">
      <c r="A142" s="456">
        <v>43952</v>
      </c>
      <c r="B142" s="438" t="s">
        <v>32</v>
      </c>
      <c r="C142" s="439" t="s">
        <v>33</v>
      </c>
      <c r="D142" s="56">
        <v>23601.19</v>
      </c>
      <c r="E142" s="823"/>
      <c r="F142" s="56">
        <v>0</v>
      </c>
      <c r="G142" s="823"/>
      <c r="H142" s="823"/>
      <c r="I142" s="823"/>
      <c r="J142" s="823"/>
      <c r="K142" s="823"/>
      <c r="L142" s="437">
        <f t="shared" si="8"/>
        <v>0</v>
      </c>
      <c r="M142" s="823"/>
      <c r="N142" s="56">
        <v>22243.91</v>
      </c>
      <c r="O142" s="823"/>
      <c r="P142" s="823"/>
      <c r="Q142" s="823"/>
      <c r="R142" s="823"/>
      <c r="S142" s="823"/>
      <c r="T142" s="823"/>
      <c r="U142" s="440">
        <f t="shared" si="7"/>
        <v>22243.91</v>
      </c>
      <c r="V142" s="823"/>
      <c r="W142" s="56">
        <v>333.06</v>
      </c>
      <c r="X142" s="56">
        <v>1024.22</v>
      </c>
      <c r="Y142" s="823"/>
      <c r="Z142" s="823"/>
      <c r="AA142" s="823"/>
      <c r="AB142" s="823"/>
      <c r="AC142" s="56">
        <v>0</v>
      </c>
      <c r="AD142" s="56">
        <v>0</v>
      </c>
      <c r="AE142" s="823"/>
      <c r="AF142" s="56">
        <v>23601.19</v>
      </c>
      <c r="AG142" s="56">
        <v>0</v>
      </c>
      <c r="AH142" s="823"/>
      <c r="AI142" s="53"/>
    </row>
    <row r="143" spans="1:35" ht="15.75" thickBot="1" x14ac:dyDescent="0.3">
      <c r="A143" s="456">
        <v>43952</v>
      </c>
      <c r="B143" s="441" t="s">
        <v>605</v>
      </c>
      <c r="C143" s="441" t="s">
        <v>605</v>
      </c>
      <c r="D143" s="54">
        <v>23601.19</v>
      </c>
      <c r="E143" s="822"/>
      <c r="F143" s="54">
        <v>0</v>
      </c>
      <c r="G143" s="822"/>
      <c r="H143" s="822"/>
      <c r="I143" s="822"/>
      <c r="J143" s="822"/>
      <c r="K143" s="822"/>
      <c r="L143" s="437">
        <f>SUM(F143:K143)</f>
        <v>0</v>
      </c>
      <c r="M143" s="822"/>
      <c r="N143" s="54">
        <v>22243.91</v>
      </c>
      <c r="O143" s="822"/>
      <c r="P143" s="822"/>
      <c r="Q143" s="822"/>
      <c r="R143" s="822"/>
      <c r="S143" s="822"/>
      <c r="T143" s="822"/>
      <c r="U143" s="440">
        <f t="shared" si="7"/>
        <v>22243.91</v>
      </c>
      <c r="V143" s="822"/>
      <c r="W143" s="54">
        <v>333.06</v>
      </c>
      <c r="X143" s="54">
        <v>1024.22</v>
      </c>
      <c r="Y143" s="822"/>
      <c r="Z143" s="822"/>
      <c r="AA143" s="822"/>
      <c r="AB143" s="822"/>
      <c r="AC143" s="54">
        <v>0</v>
      </c>
      <c r="AD143" s="54">
        <v>0</v>
      </c>
      <c r="AE143" s="822"/>
      <c r="AF143" s="54">
        <v>23601.19</v>
      </c>
      <c r="AG143" s="54">
        <v>0</v>
      </c>
      <c r="AH143" s="822"/>
      <c r="AI143" s="55"/>
    </row>
    <row r="144" spans="1:35" ht="15.75" thickBot="1" x14ac:dyDescent="0.3">
      <c r="A144" s="456">
        <v>43952</v>
      </c>
      <c r="B144" s="852" t="s">
        <v>947</v>
      </c>
      <c r="C144" s="853"/>
      <c r="D144" s="849">
        <f>D143</f>
        <v>23601.19</v>
      </c>
      <c r="E144" s="849">
        <f t="shared" ref="E144:AG144" si="12">E143</f>
        <v>0</v>
      </c>
      <c r="F144" s="849">
        <f t="shared" si="12"/>
        <v>0</v>
      </c>
      <c r="G144" s="849">
        <f t="shared" si="12"/>
        <v>0</v>
      </c>
      <c r="H144" s="849">
        <f t="shared" si="12"/>
        <v>0</v>
      </c>
      <c r="I144" s="849">
        <f t="shared" si="12"/>
        <v>0</v>
      </c>
      <c r="J144" s="849">
        <f t="shared" si="12"/>
        <v>0</v>
      </c>
      <c r="K144" s="849">
        <f t="shared" si="12"/>
        <v>0</v>
      </c>
      <c r="L144" s="849">
        <f t="shared" si="12"/>
        <v>0</v>
      </c>
      <c r="M144" s="849">
        <f t="shared" si="12"/>
        <v>0</v>
      </c>
      <c r="N144" s="849">
        <f>N143</f>
        <v>22243.91</v>
      </c>
      <c r="O144" s="849">
        <f t="shared" si="12"/>
        <v>0</v>
      </c>
      <c r="P144" s="849">
        <f t="shared" si="12"/>
        <v>0</v>
      </c>
      <c r="Q144" s="849">
        <f t="shared" si="12"/>
        <v>0</v>
      </c>
      <c r="R144" s="849">
        <f t="shared" si="12"/>
        <v>0</v>
      </c>
      <c r="S144" s="849">
        <f t="shared" si="12"/>
        <v>0</v>
      </c>
      <c r="T144" s="849">
        <f t="shared" si="12"/>
        <v>0</v>
      </c>
      <c r="U144" s="849">
        <f t="shared" si="12"/>
        <v>22243.91</v>
      </c>
      <c r="V144" s="849">
        <f t="shared" si="12"/>
        <v>0</v>
      </c>
      <c r="W144" s="849">
        <f>W143</f>
        <v>333.06</v>
      </c>
      <c r="X144" s="849">
        <f>X143</f>
        <v>1024.22</v>
      </c>
      <c r="Y144" s="849">
        <f t="shared" si="12"/>
        <v>0</v>
      </c>
      <c r="Z144" s="849">
        <f t="shared" si="12"/>
        <v>0</v>
      </c>
      <c r="AA144" s="849">
        <f t="shared" si="12"/>
        <v>0</v>
      </c>
      <c r="AB144" s="849">
        <f t="shared" si="12"/>
        <v>0</v>
      </c>
      <c r="AC144" s="849">
        <f t="shared" si="12"/>
        <v>0</v>
      </c>
      <c r="AD144" s="849">
        <f t="shared" si="12"/>
        <v>0</v>
      </c>
      <c r="AE144" s="849">
        <f t="shared" si="12"/>
        <v>0</v>
      </c>
      <c r="AF144" s="849">
        <f t="shared" si="12"/>
        <v>23601.19</v>
      </c>
      <c r="AG144" s="849">
        <f t="shared" si="12"/>
        <v>0</v>
      </c>
      <c r="AH144" s="849"/>
      <c r="AI144" s="53"/>
    </row>
    <row r="145" spans="1:35" ht="15.75" thickBot="1" x14ac:dyDescent="0.3">
      <c r="A145" s="456">
        <v>43952</v>
      </c>
      <c r="B145" s="438" t="s">
        <v>32</v>
      </c>
      <c r="C145" s="439" t="s">
        <v>33</v>
      </c>
      <c r="D145" s="56">
        <v>546271.91</v>
      </c>
      <c r="E145" s="56">
        <v>87540</v>
      </c>
      <c r="F145" s="56">
        <v>2250</v>
      </c>
      <c r="G145" s="56">
        <v>541402.71</v>
      </c>
      <c r="H145" s="56">
        <v>2619.1999999999998</v>
      </c>
      <c r="I145" s="823"/>
      <c r="J145" s="823"/>
      <c r="K145" s="823"/>
      <c r="L145" s="437">
        <f t="shared" si="8"/>
        <v>546271.90999999992</v>
      </c>
      <c r="M145" s="823"/>
      <c r="N145" s="823"/>
      <c r="O145" s="823"/>
      <c r="P145" s="823"/>
      <c r="Q145" s="823"/>
      <c r="R145" s="823"/>
      <c r="S145" s="823"/>
      <c r="T145" s="823"/>
      <c r="U145" s="440">
        <f t="shared" si="7"/>
        <v>0</v>
      </c>
      <c r="V145" s="823"/>
      <c r="W145" s="823"/>
      <c r="X145" s="823"/>
      <c r="Y145" s="823"/>
      <c r="Z145" s="823"/>
      <c r="AA145" s="823"/>
      <c r="AB145" s="823"/>
      <c r="AC145" s="823"/>
      <c r="AD145" s="56">
        <v>0</v>
      </c>
      <c r="AE145" s="823"/>
      <c r="AF145" s="56">
        <v>546271.91</v>
      </c>
      <c r="AG145" s="56">
        <v>0</v>
      </c>
      <c r="AH145" s="823"/>
      <c r="AI145" s="55"/>
    </row>
    <row r="146" spans="1:35" ht="15.75" thickBot="1" x14ac:dyDescent="0.3">
      <c r="A146" s="456">
        <v>43952</v>
      </c>
      <c r="B146" s="441" t="s">
        <v>605</v>
      </c>
      <c r="C146" s="441" t="s">
        <v>605</v>
      </c>
      <c r="D146" s="54">
        <v>546271.91</v>
      </c>
      <c r="E146" s="54">
        <v>87540</v>
      </c>
      <c r="F146" s="54">
        <v>2250</v>
      </c>
      <c r="G146" s="54">
        <v>541402.71</v>
      </c>
      <c r="H146" s="54">
        <v>2619.1999999999998</v>
      </c>
      <c r="I146" s="822"/>
      <c r="J146" s="822"/>
      <c r="K146" s="822"/>
      <c r="L146" s="437">
        <f t="shared" si="8"/>
        <v>546271.90999999992</v>
      </c>
      <c r="M146" s="822"/>
      <c r="N146" s="822"/>
      <c r="O146" s="822"/>
      <c r="P146" s="822"/>
      <c r="Q146" s="822"/>
      <c r="R146" s="822"/>
      <c r="S146" s="822"/>
      <c r="T146" s="822"/>
      <c r="U146" s="440">
        <f t="shared" si="7"/>
        <v>0</v>
      </c>
      <c r="V146" s="822"/>
      <c r="W146" s="822"/>
      <c r="X146" s="822"/>
      <c r="Y146" s="822"/>
      <c r="Z146" s="822"/>
      <c r="AA146" s="822"/>
      <c r="AB146" s="822"/>
      <c r="AC146" s="822"/>
      <c r="AD146" s="54">
        <v>0</v>
      </c>
      <c r="AE146" s="822"/>
      <c r="AF146" s="54">
        <v>546271.91</v>
      </c>
      <c r="AG146" s="54">
        <v>0</v>
      </c>
      <c r="AH146" s="822"/>
      <c r="AI146" s="54"/>
    </row>
    <row r="147" spans="1:35" ht="15.75" thickBot="1" x14ac:dyDescent="0.3">
      <c r="A147" s="456">
        <v>43983</v>
      </c>
      <c r="B147" s="438" t="s">
        <v>13</v>
      </c>
      <c r="C147" s="439" t="s">
        <v>228</v>
      </c>
      <c r="D147" s="54">
        <v>19489.79</v>
      </c>
      <c r="E147" s="54">
        <v>49012</v>
      </c>
      <c r="F147" s="54">
        <v>1000</v>
      </c>
      <c r="G147" s="822"/>
      <c r="H147" s="54">
        <v>5216.84</v>
      </c>
      <c r="I147" s="822"/>
      <c r="J147" s="822"/>
      <c r="K147" s="822"/>
      <c r="L147" s="437">
        <f>SUM(F147:K147)</f>
        <v>6216.84</v>
      </c>
      <c r="M147" s="54">
        <v>23.52</v>
      </c>
      <c r="N147" s="54">
        <v>12453.95</v>
      </c>
      <c r="O147" s="822"/>
      <c r="P147" s="822"/>
      <c r="Q147" s="822"/>
      <c r="R147" s="822"/>
      <c r="S147" s="822"/>
      <c r="T147" s="822"/>
      <c r="U147" s="440">
        <f t="shared" si="7"/>
        <v>12453.95</v>
      </c>
      <c r="V147" s="822"/>
      <c r="W147" s="54">
        <v>222.04</v>
      </c>
      <c r="X147" s="54">
        <v>573.44000000000005</v>
      </c>
      <c r="Y147" s="822"/>
      <c r="Z147" s="822"/>
      <c r="AA147" s="822"/>
      <c r="AB147" s="822"/>
      <c r="AC147" s="54">
        <v>0</v>
      </c>
      <c r="AD147" s="54">
        <v>323.38</v>
      </c>
      <c r="AE147" s="822"/>
      <c r="AF147" s="54">
        <v>19813.169999999998</v>
      </c>
      <c r="AG147" s="54">
        <v>0</v>
      </c>
      <c r="AH147" s="822"/>
      <c r="AI147" s="54"/>
    </row>
    <row r="148" spans="1:35" ht="15.75" thickBot="1" x14ac:dyDescent="0.3">
      <c r="A148" s="456">
        <v>43983</v>
      </c>
      <c r="B148" s="438" t="s">
        <v>429</v>
      </c>
      <c r="C148" s="439" t="s">
        <v>430</v>
      </c>
      <c r="D148" s="56">
        <v>16477.330000000002</v>
      </c>
      <c r="E148" s="56">
        <v>42569</v>
      </c>
      <c r="F148" s="56">
        <v>500</v>
      </c>
      <c r="G148" s="823"/>
      <c r="H148" s="56">
        <v>4531.04</v>
      </c>
      <c r="I148" s="823"/>
      <c r="J148" s="823"/>
      <c r="K148" s="823"/>
      <c r="L148" s="437">
        <f t="shared" ref="L148:L194" si="13">SUM(F148:K148)</f>
        <v>5031.04</v>
      </c>
      <c r="M148" s="56">
        <v>20.43</v>
      </c>
      <c r="N148" s="56">
        <v>10816.78</v>
      </c>
      <c r="O148" s="823"/>
      <c r="P148" s="823"/>
      <c r="Q148" s="823"/>
      <c r="R148" s="823"/>
      <c r="S148" s="823"/>
      <c r="T148" s="823"/>
      <c r="U148" s="440">
        <f t="shared" si="7"/>
        <v>10816.78</v>
      </c>
      <c r="V148" s="823"/>
      <c r="W148" s="56">
        <v>111.02</v>
      </c>
      <c r="X148" s="56">
        <v>498.06</v>
      </c>
      <c r="Y148" s="823"/>
      <c r="Z148" s="823"/>
      <c r="AA148" s="823"/>
      <c r="AB148" s="823"/>
      <c r="AC148" s="56">
        <v>0</v>
      </c>
      <c r="AD148" s="56">
        <v>0</v>
      </c>
      <c r="AE148" s="823"/>
      <c r="AF148" s="56">
        <v>16477.330000000002</v>
      </c>
      <c r="AG148" s="56">
        <v>0</v>
      </c>
      <c r="AH148" s="823"/>
      <c r="AI148" s="56"/>
    </row>
    <row r="149" spans="1:35" ht="15.75" thickBot="1" x14ac:dyDescent="0.3">
      <c r="A149" s="456">
        <v>43983</v>
      </c>
      <c r="B149" s="441" t="s">
        <v>223</v>
      </c>
      <c r="C149" s="441" t="s">
        <v>223</v>
      </c>
      <c r="D149" s="54">
        <v>35967.120000000003</v>
      </c>
      <c r="E149" s="54">
        <v>91581</v>
      </c>
      <c r="F149" s="54">
        <v>1500</v>
      </c>
      <c r="G149" s="822"/>
      <c r="H149" s="54">
        <v>9747.8799999999992</v>
      </c>
      <c r="I149" s="822"/>
      <c r="J149" s="822"/>
      <c r="K149" s="822"/>
      <c r="L149" s="437">
        <f>SUM(F149:K149)</f>
        <v>11247.88</v>
      </c>
      <c r="M149" s="54">
        <v>43.95</v>
      </c>
      <c r="N149" s="54">
        <v>23270.73</v>
      </c>
      <c r="O149" s="822"/>
      <c r="P149" s="822"/>
      <c r="Q149" s="822"/>
      <c r="R149" s="822"/>
      <c r="S149" s="822"/>
      <c r="T149" s="822"/>
      <c r="U149" s="440">
        <f>SUM(N149:T149)</f>
        <v>23270.73</v>
      </c>
      <c r="V149" s="822"/>
      <c r="W149" s="54">
        <v>333.06</v>
      </c>
      <c r="X149" s="54">
        <v>1071.5</v>
      </c>
      <c r="Y149" s="822"/>
      <c r="Z149" s="822"/>
      <c r="AA149" s="822"/>
      <c r="AB149" s="822"/>
      <c r="AC149" s="54">
        <v>0</v>
      </c>
      <c r="AD149" s="54">
        <v>323.38</v>
      </c>
      <c r="AE149" s="822"/>
      <c r="AF149" s="54">
        <v>36290.5</v>
      </c>
      <c r="AG149" s="54">
        <v>0</v>
      </c>
      <c r="AH149" s="822"/>
      <c r="AI149" s="54"/>
    </row>
    <row r="150" spans="1:35" ht="23.25" thickBot="1" x14ac:dyDescent="0.3">
      <c r="A150" s="456">
        <v>43983</v>
      </c>
      <c r="B150" s="438" t="s">
        <v>19</v>
      </c>
      <c r="C150" s="439" t="s">
        <v>431</v>
      </c>
      <c r="D150" s="56">
        <v>3758434.78</v>
      </c>
      <c r="E150" s="56">
        <v>3054787</v>
      </c>
      <c r="F150" s="56">
        <v>1812626.12</v>
      </c>
      <c r="G150" s="823"/>
      <c r="H150" s="56">
        <v>888677.32</v>
      </c>
      <c r="I150" s="823"/>
      <c r="J150" s="823"/>
      <c r="K150" s="823"/>
      <c r="L150" s="437">
        <f t="shared" si="13"/>
        <v>2701303.44</v>
      </c>
      <c r="M150" s="56">
        <v>1478.6</v>
      </c>
      <c r="N150" s="56">
        <v>768631.29</v>
      </c>
      <c r="O150" s="823"/>
      <c r="P150" s="823"/>
      <c r="Q150" s="823"/>
      <c r="R150" s="823"/>
      <c r="S150" s="823"/>
      <c r="T150" s="823"/>
      <c r="U150" s="440">
        <f t="shared" si="7"/>
        <v>768631.29</v>
      </c>
      <c r="V150" s="823"/>
      <c r="W150" s="56">
        <v>232195.89</v>
      </c>
      <c r="X150" s="56">
        <v>59748.639999999999</v>
      </c>
      <c r="Y150" s="56">
        <v>-4923.1499999999996</v>
      </c>
      <c r="Z150" s="56">
        <v>7.0000000000000007E-2</v>
      </c>
      <c r="AA150" s="823"/>
      <c r="AB150" s="823"/>
      <c r="AC150" s="56">
        <v>6694.69</v>
      </c>
      <c r="AD150" s="56">
        <v>202616.32000000001</v>
      </c>
      <c r="AE150" s="823"/>
      <c r="AF150" s="56">
        <v>3967745.79</v>
      </c>
      <c r="AG150" s="56">
        <v>0</v>
      </c>
      <c r="AH150" s="823"/>
      <c r="AI150" s="56"/>
    </row>
    <row r="151" spans="1:35" ht="15.75" thickBot="1" x14ac:dyDescent="0.3">
      <c r="A151" s="456">
        <v>43983</v>
      </c>
      <c r="B151" s="438" t="s">
        <v>350</v>
      </c>
      <c r="C151" s="439" t="s">
        <v>432</v>
      </c>
      <c r="D151" s="54">
        <v>215.01</v>
      </c>
      <c r="E151" s="54">
        <v>256</v>
      </c>
      <c r="F151" s="54">
        <v>57.13</v>
      </c>
      <c r="G151" s="822"/>
      <c r="H151" s="54">
        <v>78.52</v>
      </c>
      <c r="I151" s="822"/>
      <c r="J151" s="822"/>
      <c r="K151" s="822"/>
      <c r="L151" s="437">
        <f t="shared" si="13"/>
        <v>135.65</v>
      </c>
      <c r="M151" s="54">
        <v>0.12</v>
      </c>
      <c r="N151" s="54">
        <v>65.05</v>
      </c>
      <c r="O151" s="822"/>
      <c r="P151" s="822"/>
      <c r="Q151" s="822"/>
      <c r="R151" s="822"/>
      <c r="S151" s="822"/>
      <c r="T151" s="822"/>
      <c r="U151" s="440">
        <f t="shared" si="7"/>
        <v>65.05</v>
      </c>
      <c r="V151" s="822"/>
      <c r="W151" s="54">
        <v>9.27</v>
      </c>
      <c r="X151" s="54">
        <v>4.92</v>
      </c>
      <c r="Y151" s="822"/>
      <c r="Z151" s="822"/>
      <c r="AA151" s="822"/>
      <c r="AB151" s="822"/>
      <c r="AC151" s="54">
        <v>0</v>
      </c>
      <c r="AD151" s="54">
        <v>12.9</v>
      </c>
      <c r="AE151" s="822"/>
      <c r="AF151" s="54">
        <v>227.91</v>
      </c>
      <c r="AG151" s="54">
        <v>0</v>
      </c>
      <c r="AH151" s="822"/>
      <c r="AI151" s="54"/>
    </row>
    <row r="152" spans="1:35" ht="23.25" thickBot="1" x14ac:dyDescent="0.3">
      <c r="A152" s="456">
        <v>43983</v>
      </c>
      <c r="B152" s="438" t="s">
        <v>599</v>
      </c>
      <c r="C152" s="439" t="s">
        <v>600</v>
      </c>
      <c r="D152" s="56">
        <v>42786.31</v>
      </c>
      <c r="E152" s="56">
        <v>601</v>
      </c>
      <c r="F152" s="56">
        <v>36801.57</v>
      </c>
      <c r="G152" s="823"/>
      <c r="H152" s="56">
        <v>186.31</v>
      </c>
      <c r="I152" s="823"/>
      <c r="J152" s="823"/>
      <c r="K152" s="823"/>
      <c r="L152" s="437">
        <f t="shared" si="13"/>
        <v>36987.879999999997</v>
      </c>
      <c r="M152" s="56">
        <v>0</v>
      </c>
      <c r="N152" s="56">
        <v>150.25</v>
      </c>
      <c r="O152" s="823"/>
      <c r="P152" s="823"/>
      <c r="Q152" s="823"/>
      <c r="R152" s="823"/>
      <c r="S152" s="823"/>
      <c r="T152" s="823"/>
      <c r="U152" s="440">
        <f t="shared" si="7"/>
        <v>150.25</v>
      </c>
      <c r="V152" s="823"/>
      <c r="W152" s="56">
        <v>5636.16</v>
      </c>
      <c r="X152" s="56">
        <v>12.02</v>
      </c>
      <c r="Y152" s="823"/>
      <c r="Z152" s="823"/>
      <c r="AA152" s="823"/>
      <c r="AB152" s="823"/>
      <c r="AC152" s="56">
        <v>14.73</v>
      </c>
      <c r="AD152" s="56">
        <v>2713.76</v>
      </c>
      <c r="AE152" s="823"/>
      <c r="AF152" s="56">
        <v>45514.8</v>
      </c>
      <c r="AG152" s="56">
        <v>0</v>
      </c>
      <c r="AH152" s="823"/>
      <c r="AI152" s="56"/>
    </row>
    <row r="153" spans="1:35" ht="15.75" thickBot="1" x14ac:dyDescent="0.3">
      <c r="A153" s="456">
        <v>43983</v>
      </c>
      <c r="B153" s="441" t="s">
        <v>56</v>
      </c>
      <c r="C153" s="441" t="s">
        <v>56</v>
      </c>
      <c r="D153" s="54">
        <v>3801436.1</v>
      </c>
      <c r="E153" s="54">
        <v>3055644</v>
      </c>
      <c r="F153" s="54">
        <v>1849484.82</v>
      </c>
      <c r="G153" s="822"/>
      <c r="H153" s="54">
        <v>888942.15</v>
      </c>
      <c r="I153" s="822"/>
      <c r="J153" s="822"/>
      <c r="K153" s="822"/>
      <c r="L153" s="437">
        <f t="shared" si="13"/>
        <v>2738426.97</v>
      </c>
      <c r="M153" s="54">
        <v>1478.72</v>
      </c>
      <c r="N153" s="54">
        <v>768846.59</v>
      </c>
      <c r="O153" s="822"/>
      <c r="P153" s="822"/>
      <c r="Q153" s="822"/>
      <c r="R153" s="822"/>
      <c r="S153" s="822"/>
      <c r="T153" s="822"/>
      <c r="U153" s="440">
        <f t="shared" si="7"/>
        <v>768846.59</v>
      </c>
      <c r="V153" s="822"/>
      <c r="W153" s="54">
        <v>237841.32</v>
      </c>
      <c r="X153" s="54">
        <v>59765.58</v>
      </c>
      <c r="Y153" s="54">
        <v>-4923.1499999999996</v>
      </c>
      <c r="Z153" s="54">
        <v>7.0000000000000007E-2</v>
      </c>
      <c r="AA153" s="822"/>
      <c r="AB153" s="822"/>
      <c r="AC153" s="54">
        <v>6709.42</v>
      </c>
      <c r="AD153" s="54">
        <v>205342.98</v>
      </c>
      <c r="AE153" s="822"/>
      <c r="AF153" s="54">
        <v>4013488.5</v>
      </c>
      <c r="AG153" s="54">
        <v>0</v>
      </c>
      <c r="AH153" s="822"/>
      <c r="AI153" s="54"/>
    </row>
    <row r="154" spans="1:35" ht="23.25" thickBot="1" x14ac:dyDescent="0.3">
      <c r="A154" s="456">
        <v>43983</v>
      </c>
      <c r="B154" s="438" t="s">
        <v>43</v>
      </c>
      <c r="C154" s="439" t="s">
        <v>433</v>
      </c>
      <c r="D154" s="56">
        <v>2588.5500000000002</v>
      </c>
      <c r="E154" s="56">
        <v>31</v>
      </c>
      <c r="F154" s="56">
        <v>495</v>
      </c>
      <c r="G154" s="56">
        <v>1751.32</v>
      </c>
      <c r="H154" s="56">
        <v>0.93</v>
      </c>
      <c r="I154" s="823"/>
      <c r="J154" s="823"/>
      <c r="K154" s="823"/>
      <c r="L154" s="437">
        <f t="shared" si="13"/>
        <v>2247.2499999999995</v>
      </c>
      <c r="M154" s="823"/>
      <c r="N154" s="56">
        <v>7.88</v>
      </c>
      <c r="O154" s="823"/>
      <c r="P154" s="823"/>
      <c r="Q154" s="823"/>
      <c r="R154" s="823"/>
      <c r="S154" s="823"/>
      <c r="T154" s="823"/>
      <c r="U154" s="440">
        <f t="shared" si="7"/>
        <v>7.88</v>
      </c>
      <c r="V154" s="823"/>
      <c r="W154" s="56">
        <v>333.06</v>
      </c>
      <c r="X154" s="56">
        <v>0.36</v>
      </c>
      <c r="Y154" s="823"/>
      <c r="Z154" s="823"/>
      <c r="AA154" s="823"/>
      <c r="AB154" s="823"/>
      <c r="AC154" s="56">
        <v>0</v>
      </c>
      <c r="AD154" s="56">
        <v>98.37</v>
      </c>
      <c r="AE154" s="823"/>
      <c r="AF154" s="56">
        <v>2686.92</v>
      </c>
      <c r="AG154" s="56">
        <v>0</v>
      </c>
      <c r="AH154" s="823"/>
      <c r="AI154" s="56"/>
    </row>
    <row r="155" spans="1:35" ht="15.75" thickBot="1" x14ac:dyDescent="0.3">
      <c r="A155" s="456">
        <v>43983</v>
      </c>
      <c r="B155" s="441" t="s">
        <v>428</v>
      </c>
      <c r="C155" s="441" t="s">
        <v>428</v>
      </c>
      <c r="D155" s="54">
        <v>2588.5500000000002</v>
      </c>
      <c r="E155" s="54">
        <v>31</v>
      </c>
      <c r="F155" s="54">
        <v>495</v>
      </c>
      <c r="G155" s="54">
        <v>1751.32</v>
      </c>
      <c r="H155" s="54">
        <v>0.93</v>
      </c>
      <c r="I155" s="822"/>
      <c r="J155" s="822"/>
      <c r="K155" s="822"/>
      <c r="L155" s="437">
        <f>SUM(F155:K155)</f>
        <v>2247.2499999999995</v>
      </c>
      <c r="M155" s="822"/>
      <c r="N155" s="54">
        <v>7.88</v>
      </c>
      <c r="O155" s="822"/>
      <c r="P155" s="822"/>
      <c r="Q155" s="822"/>
      <c r="R155" s="822"/>
      <c r="S155" s="822"/>
      <c r="T155" s="822"/>
      <c r="U155" s="440">
        <f t="shared" si="7"/>
        <v>7.88</v>
      </c>
      <c r="V155" s="822"/>
      <c r="W155" s="54">
        <v>333.06</v>
      </c>
      <c r="X155" s="54">
        <v>0.36</v>
      </c>
      <c r="Y155" s="822"/>
      <c r="Z155" s="822"/>
      <c r="AA155" s="822"/>
      <c r="AB155" s="822"/>
      <c r="AC155" s="54">
        <v>0</v>
      </c>
      <c r="AD155" s="54">
        <v>98.37</v>
      </c>
      <c r="AE155" s="822"/>
      <c r="AF155" s="54">
        <v>2686.92</v>
      </c>
      <c r="AG155" s="54">
        <v>0</v>
      </c>
      <c r="AH155" s="822"/>
      <c r="AI155" s="53"/>
    </row>
    <row r="156" spans="1:35" ht="23.25" thickBot="1" x14ac:dyDescent="0.3">
      <c r="A156" s="456">
        <v>43983</v>
      </c>
      <c r="B156" s="438" t="s">
        <v>24</v>
      </c>
      <c r="C156" s="439" t="s">
        <v>436</v>
      </c>
      <c r="D156" s="54">
        <v>201523.91</v>
      </c>
      <c r="E156" s="54">
        <v>331536</v>
      </c>
      <c r="F156" s="54">
        <v>44588.02</v>
      </c>
      <c r="G156" s="54"/>
      <c r="H156" s="54">
        <v>58438.86</v>
      </c>
      <c r="I156" s="822"/>
      <c r="J156" s="822"/>
      <c r="K156" s="822"/>
      <c r="L156" s="437"/>
      <c r="M156" s="822"/>
      <c r="N156" s="54">
        <v>84490.96</v>
      </c>
      <c r="O156" s="822"/>
      <c r="P156" s="822"/>
      <c r="Q156" s="822"/>
      <c r="R156" s="822"/>
      <c r="S156" s="822"/>
      <c r="T156" s="822"/>
      <c r="U156" s="440"/>
      <c r="V156" s="822"/>
      <c r="W156" s="54">
        <v>10149.11</v>
      </c>
      <c r="X156" s="54">
        <v>3856.96</v>
      </c>
      <c r="Y156" s="822"/>
      <c r="Z156" s="822"/>
      <c r="AA156" s="822"/>
      <c r="AB156" s="822"/>
      <c r="AC156" s="54">
        <v>170.06</v>
      </c>
      <c r="AD156" s="54">
        <v>11168.91</v>
      </c>
      <c r="AE156" s="822"/>
      <c r="AF156" s="54">
        <v>212862.88</v>
      </c>
      <c r="AG156" s="54">
        <v>0</v>
      </c>
      <c r="AH156" s="822"/>
      <c r="AI156" s="55"/>
    </row>
    <row r="157" spans="1:35" ht="23.25" thickBot="1" x14ac:dyDescent="0.3">
      <c r="A157" s="456">
        <v>43983</v>
      </c>
      <c r="B157" s="438" t="s">
        <v>434</v>
      </c>
      <c r="C157" s="439" t="s">
        <v>435</v>
      </c>
      <c r="D157" s="54">
        <v>261280.9</v>
      </c>
      <c r="E157" s="54">
        <v>425806</v>
      </c>
      <c r="F157" s="54">
        <v>58227.94</v>
      </c>
      <c r="G157" s="54"/>
      <c r="H157" s="54">
        <v>74789.34</v>
      </c>
      <c r="I157" s="822"/>
      <c r="J157" s="822"/>
      <c r="K157" s="822"/>
      <c r="L157" s="437"/>
      <c r="M157" s="822">
        <v>204.32</v>
      </c>
      <c r="N157" s="54">
        <v>108235.31</v>
      </c>
      <c r="O157" s="822"/>
      <c r="P157" s="822"/>
      <c r="Q157" s="822"/>
      <c r="R157" s="822"/>
      <c r="S157" s="822"/>
      <c r="T157" s="822"/>
      <c r="U157" s="440"/>
      <c r="V157" s="822"/>
      <c r="W157" s="54">
        <v>14845.41</v>
      </c>
      <c r="X157" s="54">
        <v>4978.58</v>
      </c>
      <c r="Y157" s="822"/>
      <c r="Z157" s="822"/>
      <c r="AA157" s="822"/>
      <c r="AB157" s="822"/>
      <c r="AC157" s="54">
        <v>0</v>
      </c>
      <c r="AD157" s="54">
        <v>13204.48</v>
      </c>
      <c r="AE157" s="822"/>
      <c r="AF157" s="54">
        <v>274485.38</v>
      </c>
      <c r="AG157" s="54">
        <v>0</v>
      </c>
      <c r="AH157" s="822"/>
      <c r="AI157" s="53"/>
    </row>
    <row r="158" spans="1:35" ht="15.75" thickBot="1" x14ac:dyDescent="0.3">
      <c r="A158" s="456">
        <v>43983</v>
      </c>
      <c r="B158" s="441" t="s">
        <v>59</v>
      </c>
      <c r="C158" s="441" t="s">
        <v>59</v>
      </c>
      <c r="D158" s="56">
        <v>462804.81</v>
      </c>
      <c r="E158" s="56">
        <v>757342</v>
      </c>
      <c r="F158" s="56">
        <v>102815.96</v>
      </c>
      <c r="G158" s="823"/>
      <c r="H158" s="56">
        <v>133228.20000000001</v>
      </c>
      <c r="I158" s="823"/>
      <c r="J158" s="823"/>
      <c r="K158" s="823"/>
      <c r="L158" s="437">
        <f t="shared" si="13"/>
        <v>236044.16000000003</v>
      </c>
      <c r="M158" s="823">
        <v>204.32</v>
      </c>
      <c r="N158" s="56">
        <v>192726.27</v>
      </c>
      <c r="O158" s="823"/>
      <c r="P158" s="823"/>
      <c r="Q158" s="823"/>
      <c r="R158" s="823"/>
      <c r="S158" s="823"/>
      <c r="T158" s="823"/>
      <c r="U158" s="440">
        <f t="shared" si="7"/>
        <v>192726.27</v>
      </c>
      <c r="V158" s="823"/>
      <c r="W158" s="56">
        <v>24994.52</v>
      </c>
      <c r="X158" s="56">
        <v>8835.5400000000009</v>
      </c>
      <c r="Y158" s="823"/>
      <c r="Z158" s="823"/>
      <c r="AA158" s="823"/>
      <c r="AB158" s="823"/>
      <c r="AC158" s="56">
        <v>170.06</v>
      </c>
      <c r="AD158" s="56">
        <v>24373.39</v>
      </c>
      <c r="AE158" s="823"/>
      <c r="AF158" s="56">
        <v>487348.26</v>
      </c>
      <c r="AG158" s="56">
        <v>0</v>
      </c>
      <c r="AH158" s="823"/>
      <c r="AI158" s="55"/>
    </row>
    <row r="159" spans="1:35" ht="15.75" thickBot="1" x14ac:dyDescent="0.3">
      <c r="A159" s="456">
        <v>43983</v>
      </c>
      <c r="B159" s="438" t="s">
        <v>26</v>
      </c>
      <c r="C159" s="439" t="s">
        <v>27</v>
      </c>
      <c r="D159" s="54">
        <v>10133094.07</v>
      </c>
      <c r="E159" s="54">
        <v>5371053</v>
      </c>
      <c r="F159" s="54">
        <v>6114087.0300000003</v>
      </c>
      <c r="G159" s="822"/>
      <c r="H159" s="54">
        <v>1975608.38</v>
      </c>
      <c r="I159" s="822"/>
      <c r="J159" s="822"/>
      <c r="K159" s="822"/>
      <c r="L159" s="437">
        <f t="shared" si="13"/>
        <v>8089695.4100000001</v>
      </c>
      <c r="M159" s="54">
        <v>-8422.59</v>
      </c>
      <c r="N159" s="54">
        <v>1361661.59</v>
      </c>
      <c r="O159" s="822"/>
      <c r="P159" s="822"/>
      <c r="Q159" s="822"/>
      <c r="R159" s="822"/>
      <c r="S159" s="822"/>
      <c r="T159" s="822"/>
      <c r="U159" s="440">
        <f t="shared" si="7"/>
        <v>1361661.59</v>
      </c>
      <c r="V159" s="822"/>
      <c r="W159" s="54">
        <v>562555.07999999996</v>
      </c>
      <c r="X159" s="54">
        <v>128308.98</v>
      </c>
      <c r="Y159" s="822">
        <v>-699.59</v>
      </c>
      <c r="Z159" s="822">
        <v>-4.8099999999999996</v>
      </c>
      <c r="AA159" s="822"/>
      <c r="AB159" s="822">
        <v>75911.8</v>
      </c>
      <c r="AC159" s="54">
        <v>12269.69</v>
      </c>
      <c r="AD159" s="54">
        <v>43346.66</v>
      </c>
      <c r="AE159" s="822"/>
      <c r="AF159" s="54">
        <v>10264622.220000001</v>
      </c>
      <c r="AG159" s="54">
        <v>0</v>
      </c>
      <c r="AH159" s="822"/>
      <c r="AI159" s="53"/>
    </row>
    <row r="160" spans="1:35" ht="15.75" thickBot="1" x14ac:dyDescent="0.3">
      <c r="A160" s="456">
        <v>43983</v>
      </c>
      <c r="B160" s="441" t="s">
        <v>62</v>
      </c>
      <c r="C160" s="441" t="s">
        <v>62</v>
      </c>
      <c r="D160" s="54">
        <v>10133094.07</v>
      </c>
      <c r="E160" s="54">
        <v>5371053</v>
      </c>
      <c r="F160" s="54">
        <v>6114087.0300000003</v>
      </c>
      <c r="G160" s="822"/>
      <c r="H160" s="54">
        <v>1975608.38</v>
      </c>
      <c r="I160" s="822"/>
      <c r="J160" s="822"/>
      <c r="K160" s="822"/>
      <c r="L160" s="437">
        <f t="shared" si="13"/>
        <v>8089695.4100000001</v>
      </c>
      <c r="M160" s="54">
        <v>-8422.59</v>
      </c>
      <c r="N160" s="54">
        <v>1361661.59</v>
      </c>
      <c r="O160" s="822"/>
      <c r="P160" s="822"/>
      <c r="Q160" s="822"/>
      <c r="R160" s="822"/>
      <c r="S160" s="822"/>
      <c r="T160" s="822"/>
      <c r="U160" s="440">
        <f t="shared" si="7"/>
        <v>1361661.59</v>
      </c>
      <c r="V160" s="822"/>
      <c r="W160" s="54">
        <v>562555.07999999996</v>
      </c>
      <c r="X160" s="54">
        <v>128308.98</v>
      </c>
      <c r="Y160" s="822">
        <v>-699.59</v>
      </c>
      <c r="Z160" s="822">
        <v>-4.8099999999999996</v>
      </c>
      <c r="AA160" s="822"/>
      <c r="AB160" s="822">
        <v>75911.8</v>
      </c>
      <c r="AC160" s="54">
        <v>12269.69</v>
      </c>
      <c r="AD160" s="54">
        <v>43346.66</v>
      </c>
      <c r="AE160" s="822"/>
      <c r="AF160" s="54">
        <v>10264622.220000001</v>
      </c>
      <c r="AG160" s="54">
        <v>0</v>
      </c>
      <c r="AH160" s="822"/>
      <c r="AI160" s="55"/>
    </row>
    <row r="161" spans="1:35" ht="23.25" thickBot="1" x14ac:dyDescent="0.3">
      <c r="A161" s="456">
        <v>43983</v>
      </c>
      <c r="B161" s="438" t="s">
        <v>28</v>
      </c>
      <c r="C161" s="439" t="s">
        <v>29</v>
      </c>
      <c r="D161" s="54">
        <v>272.19</v>
      </c>
      <c r="E161" s="54">
        <v>320</v>
      </c>
      <c r="F161" s="54">
        <v>60.45</v>
      </c>
      <c r="G161" s="822"/>
      <c r="H161" s="54">
        <v>117.7</v>
      </c>
      <c r="I161" s="822"/>
      <c r="J161" s="822"/>
      <c r="K161" s="822"/>
      <c r="L161" s="437">
        <f t="shared" si="13"/>
        <v>178.15</v>
      </c>
      <c r="M161" s="54">
        <v>-0.5</v>
      </c>
      <c r="N161" s="54">
        <v>81.319999999999993</v>
      </c>
      <c r="O161" s="822"/>
      <c r="P161" s="822"/>
      <c r="Q161" s="822"/>
      <c r="R161" s="822"/>
      <c r="S161" s="822"/>
      <c r="T161" s="822"/>
      <c r="U161" s="440">
        <f t="shared" si="7"/>
        <v>81.319999999999993</v>
      </c>
      <c r="V161" s="822"/>
      <c r="W161" s="54">
        <v>5.61</v>
      </c>
      <c r="X161" s="54">
        <v>7.61</v>
      </c>
      <c r="Y161" s="822"/>
      <c r="Z161" s="822"/>
      <c r="AA161" s="822"/>
      <c r="AB161" s="822"/>
      <c r="AC161" s="54">
        <v>0</v>
      </c>
      <c r="AD161" s="54">
        <v>0</v>
      </c>
      <c r="AE161" s="822"/>
      <c r="AF161" s="54">
        <v>272.19</v>
      </c>
      <c r="AG161" s="54">
        <v>0</v>
      </c>
      <c r="AH161" s="822"/>
      <c r="AI161" s="53"/>
    </row>
    <row r="162" spans="1:35" ht="15.75" thickBot="1" x14ac:dyDescent="0.3">
      <c r="A162" s="456">
        <v>43983</v>
      </c>
      <c r="B162" s="441" t="s">
        <v>606</v>
      </c>
      <c r="C162" s="441" t="s">
        <v>606</v>
      </c>
      <c r="D162" s="56">
        <v>272.19</v>
      </c>
      <c r="E162" s="56">
        <v>320</v>
      </c>
      <c r="F162" s="56">
        <v>60.45</v>
      </c>
      <c r="G162" s="823"/>
      <c r="H162" s="56">
        <v>117.7</v>
      </c>
      <c r="I162" s="823"/>
      <c r="J162" s="823"/>
      <c r="K162" s="823"/>
      <c r="L162" s="437">
        <f t="shared" si="13"/>
        <v>178.15</v>
      </c>
      <c r="M162" s="56">
        <v>-0.5</v>
      </c>
      <c r="N162" s="56">
        <v>81.319999999999993</v>
      </c>
      <c r="O162" s="823"/>
      <c r="P162" s="823"/>
      <c r="Q162" s="823"/>
      <c r="R162" s="823"/>
      <c r="S162" s="823"/>
      <c r="T162" s="823"/>
      <c r="U162" s="440">
        <f t="shared" si="7"/>
        <v>81.319999999999993</v>
      </c>
      <c r="V162" s="823"/>
      <c r="W162" s="56">
        <v>5.61</v>
      </c>
      <c r="X162" s="56">
        <v>7.61</v>
      </c>
      <c r="Y162" s="823"/>
      <c r="Z162" s="823"/>
      <c r="AA162" s="823"/>
      <c r="AB162" s="823"/>
      <c r="AC162" s="56">
        <v>0</v>
      </c>
      <c r="AD162" s="56">
        <v>0</v>
      </c>
      <c r="AE162" s="823"/>
      <c r="AF162" s="56">
        <v>272.19</v>
      </c>
      <c r="AG162" s="56">
        <v>0</v>
      </c>
      <c r="AH162" s="823"/>
      <c r="AI162" s="55"/>
    </row>
    <row r="163" spans="1:35" ht="23.25" thickBot="1" x14ac:dyDescent="0.3">
      <c r="A163" s="456">
        <v>43983</v>
      </c>
      <c r="B163" s="438" t="s">
        <v>563</v>
      </c>
      <c r="C163" s="439" t="s">
        <v>607</v>
      </c>
      <c r="D163" s="54">
        <v>16183.96</v>
      </c>
      <c r="E163" s="54">
        <v>87</v>
      </c>
      <c r="F163" s="54">
        <v>285</v>
      </c>
      <c r="G163" s="822">
        <v>15862.74</v>
      </c>
      <c r="H163" s="54">
        <v>3.13</v>
      </c>
      <c r="I163" s="822"/>
      <c r="J163" s="822"/>
      <c r="K163" s="822"/>
      <c r="L163" s="437">
        <f t="shared" si="13"/>
        <v>16150.869999999999</v>
      </c>
      <c r="M163" s="54">
        <v>0.04</v>
      </c>
      <c r="N163" s="54">
        <v>22.11</v>
      </c>
      <c r="O163" s="822"/>
      <c r="P163" s="822"/>
      <c r="Q163" s="822"/>
      <c r="R163" s="822"/>
      <c r="S163" s="822"/>
      <c r="T163" s="822"/>
      <c r="U163" s="440">
        <f t="shared" ref="U163:U194" si="14">SUM(N163:T163)</f>
        <v>22.11</v>
      </c>
      <c r="V163" s="822"/>
      <c r="W163" s="54">
        <v>9.27</v>
      </c>
      <c r="X163" s="54">
        <v>1.67</v>
      </c>
      <c r="Y163" s="54"/>
      <c r="Z163" s="54"/>
      <c r="AA163" s="822"/>
      <c r="AB163" s="54"/>
      <c r="AC163" s="54">
        <v>0</v>
      </c>
      <c r="AD163" s="54">
        <v>0</v>
      </c>
      <c r="AE163" s="822"/>
      <c r="AF163" s="54">
        <v>16183.96</v>
      </c>
      <c r="AG163" s="54">
        <v>0</v>
      </c>
      <c r="AH163" s="822"/>
      <c r="AI163" s="54"/>
    </row>
    <row r="164" spans="1:35" ht="15.75" thickBot="1" x14ac:dyDescent="0.3">
      <c r="A164" s="456">
        <v>43983</v>
      </c>
      <c r="B164" s="441" t="s">
        <v>608</v>
      </c>
      <c r="C164" s="441" t="s">
        <v>608</v>
      </c>
      <c r="D164" s="56">
        <v>16183.96</v>
      </c>
      <c r="E164" s="56">
        <v>87</v>
      </c>
      <c r="F164" s="56">
        <v>285</v>
      </c>
      <c r="G164" s="823">
        <v>15862.74</v>
      </c>
      <c r="H164" s="56">
        <v>3.13</v>
      </c>
      <c r="I164" s="823"/>
      <c r="J164" s="823"/>
      <c r="K164" s="823"/>
      <c r="L164" s="437">
        <f t="shared" si="13"/>
        <v>16150.869999999999</v>
      </c>
      <c r="M164" s="56">
        <v>0.04</v>
      </c>
      <c r="N164" s="56">
        <v>22.11</v>
      </c>
      <c r="O164" s="823"/>
      <c r="P164" s="823"/>
      <c r="Q164" s="823"/>
      <c r="R164" s="823"/>
      <c r="S164" s="823"/>
      <c r="T164" s="823"/>
      <c r="U164" s="440">
        <f t="shared" si="14"/>
        <v>22.11</v>
      </c>
      <c r="V164" s="823"/>
      <c r="W164" s="56">
        <v>9.27</v>
      </c>
      <c r="X164" s="56">
        <v>1.67</v>
      </c>
      <c r="Y164" s="56"/>
      <c r="Z164" s="56"/>
      <c r="AA164" s="823"/>
      <c r="AB164" s="56"/>
      <c r="AC164" s="56">
        <v>0</v>
      </c>
      <c r="AD164" s="56">
        <v>0</v>
      </c>
      <c r="AE164" s="823"/>
      <c r="AF164" s="56">
        <v>16183.96</v>
      </c>
      <c r="AG164" s="56">
        <v>0</v>
      </c>
      <c r="AH164" s="823"/>
      <c r="AI164" s="56"/>
    </row>
    <row r="165" spans="1:35" ht="15.75" thickBot="1" x14ac:dyDescent="0.3">
      <c r="A165" s="456">
        <v>43983</v>
      </c>
      <c r="B165" s="937" t="s">
        <v>947</v>
      </c>
      <c r="C165" s="938"/>
      <c r="D165" s="847">
        <v>14452346.800000001</v>
      </c>
      <c r="E165" s="847">
        <v>9276058</v>
      </c>
      <c r="F165" s="847">
        <v>8068728.2599999998</v>
      </c>
      <c r="G165" s="847">
        <v>17614.060000000001</v>
      </c>
      <c r="H165" s="847">
        <v>3007648.37</v>
      </c>
      <c r="I165" s="848"/>
      <c r="J165" s="848"/>
      <c r="K165" s="848"/>
      <c r="L165" s="849">
        <f t="shared" si="13"/>
        <v>11093990.689999999</v>
      </c>
      <c r="M165" s="847">
        <v>-6696.06</v>
      </c>
      <c r="N165" s="847">
        <v>2346616.4900000002</v>
      </c>
      <c r="O165" s="848"/>
      <c r="P165" s="848"/>
      <c r="Q165" s="848"/>
      <c r="R165" s="848"/>
      <c r="S165" s="848"/>
      <c r="T165" s="848"/>
      <c r="U165" s="849">
        <f t="shared" si="14"/>
        <v>2346616.4900000002</v>
      </c>
      <c r="V165" s="848"/>
      <c r="W165" s="847">
        <v>826071.92</v>
      </c>
      <c r="X165" s="847">
        <v>197991.24</v>
      </c>
      <c r="Y165" s="847">
        <v>-5622.74</v>
      </c>
      <c r="Z165" s="847">
        <v>-4.74</v>
      </c>
      <c r="AA165" s="848"/>
      <c r="AB165" s="847">
        <v>75911.8</v>
      </c>
      <c r="AC165" s="847">
        <v>19149.169999999998</v>
      </c>
      <c r="AD165" s="847">
        <v>273484.78000000003</v>
      </c>
      <c r="AE165" s="848"/>
      <c r="AF165" s="847">
        <v>14820892.550000001</v>
      </c>
      <c r="AG165" s="847">
        <v>0</v>
      </c>
      <c r="AH165" s="848"/>
      <c r="AI165" s="54"/>
    </row>
    <row r="166" spans="1:35" ht="15.75" thickBot="1" x14ac:dyDescent="0.3">
      <c r="A166" s="456">
        <v>43983</v>
      </c>
      <c r="B166" s="438" t="s">
        <v>55</v>
      </c>
      <c r="C166" s="439" t="s">
        <v>51</v>
      </c>
      <c r="D166" s="449"/>
      <c r="E166" s="449"/>
      <c r="F166" s="449"/>
      <c r="G166" s="449"/>
      <c r="H166" s="449"/>
      <c r="I166" s="449"/>
      <c r="J166" s="449"/>
      <c r="K166" s="449"/>
      <c r="L166" s="437">
        <f t="shared" si="13"/>
        <v>0</v>
      </c>
      <c r="M166" s="449"/>
      <c r="N166" s="449"/>
      <c r="O166" s="449"/>
      <c r="P166" s="449"/>
      <c r="Q166" s="449"/>
      <c r="R166" s="449"/>
      <c r="S166" s="449"/>
      <c r="T166" s="449"/>
      <c r="U166" s="440">
        <f t="shared" si="14"/>
        <v>0</v>
      </c>
      <c r="V166" s="449"/>
      <c r="W166" s="449"/>
      <c r="X166" s="449"/>
      <c r="Y166" s="449"/>
      <c r="Z166" s="449"/>
      <c r="AA166" s="449"/>
      <c r="AB166" s="449"/>
      <c r="AC166" s="449"/>
      <c r="AD166" s="449"/>
      <c r="AE166" s="449"/>
      <c r="AF166" s="449"/>
      <c r="AG166" s="449"/>
      <c r="AH166" s="449"/>
      <c r="AI166" s="56"/>
    </row>
    <row r="167" spans="1:35" ht="15.75" thickBot="1" x14ac:dyDescent="0.3">
      <c r="A167" s="456">
        <v>43983</v>
      </c>
      <c r="B167" s="451" t="s">
        <v>609</v>
      </c>
      <c r="C167" s="451"/>
      <c r="D167" s="455"/>
      <c r="E167" s="455"/>
      <c r="F167" s="455"/>
      <c r="G167" s="455"/>
      <c r="H167" s="455"/>
      <c r="I167" s="455"/>
      <c r="J167" s="455"/>
      <c r="K167" s="455"/>
      <c r="L167" s="437">
        <f t="shared" si="13"/>
        <v>0</v>
      </c>
      <c r="M167" s="455"/>
      <c r="N167" s="455"/>
      <c r="O167" s="455"/>
      <c r="P167" s="455"/>
      <c r="Q167" s="455"/>
      <c r="R167" s="455"/>
      <c r="S167" s="455"/>
      <c r="T167" s="455"/>
      <c r="U167" s="440">
        <f t="shared" si="14"/>
        <v>0</v>
      </c>
      <c r="V167" s="455"/>
      <c r="W167" s="455"/>
      <c r="X167" s="455"/>
      <c r="Y167" s="455"/>
      <c r="Z167" s="455"/>
      <c r="AA167" s="455"/>
      <c r="AB167" s="455"/>
      <c r="AC167" s="455"/>
      <c r="AD167" s="455"/>
      <c r="AE167" s="455"/>
      <c r="AF167" s="455"/>
      <c r="AG167" s="455"/>
      <c r="AH167" s="455"/>
      <c r="AI167" s="54"/>
    </row>
    <row r="168" spans="1:35" ht="15.75" thickBot="1" x14ac:dyDescent="0.3">
      <c r="A168" s="456">
        <v>43983</v>
      </c>
      <c r="B168" s="850" t="s">
        <v>947</v>
      </c>
      <c r="C168" s="851"/>
      <c r="D168" s="849">
        <f>D167</f>
        <v>0</v>
      </c>
      <c r="E168" s="849">
        <f t="shared" ref="E168:L168" si="15">E167</f>
        <v>0</v>
      </c>
      <c r="F168" s="849">
        <f t="shared" si="15"/>
        <v>0</v>
      </c>
      <c r="G168" s="849">
        <f t="shared" si="15"/>
        <v>0</v>
      </c>
      <c r="H168" s="849">
        <f t="shared" si="15"/>
        <v>0</v>
      </c>
      <c r="I168" s="849">
        <f t="shared" si="15"/>
        <v>0</v>
      </c>
      <c r="J168" s="849">
        <f t="shared" si="15"/>
        <v>0</v>
      </c>
      <c r="K168" s="849">
        <f t="shared" si="15"/>
        <v>0</v>
      </c>
      <c r="L168" s="849">
        <f t="shared" si="15"/>
        <v>0</v>
      </c>
      <c r="M168" s="849"/>
      <c r="N168" s="849"/>
      <c r="O168" s="849"/>
      <c r="P168" s="849"/>
      <c r="Q168" s="849"/>
      <c r="R168" s="849"/>
      <c r="S168" s="849"/>
      <c r="T168" s="849"/>
      <c r="U168" s="849">
        <f t="shared" ref="U168:AH168" si="16">U167</f>
        <v>0</v>
      </c>
      <c r="V168" s="849">
        <f t="shared" si="16"/>
        <v>0</v>
      </c>
      <c r="W168" s="849">
        <f t="shared" si="16"/>
        <v>0</v>
      </c>
      <c r="X168" s="849"/>
      <c r="Y168" s="849">
        <f t="shared" si="16"/>
        <v>0</v>
      </c>
      <c r="Z168" s="849">
        <f t="shared" si="16"/>
        <v>0</v>
      </c>
      <c r="AA168" s="849">
        <f t="shared" si="16"/>
        <v>0</v>
      </c>
      <c r="AB168" s="849">
        <f t="shared" si="16"/>
        <v>0</v>
      </c>
      <c r="AC168" s="849">
        <f t="shared" si="16"/>
        <v>0</v>
      </c>
      <c r="AD168" s="849">
        <f t="shared" si="16"/>
        <v>0</v>
      </c>
      <c r="AE168" s="849">
        <f t="shared" si="16"/>
        <v>0</v>
      </c>
      <c r="AF168" s="849">
        <f t="shared" si="16"/>
        <v>0</v>
      </c>
      <c r="AG168" s="849">
        <f t="shared" si="16"/>
        <v>0</v>
      </c>
      <c r="AH168" s="849">
        <f t="shared" si="16"/>
        <v>0</v>
      </c>
      <c r="AI168" s="452"/>
    </row>
    <row r="169" spans="1:35" ht="15.75" thickBot="1" x14ac:dyDescent="0.3">
      <c r="A169" s="456">
        <v>43983</v>
      </c>
      <c r="B169" s="438" t="s">
        <v>34</v>
      </c>
      <c r="C169" s="439" t="s">
        <v>437</v>
      </c>
      <c r="D169" s="56">
        <v>27695.79</v>
      </c>
      <c r="E169" s="56">
        <v>417131</v>
      </c>
      <c r="F169" s="56">
        <v>11700</v>
      </c>
      <c r="G169" s="56">
        <v>13585.4</v>
      </c>
      <c r="H169" s="56">
        <v>1585.1</v>
      </c>
      <c r="I169" s="56">
        <v>18.95</v>
      </c>
      <c r="J169" s="823"/>
      <c r="K169" s="56">
        <v>137.83000000000001</v>
      </c>
      <c r="L169" s="437">
        <f t="shared" si="13"/>
        <v>27027.280000000002</v>
      </c>
      <c r="M169" s="56">
        <v>200.7</v>
      </c>
      <c r="N169" s="823"/>
      <c r="O169" s="823"/>
      <c r="P169" s="56">
        <v>0</v>
      </c>
      <c r="Q169" s="56">
        <v>59.02</v>
      </c>
      <c r="R169" s="823"/>
      <c r="S169" s="823"/>
      <c r="T169" s="823"/>
      <c r="U169" s="440">
        <f t="shared" ref="U169:U180" si="17">SUM(N169:T169)</f>
        <v>59.02</v>
      </c>
      <c r="V169" s="823"/>
      <c r="W169" s="56">
        <v>0</v>
      </c>
      <c r="X169" s="56">
        <v>408.79</v>
      </c>
      <c r="Y169" s="823"/>
      <c r="Z169" s="823"/>
      <c r="AA169" s="823"/>
      <c r="AB169" s="823"/>
      <c r="AC169" s="56">
        <v>0</v>
      </c>
      <c r="AD169" s="56">
        <v>275.14</v>
      </c>
      <c r="AE169" s="823"/>
      <c r="AF169" s="56">
        <v>27970.93</v>
      </c>
      <c r="AG169" s="56">
        <v>0</v>
      </c>
      <c r="AH169" s="823"/>
      <c r="AI169" s="53"/>
    </row>
    <row r="170" spans="1:35" ht="15.75" thickBot="1" x14ac:dyDescent="0.3">
      <c r="A170" s="456">
        <v>43983</v>
      </c>
      <c r="B170" s="438" t="s">
        <v>36</v>
      </c>
      <c r="C170" s="439" t="s">
        <v>438</v>
      </c>
      <c r="D170" s="54">
        <v>430632.2</v>
      </c>
      <c r="E170" s="54">
        <v>6924235</v>
      </c>
      <c r="F170" s="54">
        <v>63700</v>
      </c>
      <c r="G170" s="54">
        <v>332509.28000000003</v>
      </c>
      <c r="H170" s="54">
        <v>26312.11</v>
      </c>
      <c r="I170" s="54">
        <v>151.04</v>
      </c>
      <c r="J170" s="822"/>
      <c r="K170" s="54">
        <v>799.69</v>
      </c>
      <c r="L170" s="437">
        <f t="shared" si="13"/>
        <v>423472.12</v>
      </c>
      <c r="M170" s="822"/>
      <c r="N170" s="822"/>
      <c r="O170" s="822"/>
      <c r="P170" s="54">
        <v>0</v>
      </c>
      <c r="Q170" s="54">
        <v>342.45</v>
      </c>
      <c r="R170" s="822"/>
      <c r="S170" s="822"/>
      <c r="T170" s="822"/>
      <c r="U170" s="440">
        <f t="shared" si="17"/>
        <v>342.45</v>
      </c>
      <c r="V170" s="822"/>
      <c r="W170" s="54">
        <v>0</v>
      </c>
      <c r="X170" s="54">
        <v>6817.63</v>
      </c>
      <c r="Y170" s="822"/>
      <c r="Z170" s="822"/>
      <c r="AA170" s="822"/>
      <c r="AB170" s="822"/>
      <c r="AC170" s="54">
        <v>0</v>
      </c>
      <c r="AD170" s="54">
        <v>18154.93</v>
      </c>
      <c r="AE170" s="822"/>
      <c r="AF170" s="54">
        <v>448787.13</v>
      </c>
      <c r="AG170" s="54">
        <v>0</v>
      </c>
      <c r="AH170" s="822"/>
      <c r="AI170" s="55"/>
    </row>
    <row r="171" spans="1:35" ht="15.75" thickBot="1" x14ac:dyDescent="0.3">
      <c r="A171" s="456">
        <v>43983</v>
      </c>
      <c r="B171" s="438" t="s">
        <v>447</v>
      </c>
      <c r="C171" s="439" t="s">
        <v>494</v>
      </c>
      <c r="D171" s="56">
        <v>50457.68</v>
      </c>
      <c r="E171" s="56">
        <v>770428</v>
      </c>
      <c r="F171" s="56">
        <v>19500</v>
      </c>
      <c r="G171" s="56">
        <v>26853.43</v>
      </c>
      <c r="H171" s="56">
        <v>2927.62</v>
      </c>
      <c r="I171" s="56">
        <v>75.849999999999994</v>
      </c>
      <c r="J171" s="823"/>
      <c r="K171" s="823"/>
      <c r="L171" s="437">
        <f>SUM(F171:K171)</f>
        <v>49356.9</v>
      </c>
      <c r="M171" s="56">
        <v>366.29</v>
      </c>
      <c r="N171" s="823"/>
      <c r="O171" s="823"/>
      <c r="P171" s="56">
        <v>0</v>
      </c>
      <c r="Q171" s="56">
        <v>0</v>
      </c>
      <c r="R171" s="823"/>
      <c r="S171" s="56">
        <v>0</v>
      </c>
      <c r="T171" s="823"/>
      <c r="U171" s="440">
        <f t="shared" si="17"/>
        <v>0</v>
      </c>
      <c r="V171" s="823"/>
      <c r="W171" s="56">
        <v>0</v>
      </c>
      <c r="X171" s="56">
        <v>734.49</v>
      </c>
      <c r="Y171" s="823"/>
      <c r="Z171" s="823"/>
      <c r="AA171" s="823"/>
      <c r="AB171" s="823"/>
      <c r="AC171" s="56">
        <v>453.92</v>
      </c>
      <c r="AD171" s="56">
        <v>2197.4299999999998</v>
      </c>
      <c r="AE171" s="823"/>
      <c r="AF171" s="56">
        <v>53109.03</v>
      </c>
      <c r="AG171" s="56">
        <v>0</v>
      </c>
      <c r="AH171" s="823"/>
      <c r="AI171" s="53"/>
    </row>
    <row r="172" spans="1:35" ht="15.75" thickBot="1" x14ac:dyDescent="0.3">
      <c r="A172" s="456">
        <v>43983</v>
      </c>
      <c r="B172" s="441" t="s">
        <v>610</v>
      </c>
      <c r="C172" s="441" t="s">
        <v>610</v>
      </c>
      <c r="D172" s="54">
        <v>508785.67</v>
      </c>
      <c r="E172" s="54">
        <v>8111794</v>
      </c>
      <c r="F172" s="54">
        <v>94900</v>
      </c>
      <c r="G172" s="54">
        <v>372948.11</v>
      </c>
      <c r="H172" s="54">
        <v>30824.83</v>
      </c>
      <c r="I172" s="54">
        <v>245.84</v>
      </c>
      <c r="J172" s="822"/>
      <c r="K172" s="54">
        <v>937.52</v>
      </c>
      <c r="L172" s="437">
        <f t="shared" si="13"/>
        <v>499856.30000000005</v>
      </c>
      <c r="M172" s="54">
        <v>566.99</v>
      </c>
      <c r="N172" s="822"/>
      <c r="O172" s="822"/>
      <c r="P172" s="54">
        <v>0</v>
      </c>
      <c r="Q172" s="54">
        <v>401.47</v>
      </c>
      <c r="R172" s="822"/>
      <c r="S172" s="54">
        <v>0</v>
      </c>
      <c r="T172" s="822"/>
      <c r="U172" s="440">
        <f t="shared" si="17"/>
        <v>401.47</v>
      </c>
      <c r="V172" s="822"/>
      <c r="W172" s="54">
        <v>0</v>
      </c>
      <c r="X172" s="54">
        <v>7960.91</v>
      </c>
      <c r="Y172" s="822"/>
      <c r="Z172" s="822"/>
      <c r="AA172" s="822"/>
      <c r="AB172" s="822"/>
      <c r="AC172" s="54">
        <v>453.92</v>
      </c>
      <c r="AD172" s="54">
        <v>20627.5</v>
      </c>
      <c r="AE172" s="822"/>
      <c r="AF172" s="54">
        <v>529867.09</v>
      </c>
      <c r="AG172" s="54">
        <v>0</v>
      </c>
      <c r="AH172" s="822"/>
      <c r="AI172" s="55"/>
    </row>
    <row r="173" spans="1:35" ht="23.25" thickBot="1" x14ac:dyDescent="0.3">
      <c r="A173" s="456">
        <v>43983</v>
      </c>
      <c r="B173" s="438" t="s">
        <v>38</v>
      </c>
      <c r="C173" s="439" t="s">
        <v>39</v>
      </c>
      <c r="D173" s="56">
        <v>33106</v>
      </c>
      <c r="E173" s="823"/>
      <c r="F173" s="56">
        <v>5325</v>
      </c>
      <c r="G173" s="823"/>
      <c r="H173" s="56">
        <v>0</v>
      </c>
      <c r="I173" s="823"/>
      <c r="J173" s="823"/>
      <c r="K173" s="56">
        <v>19451.32</v>
      </c>
      <c r="L173" s="437">
        <f t="shared" si="13"/>
        <v>24776.32</v>
      </c>
      <c r="M173" s="823"/>
      <c r="N173" s="823"/>
      <c r="O173" s="823"/>
      <c r="P173" s="56">
        <v>0</v>
      </c>
      <c r="Q173" s="56">
        <v>8329.68</v>
      </c>
      <c r="R173" s="823"/>
      <c r="S173" s="823"/>
      <c r="T173" s="823"/>
      <c r="U173" s="440">
        <f t="shared" si="17"/>
        <v>8329.68</v>
      </c>
      <c r="V173" s="823"/>
      <c r="W173" s="823"/>
      <c r="X173" s="823"/>
      <c r="Y173" s="823"/>
      <c r="Z173" s="823"/>
      <c r="AA173" s="823"/>
      <c r="AB173" s="823"/>
      <c r="AC173" s="56">
        <v>0</v>
      </c>
      <c r="AD173" s="56">
        <v>0</v>
      </c>
      <c r="AE173" s="823"/>
      <c r="AF173" s="56">
        <v>33106</v>
      </c>
      <c r="AG173" s="56">
        <v>0</v>
      </c>
      <c r="AH173" s="823"/>
      <c r="AI173" s="53"/>
    </row>
    <row r="174" spans="1:35" ht="15.75" thickBot="1" x14ac:dyDescent="0.3">
      <c r="A174" s="456">
        <v>43983</v>
      </c>
      <c r="B174" s="441" t="s">
        <v>611</v>
      </c>
      <c r="C174" s="441" t="s">
        <v>611</v>
      </c>
      <c r="D174" s="54">
        <v>33106</v>
      </c>
      <c r="E174" s="822"/>
      <c r="F174" s="54">
        <v>5325</v>
      </c>
      <c r="G174" s="822"/>
      <c r="H174" s="54">
        <v>0</v>
      </c>
      <c r="I174" s="822"/>
      <c r="J174" s="822"/>
      <c r="K174" s="54">
        <v>19451.32</v>
      </c>
      <c r="L174" s="437">
        <f t="shared" si="13"/>
        <v>24776.32</v>
      </c>
      <c r="M174" s="822"/>
      <c r="N174" s="822"/>
      <c r="O174" s="822"/>
      <c r="P174" s="54">
        <v>0</v>
      </c>
      <c r="Q174" s="54">
        <v>8329.68</v>
      </c>
      <c r="R174" s="822"/>
      <c r="S174" s="822"/>
      <c r="T174" s="822"/>
      <c r="U174" s="440">
        <f t="shared" si="17"/>
        <v>8329.68</v>
      </c>
      <c r="V174" s="822"/>
      <c r="W174" s="822"/>
      <c r="X174" s="822"/>
      <c r="Y174" s="822"/>
      <c r="Z174" s="822"/>
      <c r="AA174" s="822"/>
      <c r="AB174" s="822"/>
      <c r="AC174" s="54">
        <v>0</v>
      </c>
      <c r="AD174" s="54">
        <v>0</v>
      </c>
      <c r="AE174" s="822"/>
      <c r="AF174" s="54">
        <v>33106</v>
      </c>
      <c r="AG174" s="54">
        <v>0</v>
      </c>
      <c r="AH174" s="822"/>
      <c r="AI174" s="55"/>
    </row>
    <row r="175" spans="1:35" ht="23.25" thickBot="1" x14ac:dyDescent="0.3">
      <c r="A175" s="456">
        <v>43983</v>
      </c>
      <c r="B175" s="438" t="s">
        <v>52</v>
      </c>
      <c r="C175" s="439" t="s">
        <v>355</v>
      </c>
      <c r="D175" s="56">
        <v>675</v>
      </c>
      <c r="E175" s="823"/>
      <c r="F175" s="56">
        <v>675</v>
      </c>
      <c r="G175" s="823"/>
      <c r="H175" s="56">
        <v>0</v>
      </c>
      <c r="I175" s="823"/>
      <c r="J175" s="823"/>
      <c r="K175" s="823"/>
      <c r="L175" s="437">
        <f t="shared" si="13"/>
        <v>675</v>
      </c>
      <c r="M175" s="823"/>
      <c r="N175" s="823"/>
      <c r="O175" s="823"/>
      <c r="P175" s="823"/>
      <c r="Q175" s="823"/>
      <c r="R175" s="823"/>
      <c r="S175" s="823"/>
      <c r="T175" s="56">
        <v>0</v>
      </c>
      <c r="U175" s="440">
        <f t="shared" si="17"/>
        <v>0</v>
      </c>
      <c r="V175" s="823"/>
      <c r="W175" s="823"/>
      <c r="X175" s="823"/>
      <c r="Y175" s="823"/>
      <c r="Z175" s="823"/>
      <c r="AA175" s="823"/>
      <c r="AB175" s="823"/>
      <c r="AC175" s="56">
        <v>0</v>
      </c>
      <c r="AD175" s="56">
        <v>0</v>
      </c>
      <c r="AE175" s="823"/>
      <c r="AF175" s="56">
        <v>675</v>
      </c>
      <c r="AG175" s="56">
        <v>0</v>
      </c>
      <c r="AH175" s="823"/>
      <c r="AI175" s="53"/>
    </row>
    <row r="176" spans="1:35" ht="15.75" thickBot="1" x14ac:dyDescent="0.3">
      <c r="A176" s="456">
        <v>43983</v>
      </c>
      <c r="B176" s="441" t="s">
        <v>612</v>
      </c>
      <c r="C176" s="441" t="s">
        <v>612</v>
      </c>
      <c r="D176" s="54">
        <v>675</v>
      </c>
      <c r="E176" s="822"/>
      <c r="F176" s="54">
        <v>675</v>
      </c>
      <c r="G176" s="822"/>
      <c r="H176" s="54">
        <v>0</v>
      </c>
      <c r="I176" s="822"/>
      <c r="J176" s="822"/>
      <c r="K176" s="822"/>
      <c r="L176" s="437">
        <f t="shared" si="13"/>
        <v>675</v>
      </c>
      <c r="M176" s="822"/>
      <c r="N176" s="822"/>
      <c r="O176" s="822"/>
      <c r="P176" s="822"/>
      <c r="Q176" s="822"/>
      <c r="R176" s="822"/>
      <c r="S176" s="822"/>
      <c r="T176" s="54">
        <v>0</v>
      </c>
      <c r="U176" s="440">
        <f t="shared" si="17"/>
        <v>0</v>
      </c>
      <c r="V176" s="822"/>
      <c r="W176" s="822"/>
      <c r="X176" s="822"/>
      <c r="Y176" s="822"/>
      <c r="Z176" s="822"/>
      <c r="AA176" s="822"/>
      <c r="AB176" s="822"/>
      <c r="AC176" s="54">
        <v>0</v>
      </c>
      <c r="AD176" s="54">
        <v>0</v>
      </c>
      <c r="AE176" s="822"/>
      <c r="AF176" s="54">
        <v>675</v>
      </c>
      <c r="AG176" s="54">
        <v>0</v>
      </c>
      <c r="AH176" s="822"/>
      <c r="AI176" s="55"/>
    </row>
    <row r="177" spans="1:35" ht="23.25" thickBot="1" x14ac:dyDescent="0.3">
      <c r="A177" s="456">
        <v>43983</v>
      </c>
      <c r="B177" s="438" t="s">
        <v>53</v>
      </c>
      <c r="C177" s="439" t="s">
        <v>836</v>
      </c>
      <c r="D177" s="56">
        <v>19159.96</v>
      </c>
      <c r="E177" s="56">
        <v>88148</v>
      </c>
      <c r="F177" s="56">
        <v>1050</v>
      </c>
      <c r="G177" s="823"/>
      <c r="H177" s="56">
        <v>9382.4699999999993</v>
      </c>
      <c r="I177" s="823"/>
      <c r="J177" s="823"/>
      <c r="K177" s="823"/>
      <c r="L177" s="437">
        <f t="shared" si="13"/>
        <v>10432.469999999999</v>
      </c>
      <c r="M177" s="823"/>
      <c r="N177" s="56">
        <v>0</v>
      </c>
      <c r="O177" s="823"/>
      <c r="P177" s="823"/>
      <c r="Q177" s="823"/>
      <c r="R177" s="56">
        <v>7585.14</v>
      </c>
      <c r="S177" s="823"/>
      <c r="T177" s="823"/>
      <c r="U177" s="440">
        <f t="shared" si="17"/>
        <v>7585.14</v>
      </c>
      <c r="V177" s="823"/>
      <c r="W177" s="56">
        <v>111.02</v>
      </c>
      <c r="X177" s="56">
        <v>1031.33</v>
      </c>
      <c r="Y177" s="823"/>
      <c r="Z177" s="823"/>
      <c r="AA177" s="56">
        <v>0</v>
      </c>
      <c r="AB177" s="823"/>
      <c r="AC177" s="56">
        <v>574.79999999999995</v>
      </c>
      <c r="AD177" s="56">
        <v>0</v>
      </c>
      <c r="AE177" s="823"/>
      <c r="AF177" s="56">
        <v>19734.759999999998</v>
      </c>
      <c r="AG177" s="56">
        <v>0</v>
      </c>
      <c r="AH177" s="823"/>
      <c r="AI177" s="53"/>
    </row>
    <row r="178" spans="1:35" ht="23.25" thickBot="1" x14ac:dyDescent="0.3">
      <c r="A178" s="456">
        <v>43983</v>
      </c>
      <c r="B178" s="438" t="s">
        <v>31</v>
      </c>
      <c r="C178" s="439" t="s">
        <v>835</v>
      </c>
      <c r="D178" s="54">
        <v>28006.03</v>
      </c>
      <c r="E178" s="54">
        <v>96457</v>
      </c>
      <c r="F178" s="54">
        <v>2627.68</v>
      </c>
      <c r="G178" s="822"/>
      <c r="H178" s="54">
        <v>16429.21</v>
      </c>
      <c r="I178" s="822"/>
      <c r="J178" s="822"/>
      <c r="K178" s="822"/>
      <c r="L178" s="437">
        <f t="shared" si="13"/>
        <v>19056.89</v>
      </c>
      <c r="M178" s="54"/>
      <c r="N178" s="54">
        <v>0</v>
      </c>
      <c r="O178" s="822"/>
      <c r="P178" s="822"/>
      <c r="Q178" s="822"/>
      <c r="R178" s="54">
        <v>8300.1200000000008</v>
      </c>
      <c r="S178" s="54">
        <v>-701.57</v>
      </c>
      <c r="T178" s="822"/>
      <c r="U178" s="440">
        <f t="shared" si="17"/>
        <v>7598.5500000000011</v>
      </c>
      <c r="V178" s="822"/>
      <c r="W178" s="54">
        <v>222.04</v>
      </c>
      <c r="X178" s="54">
        <v>1128.55</v>
      </c>
      <c r="Y178" s="822"/>
      <c r="Z178" s="822"/>
      <c r="AA178" s="54">
        <v>0</v>
      </c>
      <c r="AB178" s="822"/>
      <c r="AC178" s="54">
        <v>0</v>
      </c>
      <c r="AD178" s="54">
        <v>2385.0500000000002</v>
      </c>
      <c r="AE178" s="822"/>
      <c r="AF178" s="54">
        <v>30391.08</v>
      </c>
      <c r="AG178" s="54">
        <v>0</v>
      </c>
      <c r="AH178" s="822"/>
      <c r="AI178" s="55"/>
    </row>
    <row r="179" spans="1:35" ht="15.75" thickBot="1" x14ac:dyDescent="0.3">
      <c r="A179" s="456">
        <v>43983</v>
      </c>
      <c r="B179" s="438" t="s">
        <v>491</v>
      </c>
      <c r="C179" s="439" t="s">
        <v>492</v>
      </c>
      <c r="D179" s="56">
        <v>64519.3</v>
      </c>
      <c r="E179" s="56">
        <v>208097</v>
      </c>
      <c r="F179" s="56">
        <v>7883.04</v>
      </c>
      <c r="G179" s="823"/>
      <c r="H179" s="56">
        <v>35528.75</v>
      </c>
      <c r="I179" s="823"/>
      <c r="J179" s="823"/>
      <c r="K179" s="823"/>
      <c r="L179" s="437">
        <f t="shared" si="13"/>
        <v>43411.79</v>
      </c>
      <c r="M179" s="56">
        <v>99.9</v>
      </c>
      <c r="N179" s="56">
        <v>0</v>
      </c>
      <c r="O179" s="823"/>
      <c r="P179" s="823"/>
      <c r="Q179" s="823"/>
      <c r="R179" s="56">
        <v>17906.75</v>
      </c>
      <c r="S179" s="56">
        <v>0</v>
      </c>
      <c r="T179" s="823"/>
      <c r="U179" s="440">
        <f t="shared" si="17"/>
        <v>17906.75</v>
      </c>
      <c r="V179" s="823"/>
      <c r="W179" s="56">
        <v>666.12</v>
      </c>
      <c r="X179" s="56">
        <v>2434.7399999999998</v>
      </c>
      <c r="Y179" s="823"/>
      <c r="Z179" s="823"/>
      <c r="AA179" s="56">
        <v>0</v>
      </c>
      <c r="AB179" s="823"/>
      <c r="AC179" s="56">
        <v>0</v>
      </c>
      <c r="AD179" s="56">
        <v>1751.15</v>
      </c>
      <c r="AE179" s="823"/>
      <c r="AF179" s="56">
        <v>66270.45</v>
      </c>
      <c r="AG179" s="56">
        <v>0</v>
      </c>
      <c r="AH179" s="823"/>
      <c r="AI179" s="53"/>
    </row>
    <row r="180" spans="1:35" ht="15.75" customHeight="1" thickBot="1" x14ac:dyDescent="0.3">
      <c r="A180" s="456">
        <v>43983</v>
      </c>
      <c r="B180" s="441" t="s">
        <v>613</v>
      </c>
      <c r="C180" s="441" t="s">
        <v>613</v>
      </c>
      <c r="D180" s="56">
        <v>111685.29</v>
      </c>
      <c r="E180" s="56">
        <v>392702</v>
      </c>
      <c r="F180" s="56">
        <v>11560.72</v>
      </c>
      <c r="G180" s="823"/>
      <c r="H180" s="56">
        <v>61340.43</v>
      </c>
      <c r="I180" s="823"/>
      <c r="J180" s="823"/>
      <c r="K180" s="823"/>
      <c r="L180" s="437">
        <f t="shared" si="13"/>
        <v>72901.149999999994</v>
      </c>
      <c r="M180" s="56">
        <v>99.9</v>
      </c>
      <c r="N180" s="56">
        <v>0</v>
      </c>
      <c r="O180" s="823"/>
      <c r="P180" s="823"/>
      <c r="Q180" s="823"/>
      <c r="R180" s="56">
        <v>33792.01</v>
      </c>
      <c r="S180" s="56">
        <v>-701.57</v>
      </c>
      <c r="T180" s="823"/>
      <c r="U180" s="440">
        <f t="shared" si="17"/>
        <v>33090.44</v>
      </c>
      <c r="V180" s="823"/>
      <c r="W180" s="56">
        <v>999.18</v>
      </c>
      <c r="X180" s="56">
        <v>4594.62</v>
      </c>
      <c r="Y180" s="823"/>
      <c r="Z180" s="823"/>
      <c r="AA180" s="56">
        <v>0</v>
      </c>
      <c r="AB180" s="823"/>
      <c r="AC180" s="56">
        <v>574.79999999999995</v>
      </c>
      <c r="AD180" s="56">
        <v>4136.2</v>
      </c>
      <c r="AE180" s="823"/>
      <c r="AF180" s="56">
        <v>116396.29</v>
      </c>
      <c r="AG180" s="56">
        <v>0</v>
      </c>
      <c r="AH180" s="823"/>
      <c r="AI180" s="55"/>
    </row>
    <row r="181" spans="1:35" ht="15.75" thickBot="1" x14ac:dyDescent="0.3">
      <c r="A181" s="456">
        <v>43983</v>
      </c>
      <c r="B181" s="937" t="s">
        <v>947</v>
      </c>
      <c r="C181" s="938"/>
      <c r="D181" s="847">
        <v>654251.96</v>
      </c>
      <c r="E181" s="847">
        <v>8504496</v>
      </c>
      <c r="F181" s="847">
        <v>112460.72</v>
      </c>
      <c r="G181" s="847">
        <v>372948.11</v>
      </c>
      <c r="H181" s="847">
        <v>92165.26</v>
      </c>
      <c r="I181" s="847">
        <v>245.84</v>
      </c>
      <c r="J181" s="848"/>
      <c r="K181" s="847">
        <v>20388.84</v>
      </c>
      <c r="L181" s="849">
        <f t="shared" si="13"/>
        <v>598208.7699999999</v>
      </c>
      <c r="M181" s="847">
        <v>666.89</v>
      </c>
      <c r="N181" s="847">
        <v>0</v>
      </c>
      <c r="O181" s="848"/>
      <c r="P181" s="847">
        <v>0</v>
      </c>
      <c r="Q181" s="847">
        <v>8731.15</v>
      </c>
      <c r="R181" s="847">
        <v>33792.01</v>
      </c>
      <c r="S181" s="847">
        <v>-701.57</v>
      </c>
      <c r="T181" s="847">
        <v>0</v>
      </c>
      <c r="U181" s="849">
        <f>SUM(N181:T181)</f>
        <v>41821.590000000004</v>
      </c>
      <c r="V181" s="848"/>
      <c r="W181" s="847">
        <v>999.18</v>
      </c>
      <c r="X181" s="847">
        <v>12555.53</v>
      </c>
      <c r="Y181" s="848"/>
      <c r="Z181" s="848"/>
      <c r="AA181" s="847">
        <v>0</v>
      </c>
      <c r="AB181" s="848"/>
      <c r="AC181" s="847">
        <v>1028.72</v>
      </c>
      <c r="AD181" s="847">
        <v>24763.7</v>
      </c>
      <c r="AE181" s="848"/>
      <c r="AF181" s="847">
        <v>680044.38</v>
      </c>
      <c r="AG181" s="847">
        <v>0</v>
      </c>
      <c r="AH181" s="848"/>
      <c r="AI181" s="53"/>
    </row>
    <row r="182" spans="1:35" ht="15.75" thickBot="1" x14ac:dyDescent="0.3">
      <c r="A182" s="456">
        <v>43983</v>
      </c>
      <c r="B182" s="438" t="s">
        <v>34</v>
      </c>
      <c r="C182" s="439" t="s">
        <v>437</v>
      </c>
      <c r="D182" s="56">
        <v>203.46</v>
      </c>
      <c r="E182" s="56">
        <v>981</v>
      </c>
      <c r="F182" s="823"/>
      <c r="G182" s="823"/>
      <c r="H182" s="56">
        <v>3.73</v>
      </c>
      <c r="I182" s="823"/>
      <c r="J182" s="823"/>
      <c r="K182" s="823"/>
      <c r="L182" s="437">
        <f t="shared" si="13"/>
        <v>3.73</v>
      </c>
      <c r="M182" s="823"/>
      <c r="N182" s="823"/>
      <c r="O182" s="56">
        <v>196.76</v>
      </c>
      <c r="P182" s="823"/>
      <c r="Q182" s="823"/>
      <c r="R182" s="823"/>
      <c r="S182" s="823"/>
      <c r="T182" s="823"/>
      <c r="U182" s="440">
        <f t="shared" si="14"/>
        <v>196.76</v>
      </c>
      <c r="V182" s="56">
        <v>2.0099999999999998</v>
      </c>
      <c r="W182" s="823"/>
      <c r="X182" s="56">
        <v>0.96</v>
      </c>
      <c r="Y182" s="823"/>
      <c r="Z182" s="823"/>
      <c r="AA182" s="823"/>
      <c r="AB182" s="823"/>
      <c r="AC182" s="823"/>
      <c r="AD182" s="56">
        <v>6.1</v>
      </c>
      <c r="AE182" s="823"/>
      <c r="AF182" s="56">
        <v>209.56</v>
      </c>
      <c r="AG182" s="56">
        <v>0</v>
      </c>
      <c r="AH182" s="823"/>
      <c r="AI182" s="55"/>
    </row>
    <row r="183" spans="1:35" ht="15.75" thickBot="1" x14ac:dyDescent="0.3">
      <c r="A183" s="456">
        <v>43983</v>
      </c>
      <c r="B183" s="438" t="s">
        <v>36</v>
      </c>
      <c r="C183" s="439" t="s">
        <v>438</v>
      </c>
      <c r="D183" s="54">
        <v>-2053.0100000000002</v>
      </c>
      <c r="E183" s="54">
        <v>0</v>
      </c>
      <c r="F183" s="822"/>
      <c r="G183" s="822"/>
      <c r="H183" s="54">
        <v>0</v>
      </c>
      <c r="I183" s="822"/>
      <c r="J183" s="822"/>
      <c r="K183" s="822"/>
      <c r="L183" s="437">
        <f t="shared" si="13"/>
        <v>0</v>
      </c>
      <c r="M183" s="822"/>
      <c r="N183" s="822"/>
      <c r="O183" s="54">
        <v>-2076.17</v>
      </c>
      <c r="P183" s="822"/>
      <c r="Q183" s="822"/>
      <c r="R183" s="822"/>
      <c r="S183" s="822"/>
      <c r="T183" s="822"/>
      <c r="U183" s="440">
        <f t="shared" si="14"/>
        <v>-2076.17</v>
      </c>
      <c r="V183" s="54">
        <v>23.16</v>
      </c>
      <c r="W183" s="822"/>
      <c r="X183" s="54">
        <v>0</v>
      </c>
      <c r="Y183" s="822"/>
      <c r="Z183" s="822"/>
      <c r="AA183" s="822"/>
      <c r="AB183" s="822"/>
      <c r="AC183" s="822"/>
      <c r="AD183" s="54">
        <v>-123.18</v>
      </c>
      <c r="AE183" s="822"/>
      <c r="AF183" s="54">
        <v>-2176.19</v>
      </c>
      <c r="AG183" s="54">
        <v>0</v>
      </c>
      <c r="AH183" s="822"/>
      <c r="AI183" s="53"/>
    </row>
    <row r="184" spans="1:35" ht="15.75" thickBot="1" x14ac:dyDescent="0.3">
      <c r="A184" s="456">
        <v>43983</v>
      </c>
      <c r="B184" s="441" t="s">
        <v>610</v>
      </c>
      <c r="C184" s="441" t="s">
        <v>610</v>
      </c>
      <c r="D184" s="56">
        <v>-1849.55</v>
      </c>
      <c r="E184" s="56">
        <v>981</v>
      </c>
      <c r="F184" s="823"/>
      <c r="G184" s="823"/>
      <c r="H184" s="56">
        <v>3.73</v>
      </c>
      <c r="I184" s="823"/>
      <c r="J184" s="823"/>
      <c r="K184" s="823"/>
      <c r="L184" s="437">
        <f t="shared" si="13"/>
        <v>3.73</v>
      </c>
      <c r="M184" s="823"/>
      <c r="N184" s="823"/>
      <c r="O184" s="56">
        <v>-1879.41</v>
      </c>
      <c r="P184" s="823"/>
      <c r="Q184" s="823"/>
      <c r="R184" s="823"/>
      <c r="S184" s="823"/>
      <c r="T184" s="823"/>
      <c r="U184" s="440">
        <f t="shared" si="14"/>
        <v>-1879.41</v>
      </c>
      <c r="V184" s="56">
        <v>25.17</v>
      </c>
      <c r="W184" s="823"/>
      <c r="X184" s="56">
        <v>0.96</v>
      </c>
      <c r="Y184" s="823"/>
      <c r="Z184" s="823"/>
      <c r="AA184" s="823"/>
      <c r="AB184" s="823"/>
      <c r="AC184" s="823"/>
      <c r="AD184" s="56">
        <v>-117.08</v>
      </c>
      <c r="AE184" s="823"/>
      <c r="AF184" s="56">
        <v>-1966.63</v>
      </c>
      <c r="AG184" s="56">
        <v>0</v>
      </c>
      <c r="AH184" s="823"/>
      <c r="AI184" s="55"/>
    </row>
    <row r="185" spans="1:35" ht="23.25" thickBot="1" x14ac:dyDescent="0.3">
      <c r="A185" s="456">
        <v>43983</v>
      </c>
      <c r="B185" s="438" t="s">
        <v>38</v>
      </c>
      <c r="C185" s="439" t="s">
        <v>39</v>
      </c>
      <c r="D185" s="54">
        <v>-52823.87</v>
      </c>
      <c r="E185" s="822"/>
      <c r="F185" s="822"/>
      <c r="G185" s="822"/>
      <c r="H185" s="822"/>
      <c r="I185" s="822"/>
      <c r="J185" s="822"/>
      <c r="K185" s="822"/>
      <c r="L185" s="437">
        <f t="shared" si="13"/>
        <v>0</v>
      </c>
      <c r="M185" s="822"/>
      <c r="N185" s="822"/>
      <c r="O185" s="54">
        <v>-53773.43</v>
      </c>
      <c r="P185" s="822"/>
      <c r="Q185" s="822"/>
      <c r="R185" s="822"/>
      <c r="S185" s="822"/>
      <c r="T185" s="822"/>
      <c r="U185" s="440">
        <f t="shared" si="14"/>
        <v>-53773.43</v>
      </c>
      <c r="V185" s="54">
        <v>949.56</v>
      </c>
      <c r="W185" s="822"/>
      <c r="X185" s="822"/>
      <c r="Y185" s="822"/>
      <c r="Z185" s="822"/>
      <c r="AA185" s="822"/>
      <c r="AB185" s="822"/>
      <c r="AC185" s="822"/>
      <c r="AD185" s="54">
        <v>0</v>
      </c>
      <c r="AE185" s="822"/>
      <c r="AF185" s="54">
        <v>-52823.87</v>
      </c>
      <c r="AG185" s="54">
        <v>0</v>
      </c>
      <c r="AH185" s="822"/>
      <c r="AI185" s="53"/>
    </row>
    <row r="186" spans="1:35" ht="15.75" thickBot="1" x14ac:dyDescent="0.3">
      <c r="A186" s="456">
        <v>43983</v>
      </c>
      <c r="B186" s="441" t="s">
        <v>611</v>
      </c>
      <c r="C186" s="441" t="s">
        <v>611</v>
      </c>
      <c r="D186" s="56">
        <v>-52823.87</v>
      </c>
      <c r="E186" s="823"/>
      <c r="F186" s="823"/>
      <c r="G186" s="823"/>
      <c r="H186" s="823"/>
      <c r="I186" s="823"/>
      <c r="J186" s="823"/>
      <c r="K186" s="823"/>
      <c r="L186" s="437">
        <f t="shared" si="13"/>
        <v>0</v>
      </c>
      <c r="M186" s="823"/>
      <c r="N186" s="823"/>
      <c r="O186" s="56">
        <v>-53773.43</v>
      </c>
      <c r="P186" s="823"/>
      <c r="Q186" s="823"/>
      <c r="R186" s="823"/>
      <c r="S186" s="823"/>
      <c r="T186" s="823"/>
      <c r="U186" s="440">
        <f t="shared" si="14"/>
        <v>-53773.43</v>
      </c>
      <c r="V186" s="56">
        <v>949.56</v>
      </c>
      <c r="W186" s="823"/>
      <c r="X186" s="823"/>
      <c r="Y186" s="823"/>
      <c r="Z186" s="823"/>
      <c r="AA186" s="823"/>
      <c r="AB186" s="823"/>
      <c r="AC186" s="823"/>
      <c r="AD186" s="56">
        <v>0</v>
      </c>
      <c r="AE186" s="823"/>
      <c r="AF186" s="56">
        <v>-52823.87</v>
      </c>
      <c r="AG186" s="56">
        <v>0</v>
      </c>
      <c r="AH186" s="823"/>
      <c r="AI186" s="55"/>
    </row>
    <row r="187" spans="1:35" ht="23.25" thickBot="1" x14ac:dyDescent="0.3">
      <c r="A187" s="456">
        <v>43983</v>
      </c>
      <c r="B187" s="438" t="s">
        <v>52</v>
      </c>
      <c r="C187" s="439" t="s">
        <v>355</v>
      </c>
      <c r="D187" s="54">
        <v>-1801.54</v>
      </c>
      <c r="E187" s="822"/>
      <c r="F187" s="822"/>
      <c r="G187" s="822"/>
      <c r="H187" s="822"/>
      <c r="I187" s="822"/>
      <c r="J187" s="822"/>
      <c r="K187" s="822"/>
      <c r="L187" s="437">
        <f t="shared" si="13"/>
        <v>0</v>
      </c>
      <c r="M187" s="822"/>
      <c r="N187" s="822"/>
      <c r="O187" s="54">
        <v>-1850.95</v>
      </c>
      <c r="P187" s="822"/>
      <c r="Q187" s="822"/>
      <c r="R187" s="822"/>
      <c r="S187" s="822"/>
      <c r="T187" s="822"/>
      <c r="U187" s="440">
        <f t="shared" si="14"/>
        <v>-1850.95</v>
      </c>
      <c r="V187" s="54">
        <v>49.41</v>
      </c>
      <c r="W187" s="822"/>
      <c r="X187" s="822"/>
      <c r="Y187" s="822"/>
      <c r="Z187" s="822"/>
      <c r="AA187" s="822"/>
      <c r="AB187" s="822"/>
      <c r="AC187" s="822"/>
      <c r="AD187" s="54">
        <v>0</v>
      </c>
      <c r="AE187" s="822"/>
      <c r="AF187" s="54">
        <v>-1801.54</v>
      </c>
      <c r="AG187" s="54">
        <v>0</v>
      </c>
      <c r="AH187" s="822"/>
      <c r="AI187" s="53"/>
    </row>
    <row r="188" spans="1:35" ht="15.75" thickBot="1" x14ac:dyDescent="0.3">
      <c r="A188" s="456">
        <v>43983</v>
      </c>
      <c r="B188" s="441" t="s">
        <v>612</v>
      </c>
      <c r="C188" s="441" t="s">
        <v>612</v>
      </c>
      <c r="D188" s="56">
        <v>-1801.54</v>
      </c>
      <c r="E188" s="823"/>
      <c r="F188" s="823"/>
      <c r="G188" s="823"/>
      <c r="H188" s="823"/>
      <c r="I188" s="823"/>
      <c r="J188" s="823"/>
      <c r="K188" s="823"/>
      <c r="L188" s="437">
        <f t="shared" si="13"/>
        <v>0</v>
      </c>
      <c r="M188" s="823"/>
      <c r="N188" s="823"/>
      <c r="O188" s="56">
        <v>-1850.95</v>
      </c>
      <c r="P188" s="823"/>
      <c r="Q188" s="823"/>
      <c r="R188" s="823"/>
      <c r="S188" s="823"/>
      <c r="T188" s="823"/>
      <c r="U188" s="440">
        <f t="shared" si="14"/>
        <v>-1850.95</v>
      </c>
      <c r="V188" s="56">
        <v>49.41</v>
      </c>
      <c r="W188" s="823"/>
      <c r="X188" s="823"/>
      <c r="Y188" s="823"/>
      <c r="Z188" s="823"/>
      <c r="AA188" s="823"/>
      <c r="AB188" s="823"/>
      <c r="AC188" s="823"/>
      <c r="AD188" s="56">
        <v>0</v>
      </c>
      <c r="AE188" s="823"/>
      <c r="AF188" s="56">
        <v>-1801.54</v>
      </c>
      <c r="AG188" s="56">
        <v>0</v>
      </c>
      <c r="AH188" s="823"/>
      <c r="AI188" s="55"/>
    </row>
    <row r="189" spans="1:35" ht="15.75" thickBot="1" x14ac:dyDescent="0.3">
      <c r="A189" s="456">
        <v>43983</v>
      </c>
      <c r="B189" s="937" t="s">
        <v>947</v>
      </c>
      <c r="C189" s="938"/>
      <c r="D189" s="847">
        <v>-56474.96</v>
      </c>
      <c r="E189" s="847">
        <v>981</v>
      </c>
      <c r="F189" s="848"/>
      <c r="G189" s="848"/>
      <c r="H189" s="847">
        <v>3.73</v>
      </c>
      <c r="I189" s="848"/>
      <c r="J189" s="848"/>
      <c r="K189" s="848"/>
      <c r="L189" s="849">
        <f t="shared" si="13"/>
        <v>3.73</v>
      </c>
      <c r="M189" s="848"/>
      <c r="N189" s="848"/>
      <c r="O189" s="847">
        <v>-57503.79</v>
      </c>
      <c r="P189" s="848"/>
      <c r="Q189" s="848"/>
      <c r="R189" s="848"/>
      <c r="S189" s="848"/>
      <c r="T189" s="848"/>
      <c r="U189" s="849">
        <f t="shared" si="14"/>
        <v>-57503.79</v>
      </c>
      <c r="V189" s="847">
        <v>1024.1400000000001</v>
      </c>
      <c r="W189" s="848"/>
      <c r="X189" s="847">
        <v>0.96</v>
      </c>
      <c r="Y189" s="848"/>
      <c r="Z189" s="848"/>
      <c r="AA189" s="848"/>
      <c r="AB189" s="848"/>
      <c r="AC189" s="848"/>
      <c r="AD189" s="847">
        <v>-117.08</v>
      </c>
      <c r="AE189" s="848"/>
      <c r="AF189" s="847">
        <v>-56592.04</v>
      </c>
      <c r="AG189" s="847">
        <v>0</v>
      </c>
      <c r="AH189" s="848"/>
      <c r="AI189" s="53"/>
    </row>
    <row r="190" spans="1:35" ht="15.75" thickBot="1" x14ac:dyDescent="0.3">
      <c r="A190" s="456">
        <v>43983</v>
      </c>
      <c r="B190" s="438" t="s">
        <v>32</v>
      </c>
      <c r="C190" s="439" t="s">
        <v>33</v>
      </c>
      <c r="D190" s="56">
        <v>26461.27</v>
      </c>
      <c r="E190" s="823"/>
      <c r="F190" s="56">
        <v>0</v>
      </c>
      <c r="G190" s="823"/>
      <c r="H190" s="823"/>
      <c r="I190" s="823"/>
      <c r="J190" s="823"/>
      <c r="K190" s="823"/>
      <c r="L190" s="437">
        <f t="shared" si="13"/>
        <v>0</v>
      </c>
      <c r="M190" s="823"/>
      <c r="N190" s="56">
        <v>25402.63</v>
      </c>
      <c r="O190" s="823"/>
      <c r="P190" s="823"/>
      <c r="Q190" s="823"/>
      <c r="R190" s="823"/>
      <c r="S190" s="823"/>
      <c r="T190" s="823"/>
      <c r="U190" s="440">
        <f t="shared" si="14"/>
        <v>25402.63</v>
      </c>
      <c r="V190" s="823"/>
      <c r="W190" s="56">
        <v>-111.02</v>
      </c>
      <c r="X190" s="56">
        <v>1169.6600000000001</v>
      </c>
      <c r="Y190" s="823"/>
      <c r="Z190" s="823"/>
      <c r="AA190" s="823"/>
      <c r="AB190" s="823"/>
      <c r="AC190" s="56">
        <v>0</v>
      </c>
      <c r="AD190" s="56">
        <v>0</v>
      </c>
      <c r="AE190" s="823"/>
      <c r="AF190" s="56">
        <v>26461.27</v>
      </c>
      <c r="AG190" s="56">
        <v>0</v>
      </c>
      <c r="AH190" s="823"/>
      <c r="AI190" s="55"/>
    </row>
    <row r="191" spans="1:35" ht="15.75" thickBot="1" x14ac:dyDescent="0.3">
      <c r="A191" s="456">
        <v>43983</v>
      </c>
      <c r="B191" s="441" t="s">
        <v>605</v>
      </c>
      <c r="C191" s="441" t="s">
        <v>605</v>
      </c>
      <c r="D191" s="54">
        <v>26461.27</v>
      </c>
      <c r="E191" s="822"/>
      <c r="F191" s="54">
        <v>0</v>
      </c>
      <c r="G191" s="822"/>
      <c r="H191" s="822"/>
      <c r="I191" s="822"/>
      <c r="J191" s="822"/>
      <c r="K191" s="822"/>
      <c r="L191" s="437">
        <f>SUM(F191:K191)</f>
        <v>0</v>
      </c>
      <c r="M191" s="822"/>
      <c r="N191" s="54">
        <v>25402.63</v>
      </c>
      <c r="O191" s="822"/>
      <c r="P191" s="822"/>
      <c r="Q191" s="822"/>
      <c r="R191" s="822"/>
      <c r="S191" s="822"/>
      <c r="T191" s="822"/>
      <c r="U191" s="440">
        <f t="shared" si="14"/>
        <v>25402.63</v>
      </c>
      <c r="V191" s="822"/>
      <c r="W191" s="54">
        <v>-111.02</v>
      </c>
      <c r="X191" s="54">
        <v>1169.6600000000001</v>
      </c>
      <c r="Y191" s="822"/>
      <c r="Z191" s="822"/>
      <c r="AA191" s="822"/>
      <c r="AB191" s="822"/>
      <c r="AC191" s="54">
        <v>0</v>
      </c>
      <c r="AD191" s="54">
        <v>0</v>
      </c>
      <c r="AE191" s="822"/>
      <c r="AF191" s="54">
        <v>26461.27</v>
      </c>
      <c r="AG191" s="54">
        <v>0</v>
      </c>
      <c r="AH191" s="822"/>
      <c r="AI191" s="53"/>
    </row>
    <row r="192" spans="1:35" ht="15.75" thickBot="1" x14ac:dyDescent="0.3">
      <c r="A192" s="456">
        <v>43983</v>
      </c>
      <c r="B192" s="852" t="s">
        <v>947</v>
      </c>
      <c r="C192" s="853"/>
      <c r="D192" s="849">
        <f>D191</f>
        <v>26461.27</v>
      </c>
      <c r="E192" s="849">
        <f t="shared" ref="E192:AG192" si="18">E191</f>
        <v>0</v>
      </c>
      <c r="F192" s="849">
        <f t="shared" si="18"/>
        <v>0</v>
      </c>
      <c r="G192" s="849">
        <f t="shared" si="18"/>
        <v>0</v>
      </c>
      <c r="H192" s="849">
        <f t="shared" si="18"/>
        <v>0</v>
      </c>
      <c r="I192" s="849">
        <f t="shared" si="18"/>
        <v>0</v>
      </c>
      <c r="J192" s="849">
        <f t="shared" si="18"/>
        <v>0</v>
      </c>
      <c r="K192" s="849">
        <f t="shared" si="18"/>
        <v>0</v>
      </c>
      <c r="L192" s="849">
        <f t="shared" si="18"/>
        <v>0</v>
      </c>
      <c r="M192" s="849">
        <f t="shared" si="18"/>
        <v>0</v>
      </c>
      <c r="N192" s="849">
        <f>N191</f>
        <v>25402.63</v>
      </c>
      <c r="O192" s="849">
        <f t="shared" si="18"/>
        <v>0</v>
      </c>
      <c r="P192" s="849">
        <f t="shared" si="18"/>
        <v>0</v>
      </c>
      <c r="Q192" s="849">
        <f t="shared" si="18"/>
        <v>0</v>
      </c>
      <c r="R192" s="849">
        <f t="shared" si="18"/>
        <v>0</v>
      </c>
      <c r="S192" s="849">
        <f t="shared" si="18"/>
        <v>0</v>
      </c>
      <c r="T192" s="849">
        <f t="shared" si="18"/>
        <v>0</v>
      </c>
      <c r="U192" s="849">
        <f t="shared" si="18"/>
        <v>25402.63</v>
      </c>
      <c r="V192" s="849">
        <f t="shared" si="18"/>
        <v>0</v>
      </c>
      <c r="W192" s="849">
        <f>W191</f>
        <v>-111.02</v>
      </c>
      <c r="X192" s="849">
        <f>X191</f>
        <v>1169.6600000000001</v>
      </c>
      <c r="Y192" s="849">
        <f t="shared" si="18"/>
        <v>0</v>
      </c>
      <c r="Z192" s="849">
        <f t="shared" si="18"/>
        <v>0</v>
      </c>
      <c r="AA192" s="849">
        <f t="shared" si="18"/>
        <v>0</v>
      </c>
      <c r="AB192" s="849">
        <f t="shared" si="18"/>
        <v>0</v>
      </c>
      <c r="AC192" s="849">
        <f t="shared" si="18"/>
        <v>0</v>
      </c>
      <c r="AD192" s="849">
        <f t="shared" si="18"/>
        <v>0</v>
      </c>
      <c r="AE192" s="849">
        <f t="shared" si="18"/>
        <v>0</v>
      </c>
      <c r="AF192" s="849">
        <f t="shared" si="18"/>
        <v>26461.27</v>
      </c>
      <c r="AG192" s="849">
        <f t="shared" si="18"/>
        <v>0</v>
      </c>
      <c r="AH192" s="849"/>
      <c r="AI192" s="55"/>
    </row>
    <row r="193" spans="1:35" ht="15.75" thickBot="1" x14ac:dyDescent="0.3">
      <c r="A193" s="456">
        <v>43983</v>
      </c>
      <c r="B193" s="438" t="s">
        <v>32</v>
      </c>
      <c r="C193" s="439" t="s">
        <v>33</v>
      </c>
      <c r="D193" s="56">
        <v>-178226.44</v>
      </c>
      <c r="E193" s="56">
        <v>99971</v>
      </c>
      <c r="F193" s="56">
        <v>-750</v>
      </c>
      <c r="G193" s="56">
        <v>-180467.57</v>
      </c>
      <c r="H193" s="56">
        <v>2991.13</v>
      </c>
      <c r="I193" s="823"/>
      <c r="J193" s="823"/>
      <c r="K193" s="823"/>
      <c r="L193" s="437">
        <f t="shared" si="13"/>
        <v>-178226.44</v>
      </c>
      <c r="M193" s="823"/>
      <c r="N193" s="823"/>
      <c r="O193" s="823"/>
      <c r="P193" s="823"/>
      <c r="Q193" s="823"/>
      <c r="R193" s="823"/>
      <c r="S193" s="823"/>
      <c r="T193" s="823"/>
      <c r="U193" s="440">
        <f t="shared" si="14"/>
        <v>0</v>
      </c>
      <c r="V193" s="823"/>
      <c r="W193" s="823"/>
      <c r="X193" s="823"/>
      <c r="Y193" s="823"/>
      <c r="Z193" s="823"/>
      <c r="AA193" s="823"/>
      <c r="AB193" s="823"/>
      <c r="AC193" s="823"/>
      <c r="AD193" s="56">
        <v>0</v>
      </c>
      <c r="AE193" s="823"/>
      <c r="AF193" s="56">
        <v>-178226.44</v>
      </c>
      <c r="AG193" s="56">
        <v>0</v>
      </c>
      <c r="AH193" s="823"/>
      <c r="AI193" s="53"/>
    </row>
    <row r="194" spans="1:35" ht="15.75" thickBot="1" x14ac:dyDescent="0.3">
      <c r="A194" s="456">
        <v>43983</v>
      </c>
      <c r="B194" s="441" t="s">
        <v>605</v>
      </c>
      <c r="C194" s="441" t="s">
        <v>605</v>
      </c>
      <c r="D194" s="54">
        <v>-178226.44</v>
      </c>
      <c r="E194" s="54">
        <v>99971</v>
      </c>
      <c r="F194" s="54">
        <v>-750</v>
      </c>
      <c r="G194" s="54">
        <v>-180467.57</v>
      </c>
      <c r="H194" s="54">
        <v>2991.13</v>
      </c>
      <c r="I194" s="822"/>
      <c r="J194" s="822"/>
      <c r="K194" s="822"/>
      <c r="L194" s="437">
        <f t="shared" si="13"/>
        <v>-178226.44</v>
      </c>
      <c r="M194" s="822"/>
      <c r="N194" s="822"/>
      <c r="O194" s="822"/>
      <c r="P194" s="822"/>
      <c r="Q194" s="822"/>
      <c r="R194" s="822"/>
      <c r="S194" s="822"/>
      <c r="T194" s="822"/>
      <c r="U194" s="440">
        <f t="shared" si="14"/>
        <v>0</v>
      </c>
      <c r="V194" s="822"/>
      <c r="W194" s="822"/>
      <c r="X194" s="822"/>
      <c r="Y194" s="822"/>
      <c r="Z194" s="822"/>
      <c r="AA194" s="822"/>
      <c r="AB194" s="822"/>
      <c r="AC194" s="822"/>
      <c r="AD194" s="54">
        <v>0</v>
      </c>
      <c r="AE194" s="822"/>
      <c r="AF194" s="54">
        <v>-178226.44</v>
      </c>
      <c r="AG194" s="54">
        <v>0</v>
      </c>
      <c r="AH194" s="822"/>
      <c r="AI194" s="55"/>
    </row>
    <row r="195" spans="1:35" ht="15.75" thickBot="1" x14ac:dyDescent="0.3">
      <c r="A195" s="456">
        <v>44013</v>
      </c>
      <c r="B195" s="438" t="s">
        <v>13</v>
      </c>
      <c r="C195" s="439" t="s">
        <v>228</v>
      </c>
      <c r="D195" s="54">
        <v>17284.05</v>
      </c>
      <c r="E195" s="54">
        <v>43094</v>
      </c>
      <c r="F195" s="54">
        <v>1000</v>
      </c>
      <c r="G195" s="822"/>
      <c r="H195" s="54">
        <v>4586.93</v>
      </c>
      <c r="I195" s="822"/>
      <c r="J195" s="822"/>
      <c r="K195" s="822"/>
      <c r="L195" s="437">
        <f t="shared" ref="L195:L241" si="19">SUM(F195:K195)</f>
        <v>5586.93</v>
      </c>
      <c r="M195" s="54">
        <v>20.69</v>
      </c>
      <c r="N195" s="54">
        <v>10950.19</v>
      </c>
      <c r="O195" s="822"/>
      <c r="P195" s="822"/>
      <c r="Q195" s="822"/>
      <c r="R195" s="822"/>
      <c r="S195" s="822"/>
      <c r="T195" s="822"/>
      <c r="U195" s="440">
        <f t="shared" ref="U195:U241" si="20">SUM(N195:T195)</f>
        <v>10950.19</v>
      </c>
      <c r="V195" s="822"/>
      <c r="W195" s="54">
        <v>222.04</v>
      </c>
      <c r="X195" s="54">
        <v>504.2</v>
      </c>
      <c r="Y195" s="822"/>
      <c r="Z195" s="822"/>
      <c r="AA195" s="822"/>
      <c r="AB195" s="822"/>
      <c r="AC195" s="54">
        <v>0</v>
      </c>
      <c r="AD195" s="54">
        <v>247.61</v>
      </c>
      <c r="AE195" s="822"/>
      <c r="AF195" s="54">
        <v>17531.66</v>
      </c>
      <c r="AG195" s="54">
        <v>0</v>
      </c>
      <c r="AH195" s="822"/>
      <c r="AI195" s="54"/>
    </row>
    <row r="196" spans="1:35" ht="15.75" thickBot="1" x14ac:dyDescent="0.3">
      <c r="A196" s="51" t="s">
        <v>880</v>
      </c>
      <c r="B196" s="438" t="s">
        <v>429</v>
      </c>
      <c r="C196" s="439" t="s">
        <v>430</v>
      </c>
      <c r="D196" s="56">
        <v>17556.73</v>
      </c>
      <c r="E196" s="56">
        <v>45465</v>
      </c>
      <c r="F196" s="56">
        <v>500</v>
      </c>
      <c r="G196" s="823"/>
      <c r="H196" s="56">
        <v>4839.29</v>
      </c>
      <c r="I196" s="823"/>
      <c r="J196" s="823"/>
      <c r="K196" s="823"/>
      <c r="L196" s="437">
        <f t="shared" si="19"/>
        <v>5339.29</v>
      </c>
      <c r="M196" s="56">
        <v>21.82</v>
      </c>
      <c r="N196" s="56">
        <v>11552.66</v>
      </c>
      <c r="O196" s="823"/>
      <c r="P196" s="823"/>
      <c r="Q196" s="823"/>
      <c r="R196" s="823"/>
      <c r="S196" s="823"/>
      <c r="T196" s="823"/>
      <c r="U196" s="440">
        <f t="shared" si="20"/>
        <v>11552.66</v>
      </c>
      <c r="V196" s="823"/>
      <c r="W196" s="56">
        <v>111.02</v>
      </c>
      <c r="X196" s="56">
        <v>531.94000000000005</v>
      </c>
      <c r="Y196" s="823"/>
      <c r="Z196" s="823"/>
      <c r="AA196" s="823"/>
      <c r="AB196" s="823"/>
      <c r="AC196" s="56">
        <v>0</v>
      </c>
      <c r="AD196" s="56">
        <v>0</v>
      </c>
      <c r="AE196" s="823"/>
      <c r="AF196" s="56">
        <v>17556.73</v>
      </c>
      <c r="AG196" s="56">
        <v>0</v>
      </c>
      <c r="AH196" s="823"/>
      <c r="AI196" s="54"/>
    </row>
    <row r="197" spans="1:35" ht="15.75" thickBot="1" x14ac:dyDescent="0.3">
      <c r="A197" s="51" t="s">
        <v>880</v>
      </c>
      <c r="B197" s="441" t="s">
        <v>223</v>
      </c>
      <c r="C197" s="441" t="s">
        <v>223</v>
      </c>
      <c r="D197" s="54">
        <v>34840.78</v>
      </c>
      <c r="E197" s="54">
        <v>88559</v>
      </c>
      <c r="F197" s="54">
        <v>1500</v>
      </c>
      <c r="G197" s="822"/>
      <c r="H197" s="54">
        <v>9426.2199999999993</v>
      </c>
      <c r="I197" s="822"/>
      <c r="J197" s="822"/>
      <c r="K197" s="822"/>
      <c r="L197" s="437">
        <f t="shared" si="19"/>
        <v>10926.22</v>
      </c>
      <c r="M197" s="54">
        <v>42.51</v>
      </c>
      <c r="N197" s="54">
        <v>22502.85</v>
      </c>
      <c r="O197" s="822"/>
      <c r="P197" s="822"/>
      <c r="Q197" s="822"/>
      <c r="R197" s="822"/>
      <c r="S197" s="822"/>
      <c r="T197" s="822"/>
      <c r="U197" s="440">
        <f t="shared" si="20"/>
        <v>22502.85</v>
      </c>
      <c r="V197" s="822"/>
      <c r="W197" s="54">
        <v>333.06</v>
      </c>
      <c r="X197" s="54">
        <v>1036.1400000000001</v>
      </c>
      <c r="Y197" s="822"/>
      <c r="Z197" s="822"/>
      <c r="AA197" s="822"/>
      <c r="AB197" s="822"/>
      <c r="AC197" s="54">
        <v>0</v>
      </c>
      <c r="AD197" s="54">
        <v>247.61</v>
      </c>
      <c r="AE197" s="822"/>
      <c r="AF197" s="54">
        <v>35088.39</v>
      </c>
      <c r="AG197" s="54">
        <v>0</v>
      </c>
      <c r="AH197" s="822"/>
      <c r="AI197" s="56"/>
    </row>
    <row r="198" spans="1:35" ht="23.25" thickBot="1" x14ac:dyDescent="0.3">
      <c r="A198" s="51" t="s">
        <v>880</v>
      </c>
      <c r="B198" s="438" t="s">
        <v>19</v>
      </c>
      <c r="C198" s="439" t="s">
        <v>431</v>
      </c>
      <c r="D198" s="56">
        <v>3334352.23</v>
      </c>
      <c r="E198" s="56">
        <v>2316157</v>
      </c>
      <c r="F198" s="56">
        <v>1798958.3</v>
      </c>
      <c r="G198" s="823"/>
      <c r="H198" s="56">
        <v>680028.13</v>
      </c>
      <c r="I198" s="822"/>
      <c r="J198" s="822"/>
      <c r="K198" s="822"/>
      <c r="L198" s="437"/>
      <c r="M198" s="56">
        <v>1116.58</v>
      </c>
      <c r="N198" s="56">
        <v>582149.32999999996</v>
      </c>
      <c r="O198" s="823"/>
      <c r="P198" s="823"/>
      <c r="Q198" s="823"/>
      <c r="R198" s="823"/>
      <c r="S198" s="823"/>
      <c r="T198" s="823"/>
      <c r="U198" s="440"/>
      <c r="V198" s="823"/>
      <c r="W198" s="56">
        <v>229911.48</v>
      </c>
      <c r="X198" s="56">
        <v>45355.35</v>
      </c>
      <c r="Y198" s="56">
        <v>-3166.94</v>
      </c>
      <c r="Z198" s="56">
        <v>0</v>
      </c>
      <c r="AA198" s="823"/>
      <c r="AB198" s="823"/>
      <c r="AC198" s="56">
        <v>5407.39</v>
      </c>
      <c r="AD198" s="56">
        <v>180489.87</v>
      </c>
      <c r="AE198" s="823"/>
      <c r="AF198" s="56">
        <v>3520249.49</v>
      </c>
      <c r="AG198" s="56">
        <v>0</v>
      </c>
      <c r="AH198" s="823"/>
      <c r="AI198" s="54"/>
    </row>
    <row r="199" spans="1:35" ht="15.75" thickBot="1" x14ac:dyDescent="0.3">
      <c r="A199" s="51" t="s">
        <v>880</v>
      </c>
      <c r="B199" s="438" t="s">
        <v>350</v>
      </c>
      <c r="C199" s="439" t="s">
        <v>432</v>
      </c>
      <c r="D199" s="54">
        <v>266.08</v>
      </c>
      <c r="E199" s="54">
        <v>344</v>
      </c>
      <c r="F199" s="54">
        <v>57.13</v>
      </c>
      <c r="G199" s="822"/>
      <c r="H199" s="54">
        <v>105.5</v>
      </c>
      <c r="I199" s="822"/>
      <c r="J199" s="822"/>
      <c r="K199" s="822"/>
      <c r="L199" s="437"/>
      <c r="M199" s="54">
        <v>0.17</v>
      </c>
      <c r="N199" s="54">
        <v>87.41</v>
      </c>
      <c r="O199" s="822"/>
      <c r="P199" s="822"/>
      <c r="Q199" s="822"/>
      <c r="R199" s="822"/>
      <c r="S199" s="822"/>
      <c r="T199" s="822"/>
      <c r="U199" s="440"/>
      <c r="V199" s="822"/>
      <c r="W199" s="54">
        <v>9.27</v>
      </c>
      <c r="X199" s="54">
        <v>6.6</v>
      </c>
      <c r="Y199" s="822"/>
      <c r="Z199" s="822"/>
      <c r="AA199" s="822"/>
      <c r="AB199" s="822"/>
      <c r="AC199" s="54">
        <v>0</v>
      </c>
      <c r="AD199" s="54">
        <v>15.96</v>
      </c>
      <c r="AE199" s="822"/>
      <c r="AF199" s="54">
        <v>282.04000000000002</v>
      </c>
      <c r="AG199" s="54">
        <v>0</v>
      </c>
      <c r="AH199" s="822"/>
      <c r="AI199" s="56"/>
    </row>
    <row r="200" spans="1:35" ht="23.25" thickBot="1" x14ac:dyDescent="0.3">
      <c r="A200" s="51" t="s">
        <v>880</v>
      </c>
      <c r="B200" s="438" t="s">
        <v>599</v>
      </c>
      <c r="C200" s="439" t="s">
        <v>600</v>
      </c>
      <c r="D200" s="56">
        <v>42762.67</v>
      </c>
      <c r="E200" s="56">
        <v>601</v>
      </c>
      <c r="F200" s="56">
        <v>36777.93</v>
      </c>
      <c r="G200" s="823"/>
      <c r="H200" s="56">
        <v>186.31</v>
      </c>
      <c r="I200" s="822"/>
      <c r="J200" s="822"/>
      <c r="K200" s="822"/>
      <c r="L200" s="437"/>
      <c r="M200" s="56">
        <v>0</v>
      </c>
      <c r="N200" s="56">
        <v>150.25</v>
      </c>
      <c r="O200" s="823"/>
      <c r="P200" s="823"/>
      <c r="Q200" s="823"/>
      <c r="R200" s="823"/>
      <c r="S200" s="823"/>
      <c r="T200" s="823"/>
      <c r="U200" s="440"/>
      <c r="V200" s="823"/>
      <c r="W200" s="56">
        <v>5636.16</v>
      </c>
      <c r="X200" s="56">
        <v>12.02</v>
      </c>
      <c r="Y200" s="823"/>
      <c r="Z200" s="823"/>
      <c r="AA200" s="823"/>
      <c r="AB200" s="823"/>
      <c r="AC200" s="56">
        <v>15.06</v>
      </c>
      <c r="AD200" s="56">
        <v>2712.96</v>
      </c>
      <c r="AE200" s="823"/>
      <c r="AF200" s="56">
        <v>45490.69</v>
      </c>
      <c r="AG200" s="56">
        <v>0</v>
      </c>
      <c r="AH200" s="823"/>
      <c r="AI200" s="54"/>
    </row>
    <row r="201" spans="1:35" ht="15.75" thickBot="1" x14ac:dyDescent="0.3">
      <c r="A201" s="51" t="s">
        <v>880</v>
      </c>
      <c r="B201" s="441" t="s">
        <v>56</v>
      </c>
      <c r="C201" s="441" t="s">
        <v>56</v>
      </c>
      <c r="D201" s="54">
        <v>3377380.98</v>
      </c>
      <c r="E201" s="54">
        <v>2317102</v>
      </c>
      <c r="F201" s="54">
        <v>1835793.36</v>
      </c>
      <c r="G201" s="822"/>
      <c r="H201" s="54">
        <v>680319.94</v>
      </c>
      <c r="I201" s="822"/>
      <c r="J201" s="822"/>
      <c r="K201" s="822"/>
      <c r="L201" s="437"/>
      <c r="M201" s="54">
        <v>1116.75</v>
      </c>
      <c r="N201" s="54">
        <v>582386.99</v>
      </c>
      <c r="O201" s="822"/>
      <c r="P201" s="822"/>
      <c r="Q201" s="822"/>
      <c r="R201" s="822"/>
      <c r="S201" s="822"/>
      <c r="T201" s="822"/>
      <c r="U201" s="440"/>
      <c r="V201" s="822"/>
      <c r="W201" s="54">
        <v>235556.91</v>
      </c>
      <c r="X201" s="54">
        <v>45373.97</v>
      </c>
      <c r="Y201" s="54">
        <v>-3166.94</v>
      </c>
      <c r="Z201" s="54">
        <v>0</v>
      </c>
      <c r="AA201" s="822"/>
      <c r="AB201" s="822"/>
      <c r="AC201" s="54">
        <v>5422.45</v>
      </c>
      <c r="AD201" s="54">
        <v>183218.79</v>
      </c>
      <c r="AE201" s="822"/>
      <c r="AF201" s="54">
        <v>3566022.22</v>
      </c>
      <c r="AG201" s="54">
        <v>0</v>
      </c>
      <c r="AH201" s="822"/>
      <c r="AI201" s="56"/>
    </row>
    <row r="202" spans="1:35" ht="23.25" thickBot="1" x14ac:dyDescent="0.3">
      <c r="A202" s="51" t="s">
        <v>880</v>
      </c>
      <c r="B202" s="438" t="s">
        <v>43</v>
      </c>
      <c r="C202" s="439" t="s">
        <v>433</v>
      </c>
      <c r="D202" s="56">
        <v>2585.59</v>
      </c>
      <c r="E202" s="56">
        <v>21</v>
      </c>
      <c r="F202" s="56">
        <v>495</v>
      </c>
      <c r="G202" s="56">
        <v>1751.32</v>
      </c>
      <c r="H202" s="56">
        <v>0.63</v>
      </c>
      <c r="I202" s="823"/>
      <c r="J202" s="823"/>
      <c r="K202" s="823"/>
      <c r="L202" s="437">
        <f t="shared" si="19"/>
        <v>2246.9499999999998</v>
      </c>
      <c r="M202" s="823"/>
      <c r="N202" s="56">
        <v>5.33</v>
      </c>
      <c r="O202" s="823"/>
      <c r="P202" s="823"/>
      <c r="Q202" s="823"/>
      <c r="R202" s="823"/>
      <c r="S202" s="823"/>
      <c r="T202" s="823"/>
      <c r="U202" s="440">
        <f t="shared" si="20"/>
        <v>5.33</v>
      </c>
      <c r="V202" s="823"/>
      <c r="W202" s="56">
        <v>333.06</v>
      </c>
      <c r="X202" s="56">
        <v>0.25</v>
      </c>
      <c r="Y202" s="823"/>
      <c r="Z202" s="823"/>
      <c r="AA202" s="823"/>
      <c r="AB202" s="823"/>
      <c r="AC202" s="56">
        <v>0</v>
      </c>
      <c r="AD202" s="56">
        <v>98.18</v>
      </c>
      <c r="AE202" s="823"/>
      <c r="AF202" s="56">
        <v>2683.77</v>
      </c>
      <c r="AG202" s="56">
        <v>0</v>
      </c>
      <c r="AH202" s="823"/>
      <c r="AI202" s="54"/>
    </row>
    <row r="203" spans="1:35" ht="15.75" thickBot="1" x14ac:dyDescent="0.3">
      <c r="A203" s="51" t="s">
        <v>880</v>
      </c>
      <c r="B203" s="441" t="s">
        <v>428</v>
      </c>
      <c r="C203" s="441" t="s">
        <v>428</v>
      </c>
      <c r="D203" s="54">
        <v>2585.59</v>
      </c>
      <c r="E203" s="54">
        <v>21</v>
      </c>
      <c r="F203" s="54">
        <v>495</v>
      </c>
      <c r="G203" s="54">
        <v>1751.32</v>
      </c>
      <c r="H203" s="54">
        <v>0.63</v>
      </c>
      <c r="I203" s="822"/>
      <c r="J203" s="822"/>
      <c r="K203" s="822"/>
      <c r="L203" s="437">
        <f>SUM(F203:K203)</f>
        <v>2246.9499999999998</v>
      </c>
      <c r="M203" s="822"/>
      <c r="N203" s="54">
        <v>5.33</v>
      </c>
      <c r="O203" s="822"/>
      <c r="P203" s="822"/>
      <c r="Q203" s="822"/>
      <c r="R203" s="822"/>
      <c r="S203" s="822"/>
      <c r="T203" s="822"/>
      <c r="U203" s="440">
        <f t="shared" si="20"/>
        <v>5.33</v>
      </c>
      <c r="V203" s="822"/>
      <c r="W203" s="54">
        <v>333.06</v>
      </c>
      <c r="X203" s="54">
        <v>0.25</v>
      </c>
      <c r="Y203" s="822"/>
      <c r="Z203" s="822"/>
      <c r="AA203" s="822"/>
      <c r="AB203" s="822"/>
      <c r="AC203" s="54">
        <v>0</v>
      </c>
      <c r="AD203" s="54">
        <v>98.18</v>
      </c>
      <c r="AE203" s="822"/>
      <c r="AF203" s="54">
        <v>2683.77</v>
      </c>
      <c r="AG203" s="54">
        <v>0</v>
      </c>
      <c r="AH203" s="822"/>
      <c r="AI203" s="56"/>
    </row>
    <row r="204" spans="1:35" ht="23.25" thickBot="1" x14ac:dyDescent="0.3">
      <c r="A204" s="51" t="s">
        <v>880</v>
      </c>
      <c r="B204" s="438" t="s">
        <v>24</v>
      </c>
      <c r="C204" s="439" t="s">
        <v>436</v>
      </c>
      <c r="D204" s="56">
        <v>211125.51</v>
      </c>
      <c r="E204" s="56">
        <v>356470</v>
      </c>
      <c r="F204" s="56">
        <v>44186.400000000001</v>
      </c>
      <c r="G204" s="823"/>
      <c r="H204" s="56">
        <v>62308.639999999999</v>
      </c>
      <c r="I204" s="822"/>
      <c r="J204" s="822"/>
      <c r="K204" s="822"/>
      <c r="L204" s="437"/>
      <c r="M204" s="823"/>
      <c r="N204" s="56">
        <v>90578.98</v>
      </c>
      <c r="O204" s="823"/>
      <c r="P204" s="823"/>
      <c r="Q204" s="823"/>
      <c r="R204" s="823"/>
      <c r="S204" s="823"/>
      <c r="T204" s="823"/>
      <c r="U204" s="440"/>
      <c r="V204" s="823"/>
      <c r="W204" s="56">
        <v>9880.7800000000007</v>
      </c>
      <c r="X204" s="56">
        <v>4170.71</v>
      </c>
      <c r="Y204" s="823"/>
      <c r="Z204" s="823"/>
      <c r="AA204" s="823"/>
      <c r="AB204" s="823"/>
      <c r="AC204" s="56">
        <v>170.42</v>
      </c>
      <c r="AD204" s="56">
        <v>12311.72</v>
      </c>
      <c r="AE204" s="823"/>
      <c r="AF204" s="56">
        <v>223607.65</v>
      </c>
      <c r="AG204" s="56">
        <v>0</v>
      </c>
      <c r="AH204" s="823"/>
      <c r="AI204" s="53"/>
    </row>
    <row r="205" spans="1:35" ht="23.25" thickBot="1" x14ac:dyDescent="0.3">
      <c r="A205" s="51" t="s">
        <v>880</v>
      </c>
      <c r="B205" s="438" t="s">
        <v>434</v>
      </c>
      <c r="C205" s="439" t="s">
        <v>435</v>
      </c>
      <c r="D205" s="54">
        <v>229051.91</v>
      </c>
      <c r="E205" s="54">
        <v>356015</v>
      </c>
      <c r="F205" s="54">
        <v>57211.82</v>
      </c>
      <c r="G205" s="822"/>
      <c r="H205" s="54">
        <v>62607.86</v>
      </c>
      <c r="I205" s="822"/>
      <c r="J205" s="822"/>
      <c r="K205" s="822"/>
      <c r="L205" s="437"/>
      <c r="M205" s="54">
        <v>170.83</v>
      </c>
      <c r="N205" s="54">
        <v>90463.38</v>
      </c>
      <c r="O205" s="822"/>
      <c r="P205" s="822"/>
      <c r="Q205" s="822"/>
      <c r="R205" s="822"/>
      <c r="S205" s="822"/>
      <c r="T205" s="822"/>
      <c r="U205" s="440"/>
      <c r="V205" s="822"/>
      <c r="W205" s="54">
        <v>14432.6</v>
      </c>
      <c r="X205" s="54">
        <v>4165.42</v>
      </c>
      <c r="Y205" s="822"/>
      <c r="Z205" s="822"/>
      <c r="AA205" s="822"/>
      <c r="AB205" s="822"/>
      <c r="AC205" s="54">
        <v>0</v>
      </c>
      <c r="AD205" s="54">
        <v>11787.14</v>
      </c>
      <c r="AE205" s="822"/>
      <c r="AF205" s="54">
        <v>240839.05</v>
      </c>
      <c r="AG205" s="54">
        <v>0</v>
      </c>
      <c r="AH205" s="822"/>
      <c r="AI205" s="55"/>
    </row>
    <row r="206" spans="1:35" ht="15.75" thickBot="1" x14ac:dyDescent="0.3">
      <c r="A206" s="51" t="s">
        <v>880</v>
      </c>
      <c r="B206" s="441" t="s">
        <v>59</v>
      </c>
      <c r="C206" s="441" t="s">
        <v>59</v>
      </c>
      <c r="D206" s="56">
        <v>440177.42</v>
      </c>
      <c r="E206" s="56">
        <v>712485</v>
      </c>
      <c r="F206" s="56">
        <v>101398.22</v>
      </c>
      <c r="G206" s="823"/>
      <c r="H206" s="56">
        <v>124916.5</v>
      </c>
      <c r="I206" s="823"/>
      <c r="J206" s="823"/>
      <c r="K206" s="823"/>
      <c r="L206" s="437">
        <f t="shared" si="19"/>
        <v>226314.72</v>
      </c>
      <c r="M206" s="56">
        <v>170.83</v>
      </c>
      <c r="N206" s="56">
        <v>181042.36</v>
      </c>
      <c r="O206" s="823"/>
      <c r="P206" s="823"/>
      <c r="Q206" s="823"/>
      <c r="R206" s="823"/>
      <c r="S206" s="823"/>
      <c r="T206" s="823"/>
      <c r="U206" s="440">
        <f t="shared" si="20"/>
        <v>181042.36</v>
      </c>
      <c r="V206" s="823"/>
      <c r="W206" s="56">
        <v>24313.38</v>
      </c>
      <c r="X206" s="56">
        <v>8336.1299999999992</v>
      </c>
      <c r="Y206" s="823"/>
      <c r="Z206" s="823"/>
      <c r="AA206" s="823"/>
      <c r="AB206" s="823"/>
      <c r="AC206" s="56">
        <v>170.42</v>
      </c>
      <c r="AD206" s="56">
        <v>24098.86</v>
      </c>
      <c r="AE206" s="823"/>
      <c r="AF206" s="56">
        <v>464446.7</v>
      </c>
      <c r="AG206" s="56">
        <v>0</v>
      </c>
      <c r="AH206" s="823"/>
      <c r="AI206" s="53"/>
    </row>
    <row r="207" spans="1:35" ht="15.75" thickBot="1" x14ac:dyDescent="0.3">
      <c r="A207" s="51" t="s">
        <v>880</v>
      </c>
      <c r="B207" s="438" t="s">
        <v>26</v>
      </c>
      <c r="C207" s="439" t="s">
        <v>27</v>
      </c>
      <c r="D207" s="54">
        <v>8982080.3599999994</v>
      </c>
      <c r="E207" s="54">
        <v>3616052</v>
      </c>
      <c r="F207" s="54">
        <v>6090803.6799999997</v>
      </c>
      <c r="G207" s="822"/>
      <c r="H207" s="54">
        <v>1330062.04</v>
      </c>
      <c r="I207" s="822"/>
      <c r="J207" s="822"/>
      <c r="K207" s="822"/>
      <c r="L207" s="437">
        <f t="shared" si="19"/>
        <v>7420865.7199999997</v>
      </c>
      <c r="M207" s="54">
        <v>-5648.01</v>
      </c>
      <c r="N207" s="54">
        <v>918988.31</v>
      </c>
      <c r="O207" s="822"/>
      <c r="P207" s="822"/>
      <c r="Q207" s="822"/>
      <c r="R207" s="822"/>
      <c r="S207" s="822"/>
      <c r="T207" s="822"/>
      <c r="U207" s="440">
        <f t="shared" si="20"/>
        <v>918988.31</v>
      </c>
      <c r="V207" s="822"/>
      <c r="W207" s="54">
        <v>562162.81999999995</v>
      </c>
      <c r="X207" s="54">
        <v>86039.59</v>
      </c>
      <c r="Y207" s="54">
        <v>-222.74</v>
      </c>
      <c r="Z207" s="54">
        <v>-105.33</v>
      </c>
      <c r="AA207" s="822"/>
      <c r="AB207" s="54">
        <v>90440.75</v>
      </c>
      <c r="AC207" s="54">
        <v>10584.27</v>
      </c>
      <c r="AD207" s="54">
        <v>37885.550000000003</v>
      </c>
      <c r="AE207" s="822"/>
      <c r="AF207" s="54">
        <v>9120990.9299999997</v>
      </c>
      <c r="AG207" s="54">
        <v>0</v>
      </c>
      <c r="AH207" s="822"/>
      <c r="AI207" s="55"/>
    </row>
    <row r="208" spans="1:35" ht="15.75" thickBot="1" x14ac:dyDescent="0.3">
      <c r="A208" s="51" t="s">
        <v>880</v>
      </c>
      <c r="B208" s="441" t="s">
        <v>62</v>
      </c>
      <c r="C208" s="441" t="s">
        <v>62</v>
      </c>
      <c r="D208" s="56">
        <v>8982080.3599999994</v>
      </c>
      <c r="E208" s="56">
        <v>3616052</v>
      </c>
      <c r="F208" s="56">
        <v>6090803.6799999997</v>
      </c>
      <c r="G208" s="823"/>
      <c r="H208" s="56">
        <v>1330062.04</v>
      </c>
      <c r="I208" s="822"/>
      <c r="J208" s="822"/>
      <c r="K208" s="822"/>
      <c r="L208" s="437">
        <f t="shared" si="19"/>
        <v>7420865.7199999997</v>
      </c>
      <c r="M208" s="56">
        <v>-5648.01</v>
      </c>
      <c r="N208" s="56">
        <v>918988.31</v>
      </c>
      <c r="O208" s="823"/>
      <c r="P208" s="823"/>
      <c r="Q208" s="823"/>
      <c r="R208" s="823"/>
      <c r="S208" s="823"/>
      <c r="T208" s="823"/>
      <c r="U208" s="440">
        <f t="shared" si="20"/>
        <v>918988.31</v>
      </c>
      <c r="V208" s="823"/>
      <c r="W208" s="56">
        <v>562162.81999999995</v>
      </c>
      <c r="X208" s="56">
        <v>86039.59</v>
      </c>
      <c r="Y208" s="56">
        <v>-222.74</v>
      </c>
      <c r="Z208" s="56">
        <v>-105.33</v>
      </c>
      <c r="AA208" s="823"/>
      <c r="AB208" s="56">
        <v>90440.75</v>
      </c>
      <c r="AC208" s="56">
        <v>10584.27</v>
      </c>
      <c r="AD208" s="56">
        <v>37885.550000000003</v>
      </c>
      <c r="AE208" s="823"/>
      <c r="AF208" s="56">
        <v>9120990.9299999997</v>
      </c>
      <c r="AG208" s="56">
        <v>0</v>
      </c>
      <c r="AH208" s="823"/>
      <c r="AI208" s="53"/>
    </row>
    <row r="209" spans="1:35" ht="23.25" thickBot="1" x14ac:dyDescent="0.3">
      <c r="A209" s="51" t="s">
        <v>880</v>
      </c>
      <c r="B209" s="438" t="s">
        <v>28</v>
      </c>
      <c r="C209" s="439" t="s">
        <v>29</v>
      </c>
      <c r="D209" s="54">
        <v>259.29000000000002</v>
      </c>
      <c r="E209" s="54">
        <v>299</v>
      </c>
      <c r="F209" s="54">
        <v>61.1</v>
      </c>
      <c r="G209" s="822"/>
      <c r="H209" s="54">
        <v>109.97</v>
      </c>
      <c r="I209" s="822"/>
      <c r="J209" s="822"/>
      <c r="K209" s="822"/>
      <c r="L209" s="437">
        <f t="shared" si="19"/>
        <v>171.07</v>
      </c>
      <c r="M209" s="54">
        <v>-0.47</v>
      </c>
      <c r="N209" s="54">
        <v>75.97</v>
      </c>
      <c r="O209" s="822"/>
      <c r="P209" s="822"/>
      <c r="Q209" s="822"/>
      <c r="R209" s="822"/>
      <c r="S209" s="822"/>
      <c r="T209" s="822"/>
      <c r="U209" s="440">
        <f t="shared" si="20"/>
        <v>75.97</v>
      </c>
      <c r="V209" s="822"/>
      <c r="W209" s="54">
        <v>5.61</v>
      </c>
      <c r="X209" s="54">
        <v>7.11</v>
      </c>
      <c r="Y209" s="822"/>
      <c r="Z209" s="822"/>
      <c r="AA209" s="822"/>
      <c r="AB209" s="822"/>
      <c r="AC209" s="54">
        <v>0</v>
      </c>
      <c r="AD209" s="54">
        <v>0</v>
      </c>
      <c r="AE209" s="822"/>
      <c r="AF209" s="54">
        <v>259.29000000000002</v>
      </c>
      <c r="AG209" s="54">
        <v>0</v>
      </c>
      <c r="AH209" s="822"/>
      <c r="AI209" s="55"/>
    </row>
    <row r="210" spans="1:35" ht="15.75" thickBot="1" x14ac:dyDescent="0.3">
      <c r="A210" s="51" t="s">
        <v>880</v>
      </c>
      <c r="B210" s="441" t="s">
        <v>606</v>
      </c>
      <c r="C210" s="441" t="s">
        <v>606</v>
      </c>
      <c r="D210" s="56">
        <v>259.29000000000002</v>
      </c>
      <c r="E210" s="56">
        <v>299</v>
      </c>
      <c r="F210" s="56">
        <v>61.1</v>
      </c>
      <c r="G210" s="823"/>
      <c r="H210" s="56">
        <v>109.97</v>
      </c>
      <c r="I210" s="823"/>
      <c r="J210" s="823"/>
      <c r="K210" s="823"/>
      <c r="L210" s="437">
        <f t="shared" si="19"/>
        <v>171.07</v>
      </c>
      <c r="M210" s="56">
        <v>-0.47</v>
      </c>
      <c r="N210" s="56">
        <v>75.97</v>
      </c>
      <c r="O210" s="823"/>
      <c r="P210" s="823"/>
      <c r="Q210" s="823"/>
      <c r="R210" s="823"/>
      <c r="S210" s="823"/>
      <c r="T210" s="823"/>
      <c r="U210" s="440">
        <f t="shared" si="20"/>
        <v>75.97</v>
      </c>
      <c r="V210" s="823"/>
      <c r="W210" s="56">
        <v>5.61</v>
      </c>
      <c r="X210" s="56">
        <v>7.11</v>
      </c>
      <c r="Y210" s="823"/>
      <c r="Z210" s="823"/>
      <c r="AA210" s="823"/>
      <c r="AB210" s="823"/>
      <c r="AC210" s="56">
        <v>0</v>
      </c>
      <c r="AD210" s="56">
        <v>0</v>
      </c>
      <c r="AE210" s="823"/>
      <c r="AF210" s="56">
        <v>259.29000000000002</v>
      </c>
      <c r="AG210" s="56">
        <v>0</v>
      </c>
      <c r="AH210" s="823"/>
      <c r="AI210" s="53"/>
    </row>
    <row r="211" spans="1:35" ht="23.25" thickBot="1" x14ac:dyDescent="0.3">
      <c r="A211" s="51" t="s">
        <v>880</v>
      </c>
      <c r="B211" s="438" t="s">
        <v>563</v>
      </c>
      <c r="C211" s="439" t="s">
        <v>607</v>
      </c>
      <c r="D211" s="54">
        <v>16160.73</v>
      </c>
      <c r="E211" s="54">
        <v>12</v>
      </c>
      <c r="F211" s="54">
        <v>285</v>
      </c>
      <c r="G211" s="54">
        <v>15862.74</v>
      </c>
      <c r="H211" s="54">
        <v>0.43</v>
      </c>
      <c r="I211" s="822"/>
      <c r="J211" s="822"/>
      <c r="K211" s="822"/>
      <c r="L211" s="437">
        <f t="shared" si="19"/>
        <v>16148.17</v>
      </c>
      <c r="M211" s="54">
        <v>0.01</v>
      </c>
      <c r="N211" s="54">
        <v>3.05</v>
      </c>
      <c r="O211" s="822"/>
      <c r="P211" s="822"/>
      <c r="Q211" s="822"/>
      <c r="R211" s="822"/>
      <c r="S211" s="822"/>
      <c r="T211" s="822"/>
      <c r="U211" s="440">
        <f t="shared" si="20"/>
        <v>3.05</v>
      </c>
      <c r="V211" s="822"/>
      <c r="W211" s="54">
        <v>9.27</v>
      </c>
      <c r="X211" s="54">
        <v>0.23</v>
      </c>
      <c r="Y211" s="822"/>
      <c r="Z211" s="822"/>
      <c r="AA211" s="822"/>
      <c r="AB211" s="822"/>
      <c r="AC211" s="54">
        <v>0</v>
      </c>
      <c r="AD211" s="54">
        <v>0</v>
      </c>
      <c r="AE211" s="822"/>
      <c r="AF211" s="54">
        <v>16160.73</v>
      </c>
      <c r="AG211" s="54">
        <v>0</v>
      </c>
      <c r="AH211" s="822"/>
      <c r="AI211" s="55"/>
    </row>
    <row r="212" spans="1:35" ht="15.75" thickBot="1" x14ac:dyDescent="0.3">
      <c r="A212" s="51" t="s">
        <v>880</v>
      </c>
      <c r="B212" s="441" t="s">
        <v>608</v>
      </c>
      <c r="C212" s="441" t="s">
        <v>608</v>
      </c>
      <c r="D212" s="56">
        <v>16160.73</v>
      </c>
      <c r="E212" s="56">
        <v>12</v>
      </c>
      <c r="F212" s="56">
        <v>285</v>
      </c>
      <c r="G212" s="56">
        <v>15862.74</v>
      </c>
      <c r="H212" s="56">
        <v>0.43</v>
      </c>
      <c r="I212" s="823"/>
      <c r="J212" s="823"/>
      <c r="K212" s="823"/>
      <c r="L212" s="437">
        <f t="shared" ref="L212" si="21">SUM(F212:K212)</f>
        <v>16148.17</v>
      </c>
      <c r="M212" s="56">
        <v>0.01</v>
      </c>
      <c r="N212" s="56">
        <v>3.05</v>
      </c>
      <c r="O212" s="823"/>
      <c r="P212" s="823"/>
      <c r="Q212" s="823"/>
      <c r="R212" s="823"/>
      <c r="S212" s="823"/>
      <c r="T212" s="823"/>
      <c r="U212" s="440">
        <f t="shared" si="20"/>
        <v>3.05</v>
      </c>
      <c r="V212" s="823"/>
      <c r="W212" s="56">
        <v>9.27</v>
      </c>
      <c r="X212" s="56">
        <v>0.23</v>
      </c>
      <c r="Y212" s="823"/>
      <c r="Z212" s="823"/>
      <c r="AA212" s="823"/>
      <c r="AB212" s="823"/>
      <c r="AC212" s="56">
        <v>0</v>
      </c>
      <c r="AD212" s="56">
        <v>0</v>
      </c>
      <c r="AE212" s="823"/>
      <c r="AF212" s="56">
        <v>16160.73</v>
      </c>
      <c r="AG212" s="56">
        <v>0</v>
      </c>
      <c r="AH212" s="823"/>
      <c r="AI212" s="54"/>
    </row>
    <row r="213" spans="1:35" ht="15.75" thickBot="1" x14ac:dyDescent="0.3">
      <c r="A213" s="51" t="s">
        <v>880</v>
      </c>
      <c r="B213" s="937" t="s">
        <v>947</v>
      </c>
      <c r="C213" s="938"/>
      <c r="D213" s="847">
        <v>12853485.15</v>
      </c>
      <c r="E213" s="847">
        <v>6734530</v>
      </c>
      <c r="F213" s="847">
        <v>8030336.3600000003</v>
      </c>
      <c r="G213" s="847">
        <v>17614.060000000001</v>
      </c>
      <c r="H213" s="847">
        <v>2144835.73</v>
      </c>
      <c r="I213" s="848"/>
      <c r="J213" s="848"/>
      <c r="K213" s="848"/>
      <c r="L213" s="849">
        <f t="shared" si="19"/>
        <v>10192786.15</v>
      </c>
      <c r="M213" s="847">
        <v>-4318.38</v>
      </c>
      <c r="N213" s="847">
        <v>1705004.86</v>
      </c>
      <c r="O213" s="848"/>
      <c r="P213" s="848"/>
      <c r="Q213" s="848"/>
      <c r="R213" s="848"/>
      <c r="S213" s="848"/>
      <c r="T213" s="848"/>
      <c r="U213" s="849">
        <f t="shared" si="20"/>
        <v>1705004.86</v>
      </c>
      <c r="V213" s="848"/>
      <c r="W213" s="847">
        <v>822714.11</v>
      </c>
      <c r="X213" s="847">
        <v>140793.42000000001</v>
      </c>
      <c r="Y213" s="847">
        <v>-3389.68</v>
      </c>
      <c r="Z213" s="847">
        <v>-105.33</v>
      </c>
      <c r="AA213" s="848"/>
      <c r="AB213" s="847">
        <v>90440.75</v>
      </c>
      <c r="AC213" s="847">
        <v>16177.14</v>
      </c>
      <c r="AD213" s="847">
        <v>245548.99</v>
      </c>
      <c r="AE213" s="848"/>
      <c r="AF213" s="847">
        <v>13205652.029999999</v>
      </c>
      <c r="AG213" s="847">
        <v>0</v>
      </c>
      <c r="AH213" s="848"/>
      <c r="AI213" s="56"/>
    </row>
    <row r="214" spans="1:35" ht="15.75" thickBot="1" x14ac:dyDescent="0.3">
      <c r="A214" s="51" t="s">
        <v>880</v>
      </c>
      <c r="B214" s="438" t="s">
        <v>55</v>
      </c>
      <c r="C214" s="439" t="s">
        <v>51</v>
      </c>
      <c r="D214" s="449"/>
      <c r="E214" s="449"/>
      <c r="F214" s="449"/>
      <c r="G214" s="449"/>
      <c r="H214" s="449"/>
      <c r="I214" s="449"/>
      <c r="J214" s="449"/>
      <c r="K214" s="449"/>
      <c r="L214" s="437">
        <f t="shared" ref="L214:L215" si="22">SUM(F214:K214)</f>
        <v>0</v>
      </c>
      <c r="M214" s="449"/>
      <c r="N214" s="449"/>
      <c r="O214" s="449"/>
      <c r="P214" s="449"/>
      <c r="Q214" s="449"/>
      <c r="R214" s="449"/>
      <c r="S214" s="449"/>
      <c r="T214" s="449"/>
      <c r="U214" s="440">
        <f t="shared" si="20"/>
        <v>0</v>
      </c>
      <c r="V214" s="449"/>
      <c r="W214" s="449"/>
      <c r="X214" s="449"/>
      <c r="Y214" s="449"/>
      <c r="Z214" s="449"/>
      <c r="AA214" s="449"/>
      <c r="AB214" s="449"/>
      <c r="AC214" s="449"/>
      <c r="AD214" s="449"/>
      <c r="AE214" s="449"/>
      <c r="AF214" s="449"/>
      <c r="AG214" s="449"/>
      <c r="AH214" s="449"/>
      <c r="AI214" s="54"/>
    </row>
    <row r="215" spans="1:35" ht="15.75" thickBot="1" x14ac:dyDescent="0.3">
      <c r="A215" s="51" t="s">
        <v>880</v>
      </c>
      <c r="B215" s="451" t="s">
        <v>609</v>
      </c>
      <c r="C215" s="451"/>
      <c r="D215" s="455"/>
      <c r="E215" s="455"/>
      <c r="F215" s="455"/>
      <c r="G215" s="455"/>
      <c r="H215" s="455"/>
      <c r="I215" s="455"/>
      <c r="J215" s="455"/>
      <c r="K215" s="455"/>
      <c r="L215" s="437">
        <f t="shared" si="22"/>
        <v>0</v>
      </c>
      <c r="M215" s="455"/>
      <c r="N215" s="455"/>
      <c r="O215" s="455"/>
      <c r="P215" s="455"/>
      <c r="Q215" s="455"/>
      <c r="R215" s="455"/>
      <c r="S215" s="455"/>
      <c r="T215" s="455"/>
      <c r="U215" s="440">
        <f t="shared" si="20"/>
        <v>0</v>
      </c>
      <c r="V215" s="455"/>
      <c r="W215" s="455"/>
      <c r="X215" s="455"/>
      <c r="Y215" s="455"/>
      <c r="Z215" s="455"/>
      <c r="AA215" s="455"/>
      <c r="AB215" s="455"/>
      <c r="AC215" s="455"/>
      <c r="AD215" s="455"/>
      <c r="AE215" s="455"/>
      <c r="AF215" s="455"/>
      <c r="AG215" s="455"/>
      <c r="AH215" s="455"/>
      <c r="AI215" s="56"/>
    </row>
    <row r="216" spans="1:35" ht="15.75" thickBot="1" x14ac:dyDescent="0.3">
      <c r="A216" s="51" t="s">
        <v>880</v>
      </c>
      <c r="B216" s="850" t="s">
        <v>947</v>
      </c>
      <c r="C216" s="851"/>
      <c r="D216" s="849">
        <f>D215</f>
        <v>0</v>
      </c>
      <c r="E216" s="849">
        <f t="shared" ref="E216:L216" si="23">E215</f>
        <v>0</v>
      </c>
      <c r="F216" s="849">
        <f t="shared" si="23"/>
        <v>0</v>
      </c>
      <c r="G216" s="849">
        <f t="shared" si="23"/>
        <v>0</v>
      </c>
      <c r="H216" s="849">
        <f t="shared" si="23"/>
        <v>0</v>
      </c>
      <c r="I216" s="849">
        <f t="shared" si="23"/>
        <v>0</v>
      </c>
      <c r="J216" s="849">
        <f t="shared" si="23"/>
        <v>0</v>
      </c>
      <c r="K216" s="849">
        <f t="shared" si="23"/>
        <v>0</v>
      </c>
      <c r="L216" s="849">
        <f t="shared" si="23"/>
        <v>0</v>
      </c>
      <c r="M216" s="849"/>
      <c r="N216" s="849"/>
      <c r="O216" s="849"/>
      <c r="P216" s="849"/>
      <c r="Q216" s="849"/>
      <c r="R216" s="849"/>
      <c r="S216" s="849"/>
      <c r="T216" s="849"/>
      <c r="U216" s="849">
        <f t="shared" ref="U216:AH216" si="24">U215</f>
        <v>0</v>
      </c>
      <c r="V216" s="849">
        <f t="shared" si="24"/>
        <v>0</v>
      </c>
      <c r="W216" s="849">
        <f t="shared" si="24"/>
        <v>0</v>
      </c>
      <c r="X216" s="849"/>
      <c r="Y216" s="849">
        <f t="shared" si="24"/>
        <v>0</v>
      </c>
      <c r="Z216" s="849">
        <f t="shared" si="24"/>
        <v>0</v>
      </c>
      <c r="AA216" s="849">
        <f t="shared" si="24"/>
        <v>0</v>
      </c>
      <c r="AB216" s="849">
        <f t="shared" si="24"/>
        <v>0</v>
      </c>
      <c r="AC216" s="849">
        <f t="shared" si="24"/>
        <v>0</v>
      </c>
      <c r="AD216" s="849">
        <f t="shared" si="24"/>
        <v>0</v>
      </c>
      <c r="AE216" s="849">
        <f t="shared" si="24"/>
        <v>0</v>
      </c>
      <c r="AF216" s="849">
        <f t="shared" si="24"/>
        <v>0</v>
      </c>
      <c r="AG216" s="849">
        <f t="shared" si="24"/>
        <v>0</v>
      </c>
      <c r="AH216" s="849">
        <f t="shared" si="24"/>
        <v>0</v>
      </c>
      <c r="AI216" s="54"/>
    </row>
    <row r="217" spans="1:35" ht="15.75" thickBot="1" x14ac:dyDescent="0.3">
      <c r="A217" s="51" t="s">
        <v>880</v>
      </c>
      <c r="B217" s="438" t="s">
        <v>34</v>
      </c>
      <c r="C217" s="439" t="s">
        <v>437</v>
      </c>
      <c r="D217" s="56">
        <v>27227.62</v>
      </c>
      <c r="E217" s="56">
        <v>333646</v>
      </c>
      <c r="F217" s="56">
        <v>11700</v>
      </c>
      <c r="G217" s="56">
        <v>13585.4</v>
      </c>
      <c r="H217" s="56">
        <v>1267.8599999999999</v>
      </c>
      <c r="I217" s="56">
        <v>13.45</v>
      </c>
      <c r="J217" s="823"/>
      <c r="K217" s="56">
        <v>119.3</v>
      </c>
      <c r="L217" s="437">
        <f t="shared" si="19"/>
        <v>26686.010000000002</v>
      </c>
      <c r="M217" s="56">
        <v>163.55000000000001</v>
      </c>
      <c r="N217" s="823"/>
      <c r="O217" s="823"/>
      <c r="P217" s="56">
        <v>0</v>
      </c>
      <c r="Q217" s="56">
        <v>51.09</v>
      </c>
      <c r="R217" s="823"/>
      <c r="S217" s="823"/>
      <c r="T217" s="823"/>
      <c r="U217" s="440">
        <f t="shared" ref="U217:U228" si="25">SUM(N217:T217)</f>
        <v>51.09</v>
      </c>
      <c r="V217" s="823"/>
      <c r="W217" s="56">
        <v>0</v>
      </c>
      <c r="X217" s="56">
        <v>326.97000000000003</v>
      </c>
      <c r="Y217" s="823"/>
      <c r="Z217" s="823"/>
      <c r="AA217" s="823"/>
      <c r="AB217" s="823"/>
      <c r="AC217" s="56">
        <v>0</v>
      </c>
      <c r="AD217" s="56">
        <v>269.49</v>
      </c>
      <c r="AE217" s="823"/>
      <c r="AF217" s="56">
        <v>27497.11</v>
      </c>
      <c r="AG217" s="56">
        <v>0</v>
      </c>
      <c r="AH217" s="823"/>
      <c r="AI217" s="452"/>
    </row>
    <row r="218" spans="1:35" ht="15.75" thickBot="1" x14ac:dyDescent="0.3">
      <c r="A218" s="51" t="s">
        <v>880</v>
      </c>
      <c r="B218" s="438" t="s">
        <v>36</v>
      </c>
      <c r="C218" s="439" t="s">
        <v>438</v>
      </c>
      <c r="D218" s="54">
        <v>438360.38</v>
      </c>
      <c r="E218" s="54">
        <v>6992410</v>
      </c>
      <c r="F218" s="54">
        <v>65000</v>
      </c>
      <c r="G218" s="54">
        <v>338589.02</v>
      </c>
      <c r="H218" s="54">
        <v>26571.16</v>
      </c>
      <c r="I218" s="54">
        <v>114.68</v>
      </c>
      <c r="J218" s="822"/>
      <c r="K218" s="54">
        <v>863.3</v>
      </c>
      <c r="L218" s="437">
        <f t="shared" si="19"/>
        <v>431138.16</v>
      </c>
      <c r="M218" s="822"/>
      <c r="N218" s="822"/>
      <c r="O218" s="822"/>
      <c r="P218" s="54">
        <v>0</v>
      </c>
      <c r="Q218" s="54">
        <v>369.68</v>
      </c>
      <c r="R218" s="822"/>
      <c r="S218" s="822"/>
      <c r="T218" s="822"/>
      <c r="U218" s="440">
        <f t="shared" si="25"/>
        <v>369.68</v>
      </c>
      <c r="V218" s="822"/>
      <c r="W218" s="54">
        <v>0</v>
      </c>
      <c r="X218" s="54">
        <v>6852.54</v>
      </c>
      <c r="Y218" s="822"/>
      <c r="Z218" s="822"/>
      <c r="AA218" s="822"/>
      <c r="AB218" s="822"/>
      <c r="AC218" s="54">
        <v>0</v>
      </c>
      <c r="AD218" s="54">
        <v>18457.75</v>
      </c>
      <c r="AE218" s="822"/>
      <c r="AF218" s="54">
        <v>456818.13</v>
      </c>
      <c r="AG218" s="54">
        <v>0</v>
      </c>
      <c r="AH218" s="822"/>
      <c r="AI218" s="53"/>
    </row>
    <row r="219" spans="1:35" ht="15.75" thickBot="1" x14ac:dyDescent="0.3">
      <c r="A219" s="51" t="s">
        <v>880</v>
      </c>
      <c r="B219" s="438" t="s">
        <v>447</v>
      </c>
      <c r="C219" s="439" t="s">
        <v>494</v>
      </c>
      <c r="D219" s="56">
        <v>49384.43</v>
      </c>
      <c r="E219" s="56">
        <v>687485</v>
      </c>
      <c r="F219" s="56">
        <v>19500</v>
      </c>
      <c r="G219" s="56">
        <v>26171.279999999999</v>
      </c>
      <c r="H219" s="56">
        <v>2612.4499999999998</v>
      </c>
      <c r="I219" s="56">
        <v>96.98</v>
      </c>
      <c r="J219" s="823"/>
      <c r="K219" s="823"/>
      <c r="L219" s="437">
        <f>SUM(F219:K219)</f>
        <v>48380.71</v>
      </c>
      <c r="M219" s="56">
        <v>329.98</v>
      </c>
      <c r="N219" s="823"/>
      <c r="O219" s="823"/>
      <c r="P219" s="56">
        <v>0</v>
      </c>
      <c r="Q219" s="56">
        <v>0</v>
      </c>
      <c r="R219" s="823"/>
      <c r="S219" s="823"/>
      <c r="T219" s="823"/>
      <c r="U219" s="440">
        <f t="shared" si="25"/>
        <v>0</v>
      </c>
      <c r="V219" s="823"/>
      <c r="W219" s="56">
        <v>0</v>
      </c>
      <c r="X219" s="56">
        <v>673.74</v>
      </c>
      <c r="Y219" s="823"/>
      <c r="Z219" s="823"/>
      <c r="AA219" s="823"/>
      <c r="AB219" s="823"/>
      <c r="AC219" s="56">
        <v>442.48</v>
      </c>
      <c r="AD219" s="56">
        <v>2127.71</v>
      </c>
      <c r="AE219" s="823"/>
      <c r="AF219" s="56">
        <v>51954.62</v>
      </c>
      <c r="AG219" s="56">
        <v>0</v>
      </c>
      <c r="AH219" s="823"/>
      <c r="AI219" s="55"/>
    </row>
    <row r="220" spans="1:35" ht="15.75" thickBot="1" x14ac:dyDescent="0.3">
      <c r="A220" s="51" t="s">
        <v>880</v>
      </c>
      <c r="B220" s="441" t="s">
        <v>610</v>
      </c>
      <c r="C220" s="441" t="s">
        <v>610</v>
      </c>
      <c r="D220" s="54">
        <v>514972.43</v>
      </c>
      <c r="E220" s="54">
        <v>8013541</v>
      </c>
      <c r="F220" s="54">
        <v>96200</v>
      </c>
      <c r="G220" s="54">
        <v>378345.7</v>
      </c>
      <c r="H220" s="54">
        <v>30451.47</v>
      </c>
      <c r="I220" s="54">
        <v>225.11</v>
      </c>
      <c r="J220" s="822"/>
      <c r="K220" s="54">
        <v>982.6</v>
      </c>
      <c r="L220" s="437">
        <f t="shared" si="19"/>
        <v>506204.88</v>
      </c>
      <c r="M220" s="54">
        <v>493.53</v>
      </c>
      <c r="N220" s="822"/>
      <c r="O220" s="822"/>
      <c r="P220" s="54">
        <v>0</v>
      </c>
      <c r="Q220" s="54">
        <v>420.77</v>
      </c>
      <c r="R220" s="822"/>
      <c r="S220" s="822"/>
      <c r="T220" s="822"/>
      <c r="U220" s="440">
        <f t="shared" si="25"/>
        <v>420.77</v>
      </c>
      <c r="V220" s="822"/>
      <c r="W220" s="54">
        <v>0</v>
      </c>
      <c r="X220" s="54">
        <v>7853.25</v>
      </c>
      <c r="Y220" s="822"/>
      <c r="Z220" s="822"/>
      <c r="AA220" s="822"/>
      <c r="AB220" s="822"/>
      <c r="AC220" s="54">
        <v>442.48</v>
      </c>
      <c r="AD220" s="54">
        <v>20854.95</v>
      </c>
      <c r="AE220" s="822"/>
      <c r="AF220" s="54">
        <v>536269.86</v>
      </c>
      <c r="AG220" s="54">
        <v>0</v>
      </c>
      <c r="AH220" s="822"/>
      <c r="AI220" s="53"/>
    </row>
    <row r="221" spans="1:35" ht="23.25" thickBot="1" x14ac:dyDescent="0.3">
      <c r="A221" s="51" t="s">
        <v>880</v>
      </c>
      <c r="B221" s="438" t="s">
        <v>38</v>
      </c>
      <c r="C221" s="439" t="s">
        <v>39</v>
      </c>
      <c r="D221" s="56">
        <v>27855.13</v>
      </c>
      <c r="E221" s="823"/>
      <c r="F221" s="56">
        <v>5325</v>
      </c>
      <c r="G221" s="823"/>
      <c r="H221" s="56">
        <v>0</v>
      </c>
      <c r="I221" s="823"/>
      <c r="J221" s="823"/>
      <c r="K221" s="56">
        <v>15774.83</v>
      </c>
      <c r="L221" s="437">
        <f t="shared" si="19"/>
        <v>21099.83</v>
      </c>
      <c r="M221" s="823"/>
      <c r="N221" s="823"/>
      <c r="O221" s="823"/>
      <c r="P221" s="56">
        <v>0</v>
      </c>
      <c r="Q221" s="56">
        <v>6755.3</v>
      </c>
      <c r="R221" s="823"/>
      <c r="S221" s="823"/>
      <c r="T221" s="823"/>
      <c r="U221" s="440">
        <f t="shared" si="25"/>
        <v>6755.3</v>
      </c>
      <c r="V221" s="823"/>
      <c r="W221" s="823"/>
      <c r="X221" s="823"/>
      <c r="Y221" s="823"/>
      <c r="Z221" s="823"/>
      <c r="AA221" s="823"/>
      <c r="AB221" s="823"/>
      <c r="AC221" s="56">
        <v>0</v>
      </c>
      <c r="AD221" s="56">
        <v>0</v>
      </c>
      <c r="AE221" s="823"/>
      <c r="AF221" s="56">
        <v>27855.13</v>
      </c>
      <c r="AG221" s="56">
        <v>0</v>
      </c>
      <c r="AH221" s="823"/>
      <c r="AI221" s="55"/>
    </row>
    <row r="222" spans="1:35" ht="15.75" thickBot="1" x14ac:dyDescent="0.3">
      <c r="A222" s="51" t="s">
        <v>880</v>
      </c>
      <c r="B222" s="441" t="s">
        <v>611</v>
      </c>
      <c r="C222" s="441" t="s">
        <v>611</v>
      </c>
      <c r="D222" s="54">
        <v>27855.13</v>
      </c>
      <c r="E222" s="822"/>
      <c r="F222" s="54">
        <v>5325</v>
      </c>
      <c r="G222" s="822"/>
      <c r="H222" s="54">
        <v>0</v>
      </c>
      <c r="I222" s="822"/>
      <c r="J222" s="822"/>
      <c r="K222" s="54">
        <v>15774.83</v>
      </c>
      <c r="L222" s="437">
        <f t="shared" si="19"/>
        <v>21099.83</v>
      </c>
      <c r="M222" s="822"/>
      <c r="N222" s="822"/>
      <c r="O222" s="822"/>
      <c r="P222" s="54">
        <v>0</v>
      </c>
      <c r="Q222" s="54">
        <v>6755.3</v>
      </c>
      <c r="R222" s="822"/>
      <c r="S222" s="822"/>
      <c r="T222" s="822"/>
      <c r="U222" s="440">
        <f t="shared" si="25"/>
        <v>6755.3</v>
      </c>
      <c r="V222" s="822"/>
      <c r="W222" s="822"/>
      <c r="X222" s="822"/>
      <c r="Y222" s="822"/>
      <c r="Z222" s="822"/>
      <c r="AA222" s="822"/>
      <c r="AB222" s="822"/>
      <c r="AC222" s="54">
        <v>0</v>
      </c>
      <c r="AD222" s="54">
        <v>0</v>
      </c>
      <c r="AE222" s="822"/>
      <c r="AF222" s="54">
        <v>27855.13</v>
      </c>
      <c r="AG222" s="54">
        <v>0</v>
      </c>
      <c r="AH222" s="822"/>
      <c r="AI222" s="53"/>
    </row>
    <row r="223" spans="1:35" ht="23.25" thickBot="1" x14ac:dyDescent="0.3">
      <c r="A223" s="51" t="s">
        <v>880</v>
      </c>
      <c r="B223" s="438" t="s">
        <v>52</v>
      </c>
      <c r="C223" s="439" t="s">
        <v>355</v>
      </c>
      <c r="D223" s="56">
        <v>675</v>
      </c>
      <c r="E223" s="823"/>
      <c r="F223" s="56">
        <v>675</v>
      </c>
      <c r="G223" s="823"/>
      <c r="H223" s="56">
        <v>0</v>
      </c>
      <c r="I223" s="823"/>
      <c r="J223" s="823"/>
      <c r="K223" s="823"/>
      <c r="L223" s="437">
        <f t="shared" si="19"/>
        <v>675</v>
      </c>
      <c r="M223" s="823"/>
      <c r="N223" s="823"/>
      <c r="O223" s="823"/>
      <c r="P223" s="823"/>
      <c r="Q223" s="823"/>
      <c r="R223" s="823"/>
      <c r="S223" s="823"/>
      <c r="T223" s="56">
        <v>0</v>
      </c>
      <c r="U223" s="440">
        <f t="shared" si="25"/>
        <v>0</v>
      </c>
      <c r="V223" s="823"/>
      <c r="W223" s="823"/>
      <c r="X223" s="823"/>
      <c r="Y223" s="823"/>
      <c r="Z223" s="823"/>
      <c r="AA223" s="823"/>
      <c r="AB223" s="823"/>
      <c r="AC223" s="56">
        <v>0</v>
      </c>
      <c r="AD223" s="56">
        <v>0</v>
      </c>
      <c r="AE223" s="823"/>
      <c r="AF223" s="56">
        <v>675</v>
      </c>
      <c r="AG223" s="56">
        <v>0</v>
      </c>
      <c r="AH223" s="823"/>
      <c r="AI223" s="55"/>
    </row>
    <row r="224" spans="1:35" ht="15.75" thickBot="1" x14ac:dyDescent="0.3">
      <c r="A224" s="51" t="s">
        <v>880</v>
      </c>
      <c r="B224" s="441" t="s">
        <v>612</v>
      </c>
      <c r="C224" s="441" t="s">
        <v>612</v>
      </c>
      <c r="D224" s="54">
        <v>675</v>
      </c>
      <c r="E224" s="822"/>
      <c r="F224" s="54">
        <v>675</v>
      </c>
      <c r="G224" s="822"/>
      <c r="H224" s="54">
        <v>0</v>
      </c>
      <c r="I224" s="822"/>
      <c r="J224" s="822"/>
      <c r="K224" s="822"/>
      <c r="L224" s="437">
        <f t="shared" si="19"/>
        <v>675</v>
      </c>
      <c r="M224" s="822"/>
      <c r="N224" s="822"/>
      <c r="O224" s="822"/>
      <c r="P224" s="822"/>
      <c r="Q224" s="822"/>
      <c r="R224" s="822"/>
      <c r="S224" s="822"/>
      <c r="T224" s="54">
        <v>0</v>
      </c>
      <c r="U224" s="440">
        <f t="shared" si="25"/>
        <v>0</v>
      </c>
      <c r="V224" s="822"/>
      <c r="W224" s="822"/>
      <c r="X224" s="822"/>
      <c r="Y224" s="822"/>
      <c r="Z224" s="822"/>
      <c r="AA224" s="822"/>
      <c r="AB224" s="822"/>
      <c r="AC224" s="54">
        <v>0</v>
      </c>
      <c r="AD224" s="54">
        <v>0</v>
      </c>
      <c r="AE224" s="822"/>
      <c r="AF224" s="54">
        <v>675</v>
      </c>
      <c r="AG224" s="54">
        <v>0</v>
      </c>
      <c r="AH224" s="822"/>
      <c r="AI224" s="53"/>
    </row>
    <row r="225" spans="1:35" ht="23.25" thickBot="1" x14ac:dyDescent="0.3">
      <c r="A225" s="51" t="s">
        <v>880</v>
      </c>
      <c r="B225" s="438" t="s">
        <v>53</v>
      </c>
      <c r="C225" s="439" t="s">
        <v>836</v>
      </c>
      <c r="D225" s="56">
        <v>39887.69</v>
      </c>
      <c r="E225" s="56">
        <v>189660</v>
      </c>
      <c r="F225" s="56">
        <v>1050</v>
      </c>
      <c r="G225" s="823"/>
      <c r="H225" s="56">
        <v>20187.41</v>
      </c>
      <c r="I225" s="823"/>
      <c r="J225" s="823"/>
      <c r="K225" s="823"/>
      <c r="L225" s="437">
        <f t="shared" si="19"/>
        <v>21237.41</v>
      </c>
      <c r="M225" s="823"/>
      <c r="N225" s="56">
        <v>0</v>
      </c>
      <c r="O225" s="823"/>
      <c r="P225" s="823"/>
      <c r="Q225" s="823"/>
      <c r="R225" s="56">
        <v>16320.24</v>
      </c>
      <c r="S225" s="823"/>
      <c r="T225" s="823"/>
      <c r="U225" s="440">
        <f t="shared" si="25"/>
        <v>16320.24</v>
      </c>
      <c r="V225" s="823"/>
      <c r="W225" s="56">
        <v>111.02</v>
      </c>
      <c r="X225" s="56">
        <v>2219.02</v>
      </c>
      <c r="Y225" s="823"/>
      <c r="Z225" s="823"/>
      <c r="AA225" s="56">
        <v>0</v>
      </c>
      <c r="AB225" s="823"/>
      <c r="AC225" s="56">
        <v>1196.6300000000001</v>
      </c>
      <c r="AD225" s="56">
        <v>0</v>
      </c>
      <c r="AE225" s="823"/>
      <c r="AF225" s="56">
        <v>41084.32</v>
      </c>
      <c r="AG225" s="56">
        <v>0</v>
      </c>
      <c r="AH225" s="823"/>
      <c r="AI225" s="55"/>
    </row>
    <row r="226" spans="1:35" ht="23.25" thickBot="1" x14ac:dyDescent="0.3">
      <c r="A226" s="51" t="s">
        <v>880</v>
      </c>
      <c r="B226" s="438" t="s">
        <v>31</v>
      </c>
      <c r="C226" s="439" t="s">
        <v>835</v>
      </c>
      <c r="D226" s="54">
        <v>32576.880000000001</v>
      </c>
      <c r="E226" s="54">
        <v>114707</v>
      </c>
      <c r="F226" s="54">
        <v>2578.4</v>
      </c>
      <c r="G226" s="822"/>
      <c r="H226" s="54">
        <v>19518.740000000002</v>
      </c>
      <c r="I226" s="822"/>
      <c r="J226" s="822"/>
      <c r="K226" s="822"/>
      <c r="L226" s="437">
        <f t="shared" si="19"/>
        <v>22097.140000000003</v>
      </c>
      <c r="M226" s="822"/>
      <c r="N226" s="54">
        <v>0</v>
      </c>
      <c r="O226" s="822"/>
      <c r="P226" s="822"/>
      <c r="Q226" s="822"/>
      <c r="R226" s="54">
        <v>9870.5400000000009</v>
      </c>
      <c r="S226" s="54">
        <v>-954.91</v>
      </c>
      <c r="T226" s="822"/>
      <c r="U226" s="440">
        <f t="shared" si="25"/>
        <v>8915.630000000001</v>
      </c>
      <c r="V226" s="822"/>
      <c r="W226" s="54">
        <v>222.04</v>
      </c>
      <c r="X226" s="54">
        <v>1342.07</v>
      </c>
      <c r="Y226" s="822"/>
      <c r="Z226" s="822"/>
      <c r="AA226" s="54">
        <v>0</v>
      </c>
      <c r="AB226" s="822"/>
      <c r="AC226" s="54">
        <v>0</v>
      </c>
      <c r="AD226" s="54">
        <v>2896.04</v>
      </c>
      <c r="AE226" s="822"/>
      <c r="AF226" s="54">
        <v>35472.92</v>
      </c>
      <c r="AG226" s="54">
        <v>0</v>
      </c>
      <c r="AH226" s="822"/>
      <c r="AI226" s="53"/>
    </row>
    <row r="227" spans="1:35" ht="15.75" thickBot="1" x14ac:dyDescent="0.3">
      <c r="A227" s="51" t="s">
        <v>880</v>
      </c>
      <c r="B227" s="438" t="s">
        <v>491</v>
      </c>
      <c r="C227" s="439" t="s">
        <v>492</v>
      </c>
      <c r="D227" s="56">
        <v>59476.06</v>
      </c>
      <c r="E227" s="56">
        <v>189798</v>
      </c>
      <c r="F227" s="56">
        <v>7735.2</v>
      </c>
      <c r="G227" s="823"/>
      <c r="H227" s="56">
        <v>32430.9</v>
      </c>
      <c r="I227" s="823"/>
      <c r="J227" s="823"/>
      <c r="K227" s="823"/>
      <c r="L227" s="437">
        <f t="shared" si="19"/>
        <v>40166.1</v>
      </c>
      <c r="M227" s="56">
        <v>91.09</v>
      </c>
      <c r="N227" s="56">
        <v>0</v>
      </c>
      <c r="O227" s="823"/>
      <c r="P227" s="823"/>
      <c r="Q227" s="823"/>
      <c r="R227" s="56">
        <v>16332.11</v>
      </c>
      <c r="S227" s="823"/>
      <c r="T227" s="823"/>
      <c r="U227" s="440">
        <f t="shared" si="25"/>
        <v>16332.11</v>
      </c>
      <c r="V227" s="823"/>
      <c r="W227" s="56">
        <v>666.12</v>
      </c>
      <c r="X227" s="56">
        <v>2220.64</v>
      </c>
      <c r="Y227" s="823"/>
      <c r="Z227" s="823"/>
      <c r="AA227" s="56">
        <v>0</v>
      </c>
      <c r="AB227" s="823"/>
      <c r="AC227" s="56">
        <v>0</v>
      </c>
      <c r="AD227" s="56">
        <v>2324.0100000000002</v>
      </c>
      <c r="AE227" s="823"/>
      <c r="AF227" s="56">
        <v>61800.07</v>
      </c>
      <c r="AG227" s="56">
        <v>0</v>
      </c>
      <c r="AH227" s="823"/>
      <c r="AI227" s="55"/>
    </row>
    <row r="228" spans="1:35" ht="15.75" thickBot="1" x14ac:dyDescent="0.3">
      <c r="A228" s="51" t="s">
        <v>880</v>
      </c>
      <c r="B228" s="441" t="s">
        <v>613</v>
      </c>
      <c r="C228" s="441" t="s">
        <v>613</v>
      </c>
      <c r="D228" s="54">
        <v>131940.63</v>
      </c>
      <c r="E228" s="54">
        <v>494165</v>
      </c>
      <c r="F228" s="54">
        <v>11363.6</v>
      </c>
      <c r="G228" s="822"/>
      <c r="H228" s="54">
        <v>72137.05</v>
      </c>
      <c r="I228" s="822"/>
      <c r="J228" s="822"/>
      <c r="K228" s="822"/>
      <c r="L228" s="437">
        <f t="shared" si="19"/>
        <v>83500.650000000009</v>
      </c>
      <c r="M228" s="54">
        <v>91.09</v>
      </c>
      <c r="N228" s="54">
        <v>0</v>
      </c>
      <c r="O228" s="822"/>
      <c r="P228" s="822"/>
      <c r="Q228" s="822"/>
      <c r="R228" s="54">
        <v>42522.89</v>
      </c>
      <c r="S228" s="54">
        <v>-954.91</v>
      </c>
      <c r="T228" s="822"/>
      <c r="U228" s="440">
        <f t="shared" si="25"/>
        <v>41567.979999999996</v>
      </c>
      <c r="V228" s="822"/>
      <c r="W228" s="54">
        <v>999.18</v>
      </c>
      <c r="X228" s="54">
        <v>5781.73</v>
      </c>
      <c r="Y228" s="822"/>
      <c r="Z228" s="822"/>
      <c r="AA228" s="54">
        <v>0</v>
      </c>
      <c r="AB228" s="822"/>
      <c r="AC228" s="54">
        <v>1196.6300000000001</v>
      </c>
      <c r="AD228" s="54">
        <v>5220.05</v>
      </c>
      <c r="AE228" s="822"/>
      <c r="AF228" s="54">
        <v>138357.31</v>
      </c>
      <c r="AG228" s="54">
        <v>0</v>
      </c>
      <c r="AH228" s="822"/>
      <c r="AI228" s="53"/>
    </row>
    <row r="229" spans="1:35" ht="15.75" thickBot="1" x14ac:dyDescent="0.3">
      <c r="A229" s="51" t="s">
        <v>880</v>
      </c>
      <c r="B229" s="937" t="s">
        <v>947</v>
      </c>
      <c r="C229" s="938"/>
      <c r="D229" s="847">
        <v>675443.19</v>
      </c>
      <c r="E229" s="847">
        <v>8507706</v>
      </c>
      <c r="F229" s="847">
        <v>113563.6</v>
      </c>
      <c r="G229" s="847">
        <v>378345.7</v>
      </c>
      <c r="H229" s="847">
        <v>102588.52</v>
      </c>
      <c r="I229" s="847">
        <v>225.11</v>
      </c>
      <c r="J229" s="848"/>
      <c r="K229" s="847">
        <v>16757.43</v>
      </c>
      <c r="L229" s="849">
        <f t="shared" si="19"/>
        <v>611480.3600000001</v>
      </c>
      <c r="M229" s="847">
        <v>584.62</v>
      </c>
      <c r="N229" s="847">
        <v>0</v>
      </c>
      <c r="O229" s="848"/>
      <c r="P229" s="847">
        <v>0</v>
      </c>
      <c r="Q229" s="847">
        <v>7176.07</v>
      </c>
      <c r="R229" s="847">
        <v>42522.89</v>
      </c>
      <c r="S229" s="847">
        <v>-954.91</v>
      </c>
      <c r="T229" s="847">
        <v>0</v>
      </c>
      <c r="U229" s="849">
        <f>SUM(N229:T229)</f>
        <v>48744.049999999996</v>
      </c>
      <c r="V229" s="848"/>
      <c r="W229" s="847">
        <v>999.18</v>
      </c>
      <c r="X229" s="847">
        <v>13634.98</v>
      </c>
      <c r="Y229" s="848"/>
      <c r="Z229" s="848"/>
      <c r="AA229" s="847">
        <v>0</v>
      </c>
      <c r="AB229" s="848"/>
      <c r="AC229" s="847">
        <v>1639.11</v>
      </c>
      <c r="AD229" s="847">
        <v>26075</v>
      </c>
      <c r="AE229" s="848"/>
      <c r="AF229" s="847">
        <v>703157.3</v>
      </c>
      <c r="AG229" s="847">
        <v>0</v>
      </c>
      <c r="AH229" s="848"/>
      <c r="AI229" s="55"/>
    </row>
    <row r="230" spans="1:35" ht="15.75" thickBot="1" x14ac:dyDescent="0.3">
      <c r="A230" s="51" t="s">
        <v>880</v>
      </c>
      <c r="B230" s="438" t="s">
        <v>34</v>
      </c>
      <c r="C230" s="439" t="s">
        <v>437</v>
      </c>
      <c r="D230" s="54">
        <v>1433.06</v>
      </c>
      <c r="E230" s="54">
        <v>7076</v>
      </c>
      <c r="F230" s="822"/>
      <c r="G230" s="822"/>
      <c r="H230" s="54">
        <v>26.89</v>
      </c>
      <c r="I230" s="822"/>
      <c r="J230" s="822"/>
      <c r="K230" s="822"/>
      <c r="L230" s="437">
        <f t="shared" si="19"/>
        <v>26.89</v>
      </c>
      <c r="M230" s="822"/>
      <c r="N230" s="822"/>
      <c r="O230" s="54">
        <v>1393.82</v>
      </c>
      <c r="P230" s="822"/>
      <c r="Q230" s="822"/>
      <c r="R230" s="822"/>
      <c r="S230" s="822"/>
      <c r="T230" s="822"/>
      <c r="U230" s="440">
        <f t="shared" si="20"/>
        <v>1393.82</v>
      </c>
      <c r="V230" s="54">
        <v>5.42</v>
      </c>
      <c r="W230" s="822"/>
      <c r="X230" s="54">
        <v>6.93</v>
      </c>
      <c r="Y230" s="822"/>
      <c r="Z230" s="822"/>
      <c r="AA230" s="822"/>
      <c r="AB230" s="822"/>
      <c r="AC230" s="822"/>
      <c r="AD230" s="54">
        <v>42.99</v>
      </c>
      <c r="AE230" s="822"/>
      <c r="AF230" s="54">
        <v>1476.05</v>
      </c>
      <c r="AG230" s="54">
        <v>0</v>
      </c>
      <c r="AH230" s="822"/>
      <c r="AI230" s="53"/>
    </row>
    <row r="231" spans="1:35" ht="15.75" thickBot="1" x14ac:dyDescent="0.3">
      <c r="A231" s="51" t="s">
        <v>880</v>
      </c>
      <c r="B231" s="438" t="s">
        <v>36</v>
      </c>
      <c r="C231" s="439" t="s">
        <v>438</v>
      </c>
      <c r="D231" s="56">
        <v>-1561.07</v>
      </c>
      <c r="E231" s="56">
        <v>0</v>
      </c>
      <c r="F231" s="823"/>
      <c r="G231" s="823"/>
      <c r="H231" s="56">
        <v>0</v>
      </c>
      <c r="I231" s="823"/>
      <c r="J231" s="823"/>
      <c r="K231" s="823"/>
      <c r="L231" s="437">
        <f t="shared" si="19"/>
        <v>0</v>
      </c>
      <c r="M231" s="823"/>
      <c r="N231" s="823"/>
      <c r="O231" s="56">
        <v>-1589.01</v>
      </c>
      <c r="P231" s="823"/>
      <c r="Q231" s="823"/>
      <c r="R231" s="823"/>
      <c r="S231" s="823"/>
      <c r="T231" s="823"/>
      <c r="U231" s="440">
        <f t="shared" si="20"/>
        <v>-1589.01</v>
      </c>
      <c r="V231" s="56">
        <v>27.94</v>
      </c>
      <c r="W231" s="823"/>
      <c r="X231" s="56">
        <v>0</v>
      </c>
      <c r="Y231" s="823"/>
      <c r="Z231" s="823"/>
      <c r="AA231" s="823"/>
      <c r="AB231" s="823"/>
      <c r="AC231" s="823"/>
      <c r="AD231" s="56">
        <v>-93.65</v>
      </c>
      <c r="AE231" s="823"/>
      <c r="AF231" s="56">
        <v>-1654.72</v>
      </c>
      <c r="AG231" s="56">
        <v>0</v>
      </c>
      <c r="AH231" s="823"/>
      <c r="AI231" s="55"/>
    </row>
    <row r="232" spans="1:35" ht="15.75" thickBot="1" x14ac:dyDescent="0.3">
      <c r="A232" s="51" t="s">
        <v>880</v>
      </c>
      <c r="B232" s="441" t="s">
        <v>610</v>
      </c>
      <c r="C232" s="441" t="s">
        <v>610</v>
      </c>
      <c r="D232" s="54">
        <v>-128.01</v>
      </c>
      <c r="E232" s="54">
        <v>7076</v>
      </c>
      <c r="F232" s="822"/>
      <c r="G232" s="822"/>
      <c r="H232" s="54">
        <v>26.89</v>
      </c>
      <c r="I232" s="822"/>
      <c r="J232" s="822"/>
      <c r="K232" s="822"/>
      <c r="L232" s="437">
        <f t="shared" si="19"/>
        <v>26.89</v>
      </c>
      <c r="M232" s="822"/>
      <c r="N232" s="822"/>
      <c r="O232" s="54">
        <v>-195.19</v>
      </c>
      <c r="P232" s="822"/>
      <c r="Q232" s="822"/>
      <c r="R232" s="822"/>
      <c r="S232" s="822"/>
      <c r="T232" s="822"/>
      <c r="U232" s="440">
        <f t="shared" si="20"/>
        <v>-195.19</v>
      </c>
      <c r="V232" s="54">
        <v>33.36</v>
      </c>
      <c r="W232" s="822"/>
      <c r="X232" s="54">
        <v>6.93</v>
      </c>
      <c r="Y232" s="822"/>
      <c r="Z232" s="822"/>
      <c r="AA232" s="822"/>
      <c r="AB232" s="822"/>
      <c r="AC232" s="822"/>
      <c r="AD232" s="54">
        <v>-50.66</v>
      </c>
      <c r="AE232" s="822"/>
      <c r="AF232" s="54">
        <v>-178.67</v>
      </c>
      <c r="AG232" s="54">
        <v>0</v>
      </c>
      <c r="AH232" s="822"/>
      <c r="AI232" s="53"/>
    </row>
    <row r="233" spans="1:35" ht="23.25" thickBot="1" x14ac:dyDescent="0.3">
      <c r="A233" s="51" t="s">
        <v>880</v>
      </c>
      <c r="B233" s="438" t="s">
        <v>38</v>
      </c>
      <c r="C233" s="439" t="s">
        <v>39</v>
      </c>
      <c r="D233" s="56">
        <v>-3770.45</v>
      </c>
      <c r="E233" s="823"/>
      <c r="F233" s="823"/>
      <c r="G233" s="823"/>
      <c r="H233" s="823"/>
      <c r="I233" s="823"/>
      <c r="J233" s="823"/>
      <c r="K233" s="823"/>
      <c r="L233" s="437">
        <f t="shared" si="19"/>
        <v>0</v>
      </c>
      <c r="M233" s="823"/>
      <c r="N233" s="823"/>
      <c r="O233" s="56">
        <v>-5129.6499999999996</v>
      </c>
      <c r="P233" s="823"/>
      <c r="Q233" s="823"/>
      <c r="R233" s="823"/>
      <c r="S233" s="823"/>
      <c r="T233" s="823"/>
      <c r="U233" s="440">
        <f t="shared" si="20"/>
        <v>-5129.6499999999996</v>
      </c>
      <c r="V233" s="56">
        <v>1359.2</v>
      </c>
      <c r="W233" s="823"/>
      <c r="X233" s="823"/>
      <c r="Y233" s="823"/>
      <c r="Z233" s="823"/>
      <c r="AA233" s="823"/>
      <c r="AB233" s="823"/>
      <c r="AC233" s="823"/>
      <c r="AD233" s="56">
        <v>0</v>
      </c>
      <c r="AE233" s="823"/>
      <c r="AF233" s="56">
        <v>-3770.45</v>
      </c>
      <c r="AG233" s="56">
        <v>0</v>
      </c>
      <c r="AH233" s="823"/>
      <c r="AI233" s="55"/>
    </row>
    <row r="234" spans="1:35" ht="15.75" thickBot="1" x14ac:dyDescent="0.3">
      <c r="A234" s="51" t="s">
        <v>880</v>
      </c>
      <c r="B234" s="441" t="s">
        <v>611</v>
      </c>
      <c r="C234" s="441" t="s">
        <v>611</v>
      </c>
      <c r="D234" s="54">
        <v>-3770.45</v>
      </c>
      <c r="E234" s="822"/>
      <c r="F234" s="822"/>
      <c r="G234" s="822"/>
      <c r="H234" s="822"/>
      <c r="I234" s="822"/>
      <c r="J234" s="822"/>
      <c r="K234" s="822"/>
      <c r="L234" s="437">
        <f t="shared" si="19"/>
        <v>0</v>
      </c>
      <c r="M234" s="822"/>
      <c r="N234" s="822"/>
      <c r="O234" s="54">
        <v>-5129.6499999999996</v>
      </c>
      <c r="P234" s="822"/>
      <c r="Q234" s="822"/>
      <c r="R234" s="822"/>
      <c r="S234" s="822"/>
      <c r="T234" s="822"/>
      <c r="U234" s="440">
        <f t="shared" si="20"/>
        <v>-5129.6499999999996</v>
      </c>
      <c r="V234" s="54">
        <v>1359.2</v>
      </c>
      <c r="W234" s="822"/>
      <c r="X234" s="822"/>
      <c r="Y234" s="822"/>
      <c r="Z234" s="822"/>
      <c r="AA234" s="822"/>
      <c r="AB234" s="822"/>
      <c r="AC234" s="822"/>
      <c r="AD234" s="54">
        <v>0</v>
      </c>
      <c r="AE234" s="822"/>
      <c r="AF234" s="54">
        <v>-3770.45</v>
      </c>
      <c r="AG234" s="54">
        <v>0</v>
      </c>
      <c r="AH234" s="822"/>
      <c r="AI234" s="53"/>
    </row>
    <row r="235" spans="1:35" ht="23.25" thickBot="1" x14ac:dyDescent="0.3">
      <c r="A235" s="51" t="s">
        <v>880</v>
      </c>
      <c r="B235" s="438" t="s">
        <v>52</v>
      </c>
      <c r="C235" s="439" t="s">
        <v>355</v>
      </c>
      <c r="D235" s="56">
        <v>-8187.4</v>
      </c>
      <c r="E235" s="823"/>
      <c r="F235" s="823"/>
      <c r="G235" s="823"/>
      <c r="H235" s="823"/>
      <c r="I235" s="823"/>
      <c r="J235" s="823"/>
      <c r="K235" s="823"/>
      <c r="L235" s="437">
        <f t="shared" si="19"/>
        <v>0</v>
      </c>
      <c r="M235" s="823"/>
      <c r="N235" s="823"/>
      <c r="O235" s="56">
        <v>-8262.84</v>
      </c>
      <c r="P235" s="823"/>
      <c r="Q235" s="823"/>
      <c r="R235" s="823"/>
      <c r="S235" s="823"/>
      <c r="T235" s="823"/>
      <c r="U235" s="440">
        <f t="shared" si="20"/>
        <v>-8262.84</v>
      </c>
      <c r="V235" s="56">
        <v>75.44</v>
      </c>
      <c r="W235" s="823"/>
      <c r="X235" s="823"/>
      <c r="Y235" s="823"/>
      <c r="Z235" s="823"/>
      <c r="AA235" s="823"/>
      <c r="AB235" s="823"/>
      <c r="AC235" s="823"/>
      <c r="AD235" s="56">
        <v>0</v>
      </c>
      <c r="AE235" s="823"/>
      <c r="AF235" s="56">
        <v>-8187.4</v>
      </c>
      <c r="AG235" s="56">
        <v>0</v>
      </c>
      <c r="AH235" s="823"/>
      <c r="AI235" s="55"/>
    </row>
    <row r="236" spans="1:35" ht="15.75" thickBot="1" x14ac:dyDescent="0.3">
      <c r="A236" s="51" t="s">
        <v>880</v>
      </c>
      <c r="B236" s="441" t="s">
        <v>612</v>
      </c>
      <c r="C236" s="441" t="s">
        <v>612</v>
      </c>
      <c r="D236" s="54">
        <v>-8187.4</v>
      </c>
      <c r="E236" s="822"/>
      <c r="F236" s="822"/>
      <c r="G236" s="822"/>
      <c r="H236" s="822"/>
      <c r="I236" s="822"/>
      <c r="J236" s="822"/>
      <c r="K236" s="822"/>
      <c r="L236" s="437">
        <f t="shared" si="19"/>
        <v>0</v>
      </c>
      <c r="M236" s="822"/>
      <c r="N236" s="822"/>
      <c r="O236" s="54">
        <v>-8262.84</v>
      </c>
      <c r="P236" s="822"/>
      <c r="Q236" s="822"/>
      <c r="R236" s="822"/>
      <c r="S236" s="822"/>
      <c r="T236" s="822"/>
      <c r="U236" s="440">
        <f t="shared" si="20"/>
        <v>-8262.84</v>
      </c>
      <c r="V236" s="54">
        <v>75.44</v>
      </c>
      <c r="W236" s="822"/>
      <c r="X236" s="822"/>
      <c r="Y236" s="822"/>
      <c r="Z236" s="822"/>
      <c r="AA236" s="822"/>
      <c r="AB236" s="822"/>
      <c r="AC236" s="822"/>
      <c r="AD236" s="54">
        <v>0</v>
      </c>
      <c r="AE236" s="822"/>
      <c r="AF236" s="54">
        <v>-8187.4</v>
      </c>
      <c r="AG236" s="54">
        <v>0</v>
      </c>
      <c r="AH236" s="822"/>
      <c r="AI236" s="53"/>
    </row>
    <row r="237" spans="1:35" ht="15.75" thickBot="1" x14ac:dyDescent="0.3">
      <c r="A237" s="51" t="s">
        <v>880</v>
      </c>
      <c r="B237" s="937" t="s">
        <v>947</v>
      </c>
      <c r="C237" s="938"/>
      <c r="D237" s="847">
        <v>-12085.86</v>
      </c>
      <c r="E237" s="847">
        <v>7076</v>
      </c>
      <c r="F237" s="848"/>
      <c r="G237" s="848"/>
      <c r="H237" s="847">
        <v>26.89</v>
      </c>
      <c r="I237" s="848"/>
      <c r="J237" s="848"/>
      <c r="K237" s="848"/>
      <c r="L237" s="849">
        <f>SUM(F237:K237)</f>
        <v>26.89</v>
      </c>
      <c r="M237" s="848"/>
      <c r="N237" s="848"/>
      <c r="O237" s="847">
        <v>-13587.68</v>
      </c>
      <c r="P237" s="848"/>
      <c r="Q237" s="848"/>
      <c r="R237" s="848"/>
      <c r="S237" s="848"/>
      <c r="T237" s="848"/>
      <c r="U237" s="849">
        <f t="shared" si="20"/>
        <v>-13587.68</v>
      </c>
      <c r="V237" s="847">
        <v>1468</v>
      </c>
      <c r="W237" s="848"/>
      <c r="X237" s="847">
        <v>6.93</v>
      </c>
      <c r="Y237" s="848"/>
      <c r="Z237" s="848"/>
      <c r="AA237" s="848"/>
      <c r="AB237" s="848"/>
      <c r="AC237" s="848"/>
      <c r="AD237" s="847">
        <v>-50.66</v>
      </c>
      <c r="AE237" s="848"/>
      <c r="AF237" s="847">
        <v>-12136.52</v>
      </c>
      <c r="AG237" s="847">
        <v>0</v>
      </c>
      <c r="AH237" s="848"/>
      <c r="AI237" s="55"/>
    </row>
    <row r="238" spans="1:35" ht="15.75" thickBot="1" x14ac:dyDescent="0.3">
      <c r="A238" s="51" t="s">
        <v>880</v>
      </c>
      <c r="B238" s="438" t="s">
        <v>32</v>
      </c>
      <c r="C238" s="439" t="s">
        <v>33</v>
      </c>
      <c r="D238" s="54">
        <v>36718.589999999997</v>
      </c>
      <c r="E238" s="822"/>
      <c r="F238" s="54">
        <v>0</v>
      </c>
      <c r="G238" s="822"/>
      <c r="H238" s="822"/>
      <c r="I238" s="822"/>
      <c r="J238" s="822"/>
      <c r="K238" s="822"/>
      <c r="L238" s="437">
        <f t="shared" si="19"/>
        <v>0</v>
      </c>
      <c r="M238" s="822"/>
      <c r="N238" s="54">
        <v>34996.18</v>
      </c>
      <c r="O238" s="822"/>
      <c r="P238" s="822"/>
      <c r="Q238" s="822"/>
      <c r="R238" s="822"/>
      <c r="S238" s="822"/>
      <c r="T238" s="822"/>
      <c r="U238" s="440">
        <f t="shared" si="20"/>
        <v>34996.18</v>
      </c>
      <c r="V238" s="822"/>
      <c r="W238" s="54">
        <v>111.02</v>
      </c>
      <c r="X238" s="54">
        <v>1611.39</v>
      </c>
      <c r="Y238" s="822"/>
      <c r="Z238" s="822"/>
      <c r="AA238" s="822"/>
      <c r="AB238" s="822"/>
      <c r="AC238" s="54">
        <v>0</v>
      </c>
      <c r="AD238" s="54">
        <v>0</v>
      </c>
      <c r="AE238" s="822"/>
      <c r="AF238" s="54">
        <v>36718.589999999997</v>
      </c>
      <c r="AG238" s="54">
        <v>0</v>
      </c>
      <c r="AH238" s="822"/>
      <c r="AI238" s="53"/>
    </row>
    <row r="239" spans="1:35" ht="15.75" thickBot="1" x14ac:dyDescent="0.3">
      <c r="A239" s="51" t="s">
        <v>880</v>
      </c>
      <c r="B239" s="441" t="s">
        <v>605</v>
      </c>
      <c r="C239" s="441" t="s">
        <v>605</v>
      </c>
      <c r="D239" s="56">
        <v>36718.589999999997</v>
      </c>
      <c r="E239" s="823"/>
      <c r="F239" s="56">
        <v>0</v>
      </c>
      <c r="G239" s="823"/>
      <c r="H239" s="823"/>
      <c r="I239" s="823"/>
      <c r="J239" s="823"/>
      <c r="K239" s="823"/>
      <c r="L239" s="437">
        <f>SUM(F239:K239)</f>
        <v>0</v>
      </c>
      <c r="M239" s="823"/>
      <c r="N239" s="56">
        <v>34996.18</v>
      </c>
      <c r="O239" s="823"/>
      <c r="P239" s="823"/>
      <c r="Q239" s="823"/>
      <c r="R239" s="823"/>
      <c r="S239" s="823"/>
      <c r="T239" s="823"/>
      <c r="U239" s="440">
        <f t="shared" si="20"/>
        <v>34996.18</v>
      </c>
      <c r="V239" s="823"/>
      <c r="W239" s="56">
        <v>111.02</v>
      </c>
      <c r="X239" s="56">
        <v>1611.39</v>
      </c>
      <c r="Y239" s="823"/>
      <c r="Z239" s="823"/>
      <c r="AA239" s="823"/>
      <c r="AB239" s="823"/>
      <c r="AC239" s="56">
        <v>0</v>
      </c>
      <c r="AD239" s="56">
        <v>0</v>
      </c>
      <c r="AE239" s="823"/>
      <c r="AF239" s="56">
        <v>36718.589999999997</v>
      </c>
      <c r="AG239" s="56">
        <v>0</v>
      </c>
      <c r="AH239" s="823"/>
      <c r="AI239" s="55"/>
    </row>
    <row r="240" spans="1:35" ht="15.75" thickBot="1" x14ac:dyDescent="0.3">
      <c r="A240" s="51" t="s">
        <v>880</v>
      </c>
      <c r="B240" s="852" t="s">
        <v>947</v>
      </c>
      <c r="C240" s="853"/>
      <c r="D240" s="849">
        <f>D239</f>
        <v>36718.589999999997</v>
      </c>
      <c r="E240" s="849">
        <f t="shared" ref="E240:AG240" si="26">E239</f>
        <v>0</v>
      </c>
      <c r="F240" s="849">
        <f t="shared" si="26"/>
        <v>0</v>
      </c>
      <c r="G240" s="849">
        <f t="shared" si="26"/>
        <v>0</v>
      </c>
      <c r="H240" s="849">
        <f t="shared" si="26"/>
        <v>0</v>
      </c>
      <c r="I240" s="849">
        <f t="shared" si="26"/>
        <v>0</v>
      </c>
      <c r="J240" s="849">
        <f t="shared" si="26"/>
        <v>0</v>
      </c>
      <c r="K240" s="849">
        <f t="shared" si="26"/>
        <v>0</v>
      </c>
      <c r="L240" s="849">
        <f t="shared" si="26"/>
        <v>0</v>
      </c>
      <c r="M240" s="849">
        <f t="shared" si="26"/>
        <v>0</v>
      </c>
      <c r="N240" s="849">
        <f>N239</f>
        <v>34996.18</v>
      </c>
      <c r="O240" s="849">
        <f t="shared" si="26"/>
        <v>0</v>
      </c>
      <c r="P240" s="849">
        <f t="shared" si="26"/>
        <v>0</v>
      </c>
      <c r="Q240" s="849">
        <f t="shared" si="26"/>
        <v>0</v>
      </c>
      <c r="R240" s="849">
        <f t="shared" si="26"/>
        <v>0</v>
      </c>
      <c r="S240" s="849">
        <f t="shared" si="26"/>
        <v>0</v>
      </c>
      <c r="T240" s="849">
        <f t="shared" si="26"/>
        <v>0</v>
      </c>
      <c r="U240" s="849">
        <f t="shared" si="26"/>
        <v>34996.18</v>
      </c>
      <c r="V240" s="849">
        <f t="shared" si="26"/>
        <v>0</v>
      </c>
      <c r="W240" s="849">
        <f>W239</f>
        <v>111.02</v>
      </c>
      <c r="X240" s="849">
        <f>X239</f>
        <v>1611.39</v>
      </c>
      <c r="Y240" s="849">
        <f t="shared" si="26"/>
        <v>0</v>
      </c>
      <c r="Z240" s="849">
        <f t="shared" si="26"/>
        <v>0</v>
      </c>
      <c r="AA240" s="849">
        <f t="shared" si="26"/>
        <v>0</v>
      </c>
      <c r="AB240" s="849">
        <f t="shared" si="26"/>
        <v>0</v>
      </c>
      <c r="AC240" s="849">
        <f t="shared" si="26"/>
        <v>0</v>
      </c>
      <c r="AD240" s="849">
        <f t="shared" si="26"/>
        <v>0</v>
      </c>
      <c r="AE240" s="849">
        <f t="shared" si="26"/>
        <v>0</v>
      </c>
      <c r="AF240" s="849">
        <f t="shared" si="26"/>
        <v>36718.589999999997</v>
      </c>
      <c r="AG240" s="849">
        <f t="shared" si="26"/>
        <v>0</v>
      </c>
      <c r="AH240" s="849"/>
      <c r="AI240" s="53"/>
    </row>
    <row r="241" spans="1:35" ht="15.75" thickBot="1" x14ac:dyDescent="0.3">
      <c r="A241" s="51" t="s">
        <v>880</v>
      </c>
      <c r="B241" s="438" t="s">
        <v>32</v>
      </c>
      <c r="C241" s="439" t="s">
        <v>33</v>
      </c>
      <c r="D241" s="54">
        <v>185338.33</v>
      </c>
      <c r="E241" s="54">
        <v>137726</v>
      </c>
      <c r="F241" s="54">
        <v>750</v>
      </c>
      <c r="G241" s="54">
        <v>180467.57</v>
      </c>
      <c r="H241" s="54">
        <v>4120.76</v>
      </c>
      <c r="I241" s="822"/>
      <c r="J241" s="822"/>
      <c r="K241" s="822"/>
      <c r="L241" s="437">
        <f t="shared" si="19"/>
        <v>185338.33000000002</v>
      </c>
      <c r="M241" s="823"/>
      <c r="N241" s="823"/>
      <c r="O241" s="823"/>
      <c r="P241" s="823"/>
      <c r="Q241" s="823"/>
      <c r="R241" s="823"/>
      <c r="S241" s="823"/>
      <c r="T241" s="823"/>
      <c r="U241" s="440">
        <f t="shared" si="20"/>
        <v>0</v>
      </c>
      <c r="V241" s="822"/>
      <c r="W241" s="822"/>
      <c r="X241" s="822"/>
      <c r="Y241" s="822"/>
      <c r="Z241" s="822"/>
      <c r="AA241" s="822"/>
      <c r="AB241" s="822"/>
      <c r="AC241" s="822"/>
      <c r="AD241" s="54">
        <v>0</v>
      </c>
      <c r="AE241" s="822"/>
      <c r="AF241" s="54">
        <v>185338.33</v>
      </c>
      <c r="AG241" s="54">
        <v>0</v>
      </c>
      <c r="AH241" s="822"/>
      <c r="AI241" s="55"/>
    </row>
    <row r="242" spans="1:35" ht="23.25" thickBot="1" x14ac:dyDescent="0.3">
      <c r="A242" s="51" t="s">
        <v>880</v>
      </c>
      <c r="B242" s="438" t="s">
        <v>40</v>
      </c>
      <c r="C242" s="439" t="s">
        <v>41</v>
      </c>
      <c r="D242" s="449"/>
      <c r="E242" s="54"/>
      <c r="F242" s="54"/>
      <c r="G242" s="53"/>
      <c r="H242" s="54"/>
      <c r="I242" s="53"/>
      <c r="J242" s="53"/>
      <c r="K242" s="53"/>
      <c r="L242" s="829">
        <f t="shared" ref="L242" si="27">SUM(F242:K242)</f>
        <v>0</v>
      </c>
      <c r="M242" s="53"/>
      <c r="N242" s="54"/>
      <c r="O242" s="53"/>
      <c r="P242" s="53"/>
      <c r="Q242" s="53"/>
      <c r="R242" s="53"/>
      <c r="S242" s="53"/>
      <c r="T242" s="53"/>
      <c r="U242" s="440"/>
      <c r="V242" s="53"/>
      <c r="W242" s="54"/>
      <c r="X242" s="54"/>
      <c r="Y242" s="53"/>
      <c r="Z242" s="53"/>
      <c r="AB242" s="53"/>
      <c r="AC242" s="53"/>
      <c r="AD242" s="54"/>
      <c r="AE242" s="54"/>
      <c r="AF242" s="53"/>
      <c r="AG242" s="54"/>
      <c r="AH242" s="54"/>
      <c r="AI242" s="53"/>
    </row>
    <row r="243" spans="1:35" ht="15.75" thickBot="1" x14ac:dyDescent="0.3">
      <c r="A243" s="51" t="s">
        <v>880</v>
      </c>
      <c r="B243" s="441" t="s">
        <v>605</v>
      </c>
      <c r="C243" s="441" t="s">
        <v>605</v>
      </c>
      <c r="D243" s="56">
        <v>185338.33</v>
      </c>
      <c r="E243" s="56">
        <v>137726</v>
      </c>
      <c r="F243" s="56">
        <v>750</v>
      </c>
      <c r="G243" s="56">
        <v>180467.57</v>
      </c>
      <c r="H243" s="56">
        <v>4120.76</v>
      </c>
      <c r="I243" s="823"/>
      <c r="J243" s="823"/>
      <c r="K243" s="823"/>
      <c r="L243" s="437">
        <f t="shared" ref="L243" si="28">SUM(F243:K243)</f>
        <v>185338.33000000002</v>
      </c>
      <c r="M243" s="822"/>
      <c r="N243" s="822"/>
      <c r="O243" s="822"/>
      <c r="P243" s="822"/>
      <c r="Q243" s="822"/>
      <c r="R243" s="822"/>
      <c r="S243" s="822"/>
      <c r="T243" s="822"/>
      <c r="U243" s="440">
        <f t="shared" ref="U243" si="29">SUM(N243:T243)</f>
        <v>0</v>
      </c>
      <c r="V243" s="823"/>
      <c r="W243" s="823"/>
      <c r="X243" s="823"/>
      <c r="Y243" s="823"/>
      <c r="Z243" s="823"/>
      <c r="AA243" s="823"/>
      <c r="AB243" s="823"/>
      <c r="AC243" s="823"/>
      <c r="AD243" s="56">
        <v>0</v>
      </c>
      <c r="AE243" s="823"/>
      <c r="AF243" s="56">
        <v>185338.33</v>
      </c>
      <c r="AG243" s="56">
        <v>0</v>
      </c>
      <c r="AH243" s="823"/>
      <c r="AI243" s="55"/>
    </row>
    <row r="244" spans="1:35" ht="29.25" customHeight="1" thickBot="1" x14ac:dyDescent="0.3">
      <c r="A244" s="538">
        <v>44044</v>
      </c>
      <c r="B244" s="438" t="s">
        <v>13</v>
      </c>
      <c r="C244" s="439" t="s">
        <v>228</v>
      </c>
      <c r="D244" s="54">
        <v>18402.189999999999</v>
      </c>
      <c r="E244" s="54">
        <v>42593</v>
      </c>
      <c r="F244" s="54">
        <v>1000</v>
      </c>
      <c r="G244" s="822"/>
      <c r="H244" s="54">
        <v>4533.6000000000004</v>
      </c>
      <c r="I244" s="822"/>
      <c r="J244" s="822"/>
      <c r="K244" s="822"/>
      <c r="L244" s="437">
        <f t="shared" ref="L244:L291" si="30">SUM(F244:K244)</f>
        <v>5533.6</v>
      </c>
      <c r="M244" s="54">
        <v>20.440000000000001</v>
      </c>
      <c r="N244" s="54">
        <v>12127.77</v>
      </c>
      <c r="O244" s="822"/>
      <c r="P244" s="822"/>
      <c r="Q244" s="822"/>
      <c r="R244" s="822"/>
      <c r="S244" s="822"/>
      <c r="T244" s="822"/>
      <c r="U244" s="440">
        <f t="shared" ref="U244:U291" si="31">SUM(N244:T244)</f>
        <v>12127.77</v>
      </c>
      <c r="V244" s="822"/>
      <c r="W244" s="54">
        <v>222.04</v>
      </c>
      <c r="X244" s="54">
        <v>498.34</v>
      </c>
      <c r="Y244" s="822"/>
      <c r="Z244" s="822"/>
      <c r="AA244" s="822"/>
      <c r="AB244" s="822"/>
      <c r="AC244" s="54">
        <v>0</v>
      </c>
      <c r="AD244" s="54">
        <v>288.10000000000002</v>
      </c>
      <c r="AE244" s="822"/>
      <c r="AF244" s="54">
        <v>18690.29</v>
      </c>
      <c r="AG244" s="54">
        <v>0</v>
      </c>
      <c r="AH244" s="822"/>
      <c r="AI244" s="54"/>
    </row>
    <row r="245" spans="1:35" ht="15.75" thickBot="1" x14ac:dyDescent="0.3">
      <c r="A245" s="538">
        <v>44044</v>
      </c>
      <c r="B245" s="438" t="s">
        <v>429</v>
      </c>
      <c r="C245" s="439" t="s">
        <v>430</v>
      </c>
      <c r="D245" s="56">
        <v>14605.97</v>
      </c>
      <c r="E245" s="56">
        <v>33297</v>
      </c>
      <c r="F245" s="56">
        <v>500</v>
      </c>
      <c r="G245" s="823"/>
      <c r="H245" s="56">
        <v>3544.13</v>
      </c>
      <c r="I245" s="823"/>
      <c r="J245" s="823"/>
      <c r="K245" s="823"/>
      <c r="L245" s="437">
        <f t="shared" si="30"/>
        <v>4044.13</v>
      </c>
      <c r="M245" s="56">
        <v>15.98</v>
      </c>
      <c r="N245" s="56">
        <v>10045.27</v>
      </c>
      <c r="O245" s="823"/>
      <c r="P245" s="823"/>
      <c r="Q245" s="823"/>
      <c r="R245" s="823"/>
      <c r="S245" s="823"/>
      <c r="T245" s="823"/>
      <c r="U245" s="440">
        <f t="shared" si="31"/>
        <v>10045.27</v>
      </c>
      <c r="V245" s="823"/>
      <c r="W245" s="56">
        <v>111.02</v>
      </c>
      <c r="X245" s="56">
        <v>389.57</v>
      </c>
      <c r="Y245" s="823"/>
      <c r="Z245" s="823"/>
      <c r="AA245" s="823"/>
      <c r="AB245" s="823"/>
      <c r="AC245" s="56">
        <v>0</v>
      </c>
      <c r="AD245" s="56">
        <v>0</v>
      </c>
      <c r="AE245" s="823"/>
      <c r="AF245" s="56">
        <v>14605.97</v>
      </c>
      <c r="AG245" s="56">
        <v>0</v>
      </c>
      <c r="AH245" s="823"/>
      <c r="AI245" s="54"/>
    </row>
    <row r="246" spans="1:35" ht="15.75" thickBot="1" x14ac:dyDescent="0.3">
      <c r="A246" s="538">
        <v>44044</v>
      </c>
      <c r="B246" s="441" t="s">
        <v>223</v>
      </c>
      <c r="C246" s="441" t="s">
        <v>223</v>
      </c>
      <c r="D246" s="54">
        <v>33008.160000000003</v>
      </c>
      <c r="E246" s="54">
        <v>75890</v>
      </c>
      <c r="F246" s="54">
        <v>1500</v>
      </c>
      <c r="G246" s="822"/>
      <c r="H246" s="54">
        <v>8077.73</v>
      </c>
      <c r="I246" s="822"/>
      <c r="J246" s="822"/>
      <c r="K246" s="822"/>
      <c r="L246" s="437">
        <f t="shared" si="30"/>
        <v>9577.73</v>
      </c>
      <c r="M246" s="54">
        <v>36.42</v>
      </c>
      <c r="N246" s="54">
        <v>22173.040000000001</v>
      </c>
      <c r="O246" s="822"/>
      <c r="P246" s="822"/>
      <c r="Q246" s="822"/>
      <c r="R246" s="822"/>
      <c r="S246" s="822"/>
      <c r="T246" s="822"/>
      <c r="U246" s="440">
        <f t="shared" si="31"/>
        <v>22173.040000000001</v>
      </c>
      <c r="V246" s="822"/>
      <c r="W246" s="54">
        <v>333.06</v>
      </c>
      <c r="X246" s="54">
        <v>887.91</v>
      </c>
      <c r="Y246" s="822"/>
      <c r="Z246" s="822"/>
      <c r="AA246" s="822"/>
      <c r="AB246" s="822"/>
      <c r="AC246" s="54">
        <v>0</v>
      </c>
      <c r="AD246" s="54">
        <v>288.10000000000002</v>
      </c>
      <c r="AE246" s="822"/>
      <c r="AF246" s="54">
        <v>33296.26</v>
      </c>
      <c r="AG246" s="54">
        <v>0</v>
      </c>
      <c r="AH246" s="822"/>
      <c r="AI246" s="56"/>
    </row>
    <row r="247" spans="1:35" ht="23.25" thickBot="1" x14ac:dyDescent="0.3">
      <c r="A247" s="538">
        <v>44044</v>
      </c>
      <c r="B247" s="438" t="s">
        <v>19</v>
      </c>
      <c r="C247" s="439" t="s">
        <v>431</v>
      </c>
      <c r="D247" s="56">
        <v>3289581.24</v>
      </c>
      <c r="E247" s="56">
        <v>2266156</v>
      </c>
      <c r="F247" s="56">
        <v>1719740.52</v>
      </c>
      <c r="G247" s="823"/>
      <c r="H247" s="56">
        <v>664520.26</v>
      </c>
      <c r="I247" s="822"/>
      <c r="J247" s="822"/>
      <c r="K247" s="822"/>
      <c r="L247" s="437">
        <f t="shared" si="30"/>
        <v>2384260.7800000003</v>
      </c>
      <c r="M247" s="56">
        <v>1081.6199999999999</v>
      </c>
      <c r="N247" s="56">
        <v>632417.86</v>
      </c>
      <c r="O247" s="823"/>
      <c r="P247" s="823"/>
      <c r="Q247" s="823"/>
      <c r="R247" s="823"/>
      <c r="S247" s="823"/>
      <c r="T247" s="823"/>
      <c r="U247" s="440">
        <f t="shared" si="31"/>
        <v>632417.86</v>
      </c>
      <c r="V247" s="823"/>
      <c r="W247" s="56">
        <v>228753.86</v>
      </c>
      <c r="X247" s="56">
        <v>43698.400000000001</v>
      </c>
      <c r="Y247" s="56">
        <v>-631.28</v>
      </c>
      <c r="Z247" s="56"/>
      <c r="AA247" s="823"/>
      <c r="AB247" s="823"/>
      <c r="AC247" s="56">
        <v>5823.56</v>
      </c>
      <c r="AD247" s="56">
        <v>179093.3</v>
      </c>
      <c r="AE247" s="823"/>
      <c r="AF247" s="56">
        <v>3474498.1</v>
      </c>
      <c r="AG247" s="56">
        <v>0</v>
      </c>
      <c r="AH247" s="823"/>
      <c r="AI247" s="54"/>
    </row>
    <row r="248" spans="1:35" ht="15.75" thickBot="1" x14ac:dyDescent="0.3">
      <c r="A248" s="538">
        <v>44044</v>
      </c>
      <c r="B248" s="438" t="s">
        <v>350</v>
      </c>
      <c r="C248" s="439" t="s">
        <v>432</v>
      </c>
      <c r="D248" s="54">
        <v>205.51</v>
      </c>
      <c r="E248" s="54">
        <v>212</v>
      </c>
      <c r="F248" s="54">
        <v>65.010000000000005</v>
      </c>
      <c r="G248" s="822"/>
      <c r="H248" s="54">
        <v>65.02</v>
      </c>
      <c r="I248" s="822"/>
      <c r="J248" s="822"/>
      <c r="K248" s="822"/>
      <c r="L248" s="437">
        <f t="shared" si="30"/>
        <v>130.03</v>
      </c>
      <c r="M248" s="54">
        <v>0.1</v>
      </c>
      <c r="N248" s="54">
        <v>62.04</v>
      </c>
      <c r="O248" s="822"/>
      <c r="P248" s="822"/>
      <c r="Q248" s="822"/>
      <c r="R248" s="822"/>
      <c r="S248" s="822"/>
      <c r="T248" s="822"/>
      <c r="U248" s="440">
        <f t="shared" si="31"/>
        <v>62.04</v>
      </c>
      <c r="V248" s="822"/>
      <c r="W248" s="54">
        <v>9.27</v>
      </c>
      <c r="X248" s="54">
        <v>4.07</v>
      </c>
      <c r="Y248" s="822"/>
      <c r="Z248" s="822"/>
      <c r="AA248" s="822"/>
      <c r="AB248" s="822"/>
      <c r="AC248" s="54">
        <v>0</v>
      </c>
      <c r="AD248" s="54">
        <v>12.33</v>
      </c>
      <c r="AE248" s="822"/>
      <c r="AF248" s="54">
        <v>217.84</v>
      </c>
      <c r="AG248" s="54">
        <v>0</v>
      </c>
      <c r="AH248" s="822"/>
      <c r="AI248" s="56"/>
    </row>
    <row r="249" spans="1:35" ht="23.25" thickBot="1" x14ac:dyDescent="0.3">
      <c r="A249" s="538">
        <v>44044</v>
      </c>
      <c r="B249" s="438" t="s">
        <v>599</v>
      </c>
      <c r="C249" s="439" t="s">
        <v>600</v>
      </c>
      <c r="D249" s="56">
        <v>41290.67</v>
      </c>
      <c r="E249" s="56">
        <v>601</v>
      </c>
      <c r="F249" s="56">
        <v>35292.550000000003</v>
      </c>
      <c r="G249" s="823"/>
      <c r="H249" s="56">
        <v>186.31</v>
      </c>
      <c r="I249" s="822"/>
      <c r="J249" s="822"/>
      <c r="K249" s="822"/>
      <c r="L249" s="437">
        <f t="shared" si="30"/>
        <v>35478.86</v>
      </c>
      <c r="M249" s="56">
        <v>0</v>
      </c>
      <c r="N249" s="56">
        <v>163.63</v>
      </c>
      <c r="O249" s="823"/>
      <c r="P249" s="823"/>
      <c r="Q249" s="823"/>
      <c r="R249" s="823"/>
      <c r="S249" s="823"/>
      <c r="T249" s="823"/>
      <c r="U249" s="440">
        <f t="shared" si="31"/>
        <v>163.63</v>
      </c>
      <c r="V249" s="823"/>
      <c r="W249" s="56">
        <v>5636.16</v>
      </c>
      <c r="X249" s="56">
        <v>12.02</v>
      </c>
      <c r="Y249" s="823"/>
      <c r="Z249" s="823"/>
      <c r="AA249" s="823"/>
      <c r="AB249" s="823"/>
      <c r="AC249" s="56">
        <v>14.07</v>
      </c>
      <c r="AD249" s="56">
        <v>2624.73</v>
      </c>
      <c r="AE249" s="823"/>
      <c r="AF249" s="56">
        <v>43929.47</v>
      </c>
      <c r="AG249" s="56">
        <v>0</v>
      </c>
      <c r="AH249" s="823"/>
      <c r="AI249" s="54"/>
    </row>
    <row r="250" spans="1:35" ht="15.75" thickBot="1" x14ac:dyDescent="0.3">
      <c r="A250" s="538">
        <v>44044</v>
      </c>
      <c r="B250" s="441" t="s">
        <v>56</v>
      </c>
      <c r="C250" s="441" t="s">
        <v>56</v>
      </c>
      <c r="D250" s="54">
        <v>3331077.42</v>
      </c>
      <c r="E250" s="54">
        <v>2266969</v>
      </c>
      <c r="F250" s="54">
        <v>1755098.08</v>
      </c>
      <c r="G250" s="822"/>
      <c r="H250" s="54">
        <v>664771.59</v>
      </c>
      <c r="I250" s="822"/>
      <c r="J250" s="822"/>
      <c r="K250" s="822"/>
      <c r="L250" s="437">
        <f t="shared" si="30"/>
        <v>2419869.67</v>
      </c>
      <c r="M250" s="54">
        <v>1081.72</v>
      </c>
      <c r="N250" s="54">
        <v>632643.53</v>
      </c>
      <c r="O250" s="822"/>
      <c r="P250" s="822"/>
      <c r="Q250" s="822"/>
      <c r="R250" s="822"/>
      <c r="S250" s="822"/>
      <c r="T250" s="822"/>
      <c r="U250" s="440">
        <f t="shared" si="31"/>
        <v>632643.53</v>
      </c>
      <c r="V250" s="822"/>
      <c r="W250" s="54">
        <v>234399.29</v>
      </c>
      <c r="X250" s="54">
        <v>43714.49</v>
      </c>
      <c r="Y250" s="54">
        <v>-631.28</v>
      </c>
      <c r="Z250" s="54"/>
      <c r="AA250" s="822"/>
      <c r="AB250" s="822"/>
      <c r="AC250" s="54">
        <v>5837.63</v>
      </c>
      <c r="AD250" s="54">
        <v>181730.36</v>
      </c>
      <c r="AE250" s="822"/>
      <c r="AF250" s="54">
        <v>3518645.41</v>
      </c>
      <c r="AG250" s="54">
        <v>0</v>
      </c>
      <c r="AH250" s="822"/>
      <c r="AI250" s="56"/>
    </row>
    <row r="251" spans="1:35" ht="23.25" thickBot="1" x14ac:dyDescent="0.3">
      <c r="A251" s="538">
        <v>44044</v>
      </c>
      <c r="B251" s="438" t="s">
        <v>43</v>
      </c>
      <c r="C251" s="439" t="s">
        <v>433</v>
      </c>
      <c r="D251" s="56">
        <v>2602.2399999999998</v>
      </c>
      <c r="E251" s="56">
        <v>70</v>
      </c>
      <c r="F251" s="56">
        <v>495</v>
      </c>
      <c r="G251" s="56">
        <v>1751.32</v>
      </c>
      <c r="H251" s="56">
        <v>2.1</v>
      </c>
      <c r="I251" s="823"/>
      <c r="J251" s="823"/>
      <c r="K251" s="823"/>
      <c r="L251" s="437">
        <f t="shared" si="30"/>
        <v>2248.4199999999996</v>
      </c>
      <c r="M251" s="823"/>
      <c r="N251" s="56">
        <v>19.940000000000001</v>
      </c>
      <c r="O251" s="823"/>
      <c r="P251" s="823"/>
      <c r="Q251" s="823"/>
      <c r="R251" s="823"/>
      <c r="S251" s="823"/>
      <c r="T251" s="823"/>
      <c r="U251" s="440">
        <f t="shared" si="31"/>
        <v>19.940000000000001</v>
      </c>
      <c r="V251" s="823"/>
      <c r="W251" s="56">
        <v>333.06</v>
      </c>
      <c r="X251" s="56">
        <v>0.82</v>
      </c>
      <c r="Y251" s="823"/>
      <c r="Z251" s="823"/>
      <c r="AA251" s="823"/>
      <c r="AB251" s="823"/>
      <c r="AC251" s="56">
        <v>0</v>
      </c>
      <c r="AD251" s="56">
        <v>98.08</v>
      </c>
      <c r="AE251" s="823"/>
      <c r="AF251" s="56">
        <v>2700.32</v>
      </c>
      <c r="AG251" s="56">
        <v>0</v>
      </c>
      <c r="AH251" s="823"/>
      <c r="AI251" s="54"/>
    </row>
    <row r="252" spans="1:35" ht="15.75" thickBot="1" x14ac:dyDescent="0.3">
      <c r="A252" s="538">
        <v>44044</v>
      </c>
      <c r="B252" s="441" t="s">
        <v>428</v>
      </c>
      <c r="C252" s="441" t="s">
        <v>428</v>
      </c>
      <c r="D252" s="54">
        <v>2602.2399999999998</v>
      </c>
      <c r="E252" s="54">
        <v>70</v>
      </c>
      <c r="F252" s="54">
        <v>495</v>
      </c>
      <c r="G252" s="54">
        <v>1751.32</v>
      </c>
      <c r="H252" s="54">
        <v>2.1</v>
      </c>
      <c r="I252" s="822"/>
      <c r="J252" s="822"/>
      <c r="K252" s="822"/>
      <c r="L252" s="437">
        <f t="shared" si="30"/>
        <v>2248.4199999999996</v>
      </c>
      <c r="M252" s="822"/>
      <c r="N252" s="54">
        <v>19.940000000000001</v>
      </c>
      <c r="O252" s="822"/>
      <c r="P252" s="822"/>
      <c r="Q252" s="822"/>
      <c r="R252" s="822"/>
      <c r="S252" s="822"/>
      <c r="T252" s="822"/>
      <c r="U252" s="440">
        <f t="shared" si="31"/>
        <v>19.940000000000001</v>
      </c>
      <c r="V252" s="822"/>
      <c r="W252" s="54">
        <v>333.06</v>
      </c>
      <c r="X252" s="54">
        <v>0.82</v>
      </c>
      <c r="Y252" s="822"/>
      <c r="Z252" s="822"/>
      <c r="AA252" s="822"/>
      <c r="AB252" s="822"/>
      <c r="AC252" s="54">
        <v>0</v>
      </c>
      <c r="AD252" s="54">
        <v>98.08</v>
      </c>
      <c r="AE252" s="822"/>
      <c r="AF252" s="54">
        <v>2700.32</v>
      </c>
      <c r="AG252" s="54">
        <v>0</v>
      </c>
      <c r="AH252" s="822"/>
      <c r="AI252" s="56"/>
    </row>
    <row r="253" spans="1:35" ht="23.25" thickBot="1" x14ac:dyDescent="0.3">
      <c r="A253" s="538">
        <v>44044</v>
      </c>
      <c r="B253" s="438" t="s">
        <v>24</v>
      </c>
      <c r="C253" s="439" t="s">
        <v>436</v>
      </c>
      <c r="D253" s="56">
        <v>158476.24</v>
      </c>
      <c r="E253" s="56">
        <v>225757</v>
      </c>
      <c r="F253" s="56">
        <v>41142.959999999999</v>
      </c>
      <c r="G253" s="823"/>
      <c r="H253" s="56">
        <v>40043.15</v>
      </c>
      <c r="I253" s="822"/>
      <c r="J253" s="822"/>
      <c r="K253" s="822"/>
      <c r="L253" s="437">
        <f t="shared" si="30"/>
        <v>81186.11</v>
      </c>
      <c r="M253" s="823"/>
      <c r="N253" s="56">
        <v>64990.03</v>
      </c>
      <c r="O253" s="823"/>
      <c r="P253" s="823"/>
      <c r="Q253" s="823"/>
      <c r="R253" s="823"/>
      <c r="S253" s="823"/>
      <c r="T253" s="823"/>
      <c r="U253" s="440">
        <f t="shared" si="31"/>
        <v>64990.03</v>
      </c>
      <c r="V253" s="823"/>
      <c r="W253" s="56">
        <v>9658.74</v>
      </c>
      <c r="X253" s="56">
        <v>2641.36</v>
      </c>
      <c r="Y253" s="823"/>
      <c r="Z253" s="823"/>
      <c r="AA253" s="823"/>
      <c r="AB253" s="823"/>
      <c r="AC253" s="56">
        <v>194.91</v>
      </c>
      <c r="AD253" s="56">
        <v>8575.24</v>
      </c>
      <c r="AE253" s="823"/>
      <c r="AF253" s="56">
        <v>167246.39000000001</v>
      </c>
      <c r="AG253" s="56">
        <v>0</v>
      </c>
      <c r="AH253" s="823"/>
      <c r="AI253" s="53"/>
    </row>
    <row r="254" spans="1:35" ht="23.25" thickBot="1" x14ac:dyDescent="0.3">
      <c r="A254" s="538">
        <v>44044</v>
      </c>
      <c r="B254" s="438" t="s">
        <v>434</v>
      </c>
      <c r="C254" s="439" t="s">
        <v>435</v>
      </c>
      <c r="D254" s="54">
        <v>247286</v>
      </c>
      <c r="E254" s="54">
        <v>381583</v>
      </c>
      <c r="F254" s="54">
        <v>53974.64</v>
      </c>
      <c r="G254" s="822"/>
      <c r="H254" s="54">
        <v>66868.13</v>
      </c>
      <c r="I254" s="822"/>
      <c r="J254" s="822"/>
      <c r="K254" s="822"/>
      <c r="L254" s="437">
        <f t="shared" si="30"/>
        <v>120842.77</v>
      </c>
      <c r="M254" s="54">
        <v>183.11</v>
      </c>
      <c r="N254" s="54">
        <v>107159.42</v>
      </c>
      <c r="O254" s="822"/>
      <c r="P254" s="822"/>
      <c r="Q254" s="822"/>
      <c r="R254" s="822"/>
      <c r="S254" s="822"/>
      <c r="T254" s="822"/>
      <c r="U254" s="440">
        <f t="shared" si="31"/>
        <v>107159.42</v>
      </c>
      <c r="V254" s="822"/>
      <c r="W254" s="54">
        <v>14636.14</v>
      </c>
      <c r="X254" s="54">
        <v>4464.5600000000004</v>
      </c>
      <c r="Y254" s="822"/>
      <c r="Z254" s="822"/>
      <c r="AA254" s="822"/>
      <c r="AB254" s="822"/>
      <c r="AC254" s="54">
        <v>0</v>
      </c>
      <c r="AD254" s="54">
        <v>11890.31</v>
      </c>
      <c r="AE254" s="822"/>
      <c r="AF254" s="54">
        <v>259176.31</v>
      </c>
      <c r="AG254" s="54">
        <v>0</v>
      </c>
      <c r="AH254" s="822"/>
      <c r="AI254" s="55"/>
    </row>
    <row r="255" spans="1:35" ht="15.75" thickBot="1" x14ac:dyDescent="0.3">
      <c r="A255" s="538">
        <v>44044</v>
      </c>
      <c r="B255" s="441" t="s">
        <v>59</v>
      </c>
      <c r="C255" s="441" t="s">
        <v>59</v>
      </c>
      <c r="D255" s="56">
        <v>405762.24</v>
      </c>
      <c r="E255" s="56">
        <v>607340</v>
      </c>
      <c r="F255" s="56">
        <v>95117.6</v>
      </c>
      <c r="G255" s="823"/>
      <c r="H255" s="56">
        <v>106911.28</v>
      </c>
      <c r="I255" s="823"/>
      <c r="J255" s="823"/>
      <c r="K255" s="823"/>
      <c r="L255" s="437">
        <f t="shared" si="30"/>
        <v>202028.88</v>
      </c>
      <c r="M255" s="56">
        <v>183.11</v>
      </c>
      <c r="N255" s="56">
        <v>172149.45</v>
      </c>
      <c r="O255" s="823"/>
      <c r="P255" s="823"/>
      <c r="Q255" s="823"/>
      <c r="R255" s="823"/>
      <c r="S255" s="823"/>
      <c r="T255" s="823"/>
      <c r="U255" s="440">
        <f t="shared" si="31"/>
        <v>172149.45</v>
      </c>
      <c r="V255" s="823"/>
      <c r="W255" s="56">
        <v>24294.880000000001</v>
      </c>
      <c r="X255" s="56">
        <v>7105.92</v>
      </c>
      <c r="Y255" s="823"/>
      <c r="Z255" s="823"/>
      <c r="AA255" s="823"/>
      <c r="AB255" s="823"/>
      <c r="AC255" s="56">
        <v>194.91</v>
      </c>
      <c r="AD255" s="56">
        <v>20465.55</v>
      </c>
      <c r="AE255" s="823"/>
      <c r="AF255" s="56">
        <v>426422.7</v>
      </c>
      <c r="AG255" s="56">
        <v>0</v>
      </c>
      <c r="AH255" s="823"/>
      <c r="AI255" s="53"/>
    </row>
    <row r="256" spans="1:35" ht="15.75" thickBot="1" x14ac:dyDescent="0.3">
      <c r="A256" s="538">
        <v>44044</v>
      </c>
      <c r="B256" s="438" t="s">
        <v>26</v>
      </c>
      <c r="C256" s="439" t="s">
        <v>27</v>
      </c>
      <c r="D256" s="54">
        <v>8591072.0399999991</v>
      </c>
      <c r="E256" s="54">
        <v>3230412</v>
      </c>
      <c r="F256" s="54">
        <v>5863011.2300000004</v>
      </c>
      <c r="G256" s="822"/>
      <c r="H256" s="54">
        <v>1188204.1299999999</v>
      </c>
      <c r="I256" s="822"/>
      <c r="J256" s="822"/>
      <c r="K256" s="822"/>
      <c r="L256" s="437">
        <f t="shared" si="30"/>
        <v>7051215.3600000003</v>
      </c>
      <c r="M256" s="54">
        <v>-5070.0200000000004</v>
      </c>
      <c r="N256" s="54">
        <v>906603.69</v>
      </c>
      <c r="O256" s="822"/>
      <c r="P256" s="822"/>
      <c r="Q256" s="822"/>
      <c r="R256" s="822"/>
      <c r="S256" s="822"/>
      <c r="T256" s="822"/>
      <c r="U256" s="440">
        <f t="shared" si="31"/>
        <v>906603.69</v>
      </c>
      <c r="V256" s="822"/>
      <c r="W256" s="54">
        <v>561569.71</v>
      </c>
      <c r="X256" s="54">
        <v>76940.350000000006</v>
      </c>
      <c r="Y256" s="54">
        <v>-181.16</v>
      </c>
      <c r="Z256" s="54">
        <v>-5.89</v>
      </c>
      <c r="AA256" s="822"/>
      <c r="AB256" s="54">
        <v>90960.95</v>
      </c>
      <c r="AC256" s="54">
        <v>10161.530000000001</v>
      </c>
      <c r="AD256" s="54">
        <v>36601.949999999997</v>
      </c>
      <c r="AE256" s="822"/>
      <c r="AF256" s="54">
        <v>8728796.4700000007</v>
      </c>
      <c r="AG256" s="54">
        <v>0</v>
      </c>
      <c r="AH256" s="822"/>
      <c r="AI256" s="55"/>
    </row>
    <row r="257" spans="1:35" ht="15.75" thickBot="1" x14ac:dyDescent="0.3">
      <c r="A257" s="538">
        <v>44044</v>
      </c>
      <c r="B257" s="441" t="s">
        <v>62</v>
      </c>
      <c r="C257" s="441" t="s">
        <v>62</v>
      </c>
      <c r="D257" s="56">
        <v>8591072.0399999991</v>
      </c>
      <c r="E257" s="56">
        <v>3230412</v>
      </c>
      <c r="F257" s="56">
        <v>5863011.2300000004</v>
      </c>
      <c r="G257" s="823"/>
      <c r="H257" s="56">
        <v>1188204.1299999999</v>
      </c>
      <c r="I257" s="822"/>
      <c r="J257" s="822"/>
      <c r="K257" s="822"/>
      <c r="L257" s="437">
        <f t="shared" si="30"/>
        <v>7051215.3600000003</v>
      </c>
      <c r="M257" s="56">
        <v>-5070.0200000000004</v>
      </c>
      <c r="N257" s="56">
        <v>906603.69</v>
      </c>
      <c r="O257" s="823"/>
      <c r="P257" s="823"/>
      <c r="Q257" s="823"/>
      <c r="R257" s="823"/>
      <c r="S257" s="823"/>
      <c r="T257" s="823"/>
      <c r="U257" s="440">
        <f t="shared" si="31"/>
        <v>906603.69</v>
      </c>
      <c r="V257" s="823"/>
      <c r="W257" s="56">
        <v>561569.71</v>
      </c>
      <c r="X257" s="56">
        <v>76940.350000000006</v>
      </c>
      <c r="Y257" s="56">
        <v>-181.16</v>
      </c>
      <c r="Z257" s="56">
        <v>-5.89</v>
      </c>
      <c r="AA257" s="823"/>
      <c r="AB257" s="56">
        <v>90960.95</v>
      </c>
      <c r="AC257" s="56">
        <v>10161.530000000001</v>
      </c>
      <c r="AD257" s="56">
        <v>36601.949999999997</v>
      </c>
      <c r="AE257" s="823"/>
      <c r="AF257" s="56">
        <v>8728796.4700000007</v>
      </c>
      <c r="AG257" s="56">
        <v>0</v>
      </c>
      <c r="AH257" s="823"/>
      <c r="AI257" s="53"/>
    </row>
    <row r="258" spans="1:35" ht="23.25" thickBot="1" x14ac:dyDescent="0.3">
      <c r="A258" s="538">
        <v>44044</v>
      </c>
      <c r="B258" s="438" t="s">
        <v>28</v>
      </c>
      <c r="C258" s="439" t="s">
        <v>29</v>
      </c>
      <c r="D258" s="54">
        <v>250.42</v>
      </c>
      <c r="E258" s="54">
        <v>274</v>
      </c>
      <c r="F258" s="54">
        <v>60.45</v>
      </c>
      <c r="G258" s="822"/>
      <c r="H258" s="54">
        <v>100.78</v>
      </c>
      <c r="I258" s="822"/>
      <c r="J258" s="822"/>
      <c r="K258" s="822"/>
      <c r="L258" s="437">
        <f t="shared" si="30"/>
        <v>161.23000000000002</v>
      </c>
      <c r="M258" s="54">
        <v>-0.43</v>
      </c>
      <c r="N258" s="54">
        <v>77.489999999999995</v>
      </c>
      <c r="O258" s="822"/>
      <c r="P258" s="822"/>
      <c r="Q258" s="822"/>
      <c r="R258" s="822"/>
      <c r="S258" s="822"/>
      <c r="T258" s="822"/>
      <c r="U258" s="440">
        <f t="shared" si="31"/>
        <v>77.489999999999995</v>
      </c>
      <c r="V258" s="822"/>
      <c r="W258" s="54">
        <v>5.61</v>
      </c>
      <c r="X258" s="54">
        <v>6.52</v>
      </c>
      <c r="Y258" s="822"/>
      <c r="Z258" s="822"/>
      <c r="AA258" s="822"/>
      <c r="AB258" s="822"/>
      <c r="AC258" s="54">
        <v>0</v>
      </c>
      <c r="AD258" s="54">
        <v>0</v>
      </c>
      <c r="AE258" s="822"/>
      <c r="AF258" s="54">
        <v>250.42</v>
      </c>
      <c r="AG258" s="54">
        <v>0</v>
      </c>
      <c r="AH258" s="822"/>
      <c r="AI258" s="55"/>
    </row>
    <row r="259" spans="1:35" ht="15.75" thickBot="1" x14ac:dyDescent="0.3">
      <c r="A259" s="538">
        <v>44044</v>
      </c>
      <c r="B259" s="441" t="s">
        <v>606</v>
      </c>
      <c r="C259" s="441" t="s">
        <v>606</v>
      </c>
      <c r="D259" s="56">
        <v>250.42</v>
      </c>
      <c r="E259" s="56">
        <v>274</v>
      </c>
      <c r="F259" s="56">
        <v>60.45</v>
      </c>
      <c r="G259" s="823"/>
      <c r="H259" s="56">
        <v>100.78</v>
      </c>
      <c r="I259" s="823"/>
      <c r="J259" s="823"/>
      <c r="K259" s="823"/>
      <c r="L259" s="437">
        <f t="shared" si="30"/>
        <v>161.23000000000002</v>
      </c>
      <c r="M259" s="56">
        <v>-0.43</v>
      </c>
      <c r="N259" s="56">
        <v>77.489999999999995</v>
      </c>
      <c r="O259" s="823"/>
      <c r="P259" s="823"/>
      <c r="Q259" s="823"/>
      <c r="R259" s="823"/>
      <c r="S259" s="823"/>
      <c r="T259" s="823"/>
      <c r="U259" s="440">
        <f t="shared" si="31"/>
        <v>77.489999999999995</v>
      </c>
      <c r="V259" s="823"/>
      <c r="W259" s="56">
        <v>5.61</v>
      </c>
      <c r="X259" s="56">
        <v>6.52</v>
      </c>
      <c r="Y259" s="823"/>
      <c r="Z259" s="823"/>
      <c r="AA259" s="823"/>
      <c r="AB259" s="823"/>
      <c r="AC259" s="56">
        <v>0</v>
      </c>
      <c r="AD259" s="56">
        <v>0</v>
      </c>
      <c r="AE259" s="823"/>
      <c r="AF259" s="56">
        <v>250.42</v>
      </c>
      <c r="AG259" s="56">
        <v>0</v>
      </c>
      <c r="AH259" s="823"/>
      <c r="AI259" s="53"/>
    </row>
    <row r="260" spans="1:35" ht="23.25" thickBot="1" x14ac:dyDescent="0.3">
      <c r="A260" s="538">
        <v>44044</v>
      </c>
      <c r="B260" s="438" t="s">
        <v>563</v>
      </c>
      <c r="C260" s="439" t="s">
        <v>607</v>
      </c>
      <c r="D260" s="54">
        <v>16211.86</v>
      </c>
      <c r="E260" s="54">
        <v>304</v>
      </c>
      <c r="F260" s="54">
        <v>285</v>
      </c>
      <c r="G260" s="54">
        <v>15862.74</v>
      </c>
      <c r="H260" s="54">
        <v>5.48</v>
      </c>
      <c r="I260" s="822"/>
      <c r="J260" s="822"/>
      <c r="K260" s="822"/>
      <c r="L260" s="437">
        <f t="shared" si="30"/>
        <v>16153.22</v>
      </c>
      <c r="M260" s="54">
        <v>7.0000000000000007E-2</v>
      </c>
      <c r="N260" s="54">
        <v>46.38</v>
      </c>
      <c r="O260" s="822"/>
      <c r="P260" s="822"/>
      <c r="Q260" s="822"/>
      <c r="R260" s="822"/>
      <c r="S260" s="822"/>
      <c r="T260" s="822"/>
      <c r="U260" s="440">
        <f t="shared" si="31"/>
        <v>46.38</v>
      </c>
      <c r="V260" s="822"/>
      <c r="W260" s="54">
        <v>9.27</v>
      </c>
      <c r="X260" s="54">
        <v>2.92</v>
      </c>
      <c r="Y260" s="822"/>
      <c r="Z260" s="822"/>
      <c r="AA260" s="822"/>
      <c r="AB260" s="822"/>
      <c r="AC260" s="54">
        <v>0</v>
      </c>
      <c r="AD260" s="54">
        <v>0</v>
      </c>
      <c r="AE260" s="822"/>
      <c r="AF260" s="54">
        <v>16211.86</v>
      </c>
      <c r="AG260" s="54">
        <v>0</v>
      </c>
      <c r="AH260" s="822"/>
      <c r="AI260" s="55"/>
    </row>
    <row r="261" spans="1:35" ht="15.75" thickBot="1" x14ac:dyDescent="0.3">
      <c r="A261" s="538">
        <v>44044</v>
      </c>
      <c r="B261" s="441" t="s">
        <v>608</v>
      </c>
      <c r="C261" s="441" t="s">
        <v>608</v>
      </c>
      <c r="D261" s="56">
        <v>16211.86</v>
      </c>
      <c r="E261" s="56">
        <v>304</v>
      </c>
      <c r="F261" s="56">
        <v>285</v>
      </c>
      <c r="G261" s="56">
        <v>15862.74</v>
      </c>
      <c r="H261" s="56">
        <v>5.48</v>
      </c>
      <c r="I261" s="823"/>
      <c r="J261" s="823"/>
      <c r="K261" s="823"/>
      <c r="L261" s="437">
        <f t="shared" si="30"/>
        <v>16153.22</v>
      </c>
      <c r="M261" s="56">
        <v>7.0000000000000007E-2</v>
      </c>
      <c r="N261" s="56">
        <v>46.38</v>
      </c>
      <c r="O261" s="823"/>
      <c r="P261" s="823"/>
      <c r="Q261" s="823"/>
      <c r="R261" s="823"/>
      <c r="S261" s="823"/>
      <c r="T261" s="823"/>
      <c r="U261" s="440">
        <f t="shared" si="31"/>
        <v>46.38</v>
      </c>
      <c r="V261" s="823"/>
      <c r="W261" s="56">
        <v>9.27</v>
      </c>
      <c r="X261" s="56">
        <v>2.92</v>
      </c>
      <c r="Y261" s="823"/>
      <c r="Z261" s="823"/>
      <c r="AA261" s="823"/>
      <c r="AB261" s="823"/>
      <c r="AC261" s="56">
        <v>0</v>
      </c>
      <c r="AD261" s="56">
        <v>0</v>
      </c>
      <c r="AE261" s="823"/>
      <c r="AF261" s="56">
        <v>16211.86</v>
      </c>
      <c r="AG261" s="56">
        <v>0</v>
      </c>
      <c r="AH261" s="823"/>
      <c r="AI261" s="54"/>
    </row>
    <row r="262" spans="1:35" ht="15.75" thickBot="1" x14ac:dyDescent="0.3">
      <c r="A262" s="538">
        <v>44044</v>
      </c>
      <c r="B262" s="937" t="s">
        <v>947</v>
      </c>
      <c r="C262" s="938"/>
      <c r="D262" s="847">
        <v>12379984.380000001</v>
      </c>
      <c r="E262" s="847">
        <v>6181259</v>
      </c>
      <c r="F262" s="847">
        <v>7715567.3600000003</v>
      </c>
      <c r="G262" s="847">
        <v>17614.060000000001</v>
      </c>
      <c r="H262" s="847">
        <v>1968073.09</v>
      </c>
      <c r="I262" s="848"/>
      <c r="J262" s="848"/>
      <c r="K262" s="848"/>
      <c r="L262" s="849">
        <f>SUM(F262:K262)</f>
        <v>9701254.5099999998</v>
      </c>
      <c r="M262" s="847">
        <v>-3769.13</v>
      </c>
      <c r="N262" s="847">
        <v>1733713.52</v>
      </c>
      <c r="O262" s="848"/>
      <c r="P262" s="848"/>
      <c r="Q262" s="848"/>
      <c r="R262" s="848"/>
      <c r="S262" s="848"/>
      <c r="T262" s="848"/>
      <c r="U262" s="849">
        <f t="shared" si="31"/>
        <v>1733713.52</v>
      </c>
      <c r="V262" s="848"/>
      <c r="W262" s="847">
        <v>820944.88</v>
      </c>
      <c r="X262" s="847">
        <v>128658.93</v>
      </c>
      <c r="Y262" s="847">
        <v>-812.44</v>
      </c>
      <c r="Z262" s="847">
        <v>-5.89</v>
      </c>
      <c r="AA262" s="848"/>
      <c r="AB262" s="847">
        <v>90960.95</v>
      </c>
      <c r="AC262" s="847">
        <v>16194.07</v>
      </c>
      <c r="AD262" s="847">
        <v>239184.04</v>
      </c>
      <c r="AE262" s="848"/>
      <c r="AF262" s="847">
        <v>12726323.439999999</v>
      </c>
      <c r="AG262" s="847">
        <v>0</v>
      </c>
      <c r="AH262" s="848"/>
      <c r="AI262" s="56"/>
    </row>
    <row r="263" spans="1:35" ht="15.75" thickBot="1" x14ac:dyDescent="0.3">
      <c r="A263" s="538">
        <v>44044</v>
      </c>
      <c r="B263" s="438" t="s">
        <v>55</v>
      </c>
      <c r="C263" s="439" t="s">
        <v>51</v>
      </c>
      <c r="D263" s="449"/>
      <c r="E263" s="449"/>
      <c r="F263" s="449"/>
      <c r="G263" s="449"/>
      <c r="H263" s="449"/>
      <c r="I263" s="449"/>
      <c r="J263" s="449"/>
      <c r="K263" s="449"/>
      <c r="L263" s="437">
        <f t="shared" ref="L263:L264" si="32">SUM(F263:K263)</f>
        <v>0</v>
      </c>
      <c r="M263" s="449"/>
      <c r="N263" s="449"/>
      <c r="O263" s="449"/>
      <c r="P263" s="449"/>
      <c r="Q263" s="449"/>
      <c r="R263" s="449"/>
      <c r="S263" s="449"/>
      <c r="T263" s="449"/>
      <c r="U263" s="440">
        <f t="shared" si="31"/>
        <v>0</v>
      </c>
      <c r="V263" s="449"/>
      <c r="W263" s="449"/>
      <c r="X263" s="449"/>
      <c r="Y263" s="449"/>
      <c r="Z263" s="449"/>
      <c r="AA263" s="449"/>
      <c r="AB263" s="449"/>
      <c r="AC263" s="449"/>
      <c r="AD263" s="449"/>
      <c r="AE263" s="449"/>
      <c r="AF263" s="449"/>
      <c r="AG263" s="449"/>
      <c r="AH263" s="449"/>
      <c r="AI263" s="54"/>
    </row>
    <row r="264" spans="1:35" ht="15.75" thickBot="1" x14ac:dyDescent="0.3">
      <c r="A264" s="538">
        <v>44044</v>
      </c>
      <c r="B264" s="451" t="s">
        <v>609</v>
      </c>
      <c r="C264" s="451"/>
      <c r="D264" s="455"/>
      <c r="E264" s="455"/>
      <c r="F264" s="455"/>
      <c r="G264" s="455"/>
      <c r="H264" s="455"/>
      <c r="I264" s="455"/>
      <c r="J264" s="455"/>
      <c r="K264" s="455"/>
      <c r="L264" s="437">
        <f t="shared" si="32"/>
        <v>0</v>
      </c>
      <c r="M264" s="455"/>
      <c r="N264" s="455"/>
      <c r="O264" s="455"/>
      <c r="P264" s="455"/>
      <c r="Q264" s="455"/>
      <c r="R264" s="455"/>
      <c r="S264" s="455"/>
      <c r="T264" s="455"/>
      <c r="U264" s="440">
        <f t="shared" si="31"/>
        <v>0</v>
      </c>
      <c r="V264" s="455"/>
      <c r="W264" s="455"/>
      <c r="X264" s="455"/>
      <c r="Y264" s="455"/>
      <c r="Z264" s="455"/>
      <c r="AA264" s="455"/>
      <c r="AB264" s="455"/>
      <c r="AC264" s="455"/>
      <c r="AD264" s="455"/>
      <c r="AE264" s="455"/>
      <c r="AF264" s="455"/>
      <c r="AG264" s="455"/>
      <c r="AH264" s="455"/>
      <c r="AI264" s="56"/>
    </row>
    <row r="265" spans="1:35" ht="15.75" thickBot="1" x14ac:dyDescent="0.3">
      <c r="A265" s="538">
        <v>44044</v>
      </c>
      <c r="B265" s="850" t="s">
        <v>947</v>
      </c>
      <c r="C265" s="851"/>
      <c r="D265" s="849">
        <f>D264</f>
        <v>0</v>
      </c>
      <c r="E265" s="849">
        <f t="shared" ref="E265:L265" si="33">E264</f>
        <v>0</v>
      </c>
      <c r="F265" s="849">
        <f t="shared" si="33"/>
        <v>0</v>
      </c>
      <c r="G265" s="849">
        <f t="shared" si="33"/>
        <v>0</v>
      </c>
      <c r="H265" s="849">
        <f t="shared" si="33"/>
        <v>0</v>
      </c>
      <c r="I265" s="849">
        <f t="shared" si="33"/>
        <v>0</v>
      </c>
      <c r="J265" s="849">
        <f t="shared" si="33"/>
        <v>0</v>
      </c>
      <c r="K265" s="849">
        <f t="shared" si="33"/>
        <v>0</v>
      </c>
      <c r="L265" s="849">
        <f t="shared" si="33"/>
        <v>0</v>
      </c>
      <c r="M265" s="849"/>
      <c r="N265" s="849"/>
      <c r="O265" s="849"/>
      <c r="P265" s="849"/>
      <c r="Q265" s="849"/>
      <c r="R265" s="849"/>
      <c r="S265" s="849"/>
      <c r="T265" s="849"/>
      <c r="U265" s="849">
        <f t="shared" ref="U265:AH265" si="34">U264</f>
        <v>0</v>
      </c>
      <c r="V265" s="849">
        <f t="shared" si="34"/>
        <v>0</v>
      </c>
      <c r="W265" s="849">
        <f t="shared" si="34"/>
        <v>0</v>
      </c>
      <c r="X265" s="849"/>
      <c r="Y265" s="849">
        <f t="shared" si="34"/>
        <v>0</v>
      </c>
      <c r="Z265" s="849">
        <f t="shared" si="34"/>
        <v>0</v>
      </c>
      <c r="AA265" s="849">
        <f t="shared" si="34"/>
        <v>0</v>
      </c>
      <c r="AB265" s="849">
        <f t="shared" si="34"/>
        <v>0</v>
      </c>
      <c r="AC265" s="849">
        <f t="shared" si="34"/>
        <v>0</v>
      </c>
      <c r="AD265" s="849">
        <f t="shared" si="34"/>
        <v>0</v>
      </c>
      <c r="AE265" s="849">
        <f t="shared" si="34"/>
        <v>0</v>
      </c>
      <c r="AF265" s="849">
        <f t="shared" si="34"/>
        <v>0</v>
      </c>
      <c r="AG265" s="849">
        <f t="shared" si="34"/>
        <v>0</v>
      </c>
      <c r="AH265" s="849">
        <f t="shared" si="34"/>
        <v>0</v>
      </c>
      <c r="AI265" s="54"/>
    </row>
    <row r="266" spans="1:35" ht="15.75" thickBot="1" x14ac:dyDescent="0.3">
      <c r="A266" s="538">
        <v>44044</v>
      </c>
      <c r="B266" s="438" t="s">
        <v>34</v>
      </c>
      <c r="C266" s="439" t="s">
        <v>437</v>
      </c>
      <c r="D266" s="56">
        <v>27133.11</v>
      </c>
      <c r="E266" s="56">
        <v>328449</v>
      </c>
      <c r="F266" s="56">
        <v>11700</v>
      </c>
      <c r="G266" s="56">
        <v>13585.4</v>
      </c>
      <c r="H266" s="56">
        <v>1248.1099999999999</v>
      </c>
      <c r="I266" s="56">
        <v>20.66</v>
      </c>
      <c r="J266" s="823"/>
      <c r="K266" s="56">
        <v>69.599999999999994</v>
      </c>
      <c r="L266" s="437">
        <f t="shared" si="30"/>
        <v>26623.77</v>
      </c>
      <c r="M266" s="56">
        <v>157.66</v>
      </c>
      <c r="N266" s="823"/>
      <c r="O266" s="823"/>
      <c r="P266" s="56">
        <v>0</v>
      </c>
      <c r="Q266" s="56">
        <v>29.8</v>
      </c>
      <c r="R266" s="823"/>
      <c r="S266" s="823"/>
      <c r="T266" s="823"/>
      <c r="U266" s="440">
        <f t="shared" ref="U266:U277" si="35">SUM(N266:T266)</f>
        <v>29.8</v>
      </c>
      <c r="V266" s="823"/>
      <c r="W266" s="56">
        <v>0</v>
      </c>
      <c r="X266" s="56">
        <v>321.88</v>
      </c>
      <c r="Y266" s="823"/>
      <c r="Z266" s="823"/>
      <c r="AA266" s="823"/>
      <c r="AB266" s="823"/>
      <c r="AC266" s="56">
        <v>0</v>
      </c>
      <c r="AD266" s="56">
        <v>268.11</v>
      </c>
      <c r="AE266" s="823"/>
      <c r="AF266" s="56">
        <v>27401.22</v>
      </c>
      <c r="AG266" s="56">
        <v>0</v>
      </c>
      <c r="AH266" s="823"/>
      <c r="AI266" s="452"/>
    </row>
    <row r="267" spans="1:35" ht="15.75" thickBot="1" x14ac:dyDescent="0.3">
      <c r="A267" s="538">
        <v>44044</v>
      </c>
      <c r="B267" s="438" t="s">
        <v>36</v>
      </c>
      <c r="C267" s="439" t="s">
        <v>438</v>
      </c>
      <c r="D267" s="54">
        <v>436658.04</v>
      </c>
      <c r="E267" s="54">
        <v>6600714</v>
      </c>
      <c r="F267" s="54">
        <v>65000</v>
      </c>
      <c r="G267" s="54">
        <v>338787.06</v>
      </c>
      <c r="H267" s="54">
        <v>25082.68</v>
      </c>
      <c r="I267" s="54">
        <v>170.29</v>
      </c>
      <c r="J267" s="822"/>
      <c r="K267" s="54">
        <v>804.69</v>
      </c>
      <c r="L267" s="437">
        <f t="shared" si="30"/>
        <v>429844.72</v>
      </c>
      <c r="M267" s="822"/>
      <c r="N267" s="822"/>
      <c r="O267" s="822"/>
      <c r="P267" s="54">
        <v>0</v>
      </c>
      <c r="Q267" s="54">
        <v>344.6</v>
      </c>
      <c r="R267" s="822"/>
      <c r="S267" s="822"/>
      <c r="T267" s="822"/>
      <c r="U267" s="440">
        <f t="shared" si="35"/>
        <v>344.6</v>
      </c>
      <c r="V267" s="822"/>
      <c r="W267" s="54">
        <v>0</v>
      </c>
      <c r="X267" s="54">
        <v>6468.72</v>
      </c>
      <c r="Y267" s="822"/>
      <c r="Z267" s="822"/>
      <c r="AA267" s="822"/>
      <c r="AB267" s="822"/>
      <c r="AC267" s="54">
        <v>0</v>
      </c>
      <c r="AD267" s="54">
        <v>18482.150000000001</v>
      </c>
      <c r="AE267" s="822"/>
      <c r="AF267" s="54">
        <v>455140.19</v>
      </c>
      <c r="AG267" s="54">
        <v>0</v>
      </c>
      <c r="AH267" s="822"/>
      <c r="AI267" s="53"/>
    </row>
    <row r="268" spans="1:35" ht="15.75" thickBot="1" x14ac:dyDescent="0.3">
      <c r="A268" s="538">
        <v>44044</v>
      </c>
      <c r="B268" s="438" t="s">
        <v>447</v>
      </c>
      <c r="C268" s="439" t="s">
        <v>494</v>
      </c>
      <c r="D268" s="56">
        <v>49747.54</v>
      </c>
      <c r="E268" s="56">
        <v>702817</v>
      </c>
      <c r="F268" s="56">
        <v>19673.330000000002</v>
      </c>
      <c r="G268" s="56">
        <v>26269.08</v>
      </c>
      <c r="H268" s="56">
        <v>2670.71</v>
      </c>
      <c r="I268" s="56">
        <v>108.33</v>
      </c>
      <c r="J268" s="823"/>
      <c r="K268" s="823">
        <v>0</v>
      </c>
      <c r="L268" s="437">
        <f>SUM(F268:K268)</f>
        <v>48721.450000000004</v>
      </c>
      <c r="M268" s="56">
        <v>337.33</v>
      </c>
      <c r="N268" s="823"/>
      <c r="O268" s="823"/>
      <c r="P268" s="56">
        <v>0</v>
      </c>
      <c r="Q268" s="56"/>
      <c r="R268" s="823"/>
      <c r="S268" s="823"/>
      <c r="T268" s="823"/>
      <c r="U268" s="440">
        <f t="shared" si="35"/>
        <v>0</v>
      </c>
      <c r="V268" s="823"/>
      <c r="W268" s="56">
        <v>0</v>
      </c>
      <c r="X268" s="56">
        <v>688.76</v>
      </c>
      <c r="Y268" s="823"/>
      <c r="Z268" s="823"/>
      <c r="AA268" s="823"/>
      <c r="AB268" s="823"/>
      <c r="AC268" s="56">
        <v>442.92</v>
      </c>
      <c r="AD268" s="56">
        <v>2127.2199999999998</v>
      </c>
      <c r="AE268" s="823"/>
      <c r="AF268" s="56">
        <v>52317.68</v>
      </c>
      <c r="AG268" s="56">
        <v>0</v>
      </c>
      <c r="AH268" s="823"/>
      <c r="AI268" s="55"/>
    </row>
    <row r="269" spans="1:35" ht="15.75" thickBot="1" x14ac:dyDescent="0.3">
      <c r="A269" s="538">
        <v>44044</v>
      </c>
      <c r="B269" s="441" t="s">
        <v>610</v>
      </c>
      <c r="C269" s="441" t="s">
        <v>610</v>
      </c>
      <c r="D269" s="54">
        <v>513538.69</v>
      </c>
      <c r="E269" s="54">
        <v>7631980</v>
      </c>
      <c r="F269" s="54">
        <v>96373.33</v>
      </c>
      <c r="G269" s="54">
        <v>378641.54</v>
      </c>
      <c r="H269" s="54">
        <v>29001.5</v>
      </c>
      <c r="I269" s="54">
        <v>299.27999999999997</v>
      </c>
      <c r="J269" s="822"/>
      <c r="K269" s="54">
        <v>874.29</v>
      </c>
      <c r="L269" s="437">
        <f t="shared" si="30"/>
        <v>505189.94</v>
      </c>
      <c r="M269" s="54">
        <v>494.99</v>
      </c>
      <c r="N269" s="822"/>
      <c r="O269" s="822"/>
      <c r="P269" s="54">
        <v>0</v>
      </c>
      <c r="Q269" s="54">
        <v>374.4</v>
      </c>
      <c r="R269" s="822"/>
      <c r="S269" s="822"/>
      <c r="T269" s="822"/>
      <c r="U269" s="440">
        <f t="shared" si="35"/>
        <v>374.4</v>
      </c>
      <c r="V269" s="822"/>
      <c r="W269" s="54">
        <v>0</v>
      </c>
      <c r="X269" s="54">
        <v>7479.36</v>
      </c>
      <c r="Y269" s="822"/>
      <c r="Z269" s="822"/>
      <c r="AA269" s="822"/>
      <c r="AB269" s="822"/>
      <c r="AC269" s="54">
        <v>442.92</v>
      </c>
      <c r="AD269" s="54">
        <v>20877.48</v>
      </c>
      <c r="AE269" s="822"/>
      <c r="AF269" s="54">
        <v>534859.09</v>
      </c>
      <c r="AG269" s="54">
        <v>0</v>
      </c>
      <c r="AH269" s="822"/>
      <c r="AI269" s="53"/>
    </row>
    <row r="270" spans="1:35" ht="23.25" thickBot="1" x14ac:dyDescent="0.3">
      <c r="A270" s="538">
        <v>44044</v>
      </c>
      <c r="B270" s="438" t="s">
        <v>38</v>
      </c>
      <c r="C270" s="439" t="s">
        <v>39</v>
      </c>
      <c r="D270" s="56">
        <v>21925.34</v>
      </c>
      <c r="E270" s="823">
        <v>0</v>
      </c>
      <c r="F270" s="56">
        <v>5325</v>
      </c>
      <c r="G270" s="823"/>
      <c r="H270" s="56">
        <v>0</v>
      </c>
      <c r="I270" s="823"/>
      <c r="J270" s="823"/>
      <c r="K270" s="56">
        <v>11622.99</v>
      </c>
      <c r="L270" s="437">
        <f t="shared" si="30"/>
        <v>16947.989999999998</v>
      </c>
      <c r="M270" s="823"/>
      <c r="N270" s="823"/>
      <c r="O270" s="823"/>
      <c r="P270" s="56">
        <v>0</v>
      </c>
      <c r="Q270" s="56">
        <v>4977.3500000000004</v>
      </c>
      <c r="R270" s="823"/>
      <c r="S270" s="823"/>
      <c r="T270" s="823"/>
      <c r="U270" s="440">
        <f t="shared" si="35"/>
        <v>4977.3500000000004</v>
      </c>
      <c r="V270" s="823"/>
      <c r="W270" s="823"/>
      <c r="X270" s="823"/>
      <c r="Y270" s="823"/>
      <c r="Z270" s="823"/>
      <c r="AA270" s="823"/>
      <c r="AB270" s="823"/>
      <c r="AC270" s="56">
        <v>0</v>
      </c>
      <c r="AD270" s="56">
        <v>0</v>
      </c>
      <c r="AE270" s="823"/>
      <c r="AF270" s="56">
        <v>21925.34</v>
      </c>
      <c r="AG270" s="56">
        <v>0</v>
      </c>
      <c r="AH270" s="823"/>
      <c r="AI270" s="55"/>
    </row>
    <row r="271" spans="1:35" ht="15.75" thickBot="1" x14ac:dyDescent="0.3">
      <c r="A271" s="538">
        <v>44044</v>
      </c>
      <c r="B271" s="441" t="s">
        <v>611</v>
      </c>
      <c r="C271" s="441" t="s">
        <v>611</v>
      </c>
      <c r="D271" s="54">
        <v>21925.34</v>
      </c>
      <c r="E271" s="822">
        <v>0</v>
      </c>
      <c r="F271" s="54">
        <v>5325</v>
      </c>
      <c r="G271" s="822"/>
      <c r="H271" s="54">
        <v>0</v>
      </c>
      <c r="I271" s="822"/>
      <c r="J271" s="822"/>
      <c r="K271" s="54">
        <v>11622.99</v>
      </c>
      <c r="L271" s="437">
        <f t="shared" si="30"/>
        <v>16947.989999999998</v>
      </c>
      <c r="M271" s="822"/>
      <c r="N271" s="822"/>
      <c r="O271" s="822"/>
      <c r="P271" s="54">
        <v>0</v>
      </c>
      <c r="Q271" s="54">
        <v>4977.3500000000004</v>
      </c>
      <c r="R271" s="822"/>
      <c r="S271" s="822"/>
      <c r="T271" s="822"/>
      <c r="U271" s="440">
        <f t="shared" si="35"/>
        <v>4977.3500000000004</v>
      </c>
      <c r="V271" s="822"/>
      <c r="W271" s="822"/>
      <c r="X271" s="822"/>
      <c r="Y271" s="822"/>
      <c r="Z271" s="822"/>
      <c r="AA271" s="822"/>
      <c r="AB271" s="822"/>
      <c r="AC271" s="54">
        <v>0</v>
      </c>
      <c r="AD271" s="54">
        <v>0</v>
      </c>
      <c r="AE271" s="822"/>
      <c r="AF271" s="54">
        <v>21925.34</v>
      </c>
      <c r="AG271" s="54">
        <v>0</v>
      </c>
      <c r="AH271" s="822"/>
      <c r="AI271" s="53"/>
    </row>
    <row r="272" spans="1:35" ht="23.25" thickBot="1" x14ac:dyDescent="0.3">
      <c r="A272" s="538">
        <v>44044</v>
      </c>
      <c r="B272" s="438" t="s">
        <v>52</v>
      </c>
      <c r="C272" s="439" t="s">
        <v>355</v>
      </c>
      <c r="D272" s="56">
        <v>675</v>
      </c>
      <c r="E272" s="823">
        <v>0</v>
      </c>
      <c r="F272" s="56">
        <v>675</v>
      </c>
      <c r="G272" s="823"/>
      <c r="H272" s="56">
        <v>0</v>
      </c>
      <c r="I272" s="823"/>
      <c r="J272" s="823"/>
      <c r="K272" s="823"/>
      <c r="L272" s="437">
        <f t="shared" si="30"/>
        <v>675</v>
      </c>
      <c r="M272" s="823"/>
      <c r="N272" s="823"/>
      <c r="O272" s="823"/>
      <c r="P272" s="823"/>
      <c r="Q272" s="823"/>
      <c r="R272" s="823"/>
      <c r="S272" s="823"/>
      <c r="T272" s="56">
        <v>0</v>
      </c>
      <c r="U272" s="440">
        <f t="shared" si="35"/>
        <v>0</v>
      </c>
      <c r="V272" s="823"/>
      <c r="W272" s="823"/>
      <c r="X272" s="823"/>
      <c r="Y272" s="823"/>
      <c r="Z272" s="823"/>
      <c r="AA272" s="823"/>
      <c r="AB272" s="823"/>
      <c r="AC272" s="56">
        <v>0</v>
      </c>
      <c r="AD272" s="56">
        <v>0</v>
      </c>
      <c r="AE272" s="823"/>
      <c r="AF272" s="56">
        <v>675</v>
      </c>
      <c r="AG272" s="56">
        <v>0</v>
      </c>
      <c r="AH272" s="823"/>
      <c r="AI272" s="55"/>
    </row>
    <row r="273" spans="1:35" ht="15.75" thickBot="1" x14ac:dyDescent="0.3">
      <c r="A273" s="538">
        <v>44044</v>
      </c>
      <c r="B273" s="441" t="s">
        <v>612</v>
      </c>
      <c r="C273" s="441" t="s">
        <v>612</v>
      </c>
      <c r="D273" s="54">
        <v>675</v>
      </c>
      <c r="E273" s="822">
        <v>0</v>
      </c>
      <c r="F273" s="54">
        <v>675</v>
      </c>
      <c r="G273" s="822"/>
      <c r="H273" s="54">
        <v>0</v>
      </c>
      <c r="I273" s="822"/>
      <c r="J273" s="822"/>
      <c r="K273" s="822"/>
      <c r="L273" s="437">
        <f t="shared" si="30"/>
        <v>675</v>
      </c>
      <c r="M273" s="822"/>
      <c r="N273" s="822"/>
      <c r="O273" s="822"/>
      <c r="P273" s="822"/>
      <c r="Q273" s="822"/>
      <c r="R273" s="822"/>
      <c r="S273" s="822"/>
      <c r="T273" s="54">
        <v>0</v>
      </c>
      <c r="U273" s="440">
        <f t="shared" si="35"/>
        <v>0</v>
      </c>
      <c r="V273" s="822"/>
      <c r="W273" s="822"/>
      <c r="X273" s="822"/>
      <c r="Y273" s="822"/>
      <c r="Z273" s="822"/>
      <c r="AA273" s="822"/>
      <c r="AB273" s="822"/>
      <c r="AC273" s="54">
        <v>0</v>
      </c>
      <c r="AD273" s="54">
        <v>0</v>
      </c>
      <c r="AE273" s="822"/>
      <c r="AF273" s="54">
        <v>675</v>
      </c>
      <c r="AG273" s="54">
        <v>0</v>
      </c>
      <c r="AH273" s="822"/>
      <c r="AI273" s="53"/>
    </row>
    <row r="274" spans="1:35" ht="23.25" thickBot="1" x14ac:dyDescent="0.3">
      <c r="A274" s="538">
        <v>44044</v>
      </c>
      <c r="B274" s="438" t="s">
        <v>53</v>
      </c>
      <c r="C274" s="439" t="s">
        <v>836</v>
      </c>
      <c r="D274" s="56">
        <v>1199.6099999999999</v>
      </c>
      <c r="E274" s="56">
        <v>189</v>
      </c>
      <c r="F274" s="56">
        <v>1050</v>
      </c>
      <c r="G274" s="823"/>
      <c r="H274" s="56">
        <v>20.12</v>
      </c>
      <c r="I274" s="823"/>
      <c r="J274" s="823"/>
      <c r="K274" s="823"/>
      <c r="L274" s="437">
        <f t="shared" si="30"/>
        <v>1070.1199999999999</v>
      </c>
      <c r="M274" s="823"/>
      <c r="N274" s="56">
        <v>0</v>
      </c>
      <c r="O274" s="823"/>
      <c r="P274" s="823"/>
      <c r="Q274" s="823"/>
      <c r="R274" s="56">
        <v>16.260000000000002</v>
      </c>
      <c r="S274" s="823"/>
      <c r="T274" s="823"/>
      <c r="U274" s="440">
        <f t="shared" si="35"/>
        <v>16.260000000000002</v>
      </c>
      <c r="V274" s="823"/>
      <c r="W274" s="56">
        <v>111.02</v>
      </c>
      <c r="X274" s="56">
        <v>2.21</v>
      </c>
      <c r="Y274" s="823"/>
      <c r="Z274" s="823"/>
      <c r="AA274" s="56">
        <v>0</v>
      </c>
      <c r="AB274" s="823"/>
      <c r="AC274" s="56">
        <v>35.99</v>
      </c>
      <c r="AD274" s="56">
        <v>0</v>
      </c>
      <c r="AE274" s="823"/>
      <c r="AF274" s="56">
        <v>1235.5999999999999</v>
      </c>
      <c r="AG274" s="56">
        <v>0</v>
      </c>
      <c r="AH274" s="823"/>
      <c r="AI274" s="55"/>
    </row>
    <row r="275" spans="1:35" ht="23.25" thickBot="1" x14ac:dyDescent="0.3">
      <c r="A275" s="538">
        <v>44044</v>
      </c>
      <c r="B275" s="438" t="s">
        <v>31</v>
      </c>
      <c r="C275" s="439" t="s">
        <v>835</v>
      </c>
      <c r="D275" s="54">
        <v>24235.9</v>
      </c>
      <c r="E275" s="54">
        <v>82317</v>
      </c>
      <c r="F275" s="54">
        <v>2627.68</v>
      </c>
      <c r="G275" s="822"/>
      <c r="H275" s="54">
        <v>14035.44</v>
      </c>
      <c r="I275" s="822"/>
      <c r="J275" s="822"/>
      <c r="K275" s="822"/>
      <c r="L275" s="437">
        <f t="shared" si="30"/>
        <v>16663.12</v>
      </c>
      <c r="M275" s="822"/>
      <c r="N275" s="54">
        <v>0</v>
      </c>
      <c r="O275" s="822"/>
      <c r="P275" s="822"/>
      <c r="Q275" s="822"/>
      <c r="R275" s="54">
        <v>7083.37</v>
      </c>
      <c r="S275" s="54">
        <v>-695.74</v>
      </c>
      <c r="T275" s="822"/>
      <c r="U275" s="440">
        <f t="shared" si="35"/>
        <v>6387.63</v>
      </c>
      <c r="V275" s="822"/>
      <c r="W275" s="54">
        <v>222.04</v>
      </c>
      <c r="X275" s="54">
        <v>963.11</v>
      </c>
      <c r="Y275" s="822"/>
      <c r="Z275" s="822"/>
      <c r="AA275" s="54">
        <v>0</v>
      </c>
      <c r="AB275" s="822"/>
      <c r="AC275" s="54">
        <v>0</v>
      </c>
      <c r="AD275" s="54">
        <v>2153.38</v>
      </c>
      <c r="AE275" s="822"/>
      <c r="AF275" s="54">
        <v>26389.279999999999</v>
      </c>
      <c r="AG275" s="54">
        <v>0</v>
      </c>
      <c r="AH275" s="822"/>
      <c r="AI275" s="53"/>
    </row>
    <row r="276" spans="1:35" ht="15.75" thickBot="1" x14ac:dyDescent="0.3">
      <c r="A276" s="538">
        <v>44044</v>
      </c>
      <c r="B276" s="438" t="s">
        <v>491</v>
      </c>
      <c r="C276" s="439" t="s">
        <v>492</v>
      </c>
      <c r="D276" s="56">
        <v>69543.86</v>
      </c>
      <c r="E276" s="56">
        <v>227066</v>
      </c>
      <c r="F276" s="56">
        <v>7883.04</v>
      </c>
      <c r="G276" s="823"/>
      <c r="H276" s="56">
        <v>38690.01</v>
      </c>
      <c r="I276" s="823"/>
      <c r="J276" s="823"/>
      <c r="K276" s="823"/>
      <c r="L276" s="437">
        <f t="shared" si="30"/>
        <v>46573.05</v>
      </c>
      <c r="M276" s="56">
        <v>108.99</v>
      </c>
      <c r="N276" s="56">
        <v>0</v>
      </c>
      <c r="O276" s="823"/>
      <c r="P276" s="823"/>
      <c r="Q276" s="823"/>
      <c r="R276" s="56">
        <v>19539.03</v>
      </c>
      <c r="S276" s="823"/>
      <c r="T276" s="823"/>
      <c r="U276" s="440">
        <f t="shared" si="35"/>
        <v>19539.03</v>
      </c>
      <c r="V276" s="823"/>
      <c r="W276" s="56">
        <v>666.12</v>
      </c>
      <c r="X276" s="56">
        <v>2656.67</v>
      </c>
      <c r="Y276" s="823"/>
      <c r="Z276" s="823"/>
      <c r="AA276" s="56">
        <v>0</v>
      </c>
      <c r="AB276" s="823"/>
      <c r="AC276" s="56">
        <v>0</v>
      </c>
      <c r="AD276" s="56">
        <v>1729.51</v>
      </c>
      <c r="AE276" s="823"/>
      <c r="AF276" s="56">
        <v>71273.37</v>
      </c>
      <c r="AG276" s="56">
        <v>0</v>
      </c>
      <c r="AH276" s="823"/>
      <c r="AI276" s="55"/>
    </row>
    <row r="277" spans="1:35" ht="15.75" thickBot="1" x14ac:dyDescent="0.3">
      <c r="A277" s="538">
        <v>44044</v>
      </c>
      <c r="B277" s="441" t="s">
        <v>613</v>
      </c>
      <c r="C277" s="441" t="s">
        <v>613</v>
      </c>
      <c r="D277" s="54">
        <v>94979.37</v>
      </c>
      <c r="E277" s="54">
        <v>309572</v>
      </c>
      <c r="F277" s="54">
        <v>11560.72</v>
      </c>
      <c r="G277" s="822"/>
      <c r="H277" s="54">
        <v>52745.57</v>
      </c>
      <c r="I277" s="822"/>
      <c r="J277" s="822"/>
      <c r="K277" s="822"/>
      <c r="L277" s="437">
        <f t="shared" si="30"/>
        <v>64306.29</v>
      </c>
      <c r="M277" s="54">
        <v>108.99</v>
      </c>
      <c r="N277" s="54">
        <v>0</v>
      </c>
      <c r="O277" s="822"/>
      <c r="P277" s="822"/>
      <c r="Q277" s="822"/>
      <c r="R277" s="54">
        <v>26638.66</v>
      </c>
      <c r="S277" s="54">
        <v>-695.74</v>
      </c>
      <c r="T277" s="822"/>
      <c r="U277" s="440">
        <f t="shared" si="35"/>
        <v>25942.92</v>
      </c>
      <c r="V277" s="822"/>
      <c r="W277" s="54">
        <v>999.18</v>
      </c>
      <c r="X277" s="54">
        <v>3621.99</v>
      </c>
      <c r="Y277" s="822"/>
      <c r="Z277" s="822"/>
      <c r="AA277" s="54">
        <v>0</v>
      </c>
      <c r="AB277" s="822"/>
      <c r="AC277" s="54">
        <v>35.99</v>
      </c>
      <c r="AD277" s="54">
        <v>3882.89</v>
      </c>
      <c r="AE277" s="822"/>
      <c r="AF277" s="54">
        <v>98898.25</v>
      </c>
      <c r="AG277" s="54">
        <v>0</v>
      </c>
      <c r="AH277" s="822"/>
      <c r="AI277" s="53"/>
    </row>
    <row r="278" spans="1:35" ht="15.75" thickBot="1" x14ac:dyDescent="0.3">
      <c r="A278" s="538">
        <v>44044</v>
      </c>
      <c r="B278" s="937" t="s">
        <v>947</v>
      </c>
      <c r="C278" s="938"/>
      <c r="D278" s="847">
        <v>631118.4</v>
      </c>
      <c r="E278" s="847">
        <v>7941552</v>
      </c>
      <c r="F278" s="847">
        <v>113934.05</v>
      </c>
      <c r="G278" s="847">
        <v>378641.54</v>
      </c>
      <c r="H278" s="847">
        <v>81747.070000000007</v>
      </c>
      <c r="I278" s="847">
        <v>299.27999999999997</v>
      </c>
      <c r="J278" s="848"/>
      <c r="K278" s="847">
        <v>12497.28</v>
      </c>
      <c r="L278" s="849">
        <f t="shared" si="30"/>
        <v>587119.22</v>
      </c>
      <c r="M278" s="847">
        <v>603.98</v>
      </c>
      <c r="N278" s="847">
        <v>0</v>
      </c>
      <c r="O278" s="848"/>
      <c r="P278" s="847">
        <v>0</v>
      </c>
      <c r="Q278" s="847">
        <v>5351.75</v>
      </c>
      <c r="R278" s="847">
        <v>26638.66</v>
      </c>
      <c r="S278" s="847">
        <v>-695.74</v>
      </c>
      <c r="T278" s="847">
        <v>0</v>
      </c>
      <c r="U278" s="849">
        <f>SUM(N278:T278)</f>
        <v>31294.67</v>
      </c>
      <c r="V278" s="848"/>
      <c r="W278" s="847">
        <v>999.18</v>
      </c>
      <c r="X278" s="847">
        <v>11101.35</v>
      </c>
      <c r="Y278" s="848"/>
      <c r="Z278" s="848"/>
      <c r="AA278" s="847">
        <v>0</v>
      </c>
      <c r="AB278" s="848"/>
      <c r="AC278" s="847">
        <v>478.91</v>
      </c>
      <c r="AD278" s="847">
        <v>24760.37</v>
      </c>
      <c r="AE278" s="848"/>
      <c r="AF278" s="847">
        <v>656357.68000000005</v>
      </c>
      <c r="AG278" s="847">
        <v>0</v>
      </c>
      <c r="AH278" s="848"/>
      <c r="AI278" s="55"/>
    </row>
    <row r="279" spans="1:35" ht="15.75" thickBot="1" x14ac:dyDescent="0.3">
      <c r="A279" s="538">
        <v>44044</v>
      </c>
      <c r="B279" s="438" t="s">
        <v>34</v>
      </c>
      <c r="C279" s="439" t="s">
        <v>437</v>
      </c>
      <c r="D279" s="54">
        <v>-150.83000000000001</v>
      </c>
      <c r="E279" s="54">
        <v>0</v>
      </c>
      <c r="F279" s="822"/>
      <c r="G279" s="822"/>
      <c r="H279" s="54">
        <v>0</v>
      </c>
      <c r="I279" s="822"/>
      <c r="J279" s="822"/>
      <c r="K279" s="822"/>
      <c r="L279" s="437">
        <f t="shared" si="30"/>
        <v>0</v>
      </c>
      <c r="M279" s="822"/>
      <c r="N279" s="822"/>
      <c r="O279" s="54">
        <v>-141.75</v>
      </c>
      <c r="P279" s="822"/>
      <c r="Q279" s="822"/>
      <c r="R279" s="822"/>
      <c r="S279" s="822"/>
      <c r="T279" s="822"/>
      <c r="U279" s="440">
        <f t="shared" si="31"/>
        <v>-141.75</v>
      </c>
      <c r="V279" s="54">
        <v>-9.08</v>
      </c>
      <c r="W279" s="822"/>
      <c r="X279" s="54">
        <v>0</v>
      </c>
      <c r="Y279" s="822"/>
      <c r="Z279" s="822"/>
      <c r="AA279" s="822"/>
      <c r="AB279" s="822"/>
      <c r="AC279" s="822"/>
      <c r="AD279" s="54">
        <v>-4.5199999999999996</v>
      </c>
      <c r="AE279" s="822"/>
      <c r="AF279" s="54">
        <v>-155.35</v>
      </c>
      <c r="AG279" s="54">
        <v>0</v>
      </c>
      <c r="AH279" s="822"/>
      <c r="AI279" s="53"/>
    </row>
    <row r="280" spans="1:35" ht="15.75" thickBot="1" x14ac:dyDescent="0.3">
      <c r="A280" s="538">
        <v>44044</v>
      </c>
      <c r="B280" s="438" t="s">
        <v>36</v>
      </c>
      <c r="C280" s="439" t="s">
        <v>438</v>
      </c>
      <c r="D280" s="56">
        <v>-1167.43</v>
      </c>
      <c r="E280" s="56">
        <v>0</v>
      </c>
      <c r="F280" s="823"/>
      <c r="G280" s="823"/>
      <c r="H280" s="56">
        <v>0</v>
      </c>
      <c r="I280" s="823"/>
      <c r="J280" s="823"/>
      <c r="K280" s="823"/>
      <c r="L280" s="437">
        <f t="shared" si="30"/>
        <v>0</v>
      </c>
      <c r="M280" s="823"/>
      <c r="N280" s="823"/>
      <c r="O280" s="56">
        <v>-1193.1500000000001</v>
      </c>
      <c r="P280" s="823"/>
      <c r="Q280" s="823"/>
      <c r="R280" s="823"/>
      <c r="S280" s="823"/>
      <c r="T280" s="823"/>
      <c r="U280" s="440">
        <f t="shared" si="31"/>
        <v>-1193.1500000000001</v>
      </c>
      <c r="V280" s="56">
        <v>25.72</v>
      </c>
      <c r="W280" s="823"/>
      <c r="X280" s="56">
        <v>0</v>
      </c>
      <c r="Y280" s="823"/>
      <c r="Z280" s="823"/>
      <c r="AA280" s="823"/>
      <c r="AB280" s="823"/>
      <c r="AC280" s="823"/>
      <c r="AD280" s="56">
        <v>-70.05</v>
      </c>
      <c r="AE280" s="823"/>
      <c r="AF280" s="56">
        <v>-1237.48</v>
      </c>
      <c r="AG280" s="56">
        <v>0</v>
      </c>
      <c r="AH280" s="823"/>
      <c r="AI280" s="55"/>
    </row>
    <row r="281" spans="1:35" ht="15.75" thickBot="1" x14ac:dyDescent="0.3">
      <c r="A281" s="538">
        <v>44044</v>
      </c>
      <c r="B281" s="441" t="s">
        <v>610</v>
      </c>
      <c r="C281" s="441" t="s">
        <v>610</v>
      </c>
      <c r="D281" s="54">
        <v>-1318.26</v>
      </c>
      <c r="E281" s="54">
        <v>0</v>
      </c>
      <c r="F281" s="822"/>
      <c r="G281" s="822"/>
      <c r="H281" s="54">
        <v>0</v>
      </c>
      <c r="I281" s="822"/>
      <c r="J281" s="822"/>
      <c r="K281" s="822"/>
      <c r="L281" s="437">
        <f t="shared" si="30"/>
        <v>0</v>
      </c>
      <c r="M281" s="822"/>
      <c r="N281" s="822"/>
      <c r="O281" s="54">
        <v>-1334.9</v>
      </c>
      <c r="P281" s="822"/>
      <c r="Q281" s="822"/>
      <c r="R281" s="822"/>
      <c r="S281" s="822"/>
      <c r="T281" s="822"/>
      <c r="U281" s="440">
        <f t="shared" si="31"/>
        <v>-1334.9</v>
      </c>
      <c r="V281" s="54">
        <v>16.64</v>
      </c>
      <c r="W281" s="822"/>
      <c r="X281" s="54">
        <v>0</v>
      </c>
      <c r="Y281" s="822"/>
      <c r="Z281" s="822"/>
      <c r="AA281" s="822"/>
      <c r="AB281" s="822"/>
      <c r="AC281" s="822"/>
      <c r="AD281" s="54">
        <v>-74.569999999999993</v>
      </c>
      <c r="AE281" s="822"/>
      <c r="AF281" s="54">
        <v>-1392.83</v>
      </c>
      <c r="AG281" s="54">
        <v>0</v>
      </c>
      <c r="AH281" s="822"/>
      <c r="AI281" s="53"/>
    </row>
    <row r="282" spans="1:35" ht="23.25" thickBot="1" x14ac:dyDescent="0.3">
      <c r="A282" s="538">
        <v>44044</v>
      </c>
      <c r="B282" s="438" t="s">
        <v>38</v>
      </c>
      <c r="C282" s="439" t="s">
        <v>39</v>
      </c>
      <c r="D282" s="56">
        <v>-3782.36</v>
      </c>
      <c r="E282" s="823">
        <v>0</v>
      </c>
      <c r="F282" s="823"/>
      <c r="G282" s="823"/>
      <c r="H282" s="823"/>
      <c r="I282" s="823"/>
      <c r="J282" s="823"/>
      <c r="K282" s="823"/>
      <c r="L282" s="437">
        <f t="shared" si="30"/>
        <v>0</v>
      </c>
      <c r="M282" s="823"/>
      <c r="N282" s="823"/>
      <c r="O282" s="56">
        <v>-4596.28</v>
      </c>
      <c r="P282" s="823"/>
      <c r="Q282" s="823"/>
      <c r="R282" s="823"/>
      <c r="S282" s="823"/>
      <c r="T282" s="823"/>
      <c r="U282" s="440">
        <f t="shared" si="31"/>
        <v>-4596.28</v>
      </c>
      <c r="V282" s="56">
        <v>813.92</v>
      </c>
      <c r="W282" s="823"/>
      <c r="X282" s="823"/>
      <c r="Y282" s="823"/>
      <c r="Z282" s="823"/>
      <c r="AA282" s="823"/>
      <c r="AB282" s="823"/>
      <c r="AC282" s="823"/>
      <c r="AD282" s="56">
        <v>0</v>
      </c>
      <c r="AE282" s="823"/>
      <c r="AF282" s="56">
        <v>-3782.36</v>
      </c>
      <c r="AG282" s="56">
        <v>0</v>
      </c>
      <c r="AH282" s="823"/>
      <c r="AI282" s="55"/>
    </row>
    <row r="283" spans="1:35" ht="15.75" thickBot="1" x14ac:dyDescent="0.3">
      <c r="A283" s="538">
        <v>44044</v>
      </c>
      <c r="B283" s="441" t="s">
        <v>611</v>
      </c>
      <c r="C283" s="441" t="s">
        <v>611</v>
      </c>
      <c r="D283" s="54">
        <v>-3782.36</v>
      </c>
      <c r="E283" s="822">
        <v>0</v>
      </c>
      <c r="F283" s="822"/>
      <c r="G283" s="822"/>
      <c r="H283" s="822"/>
      <c r="I283" s="822"/>
      <c r="J283" s="822"/>
      <c r="K283" s="822"/>
      <c r="L283" s="437">
        <f t="shared" si="30"/>
        <v>0</v>
      </c>
      <c r="M283" s="822"/>
      <c r="N283" s="822"/>
      <c r="O283" s="54">
        <v>-4596.28</v>
      </c>
      <c r="P283" s="822"/>
      <c r="Q283" s="822"/>
      <c r="R283" s="822"/>
      <c r="S283" s="822"/>
      <c r="T283" s="822"/>
      <c r="U283" s="440">
        <f t="shared" si="31"/>
        <v>-4596.28</v>
      </c>
      <c r="V283" s="54">
        <v>813.92</v>
      </c>
      <c r="W283" s="822"/>
      <c r="X283" s="822"/>
      <c r="Y283" s="822"/>
      <c r="Z283" s="822"/>
      <c r="AA283" s="822"/>
      <c r="AB283" s="822"/>
      <c r="AC283" s="822"/>
      <c r="AD283" s="54">
        <v>0</v>
      </c>
      <c r="AE283" s="822"/>
      <c r="AF283" s="54">
        <v>-3782.36</v>
      </c>
      <c r="AG283" s="54">
        <v>0</v>
      </c>
      <c r="AH283" s="822"/>
      <c r="AI283" s="53"/>
    </row>
    <row r="284" spans="1:35" ht="23.25" thickBot="1" x14ac:dyDescent="0.3">
      <c r="A284" s="538">
        <v>44044</v>
      </c>
      <c r="B284" s="438" t="s">
        <v>52</v>
      </c>
      <c r="C284" s="439" t="s">
        <v>355</v>
      </c>
      <c r="D284" s="56">
        <v>-4009.48</v>
      </c>
      <c r="E284" s="823">
        <v>0</v>
      </c>
      <c r="F284" s="823"/>
      <c r="G284" s="823"/>
      <c r="H284" s="823"/>
      <c r="I284" s="823"/>
      <c r="J284" s="823"/>
      <c r="K284" s="823"/>
      <c r="L284" s="437">
        <f t="shared" si="30"/>
        <v>0</v>
      </c>
      <c r="M284" s="823"/>
      <c r="N284" s="823"/>
      <c r="O284" s="56">
        <v>-4056.38</v>
      </c>
      <c r="P284" s="823"/>
      <c r="Q284" s="823"/>
      <c r="R284" s="823"/>
      <c r="S284" s="823"/>
      <c r="T284" s="823"/>
      <c r="U284" s="440">
        <f t="shared" si="31"/>
        <v>-4056.38</v>
      </c>
      <c r="V284" s="56">
        <v>46.9</v>
      </c>
      <c r="W284" s="823"/>
      <c r="X284" s="823"/>
      <c r="Y284" s="823"/>
      <c r="Z284" s="823"/>
      <c r="AA284" s="823"/>
      <c r="AB284" s="823"/>
      <c r="AC284" s="823"/>
      <c r="AD284" s="56">
        <v>0</v>
      </c>
      <c r="AE284" s="823"/>
      <c r="AF284" s="56">
        <v>-4009.48</v>
      </c>
      <c r="AG284" s="56">
        <v>0</v>
      </c>
      <c r="AH284" s="823"/>
      <c r="AI284" s="55"/>
    </row>
    <row r="285" spans="1:35" ht="15.75" thickBot="1" x14ac:dyDescent="0.3">
      <c r="A285" s="538">
        <v>44044</v>
      </c>
      <c r="B285" s="441" t="s">
        <v>612</v>
      </c>
      <c r="C285" s="441" t="s">
        <v>612</v>
      </c>
      <c r="D285" s="54">
        <v>-4009.48</v>
      </c>
      <c r="E285" s="822">
        <v>0</v>
      </c>
      <c r="F285" s="822"/>
      <c r="G285" s="822"/>
      <c r="H285" s="822"/>
      <c r="I285" s="822"/>
      <c r="J285" s="822"/>
      <c r="K285" s="822"/>
      <c r="L285" s="437">
        <f t="shared" si="30"/>
        <v>0</v>
      </c>
      <c r="M285" s="822"/>
      <c r="N285" s="822"/>
      <c r="O285" s="54">
        <v>-4056.38</v>
      </c>
      <c r="P285" s="822"/>
      <c r="Q285" s="822"/>
      <c r="R285" s="822"/>
      <c r="S285" s="822"/>
      <c r="T285" s="822"/>
      <c r="U285" s="440">
        <f t="shared" si="31"/>
        <v>-4056.38</v>
      </c>
      <c r="V285" s="54">
        <v>46.9</v>
      </c>
      <c r="W285" s="822"/>
      <c r="X285" s="822"/>
      <c r="Y285" s="822"/>
      <c r="Z285" s="822"/>
      <c r="AA285" s="822"/>
      <c r="AB285" s="822"/>
      <c r="AC285" s="822"/>
      <c r="AD285" s="54">
        <v>0</v>
      </c>
      <c r="AE285" s="822"/>
      <c r="AF285" s="54">
        <v>-4009.48</v>
      </c>
      <c r="AG285" s="54">
        <v>0</v>
      </c>
      <c r="AH285" s="822"/>
      <c r="AI285" s="53"/>
    </row>
    <row r="286" spans="1:35" ht="15.75" thickBot="1" x14ac:dyDescent="0.3">
      <c r="A286" s="538">
        <v>44044</v>
      </c>
      <c r="B286" s="937" t="s">
        <v>947</v>
      </c>
      <c r="C286" s="938"/>
      <c r="D286" s="847">
        <v>-9110.1</v>
      </c>
      <c r="E286" s="847">
        <v>0</v>
      </c>
      <c r="F286" s="848"/>
      <c r="G286" s="848"/>
      <c r="H286" s="847">
        <v>0</v>
      </c>
      <c r="I286" s="848"/>
      <c r="J286" s="848"/>
      <c r="K286" s="848"/>
      <c r="L286" s="849">
        <f>SUM(F286:K286)</f>
        <v>0</v>
      </c>
      <c r="M286" s="848"/>
      <c r="N286" s="848"/>
      <c r="O286" s="847">
        <v>-9987.56</v>
      </c>
      <c r="P286" s="848"/>
      <c r="Q286" s="848"/>
      <c r="R286" s="848"/>
      <c r="S286" s="848"/>
      <c r="T286" s="848"/>
      <c r="U286" s="849">
        <f t="shared" si="31"/>
        <v>-9987.56</v>
      </c>
      <c r="V286" s="847">
        <v>877.46</v>
      </c>
      <c r="W286" s="848"/>
      <c r="X286" s="847">
        <v>0</v>
      </c>
      <c r="Y286" s="848"/>
      <c r="Z286" s="848"/>
      <c r="AA286" s="848"/>
      <c r="AB286" s="848"/>
      <c r="AC286" s="848"/>
      <c r="AD286" s="847">
        <v>-74.569999999999993</v>
      </c>
      <c r="AE286" s="848"/>
      <c r="AF286" s="847">
        <v>-9184.67</v>
      </c>
      <c r="AG286" s="847">
        <v>0</v>
      </c>
      <c r="AH286" s="848"/>
      <c r="AI286" s="55"/>
    </row>
    <row r="287" spans="1:35" ht="15.75" thickBot="1" x14ac:dyDescent="0.3">
      <c r="A287" s="538">
        <v>44044</v>
      </c>
      <c r="B287" s="438" t="s">
        <v>32</v>
      </c>
      <c r="C287" s="439" t="s">
        <v>33</v>
      </c>
      <c r="D287" s="54">
        <v>39992.92</v>
      </c>
      <c r="E287" s="822">
        <v>0</v>
      </c>
      <c r="F287" s="54">
        <v>0</v>
      </c>
      <c r="G287" s="822"/>
      <c r="H287" s="822"/>
      <c r="I287" s="822"/>
      <c r="J287" s="822"/>
      <c r="K287" s="822"/>
      <c r="L287" s="437">
        <f t="shared" si="30"/>
        <v>0</v>
      </c>
      <c r="M287" s="822"/>
      <c r="N287" s="54">
        <v>38409.269999999997</v>
      </c>
      <c r="O287" s="822"/>
      <c r="P287" s="822"/>
      <c r="Q287" s="822"/>
      <c r="R287" s="822"/>
      <c r="S287" s="822"/>
      <c r="T287" s="822"/>
      <c r="U287" s="440">
        <f t="shared" si="31"/>
        <v>38409.269999999997</v>
      </c>
      <c r="V287" s="822"/>
      <c r="W287" s="54">
        <v>111.02</v>
      </c>
      <c r="X287" s="54">
        <v>1472.63</v>
      </c>
      <c r="Y287" s="822"/>
      <c r="Z287" s="822"/>
      <c r="AA287" s="822"/>
      <c r="AB287" s="822"/>
      <c r="AC287" s="54">
        <v>0</v>
      </c>
      <c r="AD287" s="54">
        <v>0</v>
      </c>
      <c r="AE287" s="822"/>
      <c r="AF287" s="54">
        <v>39992.92</v>
      </c>
      <c r="AG287" s="54">
        <v>0</v>
      </c>
      <c r="AH287" s="822"/>
      <c r="AI287" s="53"/>
    </row>
    <row r="288" spans="1:35" ht="15.75" thickBot="1" x14ac:dyDescent="0.3">
      <c r="A288" s="538">
        <v>44044</v>
      </c>
      <c r="B288" s="441" t="s">
        <v>605</v>
      </c>
      <c r="C288" s="441" t="s">
        <v>605</v>
      </c>
      <c r="D288" s="56">
        <v>39992.92</v>
      </c>
      <c r="E288" s="823">
        <v>0</v>
      </c>
      <c r="F288" s="56">
        <v>0</v>
      </c>
      <c r="G288" s="823"/>
      <c r="H288" s="823"/>
      <c r="I288" s="823"/>
      <c r="J288" s="823"/>
      <c r="K288" s="823"/>
      <c r="L288" s="437">
        <f>SUM(F288:K288)</f>
        <v>0</v>
      </c>
      <c r="M288" s="823"/>
      <c r="N288" s="56">
        <v>38409.269999999997</v>
      </c>
      <c r="O288" s="823"/>
      <c r="P288" s="823"/>
      <c r="Q288" s="823"/>
      <c r="R288" s="823"/>
      <c r="S288" s="823"/>
      <c r="T288" s="823"/>
      <c r="U288" s="440">
        <f t="shared" si="31"/>
        <v>38409.269999999997</v>
      </c>
      <c r="V288" s="823"/>
      <c r="W288" s="56">
        <v>111.02</v>
      </c>
      <c r="X288" s="56">
        <v>1472.63</v>
      </c>
      <c r="Y288" s="823"/>
      <c r="Z288" s="823"/>
      <c r="AA288" s="823"/>
      <c r="AB288" s="823"/>
      <c r="AC288" s="56">
        <v>0</v>
      </c>
      <c r="AD288" s="56">
        <v>0</v>
      </c>
      <c r="AE288" s="823"/>
      <c r="AF288" s="56">
        <v>39992.92</v>
      </c>
      <c r="AG288" s="56">
        <v>0</v>
      </c>
      <c r="AH288" s="823"/>
      <c r="AI288" s="55"/>
    </row>
    <row r="289" spans="1:35" ht="15.75" thickBot="1" x14ac:dyDescent="0.3">
      <c r="A289" s="538">
        <v>44044</v>
      </c>
      <c r="B289" s="852" t="s">
        <v>947</v>
      </c>
      <c r="C289" s="853"/>
      <c r="D289" s="849">
        <f>D288</f>
        <v>39992.92</v>
      </c>
      <c r="E289" s="849">
        <f t="shared" ref="E289:AG289" si="36">E288</f>
        <v>0</v>
      </c>
      <c r="F289" s="849">
        <f t="shared" si="36"/>
        <v>0</v>
      </c>
      <c r="G289" s="849">
        <f t="shared" si="36"/>
        <v>0</v>
      </c>
      <c r="H289" s="849">
        <f t="shared" si="36"/>
        <v>0</v>
      </c>
      <c r="I289" s="849">
        <f t="shared" si="36"/>
        <v>0</v>
      </c>
      <c r="J289" s="849">
        <f t="shared" si="36"/>
        <v>0</v>
      </c>
      <c r="K289" s="849">
        <f t="shared" si="36"/>
        <v>0</v>
      </c>
      <c r="L289" s="849">
        <f t="shared" si="36"/>
        <v>0</v>
      </c>
      <c r="M289" s="849">
        <f t="shared" si="36"/>
        <v>0</v>
      </c>
      <c r="N289" s="849">
        <f>N288</f>
        <v>38409.269999999997</v>
      </c>
      <c r="O289" s="849">
        <f t="shared" si="36"/>
        <v>0</v>
      </c>
      <c r="P289" s="849">
        <f t="shared" si="36"/>
        <v>0</v>
      </c>
      <c r="Q289" s="849">
        <f t="shared" si="36"/>
        <v>0</v>
      </c>
      <c r="R289" s="849">
        <f t="shared" si="36"/>
        <v>0</v>
      </c>
      <c r="S289" s="849">
        <f t="shared" si="36"/>
        <v>0</v>
      </c>
      <c r="T289" s="849">
        <f t="shared" si="36"/>
        <v>0</v>
      </c>
      <c r="U289" s="849">
        <f t="shared" si="36"/>
        <v>38409.269999999997</v>
      </c>
      <c r="V289" s="849">
        <f t="shared" si="36"/>
        <v>0</v>
      </c>
      <c r="W289" s="849">
        <f>W288</f>
        <v>111.02</v>
      </c>
      <c r="X289" s="849">
        <f>X288</f>
        <v>1472.63</v>
      </c>
      <c r="Y289" s="849">
        <f t="shared" si="36"/>
        <v>0</v>
      </c>
      <c r="Z289" s="849">
        <f t="shared" si="36"/>
        <v>0</v>
      </c>
      <c r="AA289" s="849">
        <f t="shared" si="36"/>
        <v>0</v>
      </c>
      <c r="AB289" s="849">
        <f t="shared" si="36"/>
        <v>0</v>
      </c>
      <c r="AC289" s="849">
        <f t="shared" si="36"/>
        <v>0</v>
      </c>
      <c r="AD289" s="849">
        <f t="shared" si="36"/>
        <v>0</v>
      </c>
      <c r="AE289" s="849">
        <f t="shared" si="36"/>
        <v>0</v>
      </c>
      <c r="AF289" s="849">
        <f t="shared" si="36"/>
        <v>39992.92</v>
      </c>
      <c r="AG289" s="849">
        <f t="shared" si="36"/>
        <v>0</v>
      </c>
      <c r="AH289" s="849"/>
      <c r="AI289" s="53"/>
    </row>
    <row r="290" spans="1:35" ht="15.75" thickBot="1" x14ac:dyDescent="0.3">
      <c r="A290" s="538">
        <v>44044</v>
      </c>
      <c r="B290" s="438" t="s">
        <v>32</v>
      </c>
      <c r="C290" s="439" t="s">
        <v>33</v>
      </c>
      <c r="D290" s="54">
        <v>184983.48</v>
      </c>
      <c r="E290" s="54">
        <v>125866</v>
      </c>
      <c r="F290" s="54">
        <v>750</v>
      </c>
      <c r="G290" s="54">
        <v>180467.57</v>
      </c>
      <c r="H290" s="54">
        <v>3765.91</v>
      </c>
      <c r="I290" s="822"/>
      <c r="J290" s="822"/>
      <c r="K290" s="822"/>
      <c r="L290" s="437">
        <f t="shared" si="30"/>
        <v>184983.48</v>
      </c>
      <c r="M290" s="823"/>
      <c r="N290" s="823"/>
      <c r="O290" s="823"/>
      <c r="P290" s="823"/>
      <c r="Q290" s="823"/>
      <c r="R290" s="823"/>
      <c r="S290" s="823"/>
      <c r="T290" s="823"/>
      <c r="U290" s="440">
        <f t="shared" si="31"/>
        <v>0</v>
      </c>
      <c r="V290" s="822"/>
      <c r="W290" s="822"/>
      <c r="X290" s="822"/>
      <c r="Y290" s="822"/>
      <c r="Z290" s="822"/>
      <c r="AA290" s="822"/>
      <c r="AB290" s="822"/>
      <c r="AC290" s="822"/>
      <c r="AD290" s="54">
        <v>0</v>
      </c>
      <c r="AE290" s="822"/>
      <c r="AF290" s="54">
        <v>184983.48</v>
      </c>
      <c r="AG290" s="54">
        <v>0</v>
      </c>
      <c r="AH290" s="822"/>
      <c r="AI290" s="55"/>
    </row>
    <row r="291" spans="1:35" ht="15.75" thickBot="1" x14ac:dyDescent="0.3">
      <c r="A291" s="538">
        <v>44044</v>
      </c>
      <c r="B291" s="441" t="s">
        <v>605</v>
      </c>
      <c r="C291" s="441" t="s">
        <v>605</v>
      </c>
      <c r="D291" s="56">
        <v>184983.48</v>
      </c>
      <c r="E291" s="56">
        <v>125866</v>
      </c>
      <c r="F291" s="56">
        <v>750</v>
      </c>
      <c r="G291" s="56">
        <v>180467.57</v>
      </c>
      <c r="H291" s="56">
        <v>3765.91</v>
      </c>
      <c r="I291" s="823"/>
      <c r="J291" s="823"/>
      <c r="K291" s="823"/>
      <c r="L291" s="437">
        <f t="shared" si="30"/>
        <v>184983.48</v>
      </c>
      <c r="M291" s="822"/>
      <c r="N291" s="822"/>
      <c r="O291" s="822"/>
      <c r="P291" s="822"/>
      <c r="Q291" s="822"/>
      <c r="R291" s="822"/>
      <c r="S291" s="822"/>
      <c r="T291" s="822"/>
      <c r="U291" s="440">
        <f t="shared" si="31"/>
        <v>0</v>
      </c>
      <c r="V291" s="823"/>
      <c r="W291" s="823"/>
      <c r="X291" s="823"/>
      <c r="Y291" s="823"/>
      <c r="Z291" s="823"/>
      <c r="AA291" s="823"/>
      <c r="AB291" s="823"/>
      <c r="AC291" s="823"/>
      <c r="AD291" s="56">
        <v>0</v>
      </c>
      <c r="AE291" s="823"/>
      <c r="AF291" s="56">
        <v>184983.48</v>
      </c>
      <c r="AG291" s="56">
        <v>0</v>
      </c>
      <c r="AH291" s="823"/>
      <c r="AI291" s="53"/>
    </row>
  </sheetData>
  <autoFilter ref="A2:AI291" xr:uid="{00000000-0009-0000-0000-00000D000000}"/>
  <mergeCells count="15">
    <mergeCell ref="B262:C262"/>
    <mergeCell ref="B278:C278"/>
    <mergeCell ref="B286:C286"/>
    <mergeCell ref="B213:C213"/>
    <mergeCell ref="B229:C229"/>
    <mergeCell ref="B237:C237"/>
    <mergeCell ref="B141:C141"/>
    <mergeCell ref="B165:C165"/>
    <mergeCell ref="B181:C181"/>
    <mergeCell ref="B189:C189"/>
    <mergeCell ref="B68:C68"/>
    <mergeCell ref="B84:C84"/>
    <mergeCell ref="B92:C92"/>
    <mergeCell ref="B117:C117"/>
    <mergeCell ref="B133:C133"/>
  </mergeCells>
  <printOptions horizontalCentered="1"/>
  <pageMargins left="0.25" right="0" top="0.25" bottom="0.5" header="0.25" footer="0.25"/>
  <pageSetup scale="31" orientation="landscape" r:id="rId1"/>
  <headerFooter alignWithMargins="0">
    <oddFooter>&amp;C&amp;P of &amp;N</oddFooter>
  </headerFooter>
  <colBreaks count="1" manualBreakCount="1">
    <brk id="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1:BM63"/>
  <sheetViews>
    <sheetView workbookViewId="0">
      <selection activeCell="I1" sqref="I1"/>
    </sheetView>
  </sheetViews>
  <sheetFormatPr defaultRowHeight="15" x14ac:dyDescent="0.25"/>
  <cols>
    <col min="6" max="6" width="11.5703125" customWidth="1"/>
    <col min="7" max="7" width="13.140625" customWidth="1"/>
    <col min="8" max="8" width="9.140625" customWidth="1"/>
    <col min="9" max="9" width="12.42578125" customWidth="1"/>
    <col min="10" max="10" width="12.5703125" customWidth="1"/>
    <col min="11" max="11" width="12.140625" customWidth="1"/>
    <col min="12" max="12" width="10.5703125" customWidth="1"/>
    <col min="13" max="13" width="11.140625" customWidth="1"/>
    <col min="14" max="14" width="10.28515625" customWidth="1"/>
    <col min="15" max="15" width="10.7109375" customWidth="1"/>
    <col min="16" max="16" width="9.140625" customWidth="1"/>
    <col min="17" max="18" width="9.5703125" customWidth="1"/>
    <col min="19" max="19" width="10.5703125" bestFit="1" customWidth="1"/>
    <col min="20" max="20" width="11.5703125" bestFit="1" customWidth="1"/>
    <col min="21" max="21" width="12.7109375" customWidth="1"/>
    <col min="22" max="22" width="11.85546875" customWidth="1"/>
    <col min="23" max="23" width="11" customWidth="1"/>
    <col min="24" max="26" width="12" customWidth="1"/>
    <col min="27" max="27" width="11" bestFit="1" customWidth="1"/>
    <col min="28" max="28" width="11.85546875" customWidth="1"/>
    <col min="29" max="29" width="13.140625" customWidth="1"/>
    <col min="30" max="30" width="9.140625" customWidth="1"/>
    <col min="31" max="31" width="10.28515625" customWidth="1"/>
    <col min="32" max="34" width="9.140625" customWidth="1"/>
    <col min="35" max="35" width="10.28515625" customWidth="1"/>
    <col min="36" max="36" width="12.5703125" customWidth="1"/>
    <col min="37" max="37" width="11" customWidth="1"/>
    <col min="38" max="40" width="12" customWidth="1"/>
    <col min="41" max="41" width="11" bestFit="1" customWidth="1"/>
    <col min="42" max="42" width="15" bestFit="1" customWidth="1"/>
    <col min="43" max="43" width="14.28515625" bestFit="1" customWidth="1"/>
    <col min="44" max="44" width="12" customWidth="1"/>
    <col min="45" max="45" width="14.28515625" bestFit="1" customWidth="1"/>
    <col min="46" max="46" width="15.140625" customWidth="1"/>
    <col min="47" max="47" width="13.5703125" bestFit="1" customWidth="1"/>
    <col min="48" max="48" width="12" bestFit="1" customWidth="1"/>
    <col min="49" max="49" width="11" customWidth="1"/>
    <col min="50" max="50" width="11.7109375" customWidth="1"/>
    <col min="51" max="51" width="13.28515625" bestFit="1" customWidth="1"/>
    <col min="52" max="53" width="12" bestFit="1" customWidth="1"/>
    <col min="54" max="54" width="13.28515625" customWidth="1"/>
    <col min="55" max="56" width="12" bestFit="1" customWidth="1"/>
    <col min="57" max="57" width="11" bestFit="1" customWidth="1"/>
    <col min="58" max="59" width="14.42578125" customWidth="1"/>
    <col min="61" max="61" width="12.42578125" bestFit="1" customWidth="1"/>
    <col min="62" max="62" width="14.7109375" bestFit="1" customWidth="1"/>
    <col min="63" max="63" width="14.42578125" bestFit="1" customWidth="1"/>
    <col min="64" max="64" width="15" bestFit="1" customWidth="1"/>
    <col min="65" max="65" width="15.7109375" bestFit="1" customWidth="1"/>
    <col min="66" max="66" width="6.7109375" bestFit="1" customWidth="1"/>
  </cols>
  <sheetData>
    <row r="1" spans="1:65" x14ac:dyDescent="0.25">
      <c r="A1" s="8"/>
      <c r="B1" s="8"/>
      <c r="C1" s="2"/>
      <c r="D1" s="2"/>
      <c r="E1" s="2"/>
      <c r="F1" s="2"/>
      <c r="G1" s="12"/>
      <c r="H1" s="12"/>
      <c r="I1" s="12"/>
      <c r="J1" s="12"/>
      <c r="K1" s="12"/>
      <c r="L1" s="12"/>
      <c r="M1" s="12"/>
      <c r="N1" s="15"/>
      <c r="O1" s="15"/>
      <c r="P1" s="15"/>
      <c r="Q1" s="15"/>
      <c r="R1" s="15"/>
      <c r="S1" s="15"/>
      <c r="T1" s="15"/>
      <c r="U1" s="12"/>
      <c r="V1" s="12"/>
      <c r="W1" s="23"/>
      <c r="X1" s="23"/>
      <c r="Y1" s="12"/>
      <c r="Z1" s="12"/>
      <c r="AA1" s="12"/>
      <c r="AB1" s="30"/>
      <c r="AC1" s="30"/>
      <c r="AD1" s="30"/>
      <c r="AE1" s="30"/>
      <c r="AF1" s="30"/>
      <c r="AG1" s="30"/>
      <c r="AH1" s="30"/>
      <c r="AI1" s="12"/>
      <c r="AJ1" s="23"/>
      <c r="AK1" s="12"/>
      <c r="AL1" s="23"/>
      <c r="AM1" s="12"/>
      <c r="AN1" s="12"/>
      <c r="AO1" s="12"/>
      <c r="AP1" s="12"/>
      <c r="AQ1" s="12"/>
      <c r="AR1" s="12"/>
      <c r="AS1" s="12"/>
      <c r="AT1" s="12"/>
      <c r="AU1" s="385"/>
      <c r="AV1" s="38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I1" s="8"/>
      <c r="BJ1" s="8"/>
      <c r="BK1" s="8"/>
      <c r="BL1" s="8"/>
      <c r="BM1" s="8"/>
    </row>
    <row r="2" spans="1:65" x14ac:dyDescent="0.25">
      <c r="A2" s="8"/>
      <c r="B2" s="8"/>
      <c r="C2" s="2"/>
      <c r="D2" s="2"/>
      <c r="E2" s="2"/>
      <c r="F2" s="2"/>
      <c r="G2" s="20"/>
      <c r="H2" s="20"/>
      <c r="I2" s="20"/>
      <c r="J2" s="20"/>
      <c r="K2" s="20"/>
      <c r="L2" s="12"/>
      <c r="M2" s="12"/>
      <c r="N2" s="15"/>
      <c r="O2" s="15"/>
      <c r="P2" s="15"/>
      <c r="Q2" s="15"/>
      <c r="R2" s="15"/>
      <c r="S2" s="15"/>
      <c r="T2" s="15"/>
      <c r="U2" s="12"/>
      <c r="V2" s="12"/>
      <c r="W2" s="12"/>
      <c r="X2" s="12"/>
      <c r="Y2" s="12"/>
      <c r="Z2" s="12"/>
      <c r="AA2" s="12"/>
      <c r="AB2" s="30"/>
      <c r="AC2" s="30"/>
      <c r="AD2" s="30"/>
      <c r="AE2" s="30"/>
      <c r="AF2" s="30"/>
      <c r="AG2" s="30"/>
      <c r="AH2" s="30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385"/>
      <c r="AV2" s="38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I2" s="8"/>
      <c r="BJ2" s="8"/>
      <c r="BL2" s="8"/>
      <c r="BM2" s="8"/>
    </row>
    <row r="3" spans="1:65" x14ac:dyDescent="0.25">
      <c r="A3" s="8"/>
      <c r="B3" s="8"/>
      <c r="C3" s="2">
        <v>1</v>
      </c>
      <c r="D3" s="2">
        <f>1+C3</f>
        <v>2</v>
      </c>
      <c r="E3" s="2">
        <f>1+D3</f>
        <v>3</v>
      </c>
      <c r="F3" s="2">
        <f>1+E3</f>
        <v>4</v>
      </c>
      <c r="G3" s="40">
        <f t="shared" ref="G3:AR3" si="0">+F3+1</f>
        <v>5</v>
      </c>
      <c r="H3" s="40">
        <f>G3+1</f>
        <v>6</v>
      </c>
      <c r="I3" s="40">
        <f t="shared" si="0"/>
        <v>7</v>
      </c>
      <c r="J3" s="40">
        <f t="shared" si="0"/>
        <v>8</v>
      </c>
      <c r="K3" s="40">
        <f>J3+1</f>
        <v>9</v>
      </c>
      <c r="L3" s="40">
        <f>K3+1</f>
        <v>10</v>
      </c>
      <c r="M3" s="40">
        <f>L3+1</f>
        <v>11</v>
      </c>
      <c r="N3" s="222">
        <f>+M3+1</f>
        <v>12</v>
      </c>
      <c r="O3" s="222">
        <f t="shared" si="0"/>
        <v>13</v>
      </c>
      <c r="P3" s="222">
        <f t="shared" si="0"/>
        <v>14</v>
      </c>
      <c r="Q3" s="222">
        <f t="shared" si="0"/>
        <v>15</v>
      </c>
      <c r="R3" s="222">
        <f t="shared" si="0"/>
        <v>16</v>
      </c>
      <c r="S3" s="222">
        <f>+T3+1</f>
        <v>18</v>
      </c>
      <c r="T3" s="222">
        <f>+R3+1</f>
        <v>17</v>
      </c>
      <c r="U3" s="40">
        <f>T3+1</f>
        <v>18</v>
      </c>
      <c r="V3" s="40">
        <f t="shared" si="0"/>
        <v>19</v>
      </c>
      <c r="W3" s="40">
        <f t="shared" si="0"/>
        <v>20</v>
      </c>
      <c r="X3" s="40">
        <f t="shared" si="0"/>
        <v>21</v>
      </c>
      <c r="Y3" s="40">
        <f t="shared" si="0"/>
        <v>22</v>
      </c>
      <c r="Z3" s="40">
        <f>Y3+1</f>
        <v>23</v>
      </c>
      <c r="AA3" s="40">
        <f>Z3+1</f>
        <v>24</v>
      </c>
      <c r="AB3" s="39">
        <f>AA3+1</f>
        <v>25</v>
      </c>
      <c r="AC3" s="39">
        <f t="shared" si="0"/>
        <v>26</v>
      </c>
      <c r="AD3" s="39">
        <f t="shared" si="0"/>
        <v>27</v>
      </c>
      <c r="AE3" s="39">
        <f t="shared" si="0"/>
        <v>28</v>
      </c>
      <c r="AF3" s="39">
        <f t="shared" si="0"/>
        <v>29</v>
      </c>
      <c r="AG3" s="39">
        <f t="shared" si="0"/>
        <v>30</v>
      </c>
      <c r="AH3" s="39">
        <f>AG3+1</f>
        <v>31</v>
      </c>
      <c r="AI3" s="40">
        <f t="shared" si="0"/>
        <v>32</v>
      </c>
      <c r="AJ3" s="40">
        <f t="shared" si="0"/>
        <v>33</v>
      </c>
      <c r="AK3" s="40">
        <f>AJ3+1</f>
        <v>34</v>
      </c>
      <c r="AL3" s="40">
        <f>AK3+1</f>
        <v>35</v>
      </c>
      <c r="AM3" s="40">
        <f t="shared" si="0"/>
        <v>36</v>
      </c>
      <c r="AN3" s="40">
        <f>AM3+1</f>
        <v>37</v>
      </c>
      <c r="AO3" s="40">
        <f>AN3+1</f>
        <v>38</v>
      </c>
      <c r="AP3" s="40"/>
      <c r="AQ3" s="40">
        <f>AO3+1</f>
        <v>39</v>
      </c>
      <c r="AR3" s="40">
        <f t="shared" si="0"/>
        <v>40</v>
      </c>
      <c r="AS3" s="40">
        <f t="shared" ref="AS3:BF3" si="1">+AR3+1</f>
        <v>41</v>
      </c>
      <c r="AT3" s="40">
        <f t="shared" si="1"/>
        <v>42</v>
      </c>
      <c r="AU3" s="386">
        <f t="shared" si="1"/>
        <v>43</v>
      </c>
      <c r="AV3" s="386">
        <f t="shared" si="1"/>
        <v>44</v>
      </c>
      <c r="AW3" s="17">
        <f t="shared" si="1"/>
        <v>45</v>
      </c>
      <c r="AX3" s="406">
        <f t="shared" si="1"/>
        <v>46</v>
      </c>
      <c r="AY3" s="406">
        <f t="shared" si="1"/>
        <v>47</v>
      </c>
      <c r="AZ3" s="406">
        <f t="shared" si="1"/>
        <v>48</v>
      </c>
      <c r="BA3" s="406">
        <f t="shared" si="1"/>
        <v>49</v>
      </c>
      <c r="BB3" s="406">
        <f t="shared" si="1"/>
        <v>50</v>
      </c>
      <c r="BC3" s="406">
        <f t="shared" si="1"/>
        <v>51</v>
      </c>
      <c r="BD3" s="406">
        <f t="shared" si="1"/>
        <v>52</v>
      </c>
      <c r="BE3" s="406">
        <f t="shared" si="1"/>
        <v>53</v>
      </c>
      <c r="BF3" s="407">
        <f t="shared" si="1"/>
        <v>54</v>
      </c>
      <c r="BG3" s="407"/>
      <c r="BI3" s="8"/>
      <c r="BJ3" s="8"/>
      <c r="BL3" s="8"/>
      <c r="BM3" s="8"/>
    </row>
    <row r="4" spans="1:65" x14ac:dyDescent="0.25">
      <c r="A4" s="8"/>
      <c r="B4" s="8"/>
      <c r="C4" s="4"/>
      <c r="D4" s="4"/>
      <c r="E4" s="4"/>
      <c r="F4" s="4"/>
      <c r="G4" s="932" t="s">
        <v>522</v>
      </c>
      <c r="H4" s="932"/>
      <c r="I4" s="932"/>
      <c r="J4" s="932"/>
      <c r="K4" s="932"/>
      <c r="L4" s="932"/>
      <c r="M4" s="857"/>
      <c r="N4" s="384" t="s">
        <v>523</v>
      </c>
      <c r="O4" s="384"/>
      <c r="P4" s="384"/>
      <c r="Q4" s="384"/>
      <c r="R4" s="384"/>
      <c r="S4" s="384"/>
      <c r="T4" s="384"/>
      <c r="U4" s="13" t="s">
        <v>524</v>
      </c>
      <c r="V4" s="13"/>
      <c r="W4" s="14"/>
      <c r="X4" s="14"/>
      <c r="Y4" s="14"/>
      <c r="Z4" s="14"/>
      <c r="AA4" s="14"/>
      <c r="AB4" s="34" t="s">
        <v>104</v>
      </c>
      <c r="AC4" s="34"/>
      <c r="AD4" s="34"/>
      <c r="AE4" s="31"/>
      <c r="AF4" s="31"/>
      <c r="AG4" s="31"/>
      <c r="AH4" s="31"/>
      <c r="AI4" s="13" t="s">
        <v>524</v>
      </c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387" t="s">
        <v>94</v>
      </c>
      <c r="AV4" s="388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I4" s="24"/>
      <c r="BJ4" s="8"/>
      <c r="BK4" s="8"/>
      <c r="BL4" s="8"/>
      <c r="BM4" s="8"/>
    </row>
    <row r="5" spans="1:65" ht="52.5" thickBot="1" x14ac:dyDescent="0.3">
      <c r="A5" s="391"/>
      <c r="B5" s="391"/>
      <c r="C5" s="393" t="s">
        <v>84</v>
      </c>
      <c r="D5" s="393" t="s">
        <v>8</v>
      </c>
      <c r="E5" s="394" t="s">
        <v>87</v>
      </c>
      <c r="F5" s="394" t="s">
        <v>88</v>
      </c>
      <c r="G5" s="395" t="s">
        <v>122</v>
      </c>
      <c r="H5" s="395" t="s">
        <v>123</v>
      </c>
      <c r="I5" s="396" t="s">
        <v>1076</v>
      </c>
      <c r="J5" s="396" t="s">
        <v>1077</v>
      </c>
      <c r="K5" s="396" t="s">
        <v>525</v>
      </c>
      <c r="L5" s="396" t="s">
        <v>154</v>
      </c>
      <c r="M5" s="396" t="s">
        <v>966</v>
      </c>
      <c r="N5" s="397" t="s">
        <v>556</v>
      </c>
      <c r="O5" s="397" t="s">
        <v>97</v>
      </c>
      <c r="P5" s="397" t="s">
        <v>90</v>
      </c>
      <c r="Q5" s="397" t="s">
        <v>1080</v>
      </c>
      <c r="R5" s="397" t="s">
        <v>1081</v>
      </c>
      <c r="S5" s="397" t="s">
        <v>92</v>
      </c>
      <c r="T5" s="397" t="s">
        <v>526</v>
      </c>
      <c r="U5" s="396" t="s">
        <v>126</v>
      </c>
      <c r="V5" s="396" t="s">
        <v>100</v>
      </c>
      <c r="W5" s="396" t="s">
        <v>527</v>
      </c>
      <c r="X5" s="396" t="s">
        <v>98</v>
      </c>
      <c r="Y5" s="396" t="s">
        <v>99</v>
      </c>
      <c r="Z5" s="396" t="s">
        <v>92</v>
      </c>
      <c r="AA5" s="396" t="s">
        <v>528</v>
      </c>
      <c r="AB5" s="398" t="s">
        <v>124</v>
      </c>
      <c r="AC5" s="398" t="s">
        <v>125</v>
      </c>
      <c r="AD5" s="399" t="s">
        <v>105</v>
      </c>
      <c r="AE5" s="399" t="s">
        <v>100</v>
      </c>
      <c r="AF5" s="399" t="s">
        <v>98</v>
      </c>
      <c r="AG5" s="398" t="s">
        <v>99</v>
      </c>
      <c r="AH5" s="399" t="s">
        <v>92</v>
      </c>
      <c r="AI5" s="396" t="s">
        <v>126</v>
      </c>
      <c r="AJ5" s="396" t="s">
        <v>100</v>
      </c>
      <c r="AK5" s="396" t="s">
        <v>527</v>
      </c>
      <c r="AL5" s="396" t="s">
        <v>98</v>
      </c>
      <c r="AM5" s="396" t="s">
        <v>99</v>
      </c>
      <c r="AN5" s="396" t="s">
        <v>92</v>
      </c>
      <c r="AO5" s="396" t="s">
        <v>528</v>
      </c>
      <c r="AP5" s="396" t="s">
        <v>729</v>
      </c>
      <c r="AQ5" s="396" t="s">
        <v>107</v>
      </c>
      <c r="AR5" s="396" t="s">
        <v>109</v>
      </c>
      <c r="AS5" s="396" t="s">
        <v>324</v>
      </c>
      <c r="AT5" s="396" t="s">
        <v>171</v>
      </c>
      <c r="AU5" s="400" t="s">
        <v>101</v>
      </c>
      <c r="AV5" s="400" t="s">
        <v>529</v>
      </c>
      <c r="AW5" s="397" t="s">
        <v>103</v>
      </c>
      <c r="AX5" s="401" t="s">
        <v>89</v>
      </c>
      <c r="AY5" s="402" t="s">
        <v>520</v>
      </c>
      <c r="AZ5" s="403" t="s">
        <v>374</v>
      </c>
      <c r="BA5" s="403" t="s">
        <v>154</v>
      </c>
      <c r="BB5" s="404" t="s">
        <v>521</v>
      </c>
      <c r="BC5" s="404" t="s">
        <v>107</v>
      </c>
      <c r="BD5" s="404" t="s">
        <v>109</v>
      </c>
      <c r="BE5" s="403" t="s">
        <v>1064</v>
      </c>
      <c r="BF5" s="404" t="s">
        <v>171</v>
      </c>
      <c r="BG5" s="404" t="s">
        <v>652</v>
      </c>
      <c r="BI5" s="390" t="s">
        <v>557</v>
      </c>
      <c r="BJ5" s="390" t="s">
        <v>558</v>
      </c>
      <c r="BK5" s="390" t="s">
        <v>559</v>
      </c>
      <c r="BL5" s="391" t="s">
        <v>560</v>
      </c>
      <c r="BM5" s="391" t="s">
        <v>561</v>
      </c>
    </row>
    <row r="6" spans="1:65" x14ac:dyDescent="0.25">
      <c r="A6" s="8"/>
      <c r="B6" s="8"/>
      <c r="C6" s="307">
        <v>44075</v>
      </c>
      <c r="D6" s="307" t="s">
        <v>34</v>
      </c>
      <c r="E6" s="2" t="str">
        <f t="shared" ref="E6:E11" si="2">MID(D6,6,3)</f>
        <v>895</v>
      </c>
      <c r="F6" s="2" t="s">
        <v>610</v>
      </c>
      <c r="G6" s="20">
        <v>0</v>
      </c>
      <c r="H6" s="20">
        <f>SUMIF('Forecasted Customer Cts'!$D$5:$D$28,'Sep20-Feb21 Transport Forecast'!$F6,'Forecasted Customer Cts'!$N$5:$N$28)</f>
        <v>84</v>
      </c>
      <c r="I6" s="20">
        <f>SUMIF('Forecasted Calendar Month Usage'!$D$5:$D$32,'Sep20-Feb21 Transport Forecast'!$F6,'Forecasted Calendar Month Usage'!$N$5:$N$32)</f>
        <v>662070.15272314614</v>
      </c>
      <c r="J6" s="20">
        <v>0</v>
      </c>
      <c r="K6" s="20">
        <v>71</v>
      </c>
      <c r="L6" s="20">
        <f>SUMIFS('Fin Forecast'!$F$4:$F$520,'Fin Forecast'!$A$4:$A$520,'Sep20-Feb21 Transport Forecast'!$F6,'Fin Forecast'!$B$4:$B$520,'Sep20-Feb21 Transport Forecast'!L$5)/S6</f>
        <v>76484.799999999799</v>
      </c>
      <c r="M6" s="20">
        <v>0</v>
      </c>
      <c r="N6" s="21">
        <f>VLOOKUP($D6,'Retail Rates'!$B$7:$P$40,4,FALSE)</f>
        <v>0</v>
      </c>
      <c r="O6" s="21">
        <f>VLOOKUP($D6,'Retail Rates'!$B$7:$P$40,5,FALSE)</f>
        <v>750</v>
      </c>
      <c r="P6" s="21">
        <f>VLOOKUP($D6,'Retail Rates'!$B$7:$P$40,6,FALSE)</f>
        <v>550</v>
      </c>
      <c r="Q6" s="22">
        <f>VLOOKUP($D6,'Retail Rates'!$B$7:$P$40,10,FALSE)</f>
        <v>3.7999999999999999E-2</v>
      </c>
      <c r="R6" s="22">
        <f>VLOOKUP($D6,'Retail Rates'!$B$7:$P$40,11,FALSE)</f>
        <v>0</v>
      </c>
      <c r="S6" s="22">
        <f>VLOOKUP($D6,'Retail Rates'!$B$7:$P$40,15,FALSE)</f>
        <v>4.8899999999999997</v>
      </c>
      <c r="T6" s="21">
        <v>75</v>
      </c>
      <c r="U6" s="23">
        <f>(+G6*N6)</f>
        <v>0</v>
      </c>
      <c r="V6" s="23">
        <f>H6*O6</f>
        <v>63000</v>
      </c>
      <c r="W6" s="23">
        <f>H6*P6</f>
        <v>46200</v>
      </c>
      <c r="X6" s="23">
        <f t="shared" ref="X6:Y11" si="3">+I6*Q6</f>
        <v>25158.665803479551</v>
      </c>
      <c r="Y6" s="23">
        <f t="shared" si="3"/>
        <v>0</v>
      </c>
      <c r="Z6" s="23">
        <f t="shared" ref="Z6:Z11" si="4">L6*S6</f>
        <v>374010.67199999897</v>
      </c>
      <c r="AA6" s="23">
        <f t="shared" ref="AA6:AA11" si="5">K6*T6</f>
        <v>5325</v>
      </c>
      <c r="AB6" s="41"/>
      <c r="AC6" s="41"/>
      <c r="AD6" s="33"/>
      <c r="AE6" s="33"/>
      <c r="AF6" s="33"/>
      <c r="AG6" s="33"/>
      <c r="AH6" s="33"/>
      <c r="AI6" s="23">
        <f t="shared" ref="AI6:AJ11" si="6">U6+AD6</f>
        <v>0</v>
      </c>
      <c r="AJ6" s="23">
        <f t="shared" si="6"/>
        <v>63000</v>
      </c>
      <c r="AK6" s="23">
        <f t="shared" ref="AK6:AK11" si="7">W6</f>
        <v>46200</v>
      </c>
      <c r="AL6" s="23">
        <f t="shared" ref="AL6:AN11" si="8">+X6+AF6</f>
        <v>25158.665803479551</v>
      </c>
      <c r="AM6" s="23">
        <f t="shared" si="8"/>
        <v>0</v>
      </c>
      <c r="AN6" s="23">
        <f t="shared" si="8"/>
        <v>374010.67199999897</v>
      </c>
      <c r="AO6" s="23">
        <f t="shared" ref="AO6:AO11" si="9">AA6</f>
        <v>5325</v>
      </c>
      <c r="AP6" s="23">
        <f>BG6</f>
        <v>0</v>
      </c>
      <c r="AQ6" s="28">
        <f t="shared" ref="AQ6:AQ46" si="10">BC6</f>
        <v>0</v>
      </c>
      <c r="AR6" s="28">
        <f t="shared" ref="AR6:AR46" si="11">BD6</f>
        <v>0</v>
      </c>
      <c r="AS6" s="28">
        <f t="shared" ref="AS6:AS46" si="12">BE6</f>
        <v>10055.4736777824</v>
      </c>
      <c r="AT6" s="28">
        <f t="shared" ref="AT6:AT46" si="13">BF6</f>
        <v>0</v>
      </c>
      <c r="AU6" s="389">
        <f t="shared" ref="AU6:AU11" si="14">ROUND(SUM(AI6:AT6),2)</f>
        <v>523749.81</v>
      </c>
      <c r="AV6" s="389">
        <f t="shared" ref="AV6:AV11" si="15">SUM(AX6:BG6)</f>
        <v>523749.81148126087</v>
      </c>
      <c r="AW6" s="29">
        <f t="shared" ref="AW6:AW11" si="16">IF(AV6=0,0,ROUND(AV6/AU6,6))</f>
        <v>1</v>
      </c>
      <c r="AX6" s="28">
        <f>SUMIFS('Fin Forecast'!$F$4:$F$520,'Fin Forecast'!$A$4:$A$520,'Sep20-Feb21 Transport Forecast'!$F6,'Fin Forecast'!$B$4:$B$520,'Sep20-Feb21 Transport Forecast'!AX$5)</f>
        <v>63000</v>
      </c>
      <c r="AY6" s="28">
        <f>SUMIFS('Fin Forecast'!$F$4:$F$520,'Fin Forecast'!$A$4:$A$520,'Sep20-Feb21 Transport Forecast'!$F6,'Fin Forecast'!$B$4:$B$520,'Sep20-Feb21 Transport Forecast'!AY$5)</f>
        <v>46200</v>
      </c>
      <c r="AZ6" s="28">
        <f>SUMIFS('Fin Forecast'!$F$4:$F$520,'Fin Forecast'!$A$4:$A$520,'Sep20-Feb21 Transport Forecast'!$F6,'Fin Forecast'!$B$4:$B$520,'Sep20-Feb21 Transport Forecast'!AZ$5)</f>
        <v>25158.6658034795</v>
      </c>
      <c r="BA6" s="28">
        <f>SUMIFS('Fin Forecast'!$F$4:$F$520,'Fin Forecast'!$A$4:$A$520,'Sep20-Feb21 Transport Forecast'!$F6,'Fin Forecast'!$B$4:$B$520,'Sep20-Feb21 Transport Forecast'!BA$5)</f>
        <v>374010.67199999897</v>
      </c>
      <c r="BB6" s="28">
        <f>SUMIFS('Fin Forecast'!$F$4:$F$520,'Fin Forecast'!$A$4:$A$520,'Sep20-Feb21 Transport Forecast'!$F6,'Fin Forecast'!$B$4:$B$520,'Sep20-Feb21 Transport Forecast'!BB$5)</f>
        <v>5325</v>
      </c>
      <c r="BC6" s="28">
        <f>SUMIFS('Fin Forecast'!$F$4:$F$520,'Fin Forecast'!$A$4:$A$520,'Sep20-Feb21 Transport Forecast'!$F6,'Fin Forecast'!$B$4:$B$520,'Sep20-Feb21 Transport Forecast'!BC$5)</f>
        <v>0</v>
      </c>
      <c r="BD6" s="28">
        <f>SUMIFS('Fin Forecast'!$F$4:$F$520,'Fin Forecast'!$A$4:$A$520,'Sep20-Feb21 Transport Forecast'!$F6,'Fin Forecast'!$B$4:$B$520,'Sep20-Feb21 Transport Forecast'!BD$5)</f>
        <v>0</v>
      </c>
      <c r="BE6" s="28">
        <f>SUMIFS('Fin Forecast'!$F$4:$F$520,'Fin Forecast'!$A$4:$A$520,'Sep20-Feb21 Transport Forecast'!$F6,'Fin Forecast'!$B$4:$B$520,'Sep20-Feb21 Transport Forecast'!BE$5)</f>
        <v>10055.4736777824</v>
      </c>
      <c r="BF6" s="28">
        <f>SUMIFS('Fin Forecast'!$D$4:$D$520,'Fin Forecast'!$A$4:$A$520,'Sep20-Feb21 Transport Forecast'!$F6,'Fin Forecast'!$B$4:$B$520,'Sep20-Feb21 Transport Forecast'!BF$5)</f>
        <v>0</v>
      </c>
      <c r="BG6" s="28">
        <f>SUMIFS('Fin Forecast'!$D$4:$D$520,'Fin Forecast'!$A$4:$A$520,'Sep20-Feb21 Transport Forecast'!$F6,'Fin Forecast'!$B$4:$B$520,'Sep20-Feb21 Transport Forecast'!BG$5)</f>
        <v>0</v>
      </c>
      <c r="BI6" s="37">
        <f>+AU6-AV6</f>
        <v>-1.481260871514678E-3</v>
      </c>
      <c r="BJ6" s="42">
        <f>+AI6+AJ6-AX6</f>
        <v>0</v>
      </c>
      <c r="BK6" s="42">
        <f>+AL6+AM6-AZ6</f>
        <v>5.0931703299283981E-11</v>
      </c>
      <c r="BL6" s="392">
        <f>AN6-BA6</f>
        <v>0</v>
      </c>
      <c r="BM6" s="42">
        <f>AO6-BB6</f>
        <v>0</v>
      </c>
    </row>
    <row r="7" spans="1:65" x14ac:dyDescent="0.25">
      <c r="A7" s="8"/>
      <c r="B7" s="8"/>
      <c r="C7" s="307">
        <f>$C$6</f>
        <v>44075</v>
      </c>
      <c r="D7" s="307" t="s">
        <v>30</v>
      </c>
      <c r="E7" s="2" t="str">
        <f t="shared" si="2"/>
        <v>881</v>
      </c>
      <c r="F7" s="2" t="s">
        <v>546</v>
      </c>
      <c r="G7" s="20">
        <f>SUMIFS('Forecasted Customer Cts'!$N$5:$N$28,'Forecasted Customer Cts'!$D$5:$D$28,$F7,'Forecasted Customer Cts'!$C$5:$C$28,$A$8)</f>
        <v>0</v>
      </c>
      <c r="H7" s="20">
        <f>SUMIFS('Forecasted Customer Cts'!$L$5:$L$28,'Forecasted Customer Cts'!$D$5:$D$28,$F7,'Forecasted Customer Cts'!$C$5:$C$28,$B$8)</f>
        <v>0</v>
      </c>
      <c r="I7" s="20">
        <f>(G7+H7)*100</f>
        <v>0</v>
      </c>
      <c r="J7" s="20">
        <f>SUMIF('Forecasted Calendar Month Usage'!$D$5:$D$32,'Sep20-Feb21 Transport Forecast'!$F7,'Forecasted Calendar Month Usage'!$L$5:$L$32)</f>
        <v>0</v>
      </c>
      <c r="K7" s="20">
        <v>0</v>
      </c>
      <c r="L7" s="20">
        <v>0</v>
      </c>
      <c r="M7" s="20">
        <v>0</v>
      </c>
      <c r="N7" s="21">
        <f>VLOOKUP($D7,'Retail Rates'!$B$7:$P$40,4,FALSE)</f>
        <v>1.97</v>
      </c>
      <c r="O7" s="21">
        <f>VLOOKUP($D7,'Retail Rates'!$B$7:$P$40,5,FALSE)</f>
        <v>9.3699999999999992</v>
      </c>
      <c r="P7" s="21">
        <f>VLOOKUP($D7,'Retail Rates'!$B$7:$P$40,6,FALSE)</f>
        <v>550</v>
      </c>
      <c r="Q7" s="22">
        <f>VLOOKUP($D7,'Retail Rates'!$B$7:$P$40,10,FALSE)</f>
        <v>3.0669999999999997</v>
      </c>
      <c r="R7" s="22">
        <f>VLOOKUP($D7,'Retail Rates'!$B$7:$P$40,11,FALSE)</f>
        <v>2.5669999999999997</v>
      </c>
      <c r="S7" s="22">
        <f>VLOOKUP($D7,'Retail Rates'!$B$7:$P$40,15,FALSE)</f>
        <v>0</v>
      </c>
      <c r="T7" s="21">
        <v>75</v>
      </c>
      <c r="U7" s="23">
        <f t="shared" ref="U7:U11" si="17">(+G7*N7)</f>
        <v>0</v>
      </c>
      <c r="V7" s="23">
        <f t="shared" ref="V7:V11" si="18">H7*O7</f>
        <v>0</v>
      </c>
      <c r="W7" s="23">
        <f>(G7*P7)+(H7*P7)</f>
        <v>0</v>
      </c>
      <c r="X7" s="23">
        <f t="shared" si="3"/>
        <v>0</v>
      </c>
      <c r="Y7" s="23">
        <f t="shared" si="3"/>
        <v>0</v>
      </c>
      <c r="Z7" s="23">
        <f t="shared" si="4"/>
        <v>0</v>
      </c>
      <c r="AA7" s="23">
        <f t="shared" si="5"/>
        <v>0</v>
      </c>
      <c r="AB7" s="41"/>
      <c r="AC7" s="41"/>
      <c r="AD7" s="33"/>
      <c r="AE7" s="33"/>
      <c r="AF7" s="33"/>
      <c r="AG7" s="33"/>
      <c r="AH7" s="33"/>
      <c r="AI7" s="23">
        <f t="shared" si="6"/>
        <v>0</v>
      </c>
      <c r="AJ7" s="23">
        <f t="shared" si="6"/>
        <v>0</v>
      </c>
      <c r="AK7" s="23">
        <f t="shared" si="7"/>
        <v>0</v>
      </c>
      <c r="AL7" s="23">
        <f t="shared" si="8"/>
        <v>0</v>
      </c>
      <c r="AM7" s="23">
        <f t="shared" si="8"/>
        <v>0</v>
      </c>
      <c r="AN7" s="23">
        <f t="shared" si="8"/>
        <v>0</v>
      </c>
      <c r="AO7" s="23">
        <f t="shared" si="9"/>
        <v>0</v>
      </c>
      <c r="AP7" s="23">
        <f t="shared" ref="AP7:AP11" si="19">BG7</f>
        <v>0</v>
      </c>
      <c r="AQ7" s="28">
        <f t="shared" si="10"/>
        <v>0</v>
      </c>
      <c r="AR7" s="28">
        <f t="shared" si="11"/>
        <v>0</v>
      </c>
      <c r="AS7" s="28">
        <f t="shared" si="12"/>
        <v>0</v>
      </c>
      <c r="AT7" s="28">
        <f t="shared" si="13"/>
        <v>0</v>
      </c>
      <c r="AU7" s="389">
        <f t="shared" si="14"/>
        <v>0</v>
      </c>
      <c r="AV7" s="389">
        <f t="shared" si="15"/>
        <v>0</v>
      </c>
      <c r="AW7" s="29">
        <f t="shared" si="16"/>
        <v>0</v>
      </c>
      <c r="AX7" s="28">
        <f>SUMIFS('Fin Forecast'!$F$4:$F$520,'Fin Forecast'!$A$4:$A$520,'Sep20-Feb21 Transport Forecast'!$F7,'Fin Forecast'!$B$4:$B$520,'Sep20-Feb21 Transport Forecast'!AX$5)</f>
        <v>0</v>
      </c>
      <c r="AY7" s="28">
        <f>SUMIFS('Fin Forecast'!$F$4:$F$520,'Fin Forecast'!$A$4:$A$520,'Sep20-Feb21 Transport Forecast'!$F7,'Fin Forecast'!$B$4:$B$520,'Sep20-Feb21 Transport Forecast'!AY$5)</f>
        <v>0</v>
      </c>
      <c r="AZ7" s="28">
        <f>SUMIFS('Fin Forecast'!$F$4:$F$520,'Fin Forecast'!$A$4:$A$520,'Sep20-Feb21 Transport Forecast'!$F7,'Fin Forecast'!$B$4:$B$520,'Sep20-Feb21 Transport Forecast'!AZ$5)</f>
        <v>0</v>
      </c>
      <c r="BA7" s="28">
        <f>SUMIFS('Fin Forecast'!$F$4:$F$520,'Fin Forecast'!$A$4:$A$520,'Sep20-Feb21 Transport Forecast'!$F7,'Fin Forecast'!$B$4:$B$520,'Sep20-Feb21 Transport Forecast'!BA$5)</f>
        <v>0</v>
      </c>
      <c r="BB7" s="28">
        <f>SUMIFS('Fin Forecast'!$F$4:$F$520,'Fin Forecast'!$A$4:$A$520,'Sep20-Feb21 Transport Forecast'!$F7,'Fin Forecast'!$B$4:$B$520,'Sep20-Feb21 Transport Forecast'!BB$5)</f>
        <v>0</v>
      </c>
      <c r="BC7" s="28">
        <f>SUMIFS('Fin Forecast'!$F$4:$F$520,'Fin Forecast'!$A$4:$A$520,'Sep20-Feb21 Transport Forecast'!$F7,'Fin Forecast'!$B$4:$B$520,'Sep20-Feb21 Transport Forecast'!BC$5)</f>
        <v>0</v>
      </c>
      <c r="BD7" s="28">
        <f>SUMIFS('Fin Forecast'!$F$4:$F$520,'Fin Forecast'!$A$4:$A$520,'Sep20-Feb21 Transport Forecast'!$F7,'Fin Forecast'!$B$4:$B$520,'Sep20-Feb21 Transport Forecast'!BD$5)</f>
        <v>0</v>
      </c>
      <c r="BE7" s="28">
        <f>SUMIFS('Fin Forecast'!$F$4:$F$520,'Fin Forecast'!$A$4:$A$520,'Sep20-Feb21 Transport Forecast'!$F7,'Fin Forecast'!$B$4:$B$520,'Sep20-Feb21 Transport Forecast'!BE$5)</f>
        <v>0</v>
      </c>
      <c r="BF7" s="28">
        <f>SUMIFS('Fin Forecast'!$D$4:$D$520,'Fin Forecast'!$A$4:$A$520,'Sep20-Feb21 Transport Forecast'!$F7,'Fin Forecast'!$B$4:$B$520,'Sep20-Feb21 Transport Forecast'!BF$5)</f>
        <v>0</v>
      </c>
      <c r="BG7" s="28">
        <f>SUMIFS('Fin Forecast'!$D$4:$D$520,'Fin Forecast'!$A$4:$A$520,'Sep20-Feb21 Transport Forecast'!$F7,'Fin Forecast'!$B$4:$B$520,'Sep20-Feb21 Transport Forecast'!BG$5)</f>
        <v>0</v>
      </c>
      <c r="BI7" s="37">
        <f t="shared" ref="BI7:BI46" si="20">+AU7-AV7</f>
        <v>0</v>
      </c>
      <c r="BJ7" s="42">
        <f t="shared" ref="BJ7:BJ46" si="21">+AI7+AJ7-AX7</f>
        <v>0</v>
      </c>
      <c r="BK7" s="42">
        <f t="shared" ref="BK7:BK46" si="22">+AL7+AM7-AZ7</f>
        <v>0</v>
      </c>
      <c r="BL7" s="392">
        <f t="shared" ref="BL7:BL46" si="23">AN7-BA7</f>
        <v>0</v>
      </c>
      <c r="BM7" s="42">
        <f t="shared" ref="BM7:BM46" si="24">AO7-BB7</f>
        <v>0</v>
      </c>
    </row>
    <row r="8" spans="1:65" x14ac:dyDescent="0.25">
      <c r="A8" s="8" t="s">
        <v>380</v>
      </c>
      <c r="B8" s="8" t="s">
        <v>381</v>
      </c>
      <c r="C8" s="307">
        <f>$C$6</f>
        <v>44075</v>
      </c>
      <c r="D8" s="307" t="s">
        <v>31</v>
      </c>
      <c r="E8" s="2" t="str">
        <f t="shared" si="2"/>
        <v>882</v>
      </c>
      <c r="F8" s="2" t="s">
        <v>549</v>
      </c>
      <c r="G8" s="20">
        <f>SUMIFS('Forecasted Customer Cts'!$N$5:$N$28,'Forecasted Customer Cts'!$D$5:$D$28,$F8,'Forecasted Customer Cts'!$C$5:$C$28,$A$8)</f>
        <v>0</v>
      </c>
      <c r="H8" s="20">
        <f>SUMIFS('Forecasted Customer Cts'!$L$5:$L$28,'Forecasted Customer Cts'!$D$5:$D$28,$F8,'Forecasted Customer Cts'!$C$5:$C$28,$B$8)</f>
        <v>8</v>
      </c>
      <c r="I8" s="20">
        <f>(G8+H8)*100</f>
        <v>800</v>
      </c>
      <c r="J8" s="20">
        <f>SUMIF('Forecasted Calendar Month Usage'!$D$5:$D$32,'Sep20-Feb21 Transport Forecast'!$F8,'Forecasted Calendar Month Usage'!$N$5:$N$32)-I8</f>
        <v>42379.483035504163</v>
      </c>
      <c r="K8" s="20">
        <v>9</v>
      </c>
      <c r="L8" s="20">
        <v>0</v>
      </c>
      <c r="M8" s="20">
        <f>SUMIFS('Fin Forecast'!$F$4:$F$520,'Fin Forecast'!$A$4:$A$520,'Sep20-Feb21 Transport Forecast'!$F8,'Fin Forecast'!$B$4:$B$520,'Sep20-Feb21 Transport Forecast'!AX$5)/O8</f>
        <v>240</v>
      </c>
      <c r="N8" s="21">
        <f>VLOOKUP($D8,'Retail Rates'!$B$7:$P$40,4,FALSE)</f>
        <v>5.42</v>
      </c>
      <c r="O8" s="21">
        <f>VLOOKUP($D8,'Retail Rates'!$B$7:$P$40,5,FALSE)</f>
        <v>24.64</v>
      </c>
      <c r="P8" s="21">
        <f>VLOOKUP($D8,'Retail Rates'!$B$7:$P$40,6,FALSE)</f>
        <v>550</v>
      </c>
      <c r="Q8" s="22">
        <f>VLOOKUP($D8,'Retail Rates'!$B$7:$P$40,10,FALSE)</f>
        <v>2.1929000000000003</v>
      </c>
      <c r="R8" s="22">
        <f>VLOOKUP($D8,'Retail Rates'!$B$7:$P$40,11,FALSE)</f>
        <v>1.6928999999999998</v>
      </c>
      <c r="S8" s="22">
        <f>VLOOKUP($D8,'Retail Rates'!$B$7:$P$40,15,FALSE)</f>
        <v>0</v>
      </c>
      <c r="T8" s="21">
        <v>75</v>
      </c>
      <c r="U8" s="23">
        <f t="shared" si="17"/>
        <v>0</v>
      </c>
      <c r="V8" s="23">
        <f>M8*O8</f>
        <v>5913.6</v>
      </c>
      <c r="W8" s="23">
        <f>(G8*P8)+(H8*P8)</f>
        <v>4400</v>
      </c>
      <c r="X8" s="23">
        <f t="shared" si="3"/>
        <v>1754.3200000000002</v>
      </c>
      <c r="Y8" s="23">
        <f t="shared" si="3"/>
        <v>71744.226830804997</v>
      </c>
      <c r="Z8" s="23">
        <f t="shared" si="4"/>
        <v>0</v>
      </c>
      <c r="AA8" s="23">
        <f t="shared" si="5"/>
        <v>675</v>
      </c>
      <c r="AB8" s="41"/>
      <c r="AC8" s="41"/>
      <c r="AD8" s="33"/>
      <c r="AE8" s="33"/>
      <c r="AF8" s="33"/>
      <c r="AG8" s="33"/>
      <c r="AH8" s="33"/>
      <c r="AI8" s="23">
        <f t="shared" si="6"/>
        <v>0</v>
      </c>
      <c r="AJ8" s="23">
        <f t="shared" si="6"/>
        <v>5913.6</v>
      </c>
      <c r="AK8" s="23">
        <f t="shared" si="7"/>
        <v>4400</v>
      </c>
      <c r="AL8" s="23">
        <f t="shared" si="8"/>
        <v>1754.3200000000002</v>
      </c>
      <c r="AM8" s="23">
        <f t="shared" si="8"/>
        <v>71744.226830804997</v>
      </c>
      <c r="AN8" s="23">
        <f t="shared" si="8"/>
        <v>0</v>
      </c>
      <c r="AO8" s="23">
        <f t="shared" si="9"/>
        <v>675</v>
      </c>
      <c r="AP8" s="23">
        <f t="shared" si="19"/>
        <v>0</v>
      </c>
      <c r="AQ8" s="28">
        <f t="shared" si="10"/>
        <v>0</v>
      </c>
      <c r="AR8" s="28">
        <f t="shared" si="11"/>
        <v>0</v>
      </c>
      <c r="AS8" s="28">
        <f t="shared" si="12"/>
        <v>10554.2039476545</v>
      </c>
      <c r="AT8" s="28">
        <f t="shared" si="13"/>
        <v>0</v>
      </c>
      <c r="AU8" s="389">
        <f t="shared" si="14"/>
        <v>95041.35</v>
      </c>
      <c r="AV8" s="389">
        <f t="shared" si="15"/>
        <v>95041.350778459513</v>
      </c>
      <c r="AW8" s="29">
        <f t="shared" si="16"/>
        <v>1</v>
      </c>
      <c r="AX8" s="28">
        <f>SUMIFS('Fin Forecast'!$F$4:$F$520,'Fin Forecast'!$A$4:$A$520,'Sep20-Feb21 Transport Forecast'!$F8,'Fin Forecast'!$B$4:$B$520,'Sep20-Feb21 Transport Forecast'!AX$5)</f>
        <v>5913.6</v>
      </c>
      <c r="AY8" s="28">
        <f>SUMIFS('Fin Forecast'!$F$4:$F$520,'Fin Forecast'!$A$4:$A$520,'Sep20-Feb21 Transport Forecast'!$F8,'Fin Forecast'!$B$4:$B$520,'Sep20-Feb21 Transport Forecast'!AY$5)</f>
        <v>4400</v>
      </c>
      <c r="AZ8" s="28">
        <f>SUMIFS('Fin Forecast'!$F$4:$F$520,'Fin Forecast'!$A$4:$A$520,'Sep20-Feb21 Transport Forecast'!$F8,'Fin Forecast'!$B$4:$B$520,'Sep20-Feb21 Transport Forecast'!AZ$5)</f>
        <v>73498.546830805004</v>
      </c>
      <c r="BA8" s="28">
        <f>SUMIFS('Fin Forecast'!$F$4:$F$520,'Fin Forecast'!$A$4:$A$520,'Sep20-Feb21 Transport Forecast'!$F8,'Fin Forecast'!$B$4:$B$520,'Sep20-Feb21 Transport Forecast'!BA$5)</f>
        <v>0</v>
      </c>
      <c r="BB8" s="28">
        <f>SUMIFS('Fin Forecast'!$F$4:$F$520,'Fin Forecast'!$A$4:$A$520,'Sep20-Feb21 Transport Forecast'!$F8,'Fin Forecast'!$B$4:$B$520,'Sep20-Feb21 Transport Forecast'!BB$5)</f>
        <v>675</v>
      </c>
      <c r="BC8" s="28">
        <f>SUMIFS('Fin Forecast'!$F$4:$F$520,'Fin Forecast'!$A$4:$A$520,'Sep20-Feb21 Transport Forecast'!$F8,'Fin Forecast'!$B$4:$B$520,'Sep20-Feb21 Transport Forecast'!BC$5)</f>
        <v>0</v>
      </c>
      <c r="BD8" s="28">
        <f>SUMIFS('Fin Forecast'!$F$4:$F$520,'Fin Forecast'!$A$4:$A$520,'Sep20-Feb21 Transport Forecast'!$F8,'Fin Forecast'!$B$4:$B$520,'Sep20-Feb21 Transport Forecast'!BD$5)</f>
        <v>0</v>
      </c>
      <c r="BE8" s="28">
        <f>SUMIFS('Fin Forecast'!$F$4:$F$520,'Fin Forecast'!$A$4:$A$520,'Sep20-Feb21 Transport Forecast'!$F8,'Fin Forecast'!$B$4:$B$520,'Sep20-Feb21 Transport Forecast'!BE$5)</f>
        <v>10554.2039476545</v>
      </c>
      <c r="BF8" s="28">
        <f>SUMIFS('Fin Forecast'!$D$4:$D$520,'Fin Forecast'!$A$4:$A$520,'Sep20-Feb21 Transport Forecast'!$F8,'Fin Forecast'!$B$4:$B$520,'Sep20-Feb21 Transport Forecast'!BF$5)</f>
        <v>0</v>
      </c>
      <c r="BG8" s="28">
        <f>SUMIFS('Fin Forecast'!$D$4:$D$520,'Fin Forecast'!$A$4:$A$520,'Sep20-Feb21 Transport Forecast'!$F8,'Fin Forecast'!$B$4:$B$520,'Sep20-Feb21 Transport Forecast'!BG$5)</f>
        <v>0</v>
      </c>
      <c r="BI8" s="37">
        <f t="shared" si="20"/>
        <v>-7.784595072735101E-4</v>
      </c>
      <c r="BJ8" s="42">
        <f t="shared" si="21"/>
        <v>0</v>
      </c>
      <c r="BK8" s="42">
        <f t="shared" si="22"/>
        <v>0</v>
      </c>
      <c r="BL8" s="392">
        <f t="shared" si="23"/>
        <v>0</v>
      </c>
      <c r="BM8" s="42">
        <f t="shared" si="24"/>
        <v>0</v>
      </c>
    </row>
    <row r="9" spans="1:65" x14ac:dyDescent="0.25">
      <c r="A9" s="8" t="s">
        <v>382</v>
      </c>
      <c r="B9" s="8" t="s">
        <v>383</v>
      </c>
      <c r="C9" s="307">
        <f>$C$6</f>
        <v>44075</v>
      </c>
      <c r="D9" s="307" t="s">
        <v>53</v>
      </c>
      <c r="E9" s="2" t="str">
        <f t="shared" si="2"/>
        <v>892</v>
      </c>
      <c r="F9" s="2" t="s">
        <v>445</v>
      </c>
      <c r="G9" s="20">
        <f>SUMIF('Forecasted Customer Cts'!$D$5:$D$28,'Sep20-Feb21 Transport Forecast'!$F9,'Forecasted Customer Cts'!$N$5:$N$28)</f>
        <v>1</v>
      </c>
      <c r="H9" s="20">
        <v>0</v>
      </c>
      <c r="I9" s="20">
        <f>SUMIF('Forecasted Calendar Month Usage'!$D$5:$D$32,'Sep20-Feb21 Transport Forecast'!$F9,'Forecasted Calendar Month Usage'!$N$5:$N$32)</f>
        <v>12457.35</v>
      </c>
      <c r="J9" s="20">
        <v>0</v>
      </c>
      <c r="K9" s="20">
        <v>0</v>
      </c>
      <c r="L9" s="20">
        <v>0</v>
      </c>
      <c r="M9" s="20">
        <v>0</v>
      </c>
      <c r="N9" s="21">
        <f>VLOOKUP($D9,'Retail Rates'!$B$7:$P$40,4,FALSE)</f>
        <v>500</v>
      </c>
      <c r="O9" s="21">
        <f>VLOOKUP($D9,'Retail Rates'!$B$7:$P$40,5,FALSE)</f>
        <v>0</v>
      </c>
      <c r="P9" s="21">
        <f>VLOOKUP($D9,'Retail Rates'!$B$7:$P$40,6,FALSE)</f>
        <v>550</v>
      </c>
      <c r="Q9" s="22">
        <f>VLOOKUP($D9,'Retail Rates'!$B$7:$P$40,10,FALSE)</f>
        <v>1.0644</v>
      </c>
      <c r="R9" s="22">
        <f>VLOOKUP($D9,'Retail Rates'!$B$7:$P$40,11,FALSE)</f>
        <v>0</v>
      </c>
      <c r="S9" s="22">
        <f>VLOOKUP($D9,'Retail Rates'!$B$7:$P$40,15,FALSE)</f>
        <v>0</v>
      </c>
      <c r="T9" s="21">
        <v>75</v>
      </c>
      <c r="U9" s="23">
        <f t="shared" si="17"/>
        <v>500</v>
      </c>
      <c r="V9" s="23">
        <f t="shared" si="18"/>
        <v>0</v>
      </c>
      <c r="W9" s="23">
        <f>G9*P9</f>
        <v>550</v>
      </c>
      <c r="X9" s="23">
        <f t="shared" si="3"/>
        <v>13259.60334</v>
      </c>
      <c r="Y9" s="23">
        <f t="shared" si="3"/>
        <v>0</v>
      </c>
      <c r="Z9" s="23">
        <f t="shared" si="4"/>
        <v>0</v>
      </c>
      <c r="AA9" s="23">
        <f t="shared" si="5"/>
        <v>0</v>
      </c>
      <c r="AB9" s="41"/>
      <c r="AC9" s="41"/>
      <c r="AD9" s="33"/>
      <c r="AE9" s="33"/>
      <c r="AF9" s="33"/>
      <c r="AG9" s="33"/>
      <c r="AH9" s="33"/>
      <c r="AI9" s="23">
        <f t="shared" si="6"/>
        <v>500</v>
      </c>
      <c r="AJ9" s="23">
        <f t="shared" si="6"/>
        <v>0</v>
      </c>
      <c r="AK9" s="23">
        <f t="shared" si="7"/>
        <v>550</v>
      </c>
      <c r="AL9" s="23">
        <f t="shared" si="8"/>
        <v>13259.60334</v>
      </c>
      <c r="AM9" s="23">
        <f t="shared" si="8"/>
        <v>0</v>
      </c>
      <c r="AN9" s="23">
        <f t="shared" si="8"/>
        <v>0</v>
      </c>
      <c r="AO9" s="23">
        <f t="shared" si="9"/>
        <v>0</v>
      </c>
      <c r="AP9" s="23">
        <f t="shared" si="19"/>
        <v>0</v>
      </c>
      <c r="AQ9" s="28">
        <f t="shared" si="10"/>
        <v>0</v>
      </c>
      <c r="AR9" s="28">
        <f t="shared" si="11"/>
        <v>0</v>
      </c>
      <c r="AS9" s="28">
        <f t="shared" si="12"/>
        <v>1787.56743156265</v>
      </c>
      <c r="AT9" s="28">
        <f t="shared" si="13"/>
        <v>0</v>
      </c>
      <c r="AU9" s="389">
        <f t="shared" si="14"/>
        <v>16097.17</v>
      </c>
      <c r="AV9" s="389">
        <f t="shared" si="15"/>
        <v>16097.170771562649</v>
      </c>
      <c r="AW9" s="29">
        <f t="shared" si="16"/>
        <v>1</v>
      </c>
      <c r="AX9" s="28">
        <f>SUMIFS('Fin Forecast'!$F$4:$F$520,'Fin Forecast'!$A$4:$A$520,'Sep20-Feb21 Transport Forecast'!$F9,'Fin Forecast'!$B$4:$B$520,'Sep20-Feb21 Transport Forecast'!AX$5)</f>
        <v>500</v>
      </c>
      <c r="AY9" s="28">
        <f>SUMIFS('Fin Forecast'!$F$4:$F$520,'Fin Forecast'!$A$4:$A$520,'Sep20-Feb21 Transport Forecast'!$F9,'Fin Forecast'!$B$4:$B$520,'Sep20-Feb21 Transport Forecast'!AY$5)</f>
        <v>550</v>
      </c>
      <c r="AZ9" s="28">
        <f>SUMIFS('Fin Forecast'!$F$4:$F$520,'Fin Forecast'!$A$4:$A$520,'Sep20-Feb21 Transport Forecast'!$F9,'Fin Forecast'!$B$4:$B$520,'Sep20-Feb21 Transport Forecast'!AZ$5)</f>
        <v>13259.60334</v>
      </c>
      <c r="BA9" s="28">
        <f>SUMIFS('Fin Forecast'!$F$4:$F$520,'Fin Forecast'!$A$4:$A$520,'Sep20-Feb21 Transport Forecast'!$F9,'Fin Forecast'!$B$4:$B$520,'Sep20-Feb21 Transport Forecast'!BA$5)</f>
        <v>0</v>
      </c>
      <c r="BB9" s="28">
        <f>SUMIFS('Fin Forecast'!$F$4:$F$520,'Fin Forecast'!$A$4:$A$520,'Sep20-Feb21 Transport Forecast'!$F9,'Fin Forecast'!$B$4:$B$520,'Sep20-Feb21 Transport Forecast'!BB$5)</f>
        <v>0</v>
      </c>
      <c r="BC9" s="28">
        <f>SUMIFS('Fin Forecast'!$F$4:$F$520,'Fin Forecast'!$A$4:$A$520,'Sep20-Feb21 Transport Forecast'!$F9,'Fin Forecast'!$B$4:$B$520,'Sep20-Feb21 Transport Forecast'!BC$5)</f>
        <v>0</v>
      </c>
      <c r="BD9" s="28">
        <f>SUMIFS('Fin Forecast'!$F$4:$F$520,'Fin Forecast'!$A$4:$A$520,'Sep20-Feb21 Transport Forecast'!$F9,'Fin Forecast'!$B$4:$B$520,'Sep20-Feb21 Transport Forecast'!BD$5)</f>
        <v>0</v>
      </c>
      <c r="BE9" s="28">
        <f>SUMIFS('Fin Forecast'!$F$4:$F$520,'Fin Forecast'!$A$4:$A$520,'Sep20-Feb21 Transport Forecast'!$F9,'Fin Forecast'!$B$4:$B$520,'Sep20-Feb21 Transport Forecast'!BE$5)</f>
        <v>1787.56743156265</v>
      </c>
      <c r="BF9" s="28">
        <f>SUMIFS('Fin Forecast'!$D$4:$D$520,'Fin Forecast'!$A$4:$A$520,'Sep20-Feb21 Transport Forecast'!$F9,'Fin Forecast'!$B$4:$B$520,'Sep20-Feb21 Transport Forecast'!BF$5)</f>
        <v>0</v>
      </c>
      <c r="BG9" s="28">
        <f>SUMIFS('Fin Forecast'!$D$4:$D$520,'Fin Forecast'!$A$4:$A$520,'Sep20-Feb21 Transport Forecast'!$F9,'Fin Forecast'!$B$4:$B$520,'Sep20-Feb21 Transport Forecast'!BG$5)</f>
        <v>0</v>
      </c>
      <c r="BI9" s="37">
        <f t="shared" si="20"/>
        <v>-7.7156264887889847E-4</v>
      </c>
      <c r="BJ9" s="42">
        <f t="shared" si="21"/>
        <v>0</v>
      </c>
      <c r="BK9" s="42">
        <f t="shared" si="22"/>
        <v>0</v>
      </c>
      <c r="BL9" s="392">
        <f t="shared" si="23"/>
        <v>0</v>
      </c>
      <c r="BM9" s="42">
        <f t="shared" si="24"/>
        <v>0</v>
      </c>
    </row>
    <row r="10" spans="1:65" x14ac:dyDescent="0.25">
      <c r="A10" s="8"/>
      <c r="B10" s="8"/>
      <c r="C10" s="307">
        <f>$C$6</f>
        <v>44075</v>
      </c>
      <c r="D10" s="307" t="s">
        <v>567</v>
      </c>
      <c r="E10" s="2" t="str">
        <f t="shared" si="2"/>
        <v>883</v>
      </c>
      <c r="F10" s="2" t="s">
        <v>576</v>
      </c>
      <c r="G10" s="20">
        <f>SUMIF('Forecasted Customer Cts'!$D$5:$D$28,'Sep20-Feb21 Transport Forecast'!$F10,'Forecasted Customer Cts'!$N$5:$N$28)</f>
        <v>0</v>
      </c>
      <c r="H10" s="20">
        <v>0</v>
      </c>
      <c r="I10" s="20">
        <f>SUMIF('Forecasted Calendar Month Usage'!$D$5:$D$32,'Sep20-Feb21 Transport Forecast'!$F10,'Forecasted Calendar Month Usage'!$L$5:$L$32)</f>
        <v>0</v>
      </c>
      <c r="J10" s="20">
        <v>0</v>
      </c>
      <c r="K10" s="20">
        <v>0</v>
      </c>
      <c r="L10" s="20">
        <f>SUMIFS('Fin Forecast'!$F$4:$F$520,'Fin Forecast'!$A$4:$A$520,'Sep20-Feb21 Transport Forecast'!$F10,'Fin Forecast'!$B$4:$B$520,'Sep20-Feb21 Transport Forecast'!L$5)/S10</f>
        <v>0</v>
      </c>
      <c r="M10" s="20">
        <v>0</v>
      </c>
      <c r="N10" s="21">
        <f>VLOOKUP($D10,'Retail Rates'!$B$7:$P$40,4,FALSE)</f>
        <v>165</v>
      </c>
      <c r="O10" s="21">
        <f>VLOOKUP($D10,'Retail Rates'!$B$7:$P$40,5,FALSE)</f>
        <v>750</v>
      </c>
      <c r="P10" s="21">
        <f>VLOOKUP($D10,'Retail Rates'!$B$7:$P$40,6,FALSE)</f>
        <v>550</v>
      </c>
      <c r="Q10" s="22">
        <f>VLOOKUP($D10,'Retail Rates'!$B$7:$P$40,10,FALSE)</f>
        <v>0.29919999999999997</v>
      </c>
      <c r="R10" s="22">
        <f>VLOOKUP($D10,'Retail Rates'!$B$7:$P$40,11,FALSE)</f>
        <v>0</v>
      </c>
      <c r="S10" s="895">
        <f>VLOOKUP($D10,'Retail Rates'!$B$7:$P$40,15,FALSE)</f>
        <v>10.8978</v>
      </c>
      <c r="T10" s="21">
        <v>75</v>
      </c>
      <c r="U10" s="23">
        <f t="shared" si="17"/>
        <v>0</v>
      </c>
      <c r="V10" s="23">
        <f t="shared" si="18"/>
        <v>0</v>
      </c>
      <c r="W10" s="23">
        <f>G10*P10</f>
        <v>0</v>
      </c>
      <c r="X10" s="23">
        <f t="shared" si="3"/>
        <v>0</v>
      </c>
      <c r="Y10" s="23">
        <f t="shared" si="3"/>
        <v>0</v>
      </c>
      <c r="Z10" s="23">
        <f t="shared" si="4"/>
        <v>0</v>
      </c>
      <c r="AA10" s="23">
        <f t="shared" si="5"/>
        <v>0</v>
      </c>
      <c r="AB10" s="41"/>
      <c r="AC10" s="41"/>
      <c r="AD10" s="33"/>
      <c r="AE10" s="33"/>
      <c r="AF10" s="33"/>
      <c r="AG10" s="33"/>
      <c r="AH10" s="33"/>
      <c r="AI10" s="23">
        <f t="shared" si="6"/>
        <v>0</v>
      </c>
      <c r="AJ10" s="23">
        <f t="shared" si="6"/>
        <v>0</v>
      </c>
      <c r="AK10" s="23">
        <f t="shared" si="7"/>
        <v>0</v>
      </c>
      <c r="AL10" s="23">
        <f t="shared" si="8"/>
        <v>0</v>
      </c>
      <c r="AM10" s="23">
        <f t="shared" si="8"/>
        <v>0</v>
      </c>
      <c r="AN10" s="23">
        <f t="shared" si="8"/>
        <v>0</v>
      </c>
      <c r="AO10" s="23">
        <f t="shared" si="9"/>
        <v>0</v>
      </c>
      <c r="AP10" s="23">
        <f t="shared" si="19"/>
        <v>0</v>
      </c>
      <c r="AQ10" s="28">
        <f>BC10</f>
        <v>0</v>
      </c>
      <c r="AR10" s="28">
        <f>BD10</f>
        <v>0</v>
      </c>
      <c r="AS10" s="28">
        <f>BE10</f>
        <v>0</v>
      </c>
      <c r="AT10" s="28">
        <f>BF10</f>
        <v>0</v>
      </c>
      <c r="AU10" s="389">
        <f t="shared" si="14"/>
        <v>0</v>
      </c>
      <c r="AV10" s="389">
        <f t="shared" si="15"/>
        <v>0</v>
      </c>
      <c r="AW10" s="29">
        <f t="shared" si="16"/>
        <v>0</v>
      </c>
      <c r="AX10" s="28">
        <f>SUMIFS('Fin Forecast'!$F$4:$F$520,'Fin Forecast'!$A$4:$A$520,'Sep20-Feb21 Transport Forecast'!$F10,'Fin Forecast'!$B$4:$B$520,'Sep20-Feb21 Transport Forecast'!AX$5)</f>
        <v>0</v>
      </c>
      <c r="AY10" s="28">
        <f>SUMIFS('Fin Forecast'!$F$4:$F$520,'Fin Forecast'!$A$4:$A$520,'Sep20-Feb21 Transport Forecast'!$F10,'Fin Forecast'!$B$4:$B$520,'Sep20-Feb21 Transport Forecast'!AY$5)</f>
        <v>0</v>
      </c>
      <c r="AZ10" s="28">
        <f>SUMIFS('Fin Forecast'!$F$4:$F$520,'Fin Forecast'!$A$4:$A$520,'Sep20-Feb21 Transport Forecast'!$F10,'Fin Forecast'!$B$4:$B$520,'Sep20-Feb21 Transport Forecast'!AZ$5)</f>
        <v>0</v>
      </c>
      <c r="BA10" s="28">
        <f>SUMIFS('Fin Forecast'!$F$4:$F$520,'Fin Forecast'!$A$4:$A$520,'Sep20-Feb21 Transport Forecast'!$F10,'Fin Forecast'!$B$4:$B$520,'Sep20-Feb21 Transport Forecast'!BA$5)</f>
        <v>0</v>
      </c>
      <c r="BB10" s="28">
        <f>SUMIFS('Fin Forecast'!$F$4:$F$520,'Fin Forecast'!$A$4:$A$520,'Sep20-Feb21 Transport Forecast'!$F10,'Fin Forecast'!$B$4:$B$520,'Sep20-Feb21 Transport Forecast'!BB$5)</f>
        <v>0</v>
      </c>
      <c r="BC10" s="28">
        <f>SUMIFS('Fin Forecast'!$F$4:$F$520,'Fin Forecast'!$A$4:$A$520,'Sep20-Feb21 Transport Forecast'!$F10,'Fin Forecast'!$B$4:$B$520,'Sep20-Feb21 Transport Forecast'!BC$5)</f>
        <v>0</v>
      </c>
      <c r="BD10" s="28">
        <f>SUMIFS('Fin Forecast'!$F$4:$F$520,'Fin Forecast'!$A$4:$A$520,'Sep20-Feb21 Transport Forecast'!$F10,'Fin Forecast'!$B$4:$B$520,'Sep20-Feb21 Transport Forecast'!BD$5)</f>
        <v>0</v>
      </c>
      <c r="BE10" s="28">
        <f>SUMIFS('Fin Forecast'!$F$4:$F$520,'Fin Forecast'!$A$4:$A$520,'Sep20-Feb21 Transport Forecast'!$F10,'Fin Forecast'!$B$4:$B$520,'Sep20-Feb21 Transport Forecast'!BE$5)</f>
        <v>0</v>
      </c>
      <c r="BF10" s="28">
        <f>SUMIFS('Fin Forecast'!$D$4:$D$520,'Fin Forecast'!$A$4:$A$520,'Sep20-Feb21 Transport Forecast'!$F10,'Fin Forecast'!$B$4:$B$520,'Sep20-Feb21 Transport Forecast'!BF$5)</f>
        <v>0</v>
      </c>
      <c r="BG10" s="28">
        <f>SUMIFS('Fin Forecast'!$D$4:$D$520,'Fin Forecast'!$A$4:$A$520,'Sep20-Feb21 Transport Forecast'!$F10,'Fin Forecast'!$B$4:$B$520,'Sep20-Feb21 Transport Forecast'!BG$5)</f>
        <v>0</v>
      </c>
      <c r="BI10" s="37"/>
      <c r="BJ10" s="42"/>
      <c r="BK10" s="42"/>
      <c r="BL10" s="392"/>
      <c r="BM10" s="42"/>
    </row>
    <row r="11" spans="1:65" x14ac:dyDescent="0.25">
      <c r="A11" s="8"/>
      <c r="B11" s="8"/>
      <c r="C11" s="307">
        <f>$C$6</f>
        <v>44075</v>
      </c>
      <c r="D11" s="307" t="s">
        <v>562</v>
      </c>
      <c r="E11" s="2" t="str">
        <f t="shared" si="2"/>
        <v>872</v>
      </c>
      <c r="F11" s="2" t="s">
        <v>551</v>
      </c>
      <c r="G11" s="20">
        <f>SUMIF('Forecasted Customer Cts'!$D$5:$D$28,'Sep20-Feb21 Transport Forecast'!$F11,'Forecasted Customer Cts'!$N$5:$N$28)</f>
        <v>0</v>
      </c>
      <c r="H11" s="20">
        <v>0</v>
      </c>
      <c r="I11" s="20">
        <f>SUMIF('Forecasted Calendar Month Usage'!$D$5:$D$32,'Sep20-Feb21 Transport Forecast'!$F11,'Forecasted Calendar Month Usage'!$L$5:$L$32)</f>
        <v>0</v>
      </c>
      <c r="J11" s="20">
        <v>0</v>
      </c>
      <c r="K11" s="20">
        <v>0</v>
      </c>
      <c r="L11" s="20">
        <f>SUMIFS('Fin Forecast'!$F$4:$F$520,'Fin Forecast'!$A$4:$A$520,'Sep20-Feb21 Transport Forecast'!$F11,'Fin Forecast'!$B$4:$B$520,'Sep20-Feb21 Transport Forecast'!L$5)/S11</f>
        <v>0</v>
      </c>
      <c r="M11" s="20">
        <v>0</v>
      </c>
      <c r="N11" s="21">
        <f>VLOOKUP($D11,'Retail Rates'!$B$7:$P$40,4,FALSE)</f>
        <v>750</v>
      </c>
      <c r="O11" s="21">
        <f>VLOOKUP($D11,'Retail Rates'!$B$7:$P$40,5,FALSE)</f>
        <v>0</v>
      </c>
      <c r="P11" s="21">
        <f>VLOOKUP($D11,'Retail Rates'!$B$7:$P$40,6,FALSE)</f>
        <v>550</v>
      </c>
      <c r="Q11" s="22">
        <f>VLOOKUP($D11,'Retail Rates'!$B$7:$P$40,10,FALSE)</f>
        <v>3.7999999999999999E-2</v>
      </c>
      <c r="R11" s="22">
        <f>VLOOKUP($D11,'Retail Rates'!$B$7:$P$40,11,FALSE)</f>
        <v>0</v>
      </c>
      <c r="S11" s="22">
        <f>VLOOKUP($D11,'Retail Rates'!$B$7:$P$40,15,FALSE)</f>
        <v>4.8899999999999997</v>
      </c>
      <c r="T11" s="21">
        <v>75</v>
      </c>
      <c r="U11" s="23">
        <f t="shared" si="17"/>
        <v>0</v>
      </c>
      <c r="V11" s="23">
        <f t="shared" si="18"/>
        <v>0</v>
      </c>
      <c r="W11" s="23">
        <f>G11*P11</f>
        <v>0</v>
      </c>
      <c r="X11" s="23">
        <f t="shared" si="3"/>
        <v>0</v>
      </c>
      <c r="Y11" s="23">
        <f t="shared" si="3"/>
        <v>0</v>
      </c>
      <c r="Z11" s="23">
        <f t="shared" si="4"/>
        <v>0</v>
      </c>
      <c r="AA11" s="23">
        <f t="shared" si="5"/>
        <v>0</v>
      </c>
      <c r="AB11" s="41"/>
      <c r="AC11" s="41"/>
      <c r="AD11" s="33"/>
      <c r="AE11" s="33"/>
      <c r="AF11" s="33"/>
      <c r="AG11" s="33"/>
      <c r="AH11" s="33"/>
      <c r="AI11" s="23">
        <f t="shared" si="6"/>
        <v>0</v>
      </c>
      <c r="AJ11" s="23">
        <f t="shared" si="6"/>
        <v>0</v>
      </c>
      <c r="AK11" s="23">
        <f t="shared" si="7"/>
        <v>0</v>
      </c>
      <c r="AL11" s="23">
        <f t="shared" si="8"/>
        <v>0</v>
      </c>
      <c r="AM11" s="23">
        <f t="shared" si="8"/>
        <v>0</v>
      </c>
      <c r="AN11" s="23">
        <f t="shared" si="8"/>
        <v>0</v>
      </c>
      <c r="AO11" s="23">
        <f t="shared" si="9"/>
        <v>0</v>
      </c>
      <c r="AP11" s="23">
        <f t="shared" si="19"/>
        <v>0</v>
      </c>
      <c r="AQ11" s="28">
        <f t="shared" si="10"/>
        <v>0</v>
      </c>
      <c r="AR11" s="28">
        <f t="shared" si="11"/>
        <v>0</v>
      </c>
      <c r="AS11" s="28">
        <f t="shared" si="12"/>
        <v>0</v>
      </c>
      <c r="AT11" s="28">
        <f t="shared" si="13"/>
        <v>0</v>
      </c>
      <c r="AU11" s="389">
        <f t="shared" si="14"/>
        <v>0</v>
      </c>
      <c r="AV11" s="389">
        <f t="shared" si="15"/>
        <v>0</v>
      </c>
      <c r="AW11" s="29">
        <f t="shared" si="16"/>
        <v>0</v>
      </c>
      <c r="AX11" s="28">
        <f>SUMIFS('Fin Forecast'!$F$4:$F$520,'Fin Forecast'!$A$4:$A$520,'Sep20-Feb21 Transport Forecast'!$F11,'Fin Forecast'!$B$4:$B$520,'Sep20-Feb21 Transport Forecast'!AX$5)</f>
        <v>0</v>
      </c>
      <c r="AY11" s="28">
        <f>SUMIFS('Fin Forecast'!$F$4:$F$520,'Fin Forecast'!$A$4:$A$520,'Sep20-Feb21 Transport Forecast'!$F11,'Fin Forecast'!$B$4:$B$520,'Sep20-Feb21 Transport Forecast'!AY$5)</f>
        <v>0</v>
      </c>
      <c r="AZ11" s="28">
        <f>SUMIFS('Fin Forecast'!$F$4:$F$520,'Fin Forecast'!$A$4:$A$520,'Sep20-Feb21 Transport Forecast'!$F11,'Fin Forecast'!$B$4:$B$520,'Sep20-Feb21 Transport Forecast'!AZ$5)</f>
        <v>0</v>
      </c>
      <c r="BA11" s="28">
        <f>SUMIFS('Fin Forecast'!$F$4:$F$520,'Fin Forecast'!$A$4:$A$520,'Sep20-Feb21 Transport Forecast'!$F11,'Fin Forecast'!$B$4:$B$520,'Sep20-Feb21 Transport Forecast'!BA$5)</f>
        <v>0</v>
      </c>
      <c r="BB11" s="28">
        <f>SUMIFS('Fin Forecast'!$F$4:$F$520,'Fin Forecast'!$A$4:$A$520,'Sep20-Feb21 Transport Forecast'!$F11,'Fin Forecast'!$B$4:$B$520,'Sep20-Feb21 Transport Forecast'!BB$5)</f>
        <v>0</v>
      </c>
      <c r="BC11" s="28">
        <f>SUMIFS('Fin Forecast'!$F$4:$F$520,'Fin Forecast'!$A$4:$A$520,'Sep20-Feb21 Transport Forecast'!$F11,'Fin Forecast'!$B$4:$B$520,'Sep20-Feb21 Transport Forecast'!BC$5)</f>
        <v>0</v>
      </c>
      <c r="BD11" s="28">
        <f>SUMIFS('Fin Forecast'!$F$4:$F$520,'Fin Forecast'!$A$4:$A$520,'Sep20-Feb21 Transport Forecast'!$F11,'Fin Forecast'!$B$4:$B$520,'Sep20-Feb21 Transport Forecast'!BD$5)</f>
        <v>0</v>
      </c>
      <c r="BE11" s="28">
        <f>SUMIFS('Fin Forecast'!$F$4:$F$520,'Fin Forecast'!$A$4:$A$520,'Sep20-Feb21 Transport Forecast'!$F11,'Fin Forecast'!$B$4:$B$520,'Sep20-Feb21 Transport Forecast'!BE$5)</f>
        <v>0</v>
      </c>
      <c r="BF11" s="28">
        <f>SUMIFS('Fin Forecast'!$D$4:$D$520,'Fin Forecast'!$A$4:$A$520,'Sep20-Feb21 Transport Forecast'!$F11,'Fin Forecast'!$B$4:$B$520,'Sep20-Feb21 Transport Forecast'!BF$5)</f>
        <v>0</v>
      </c>
      <c r="BG11" s="28">
        <f>SUMIFS('Fin Forecast'!$D$4:$D$520,'Fin Forecast'!$A$4:$A$520,'Sep20-Feb21 Transport Forecast'!$F11,'Fin Forecast'!$B$4:$B$520,'Sep20-Feb21 Transport Forecast'!BG$5)</f>
        <v>0</v>
      </c>
      <c r="BI11" s="37">
        <f t="shared" si="20"/>
        <v>0</v>
      </c>
      <c r="BJ11" s="42">
        <f t="shared" si="21"/>
        <v>0</v>
      </c>
      <c r="BK11" s="42">
        <f t="shared" si="22"/>
        <v>0</v>
      </c>
      <c r="BL11" s="392">
        <f t="shared" si="23"/>
        <v>0</v>
      </c>
      <c r="BM11" s="42">
        <f t="shared" si="24"/>
        <v>0</v>
      </c>
    </row>
    <row r="12" spans="1:65" s="422" customFormat="1" x14ac:dyDescent="0.25">
      <c r="A12" s="412"/>
      <c r="B12" s="412"/>
      <c r="C12" s="413"/>
      <c r="D12" s="413"/>
      <c r="E12" s="414"/>
      <c r="F12" s="414"/>
      <c r="G12" s="415"/>
      <c r="H12" s="415"/>
      <c r="I12" s="415"/>
      <c r="J12" s="415"/>
      <c r="K12" s="415"/>
      <c r="L12" s="415"/>
      <c r="M12" s="415"/>
      <c r="N12" s="416"/>
      <c r="O12" s="416"/>
      <c r="P12" s="416"/>
      <c r="Q12" s="417"/>
      <c r="R12" s="417"/>
      <c r="S12" s="417"/>
      <c r="T12" s="418"/>
      <c r="U12" s="419"/>
      <c r="V12" s="419"/>
      <c r="W12" s="419"/>
      <c r="X12" s="419"/>
      <c r="Y12" s="419"/>
      <c r="Z12" s="419"/>
      <c r="AA12" s="419"/>
      <c r="AB12" s="420"/>
      <c r="AC12" s="420"/>
      <c r="AD12" s="419"/>
      <c r="AE12" s="419"/>
      <c r="AF12" s="419"/>
      <c r="AG12" s="419"/>
      <c r="AH12" s="419"/>
      <c r="AI12" s="419"/>
      <c r="AJ12" s="419"/>
      <c r="AK12" s="419"/>
      <c r="AL12" s="419"/>
      <c r="AM12" s="419"/>
      <c r="AN12" s="419"/>
      <c r="AO12" s="419"/>
      <c r="AP12" s="419"/>
      <c r="AQ12" s="419"/>
      <c r="AR12" s="419"/>
      <c r="AS12" s="419"/>
      <c r="AT12" s="419"/>
      <c r="AU12" s="419"/>
      <c r="AV12" s="419"/>
      <c r="AW12" s="421"/>
      <c r="AX12" s="419"/>
      <c r="AY12" s="419"/>
      <c r="AZ12" s="419"/>
      <c r="BA12" s="419"/>
      <c r="BB12" s="419"/>
      <c r="BC12" s="419"/>
      <c r="BD12" s="419"/>
      <c r="BE12" s="419"/>
      <c r="BF12" s="419"/>
      <c r="BG12" s="419"/>
      <c r="BI12" s="423"/>
      <c r="BJ12" s="419"/>
      <c r="BK12" s="419"/>
      <c r="BL12" s="424"/>
      <c r="BM12" s="419"/>
    </row>
    <row r="13" spans="1:65" x14ac:dyDescent="0.25">
      <c r="A13" s="8"/>
      <c r="B13" s="8"/>
      <c r="C13" s="307">
        <f>EDATE(C6,1)</f>
        <v>44105</v>
      </c>
      <c r="D13" s="307" t="s">
        <v>34</v>
      </c>
      <c r="E13" s="2" t="str">
        <f t="shared" ref="E13:E18" si="25">MID(D13,6,3)</f>
        <v>895</v>
      </c>
      <c r="F13" s="2" t="s">
        <v>610</v>
      </c>
      <c r="G13" s="20">
        <v>0</v>
      </c>
      <c r="H13" s="20">
        <f>SUMIF('Forecasted Customer Cts'!$D$5:$D$28,'Sep20-Feb21 Transport Forecast'!$F13,'Forecasted Customer Cts'!$O$5:$O$28)</f>
        <v>85</v>
      </c>
      <c r="I13" s="20">
        <f>SUMIF('Forecasted Calendar Month Usage'!$D$5:$D$32,'Sep20-Feb21 Transport Forecast'!$F13,'Forecasted Calendar Month Usage'!$O$5:$O$32)</f>
        <v>819203.15673233906</v>
      </c>
      <c r="J13" s="20">
        <v>0</v>
      </c>
      <c r="K13" s="20">
        <v>71</v>
      </c>
      <c r="L13" s="20">
        <f>SUMIFS('Fin Forecast'!$G$4:$G$520,'Fin Forecast'!$A$4:$A$520,'Sep20-Feb21 Transport Forecast'!$F13,'Fin Forecast'!$B$4:$B$520,'Sep20-Feb21 Transport Forecast'!L$5)/S13</f>
        <v>76484.799999999799</v>
      </c>
      <c r="M13" s="20">
        <v>0</v>
      </c>
      <c r="N13" s="21">
        <f>VLOOKUP($D13,'Retail Rates'!$B$7:$P$40,4,FALSE)</f>
        <v>0</v>
      </c>
      <c r="O13" s="21">
        <f>VLOOKUP($D13,'Retail Rates'!$B$7:$P$40,5,FALSE)</f>
        <v>750</v>
      </c>
      <c r="P13" s="21">
        <f>VLOOKUP($D13,'Retail Rates'!$B$7:$P$40,6,FALSE)</f>
        <v>550</v>
      </c>
      <c r="Q13" s="22">
        <f>VLOOKUP($D13,'Retail Rates'!$B$7:$P$40,10,FALSE)</f>
        <v>3.7999999999999999E-2</v>
      </c>
      <c r="R13" s="22">
        <f>VLOOKUP($D13,'Retail Rates'!$B$7:$P$40,11,FALSE)</f>
        <v>0</v>
      </c>
      <c r="S13" s="22">
        <f>VLOOKUP($D13,'Retail Rates'!$B$7:$P$40,15,FALSE)</f>
        <v>4.8899999999999997</v>
      </c>
      <c r="T13" s="21">
        <v>75</v>
      </c>
      <c r="U13" s="23">
        <f t="shared" ref="U13:U18" si="26">(+G13*N13)</f>
        <v>0</v>
      </c>
      <c r="V13" s="23">
        <f t="shared" ref="V13:V18" si="27">H13*O13</f>
        <v>63750</v>
      </c>
      <c r="W13" s="23">
        <f>H13*P13</f>
        <v>46750</v>
      </c>
      <c r="X13" s="23">
        <f t="shared" ref="X13:Y18" si="28">+I13*Q13</f>
        <v>31129.719955828885</v>
      </c>
      <c r="Y13" s="23">
        <f t="shared" si="28"/>
        <v>0</v>
      </c>
      <c r="Z13" s="23">
        <f t="shared" ref="Z13:Z18" si="29">L13*S13</f>
        <v>374010.67199999897</v>
      </c>
      <c r="AA13" s="23">
        <f t="shared" ref="AA13:AA18" si="30">K13*T13</f>
        <v>5325</v>
      </c>
      <c r="AB13" s="41"/>
      <c r="AC13" s="41"/>
      <c r="AD13" s="33"/>
      <c r="AE13" s="33"/>
      <c r="AF13" s="33"/>
      <c r="AG13" s="33"/>
      <c r="AH13" s="33"/>
      <c r="AI13" s="23">
        <f t="shared" ref="AI13:AJ18" si="31">U13+AD13</f>
        <v>0</v>
      </c>
      <c r="AJ13" s="23">
        <f t="shared" si="31"/>
        <v>63750</v>
      </c>
      <c r="AK13" s="23">
        <f t="shared" ref="AK13:AK18" si="32">W13</f>
        <v>46750</v>
      </c>
      <c r="AL13" s="23">
        <f t="shared" ref="AL13:AN18" si="33">+X13+AF13</f>
        <v>31129.719955828885</v>
      </c>
      <c r="AM13" s="23">
        <f t="shared" si="33"/>
        <v>0</v>
      </c>
      <c r="AN13" s="23">
        <f t="shared" si="33"/>
        <v>374010.67199999897</v>
      </c>
      <c r="AO13" s="23">
        <f t="shared" ref="AO13:AO18" si="34">AA13</f>
        <v>5325</v>
      </c>
      <c r="AP13" s="23">
        <f t="shared" ref="AP13:AP18" si="35">BG13</f>
        <v>0</v>
      </c>
      <c r="AQ13" s="28">
        <f t="shared" si="10"/>
        <v>0</v>
      </c>
      <c r="AR13" s="28">
        <f t="shared" si="11"/>
        <v>0</v>
      </c>
      <c r="AS13" s="28">
        <f t="shared" si="12"/>
        <v>10639.176866518401</v>
      </c>
      <c r="AT13" s="28">
        <f t="shared" si="13"/>
        <v>0</v>
      </c>
      <c r="AU13" s="389">
        <f t="shared" ref="AU13:AU18" si="36">ROUND(SUM(AI13:AT13),2)</f>
        <v>531604.56999999995</v>
      </c>
      <c r="AV13" s="389">
        <f t="shared" ref="AV13:AV18" si="37">SUM(AX13:BG13)</f>
        <v>531604.56882234616</v>
      </c>
      <c r="AW13" s="29">
        <f t="shared" ref="AW13:AW18" si="38">IF(AV13=0,0,ROUND(AV13/AU13,6))</f>
        <v>1</v>
      </c>
      <c r="AX13" s="28">
        <f>SUMIFS('Fin Forecast'!$G$4:$G$520,'Fin Forecast'!$A$4:$A$520,'Sep20-Feb21 Transport Forecast'!$F13,'Fin Forecast'!$B$4:$B$520,'Sep20-Feb21 Transport Forecast'!AX$5)</f>
        <v>63750</v>
      </c>
      <c r="AY13" s="28">
        <f>SUMIFS('Fin Forecast'!$G$4:$G$520,'Fin Forecast'!$A$4:$A$520,'Sep20-Feb21 Transport Forecast'!$F13,'Fin Forecast'!$B$4:$B$520,'Sep20-Feb21 Transport Forecast'!AY$5)</f>
        <v>46750</v>
      </c>
      <c r="AZ13" s="28">
        <f>SUMIFS('Fin Forecast'!$G$4:$G$520,'Fin Forecast'!$A$4:$A$520,'Sep20-Feb21 Transport Forecast'!$F13,'Fin Forecast'!$B$4:$B$520,'Sep20-Feb21 Transport Forecast'!AZ$5)</f>
        <v>31129.719955828801</v>
      </c>
      <c r="BA13" s="28">
        <f>SUMIFS('Fin Forecast'!$G$4:$G$520,'Fin Forecast'!$A$4:$A$520,'Sep20-Feb21 Transport Forecast'!$F13,'Fin Forecast'!$B$4:$B$520,'Sep20-Feb21 Transport Forecast'!BA$5)</f>
        <v>374010.67199999897</v>
      </c>
      <c r="BB13" s="28">
        <f>SUMIFS('Fin Forecast'!$G$4:$G$520,'Fin Forecast'!$A$4:$A$520,'Sep20-Feb21 Transport Forecast'!$F13,'Fin Forecast'!$B$4:$B$520,'Sep20-Feb21 Transport Forecast'!BB$5)</f>
        <v>5325</v>
      </c>
      <c r="BC13" s="28">
        <f>SUMIFS('Fin Forecast'!$E$4:$E$520,'Fin Forecast'!$A$4:$A$520,'Sep20-Feb21 Transport Forecast'!$F13,'Fin Forecast'!$B$4:$B$520,'Sep20-Feb21 Transport Forecast'!BC$5)</f>
        <v>0</v>
      </c>
      <c r="BD13" s="28">
        <f>SUMIFS('Fin Forecast'!$E$4:$E$520,'Fin Forecast'!$A$4:$A$520,'Sep20-Feb21 Transport Forecast'!$F13,'Fin Forecast'!$B$4:$B$520,'Sep20-Feb21 Transport Forecast'!BD$5)</f>
        <v>0</v>
      </c>
      <c r="BE13" s="28">
        <f>SUMIFS('Fin Forecast'!$G$4:$G$520,'Fin Forecast'!$A$4:$A$520,'Sep20-Feb21 Transport Forecast'!$F13,'Fin Forecast'!$B$4:$B$520,'Sep20-Feb21 Transport Forecast'!BE$5)</f>
        <v>10639.176866518401</v>
      </c>
      <c r="BF13" s="28">
        <f>SUMIFS('Fin Forecast'!$E$4:$E$520,'Fin Forecast'!$A$4:$A$520,'Sep20-Feb21 Transport Forecast'!$F13,'Fin Forecast'!$B$4:$B$520,'Sep20-Feb21 Transport Forecast'!BF$5)</f>
        <v>0</v>
      </c>
      <c r="BG13" s="28">
        <f>SUMIFS('Fin Forecast'!$E$4:$E$520,'Fin Forecast'!$A$4:$A$520,'Sep20-Feb21 Transport Forecast'!$F13,'Fin Forecast'!$B$4:$B$520,'Sep20-Feb21 Transport Forecast'!BG$5)</f>
        <v>0</v>
      </c>
      <c r="BI13" s="37">
        <f t="shared" si="20"/>
        <v>1.1776537867262959E-3</v>
      </c>
      <c r="BJ13" s="42">
        <f t="shared" si="21"/>
        <v>0</v>
      </c>
      <c r="BK13" s="42">
        <f t="shared" si="22"/>
        <v>8.3673512563109398E-11</v>
      </c>
      <c r="BL13" s="392">
        <f t="shared" si="23"/>
        <v>0</v>
      </c>
      <c r="BM13" s="42">
        <f t="shared" si="24"/>
        <v>0</v>
      </c>
    </row>
    <row r="14" spans="1:65" x14ac:dyDescent="0.25">
      <c r="A14" s="8"/>
      <c r="B14" s="8"/>
      <c r="C14" s="307">
        <f>C13</f>
        <v>44105</v>
      </c>
      <c r="D14" s="307" t="s">
        <v>30</v>
      </c>
      <c r="E14" s="2" t="str">
        <f t="shared" si="25"/>
        <v>881</v>
      </c>
      <c r="F14" s="2" t="s">
        <v>546</v>
      </c>
      <c r="G14" s="20">
        <f>SUMIFS('Forecasted Customer Cts'!$M$5:$M$28,'Forecasted Customer Cts'!$D$5:$D$28,$F14,'Forecasted Customer Cts'!$C$5:$C$28,$A$8)</f>
        <v>0</v>
      </c>
      <c r="H14" s="20">
        <f>SUMIFS('Forecasted Customer Cts'!$M$5:$M$28,'Forecasted Customer Cts'!$D$5:$D$28,$F14,'Forecasted Customer Cts'!$C$5:$C$28,$B$8)</f>
        <v>0</v>
      </c>
      <c r="I14" s="20">
        <f>(G14+H14)*100</f>
        <v>0</v>
      </c>
      <c r="J14" s="20">
        <f>SUMIF('Forecasted Calendar Month Usage'!$D$5:$D$32,'Sep20-Feb21 Transport Forecast'!$F14,'Forecasted Calendar Month Usage'!$M$5:$M$32)*10</f>
        <v>0</v>
      </c>
      <c r="K14" s="20">
        <v>0</v>
      </c>
      <c r="L14" s="20">
        <v>0</v>
      </c>
      <c r="M14" s="20">
        <v>0</v>
      </c>
      <c r="N14" s="21">
        <f>VLOOKUP($D14,'Retail Rates'!$B$7:$P$40,4,FALSE)</f>
        <v>1.97</v>
      </c>
      <c r="O14" s="21">
        <f>VLOOKUP($D14,'Retail Rates'!$B$7:$P$40,5,FALSE)</f>
        <v>9.3699999999999992</v>
      </c>
      <c r="P14" s="21">
        <f>VLOOKUP($D14,'Retail Rates'!$B$7:$P$40,6,FALSE)</f>
        <v>550</v>
      </c>
      <c r="Q14" s="22">
        <f>VLOOKUP($D14,'Retail Rates'!$B$7:$P$40,10,FALSE)</f>
        <v>3.0669999999999997</v>
      </c>
      <c r="R14" s="22">
        <f>VLOOKUP($D14,'Retail Rates'!$B$7:$P$40,11,FALSE)</f>
        <v>2.5669999999999997</v>
      </c>
      <c r="S14" s="22">
        <f>VLOOKUP($D14,'Retail Rates'!$B$7:$P$40,15,FALSE)</f>
        <v>0</v>
      </c>
      <c r="T14" s="21">
        <v>75</v>
      </c>
      <c r="U14" s="23">
        <f t="shared" si="26"/>
        <v>0</v>
      </c>
      <c r="V14" s="23">
        <f t="shared" si="27"/>
        <v>0</v>
      </c>
      <c r="W14" s="23">
        <f>(G14*P14)+(H14*P14)</f>
        <v>0</v>
      </c>
      <c r="X14" s="23">
        <f t="shared" si="28"/>
        <v>0</v>
      </c>
      <c r="Y14" s="23">
        <f t="shared" si="28"/>
        <v>0</v>
      </c>
      <c r="Z14" s="23">
        <f t="shared" si="29"/>
        <v>0</v>
      </c>
      <c r="AA14" s="23">
        <f t="shared" si="30"/>
        <v>0</v>
      </c>
      <c r="AB14" s="41"/>
      <c r="AC14" s="41"/>
      <c r="AD14" s="33"/>
      <c r="AE14" s="33"/>
      <c r="AF14" s="33"/>
      <c r="AG14" s="33"/>
      <c r="AH14" s="33"/>
      <c r="AI14" s="23">
        <f t="shared" si="31"/>
        <v>0</v>
      </c>
      <c r="AJ14" s="23">
        <f t="shared" si="31"/>
        <v>0</v>
      </c>
      <c r="AK14" s="23">
        <f t="shared" si="32"/>
        <v>0</v>
      </c>
      <c r="AL14" s="23">
        <f t="shared" si="33"/>
        <v>0</v>
      </c>
      <c r="AM14" s="23">
        <f t="shared" si="33"/>
        <v>0</v>
      </c>
      <c r="AN14" s="23">
        <f t="shared" si="33"/>
        <v>0</v>
      </c>
      <c r="AO14" s="23">
        <f t="shared" si="34"/>
        <v>0</v>
      </c>
      <c r="AP14" s="23">
        <f t="shared" si="35"/>
        <v>0</v>
      </c>
      <c r="AQ14" s="28">
        <f t="shared" si="10"/>
        <v>0</v>
      </c>
      <c r="AR14" s="28">
        <f t="shared" si="11"/>
        <v>0</v>
      </c>
      <c r="AS14" s="28">
        <f t="shared" si="12"/>
        <v>0</v>
      </c>
      <c r="AT14" s="28">
        <f t="shared" si="13"/>
        <v>0</v>
      </c>
      <c r="AU14" s="389">
        <f t="shared" si="36"/>
        <v>0</v>
      </c>
      <c r="AV14" s="389">
        <f t="shared" si="37"/>
        <v>0</v>
      </c>
      <c r="AW14" s="29"/>
      <c r="AX14" s="28">
        <f>SUMIFS('Fin Forecast'!$G$4:$G$520,'Fin Forecast'!$A$4:$A$520,'Sep20-Feb21 Transport Forecast'!$F14,'Fin Forecast'!$B$4:$B$520,'Sep20-Feb21 Transport Forecast'!AX$5)</f>
        <v>0</v>
      </c>
      <c r="AY14" s="28">
        <f>SUMIFS('Fin Forecast'!$G$4:$G$520,'Fin Forecast'!$A$4:$A$520,'Sep20-Feb21 Transport Forecast'!$F14,'Fin Forecast'!$B$4:$B$520,'Sep20-Feb21 Transport Forecast'!AY$5)</f>
        <v>0</v>
      </c>
      <c r="AZ14" s="28">
        <f>SUMIFS('Fin Forecast'!$G$4:$G$520,'Fin Forecast'!$A$4:$A$520,'Sep20-Feb21 Transport Forecast'!$F14,'Fin Forecast'!$B$4:$B$520,'Sep20-Feb21 Transport Forecast'!AZ$5)</f>
        <v>0</v>
      </c>
      <c r="BA14" s="28">
        <f>SUMIFS('Fin Forecast'!$G$4:$G$520,'Fin Forecast'!$A$4:$A$520,'Sep20-Feb21 Transport Forecast'!$F14,'Fin Forecast'!$B$4:$B$520,'Sep20-Feb21 Transport Forecast'!BA$5)</f>
        <v>0</v>
      </c>
      <c r="BB14" s="28">
        <f>SUMIFS('Fin Forecast'!$G$4:$G$520,'Fin Forecast'!$A$4:$A$520,'Sep20-Feb21 Transport Forecast'!$F14,'Fin Forecast'!$B$4:$B$520,'Sep20-Feb21 Transport Forecast'!BB$5)</f>
        <v>0</v>
      </c>
      <c r="BC14" s="28">
        <f>SUMIFS('Fin Forecast'!$E$4:$E$520,'Fin Forecast'!$A$4:$A$520,'Sep20-Feb21 Transport Forecast'!$F14,'Fin Forecast'!$B$4:$B$520,'Sep20-Feb21 Transport Forecast'!BC$5)</f>
        <v>0</v>
      </c>
      <c r="BD14" s="28">
        <f>SUMIFS('Fin Forecast'!$E$4:$E$520,'Fin Forecast'!$A$4:$A$520,'Sep20-Feb21 Transport Forecast'!$F14,'Fin Forecast'!$B$4:$B$520,'Sep20-Feb21 Transport Forecast'!BD$5)</f>
        <v>0</v>
      </c>
      <c r="BE14" s="28">
        <f>SUMIFS('Fin Forecast'!$G$4:$G$520,'Fin Forecast'!$A$4:$A$520,'Sep20-Feb21 Transport Forecast'!$F14,'Fin Forecast'!$B$4:$B$520,'Sep20-Feb21 Transport Forecast'!BE$5)</f>
        <v>0</v>
      </c>
      <c r="BF14" s="28">
        <f>SUMIFS('Fin Forecast'!$E$4:$E$520,'Fin Forecast'!$A$4:$A$520,'Sep20-Feb21 Transport Forecast'!$F14,'Fin Forecast'!$B$4:$B$520,'Sep20-Feb21 Transport Forecast'!BF$5)</f>
        <v>0</v>
      </c>
      <c r="BG14" s="28">
        <f>SUMIFS('Fin Forecast'!$E$4:$E$520,'Fin Forecast'!$A$4:$A$520,'Sep20-Feb21 Transport Forecast'!$F14,'Fin Forecast'!$B$4:$B$520,'Sep20-Feb21 Transport Forecast'!BG$5)</f>
        <v>0</v>
      </c>
      <c r="BI14" s="37">
        <f t="shared" si="20"/>
        <v>0</v>
      </c>
      <c r="BJ14" s="42">
        <f t="shared" si="21"/>
        <v>0</v>
      </c>
      <c r="BK14" s="42">
        <f t="shared" si="22"/>
        <v>0</v>
      </c>
      <c r="BL14" s="392">
        <f t="shared" si="23"/>
        <v>0</v>
      </c>
      <c r="BM14" s="42">
        <f t="shared" si="24"/>
        <v>0</v>
      </c>
    </row>
    <row r="15" spans="1:65" x14ac:dyDescent="0.25">
      <c r="A15" s="8" t="s">
        <v>380</v>
      </c>
      <c r="B15" s="8" t="s">
        <v>381</v>
      </c>
      <c r="C15" s="307">
        <f>C14</f>
        <v>44105</v>
      </c>
      <c r="D15" s="307" t="s">
        <v>31</v>
      </c>
      <c r="E15" s="2" t="str">
        <f t="shared" si="25"/>
        <v>882</v>
      </c>
      <c r="F15" s="2" t="s">
        <v>549</v>
      </c>
      <c r="G15" s="20">
        <f>SUMIFS('Forecasted Customer Cts'!$M$5:$M$28,'Forecasted Customer Cts'!$D$5:$D$28,$F15,'Forecasted Customer Cts'!$C$5:$C$28,$A$8)</f>
        <v>0</v>
      </c>
      <c r="H15" s="20">
        <f>SUMIFS('Forecasted Customer Cts'!$M$5:$M$28,'Forecasted Customer Cts'!$D$5:$D$28,$F15,'Forecasted Customer Cts'!$C$5:$C$28,$B$8)</f>
        <v>8</v>
      </c>
      <c r="I15" s="20">
        <f>(G15+H15)*100</f>
        <v>800</v>
      </c>
      <c r="J15" s="20">
        <f>SUMIF('Forecasted Calendar Month Usage'!$D$5:$D$32,'Sep20-Feb21 Transport Forecast'!$F15,'Forecasted Calendar Month Usage'!$O$5:$O$32)-I15</f>
        <v>46622.702388180667</v>
      </c>
      <c r="K15" s="20">
        <v>9</v>
      </c>
      <c r="L15" s="20">
        <v>0</v>
      </c>
      <c r="M15" s="20">
        <f>SUMIFS('Fin Forecast'!$G$4:$G$520,'Fin Forecast'!$A$4:$A$520,'Sep20-Feb21 Transport Forecast'!$F15,'Fin Forecast'!$B$4:$B$520,'Sep20-Feb21 Transport Forecast'!AX$5)/O15</f>
        <v>248</v>
      </c>
      <c r="N15" s="21">
        <f>VLOOKUP($D15,'Retail Rates'!$B$7:$P$40,4,FALSE)</f>
        <v>5.42</v>
      </c>
      <c r="O15" s="21">
        <f>VLOOKUP($D15,'Retail Rates'!$B$7:$P$40,5,FALSE)</f>
        <v>24.64</v>
      </c>
      <c r="P15" s="21">
        <f>VLOOKUP($D15,'Retail Rates'!$B$7:$P$40,6,FALSE)</f>
        <v>550</v>
      </c>
      <c r="Q15" s="22">
        <f>VLOOKUP($D15,'Retail Rates'!$B$7:$P$40,10,FALSE)</f>
        <v>2.1929000000000003</v>
      </c>
      <c r="R15" s="22">
        <f>VLOOKUP($D15,'Retail Rates'!$B$7:$P$40,11,FALSE)</f>
        <v>1.6928999999999998</v>
      </c>
      <c r="S15" s="22">
        <f>VLOOKUP($D15,'Retail Rates'!$B$7:$P$40,15,FALSE)</f>
        <v>0</v>
      </c>
      <c r="T15" s="21">
        <v>75</v>
      </c>
      <c r="U15" s="23">
        <f t="shared" si="26"/>
        <v>0</v>
      </c>
      <c r="V15" s="23">
        <f>M15*O15</f>
        <v>6110.72</v>
      </c>
      <c r="W15" s="23">
        <f>(G15*P15)+(H15*P15)</f>
        <v>4400</v>
      </c>
      <c r="X15" s="23">
        <f t="shared" si="28"/>
        <v>1754.3200000000002</v>
      </c>
      <c r="Y15" s="23">
        <f t="shared" si="28"/>
        <v>78927.572872951045</v>
      </c>
      <c r="Z15" s="23">
        <f t="shared" si="29"/>
        <v>0</v>
      </c>
      <c r="AA15" s="23">
        <f t="shared" si="30"/>
        <v>675</v>
      </c>
      <c r="AB15" s="41"/>
      <c r="AC15" s="41"/>
      <c r="AD15" s="33"/>
      <c r="AE15" s="33"/>
      <c r="AF15" s="33"/>
      <c r="AG15" s="33"/>
      <c r="AH15" s="33"/>
      <c r="AI15" s="23">
        <f t="shared" si="31"/>
        <v>0</v>
      </c>
      <c r="AJ15" s="23">
        <f t="shared" si="31"/>
        <v>6110.72</v>
      </c>
      <c r="AK15" s="23">
        <f t="shared" si="32"/>
        <v>4400</v>
      </c>
      <c r="AL15" s="23">
        <f t="shared" si="33"/>
        <v>1754.3200000000002</v>
      </c>
      <c r="AM15" s="23">
        <f t="shared" si="33"/>
        <v>78927.572872951045</v>
      </c>
      <c r="AN15" s="23">
        <f t="shared" si="33"/>
        <v>0</v>
      </c>
      <c r="AO15" s="23">
        <f t="shared" si="34"/>
        <v>675</v>
      </c>
      <c r="AP15" s="23">
        <f t="shared" si="35"/>
        <v>0</v>
      </c>
      <c r="AQ15" s="28">
        <f t="shared" si="10"/>
        <v>0</v>
      </c>
      <c r="AR15" s="28">
        <f t="shared" si="11"/>
        <v>0</v>
      </c>
      <c r="AS15" s="28">
        <f t="shared" si="12"/>
        <v>9372.3727717076599</v>
      </c>
      <c r="AT15" s="28">
        <f t="shared" si="13"/>
        <v>0</v>
      </c>
      <c r="AU15" s="389">
        <f t="shared" si="36"/>
        <v>101239.99</v>
      </c>
      <c r="AV15" s="389">
        <f t="shared" si="37"/>
        <v>101239.98564465875</v>
      </c>
      <c r="AW15" s="29">
        <f t="shared" si="38"/>
        <v>1</v>
      </c>
      <c r="AX15" s="28">
        <f>SUMIFS('Fin Forecast'!$G$4:$G$520,'Fin Forecast'!$A$4:$A$520,'Sep20-Feb21 Transport Forecast'!$F15,'Fin Forecast'!$B$4:$B$520,'Sep20-Feb21 Transport Forecast'!AX$5)</f>
        <v>6110.72</v>
      </c>
      <c r="AY15" s="28">
        <f>SUMIFS('Fin Forecast'!$G$4:$G$520,'Fin Forecast'!$A$4:$A$520,'Sep20-Feb21 Transport Forecast'!$F15,'Fin Forecast'!$B$4:$B$520,'Sep20-Feb21 Transport Forecast'!AY$5)</f>
        <v>4400</v>
      </c>
      <c r="AZ15" s="28">
        <f>SUMIFS('Fin Forecast'!$G$4:$G$520,'Fin Forecast'!$A$4:$A$520,'Sep20-Feb21 Transport Forecast'!$F15,'Fin Forecast'!$B$4:$B$520,'Sep20-Feb21 Transport Forecast'!AZ$5)</f>
        <v>80681.892872951095</v>
      </c>
      <c r="BA15" s="28">
        <f>SUMIFS('Fin Forecast'!$G$4:$G$520,'Fin Forecast'!$A$4:$A$520,'Sep20-Feb21 Transport Forecast'!$F15,'Fin Forecast'!$B$4:$B$520,'Sep20-Feb21 Transport Forecast'!BA$5)</f>
        <v>0</v>
      </c>
      <c r="BB15" s="28">
        <f>SUMIFS('Fin Forecast'!$G$4:$G$520,'Fin Forecast'!$A$4:$A$520,'Sep20-Feb21 Transport Forecast'!$F15,'Fin Forecast'!$B$4:$B$520,'Sep20-Feb21 Transport Forecast'!BB$5)</f>
        <v>675</v>
      </c>
      <c r="BC15" s="28">
        <f>SUMIFS('Fin Forecast'!$E$4:$E$520,'Fin Forecast'!$A$4:$A$520,'Sep20-Feb21 Transport Forecast'!$F15,'Fin Forecast'!$B$4:$B$520,'Sep20-Feb21 Transport Forecast'!BC$5)</f>
        <v>0</v>
      </c>
      <c r="BD15" s="28">
        <f>SUMIFS('Fin Forecast'!$E$4:$E$520,'Fin Forecast'!$A$4:$A$520,'Sep20-Feb21 Transport Forecast'!$F15,'Fin Forecast'!$B$4:$B$520,'Sep20-Feb21 Transport Forecast'!BD$5)</f>
        <v>0</v>
      </c>
      <c r="BE15" s="28">
        <f>SUMIFS('Fin Forecast'!$G$4:$G$520,'Fin Forecast'!$A$4:$A$520,'Sep20-Feb21 Transport Forecast'!$F15,'Fin Forecast'!$B$4:$B$520,'Sep20-Feb21 Transport Forecast'!BE$5)</f>
        <v>9372.3727717076599</v>
      </c>
      <c r="BF15" s="28">
        <f>SUMIFS('Fin Forecast'!$E$4:$E$520,'Fin Forecast'!$A$4:$A$520,'Sep20-Feb21 Transport Forecast'!$F15,'Fin Forecast'!$B$4:$B$520,'Sep20-Feb21 Transport Forecast'!BF$5)</f>
        <v>0</v>
      </c>
      <c r="BG15" s="28">
        <f>SUMIFS('Fin Forecast'!$E$4:$E$520,'Fin Forecast'!$A$4:$A$520,'Sep20-Feb21 Transport Forecast'!$F15,'Fin Forecast'!$B$4:$B$520,'Sep20-Feb21 Transport Forecast'!BG$5)</f>
        <v>0</v>
      </c>
      <c r="BI15" s="37">
        <f t="shared" si="20"/>
        <v>4.3553412542678416E-3</v>
      </c>
      <c r="BJ15" s="42">
        <f t="shared" si="21"/>
        <v>0</v>
      </c>
      <c r="BK15" s="42">
        <f t="shared" si="22"/>
        <v>0</v>
      </c>
      <c r="BL15" s="392">
        <f t="shared" si="23"/>
        <v>0</v>
      </c>
      <c r="BM15" s="42">
        <f t="shared" si="24"/>
        <v>0</v>
      </c>
    </row>
    <row r="16" spans="1:65" x14ac:dyDescent="0.25">
      <c r="A16" s="8" t="s">
        <v>382</v>
      </c>
      <c r="B16" s="8"/>
      <c r="C16" s="307">
        <f>C15</f>
        <v>44105</v>
      </c>
      <c r="D16" s="307" t="s">
        <v>53</v>
      </c>
      <c r="E16" s="2" t="str">
        <f t="shared" si="25"/>
        <v>892</v>
      </c>
      <c r="F16" s="2" t="s">
        <v>445</v>
      </c>
      <c r="G16" s="20">
        <f>SUMIF('Forecasted Customer Cts'!$D$5:$D$28,'Sep20-Feb21 Transport Forecast'!$F16,'Forecasted Customer Cts'!$O$5:$O$28)</f>
        <v>1</v>
      </c>
      <c r="H16" s="20">
        <v>0</v>
      </c>
      <c r="I16" s="20">
        <f>SUMIF('Forecasted Calendar Month Usage'!$D$5:$D$32,'Sep20-Feb21 Transport Forecast'!$F16,'Forecasted Calendar Month Usage'!$O$5:$O$32)</f>
        <v>13371.75</v>
      </c>
      <c r="J16" s="20">
        <v>0</v>
      </c>
      <c r="K16" s="20">
        <v>0</v>
      </c>
      <c r="L16" s="20">
        <v>0</v>
      </c>
      <c r="M16" s="20">
        <v>0</v>
      </c>
      <c r="N16" s="21">
        <f>VLOOKUP($D16,'Retail Rates'!$B$7:$P$40,4,FALSE)</f>
        <v>500</v>
      </c>
      <c r="O16" s="21">
        <f>VLOOKUP($D16,'Retail Rates'!$B$7:$P$40,5,FALSE)</f>
        <v>0</v>
      </c>
      <c r="P16" s="21">
        <f>VLOOKUP($D16,'Retail Rates'!$B$7:$P$40,6,FALSE)</f>
        <v>550</v>
      </c>
      <c r="Q16" s="22">
        <f>VLOOKUP($D16,'Retail Rates'!$B$7:$P$40,10,FALSE)</f>
        <v>1.0644</v>
      </c>
      <c r="R16" s="22">
        <f>VLOOKUP($D16,'Retail Rates'!$B$7:$P$40,11,FALSE)</f>
        <v>0</v>
      </c>
      <c r="S16" s="22">
        <f>VLOOKUP($D16,'Retail Rates'!$B$7:$P$40,15,FALSE)</f>
        <v>0</v>
      </c>
      <c r="T16" s="21">
        <v>75</v>
      </c>
      <c r="U16" s="23">
        <f t="shared" si="26"/>
        <v>500</v>
      </c>
      <c r="V16" s="23">
        <f t="shared" si="27"/>
        <v>0</v>
      </c>
      <c r="W16" s="23">
        <f>G16*P16</f>
        <v>550</v>
      </c>
      <c r="X16" s="23">
        <f t="shared" si="28"/>
        <v>14232.8907</v>
      </c>
      <c r="Y16" s="23">
        <f t="shared" si="28"/>
        <v>0</v>
      </c>
      <c r="Z16" s="23">
        <f t="shared" si="29"/>
        <v>0</v>
      </c>
      <c r="AA16" s="23">
        <f t="shared" si="30"/>
        <v>0</v>
      </c>
      <c r="AB16" s="41"/>
      <c r="AC16" s="41"/>
      <c r="AD16" s="33"/>
      <c r="AE16" s="33"/>
      <c r="AF16" s="33"/>
      <c r="AG16" s="33"/>
      <c r="AH16" s="33"/>
      <c r="AI16" s="23">
        <f t="shared" si="31"/>
        <v>500</v>
      </c>
      <c r="AJ16" s="23">
        <f t="shared" si="31"/>
        <v>0</v>
      </c>
      <c r="AK16" s="23">
        <f t="shared" si="32"/>
        <v>550</v>
      </c>
      <c r="AL16" s="23">
        <f t="shared" si="33"/>
        <v>14232.8907</v>
      </c>
      <c r="AM16" s="23">
        <f t="shared" si="33"/>
        <v>0</v>
      </c>
      <c r="AN16" s="23">
        <f t="shared" si="33"/>
        <v>0</v>
      </c>
      <c r="AO16" s="23">
        <f t="shared" si="34"/>
        <v>0</v>
      </c>
      <c r="AP16" s="23">
        <f t="shared" si="35"/>
        <v>0</v>
      </c>
      <c r="AQ16" s="28">
        <f t="shared" si="10"/>
        <v>0</v>
      </c>
      <c r="AR16" s="28">
        <f t="shared" si="11"/>
        <v>0</v>
      </c>
      <c r="AS16" s="28">
        <f t="shared" si="12"/>
        <v>1559.16698159725</v>
      </c>
      <c r="AT16" s="28">
        <f t="shared" si="13"/>
        <v>0</v>
      </c>
      <c r="AU16" s="389">
        <f t="shared" si="36"/>
        <v>16842.060000000001</v>
      </c>
      <c r="AV16" s="389">
        <f t="shared" si="37"/>
        <v>16842.057681597249</v>
      </c>
      <c r="AW16" s="29">
        <f t="shared" si="38"/>
        <v>1</v>
      </c>
      <c r="AX16" s="28">
        <f>SUMIFS('Fin Forecast'!$G$4:$G$520,'Fin Forecast'!$A$4:$A$520,'Sep20-Feb21 Transport Forecast'!$F16,'Fin Forecast'!$B$4:$B$520,'Sep20-Feb21 Transport Forecast'!AX$5)</f>
        <v>500</v>
      </c>
      <c r="AY16" s="28">
        <f>SUMIFS('Fin Forecast'!$G$4:$G$520,'Fin Forecast'!$A$4:$A$520,'Sep20-Feb21 Transport Forecast'!$F16,'Fin Forecast'!$B$4:$B$520,'Sep20-Feb21 Transport Forecast'!AY$5)</f>
        <v>550</v>
      </c>
      <c r="AZ16" s="28">
        <f>SUMIFS('Fin Forecast'!$G$4:$G$520,'Fin Forecast'!$A$4:$A$520,'Sep20-Feb21 Transport Forecast'!$F16,'Fin Forecast'!$B$4:$B$520,'Sep20-Feb21 Transport Forecast'!AZ$5)</f>
        <v>14232.8907</v>
      </c>
      <c r="BA16" s="28">
        <f>SUMIFS('Fin Forecast'!$G$4:$G$520,'Fin Forecast'!$A$4:$A$520,'Sep20-Feb21 Transport Forecast'!$F16,'Fin Forecast'!$B$4:$B$520,'Sep20-Feb21 Transport Forecast'!BA$5)</f>
        <v>0</v>
      </c>
      <c r="BB16" s="28">
        <f>SUMIFS('Fin Forecast'!$G$4:$G$520,'Fin Forecast'!$A$4:$A$520,'Sep20-Feb21 Transport Forecast'!$F16,'Fin Forecast'!$B$4:$B$520,'Sep20-Feb21 Transport Forecast'!BB$5)</f>
        <v>0</v>
      </c>
      <c r="BC16" s="28">
        <f>SUMIFS('Fin Forecast'!$E$4:$E$520,'Fin Forecast'!$A$4:$A$520,'Sep20-Feb21 Transport Forecast'!$F16,'Fin Forecast'!$B$4:$B$520,'Sep20-Feb21 Transport Forecast'!BC$5)</f>
        <v>0</v>
      </c>
      <c r="BD16" s="28">
        <f>SUMIFS('Fin Forecast'!$E$4:$E$520,'Fin Forecast'!$A$4:$A$520,'Sep20-Feb21 Transport Forecast'!$F16,'Fin Forecast'!$B$4:$B$520,'Sep20-Feb21 Transport Forecast'!BD$5)</f>
        <v>0</v>
      </c>
      <c r="BE16" s="28">
        <f>SUMIFS('Fin Forecast'!$G$4:$G$520,'Fin Forecast'!$A$4:$A$520,'Sep20-Feb21 Transport Forecast'!$F16,'Fin Forecast'!$B$4:$B$520,'Sep20-Feb21 Transport Forecast'!BE$5)</f>
        <v>1559.16698159725</v>
      </c>
      <c r="BF16" s="28">
        <f>SUMIFS('Fin Forecast'!$E$4:$E$520,'Fin Forecast'!$A$4:$A$520,'Sep20-Feb21 Transport Forecast'!$F16,'Fin Forecast'!$B$4:$B$520,'Sep20-Feb21 Transport Forecast'!BF$5)</f>
        <v>0</v>
      </c>
      <c r="BG16" s="28">
        <f>SUMIFS('Fin Forecast'!$E$4:$E$520,'Fin Forecast'!$A$4:$A$520,'Sep20-Feb21 Transport Forecast'!$F16,'Fin Forecast'!$B$4:$B$520,'Sep20-Feb21 Transport Forecast'!BG$5)</f>
        <v>0</v>
      </c>
      <c r="BI16" s="37">
        <f t="shared" si="20"/>
        <v>2.3184027522802353E-3</v>
      </c>
      <c r="BJ16" s="42">
        <f t="shared" si="21"/>
        <v>0</v>
      </c>
      <c r="BK16" s="42">
        <f t="shared" si="22"/>
        <v>0</v>
      </c>
      <c r="BL16" s="392">
        <f t="shared" si="23"/>
        <v>0</v>
      </c>
      <c r="BM16" s="42">
        <f t="shared" si="24"/>
        <v>0</v>
      </c>
    </row>
    <row r="17" spans="1:65" x14ac:dyDescent="0.25">
      <c r="A17" s="8" t="s">
        <v>383</v>
      </c>
      <c r="B17" s="8"/>
      <c r="C17" s="307">
        <f>C16</f>
        <v>44105</v>
      </c>
      <c r="D17" s="307" t="s">
        <v>567</v>
      </c>
      <c r="E17" s="2" t="str">
        <f t="shared" si="25"/>
        <v>883</v>
      </c>
      <c r="F17" s="2" t="s">
        <v>576</v>
      </c>
      <c r="G17" s="20">
        <f>SUMIF('Forecasted Customer Cts'!$D$5:$D$28,'Sep20-Feb21 Transport Forecast'!$F17,'Forecasted Customer Cts'!$M$5:$M$28)</f>
        <v>0</v>
      </c>
      <c r="H17" s="20">
        <v>0</v>
      </c>
      <c r="I17" s="20">
        <f>SUMIF('Forecasted Calendar Month Usage'!$D$5:$D$32,'Sep20-Feb21 Transport Forecast'!$F17,'Forecasted Calendar Month Usage'!$M$5:$M$32)</f>
        <v>0</v>
      </c>
      <c r="J17" s="20">
        <v>0</v>
      </c>
      <c r="K17" s="20">
        <v>0</v>
      </c>
      <c r="L17" s="20">
        <f>SUMIFS('Fin Forecast'!$G$4:$G$520,'Fin Forecast'!$A$4:$A$520,'Sep20-Feb21 Transport Forecast'!$F17,'Fin Forecast'!$B$4:$B$520,'Sep20-Feb21 Transport Forecast'!L$5)/S17</f>
        <v>0</v>
      </c>
      <c r="M17" s="20">
        <v>0</v>
      </c>
      <c r="N17" s="21">
        <f>VLOOKUP($D17,'Retail Rates'!$B$7:$P$40,4,FALSE)</f>
        <v>165</v>
      </c>
      <c r="O17" s="21">
        <f>VLOOKUP($D17,'Retail Rates'!$B$7:$P$40,5,FALSE)</f>
        <v>750</v>
      </c>
      <c r="P17" s="21">
        <f>VLOOKUP($D17,'Retail Rates'!$B$7:$P$40,6,FALSE)</f>
        <v>550</v>
      </c>
      <c r="Q17" s="22">
        <f>VLOOKUP($D17,'Retail Rates'!$B$7:$P$40,10,FALSE)</f>
        <v>0.29919999999999997</v>
      </c>
      <c r="R17" s="22">
        <f>VLOOKUP($D17,'Retail Rates'!$B$7:$P$40,11,FALSE)</f>
        <v>0</v>
      </c>
      <c r="S17" s="22">
        <f>VLOOKUP($D17,'Retail Rates'!$B$7:$P$40,15,FALSE)</f>
        <v>10.8978</v>
      </c>
      <c r="T17" s="21">
        <v>75</v>
      </c>
      <c r="U17" s="23">
        <f t="shared" si="26"/>
        <v>0</v>
      </c>
      <c r="V17" s="23">
        <f t="shared" si="27"/>
        <v>0</v>
      </c>
      <c r="W17" s="23">
        <f>G17*P17</f>
        <v>0</v>
      </c>
      <c r="X17" s="23">
        <f t="shared" si="28"/>
        <v>0</v>
      </c>
      <c r="Y17" s="23">
        <f t="shared" si="28"/>
        <v>0</v>
      </c>
      <c r="Z17" s="23">
        <f t="shared" si="29"/>
        <v>0</v>
      </c>
      <c r="AA17" s="23">
        <f t="shared" si="30"/>
        <v>0</v>
      </c>
      <c r="AB17" s="41"/>
      <c r="AC17" s="41"/>
      <c r="AD17" s="33"/>
      <c r="AE17" s="33"/>
      <c r="AF17" s="33"/>
      <c r="AG17" s="33"/>
      <c r="AH17" s="33"/>
      <c r="AI17" s="23">
        <f t="shared" si="31"/>
        <v>0</v>
      </c>
      <c r="AJ17" s="23">
        <f t="shared" si="31"/>
        <v>0</v>
      </c>
      <c r="AK17" s="23">
        <f t="shared" si="32"/>
        <v>0</v>
      </c>
      <c r="AL17" s="23">
        <f t="shared" si="33"/>
        <v>0</v>
      </c>
      <c r="AM17" s="23">
        <f t="shared" si="33"/>
        <v>0</v>
      </c>
      <c r="AN17" s="23">
        <f t="shared" si="33"/>
        <v>0</v>
      </c>
      <c r="AO17" s="23">
        <f t="shared" si="34"/>
        <v>0</v>
      </c>
      <c r="AP17" s="23">
        <f t="shared" si="35"/>
        <v>0</v>
      </c>
      <c r="AQ17" s="28">
        <f t="shared" si="10"/>
        <v>0</v>
      </c>
      <c r="AR17" s="28">
        <f t="shared" si="11"/>
        <v>0</v>
      </c>
      <c r="AS17" s="28">
        <f t="shared" si="12"/>
        <v>0</v>
      </c>
      <c r="AT17" s="28">
        <f t="shared" si="13"/>
        <v>0</v>
      </c>
      <c r="AU17" s="389">
        <f t="shared" si="36"/>
        <v>0</v>
      </c>
      <c r="AV17" s="389">
        <f t="shared" si="37"/>
        <v>0</v>
      </c>
      <c r="AW17" s="29">
        <f t="shared" si="38"/>
        <v>0</v>
      </c>
      <c r="AX17" s="28">
        <f>SUMIFS('Fin Forecast'!$G$4:$G$520,'Fin Forecast'!$A$4:$A$520,'Sep20-Feb21 Transport Forecast'!$F17,'Fin Forecast'!$B$4:$B$520,'Sep20-Feb21 Transport Forecast'!AX$5)</f>
        <v>0</v>
      </c>
      <c r="AY17" s="28">
        <f>SUMIFS('Fin Forecast'!$G$4:$G$520,'Fin Forecast'!$A$4:$A$520,'Sep20-Feb21 Transport Forecast'!$F17,'Fin Forecast'!$B$4:$B$520,'Sep20-Feb21 Transport Forecast'!AY$5)</f>
        <v>0</v>
      </c>
      <c r="AZ17" s="28">
        <f>SUMIFS('Fin Forecast'!$G$4:$G$520,'Fin Forecast'!$A$4:$A$520,'Sep20-Feb21 Transport Forecast'!$F17,'Fin Forecast'!$B$4:$B$520,'Sep20-Feb21 Transport Forecast'!AZ$5)</f>
        <v>0</v>
      </c>
      <c r="BA17" s="28">
        <f>SUMIFS('Fin Forecast'!$G$4:$G$520,'Fin Forecast'!$A$4:$A$520,'Sep20-Feb21 Transport Forecast'!$F17,'Fin Forecast'!$B$4:$B$520,'Sep20-Feb21 Transport Forecast'!BA$5)</f>
        <v>0</v>
      </c>
      <c r="BB17" s="28">
        <f>SUMIFS('Fin Forecast'!$G$4:$G$520,'Fin Forecast'!$A$4:$A$520,'Sep20-Feb21 Transport Forecast'!$F17,'Fin Forecast'!$B$4:$B$520,'Sep20-Feb21 Transport Forecast'!BB$5)</f>
        <v>0</v>
      </c>
      <c r="BC17" s="28">
        <f>SUMIFS('Fin Forecast'!$E$4:$E$520,'Fin Forecast'!$A$4:$A$520,'Sep20-Feb21 Transport Forecast'!$F17,'Fin Forecast'!$B$4:$B$520,'Sep20-Feb21 Transport Forecast'!BC$5)</f>
        <v>0</v>
      </c>
      <c r="BD17" s="28">
        <f>SUMIFS('Fin Forecast'!$E$4:$E$520,'Fin Forecast'!$A$4:$A$520,'Sep20-Feb21 Transport Forecast'!$F17,'Fin Forecast'!$B$4:$B$520,'Sep20-Feb21 Transport Forecast'!BD$5)</f>
        <v>0</v>
      </c>
      <c r="BE17" s="28">
        <f>SUMIFS('Fin Forecast'!$G$4:$G$520,'Fin Forecast'!$A$4:$A$520,'Sep20-Feb21 Transport Forecast'!$F17,'Fin Forecast'!$B$4:$B$520,'Sep20-Feb21 Transport Forecast'!BE$5)</f>
        <v>0</v>
      </c>
      <c r="BF17" s="28">
        <f>SUMIFS('Fin Forecast'!$E$4:$E$520,'Fin Forecast'!$A$4:$A$520,'Sep20-Feb21 Transport Forecast'!$F17,'Fin Forecast'!$B$4:$B$520,'Sep20-Feb21 Transport Forecast'!BF$5)</f>
        <v>0</v>
      </c>
      <c r="BG17" s="28">
        <f>SUMIFS('Fin Forecast'!$E$4:$E$520,'Fin Forecast'!$A$4:$A$520,'Sep20-Feb21 Transport Forecast'!$F17,'Fin Forecast'!$B$4:$B$520,'Sep20-Feb21 Transport Forecast'!BG$5)</f>
        <v>0</v>
      </c>
      <c r="BI17" s="37">
        <f t="shared" si="20"/>
        <v>0</v>
      </c>
      <c r="BJ17" s="42">
        <f t="shared" si="21"/>
        <v>0</v>
      </c>
      <c r="BK17" s="42">
        <f t="shared" si="22"/>
        <v>0</v>
      </c>
      <c r="BL17" s="392">
        <f t="shared" si="23"/>
        <v>0</v>
      </c>
      <c r="BM17" s="42">
        <f t="shared" si="24"/>
        <v>0</v>
      </c>
    </row>
    <row r="18" spans="1:65" x14ac:dyDescent="0.25">
      <c r="A18" s="8"/>
      <c r="B18" s="8"/>
      <c r="C18" s="307">
        <f>C17</f>
        <v>44105</v>
      </c>
      <c r="D18" s="307" t="s">
        <v>562</v>
      </c>
      <c r="E18" s="2" t="str">
        <f t="shared" si="25"/>
        <v>872</v>
      </c>
      <c r="F18" s="2" t="s">
        <v>551</v>
      </c>
      <c r="G18" s="20">
        <f>SUMIF('Forecasted Customer Cts'!$D$5:$D$28,'Sep20-Feb21 Transport Forecast'!$F18,'Forecasted Customer Cts'!$M$5:$M$28)</f>
        <v>0</v>
      </c>
      <c r="H18" s="20">
        <v>0</v>
      </c>
      <c r="I18" s="20">
        <f>SUMIF('Forecasted Calendar Month Usage'!$D$5:$D$32,'Sep20-Feb21 Transport Forecast'!$F18,'Forecasted Calendar Month Usage'!$M$5:$M$32)</f>
        <v>0</v>
      </c>
      <c r="J18" s="20">
        <v>0</v>
      </c>
      <c r="K18" s="20">
        <v>0</v>
      </c>
      <c r="L18" s="20">
        <f>SUMIFS('Fin Forecast'!$G$4:$G$520,'Fin Forecast'!$A$4:$A$520,'Sep20-Feb21 Transport Forecast'!$F18,'Fin Forecast'!$B$4:$B$520,'Sep20-Feb21 Transport Forecast'!L$5)/S18</f>
        <v>0</v>
      </c>
      <c r="M18" s="20">
        <v>0</v>
      </c>
      <c r="N18" s="21">
        <f>VLOOKUP($D18,'Retail Rates'!$B$7:$P$40,4,FALSE)</f>
        <v>750</v>
      </c>
      <c r="O18" s="21">
        <f>VLOOKUP($D18,'Retail Rates'!$B$7:$P$40,5,FALSE)</f>
        <v>0</v>
      </c>
      <c r="P18" s="21">
        <f>VLOOKUP($D18,'Retail Rates'!$B$7:$P$40,6,FALSE)</f>
        <v>550</v>
      </c>
      <c r="Q18" s="22">
        <f>VLOOKUP($D18,'Retail Rates'!$B$7:$P$40,10,FALSE)</f>
        <v>3.7999999999999999E-2</v>
      </c>
      <c r="R18" s="22">
        <f>VLOOKUP($D18,'Retail Rates'!$B$7:$P$40,11,FALSE)</f>
        <v>0</v>
      </c>
      <c r="S18" s="22">
        <f>VLOOKUP($D18,'Retail Rates'!$B$7:$P$40,15,FALSE)</f>
        <v>4.8899999999999997</v>
      </c>
      <c r="T18" s="21">
        <v>75</v>
      </c>
      <c r="U18" s="23">
        <f t="shared" si="26"/>
        <v>0</v>
      </c>
      <c r="V18" s="23">
        <f t="shared" si="27"/>
        <v>0</v>
      </c>
      <c r="W18" s="23">
        <f>G18*P18</f>
        <v>0</v>
      </c>
      <c r="X18" s="23">
        <f t="shared" si="28"/>
        <v>0</v>
      </c>
      <c r="Y18" s="23">
        <f t="shared" si="28"/>
        <v>0</v>
      </c>
      <c r="Z18" s="23">
        <f t="shared" si="29"/>
        <v>0</v>
      </c>
      <c r="AA18" s="23">
        <f t="shared" si="30"/>
        <v>0</v>
      </c>
      <c r="AB18" s="41"/>
      <c r="AC18" s="41"/>
      <c r="AD18" s="33"/>
      <c r="AE18" s="33"/>
      <c r="AF18" s="33"/>
      <c r="AG18" s="33"/>
      <c r="AH18" s="33"/>
      <c r="AI18" s="23">
        <f t="shared" si="31"/>
        <v>0</v>
      </c>
      <c r="AJ18" s="23">
        <f t="shared" si="31"/>
        <v>0</v>
      </c>
      <c r="AK18" s="23">
        <f t="shared" si="32"/>
        <v>0</v>
      </c>
      <c r="AL18" s="23">
        <f t="shared" si="33"/>
        <v>0</v>
      </c>
      <c r="AM18" s="23">
        <f t="shared" si="33"/>
        <v>0</v>
      </c>
      <c r="AN18" s="23">
        <f t="shared" si="33"/>
        <v>0</v>
      </c>
      <c r="AO18" s="23">
        <f t="shared" si="34"/>
        <v>0</v>
      </c>
      <c r="AP18" s="23">
        <f t="shared" si="35"/>
        <v>0</v>
      </c>
      <c r="AQ18" s="28">
        <f t="shared" si="10"/>
        <v>0</v>
      </c>
      <c r="AR18" s="28">
        <f t="shared" si="11"/>
        <v>0</v>
      </c>
      <c r="AS18" s="28">
        <f t="shared" si="12"/>
        <v>0</v>
      </c>
      <c r="AT18" s="28">
        <f t="shared" si="13"/>
        <v>0</v>
      </c>
      <c r="AU18" s="389">
        <f t="shared" si="36"/>
        <v>0</v>
      </c>
      <c r="AV18" s="389">
        <f t="shared" si="37"/>
        <v>0</v>
      </c>
      <c r="AW18" s="29">
        <f t="shared" si="38"/>
        <v>0</v>
      </c>
      <c r="AX18" s="28">
        <f>SUMIFS('Fin Forecast'!$G$4:$G$520,'Fin Forecast'!$A$4:$A$520,'Sep20-Feb21 Transport Forecast'!$F18,'Fin Forecast'!$B$4:$B$520,'Sep20-Feb21 Transport Forecast'!AX$5)</f>
        <v>0</v>
      </c>
      <c r="AY18" s="28">
        <f>SUMIFS('Fin Forecast'!$G$4:$G$520,'Fin Forecast'!$A$4:$A$520,'Sep20-Feb21 Transport Forecast'!$F18,'Fin Forecast'!$B$4:$B$520,'Sep20-Feb21 Transport Forecast'!AY$5)</f>
        <v>0</v>
      </c>
      <c r="AZ18" s="28">
        <f>SUMIFS('Fin Forecast'!$G$4:$G$520,'Fin Forecast'!$A$4:$A$520,'Sep20-Feb21 Transport Forecast'!$F18,'Fin Forecast'!$B$4:$B$520,'Sep20-Feb21 Transport Forecast'!AZ$5)</f>
        <v>0</v>
      </c>
      <c r="BA18" s="28">
        <f>SUMIFS('Fin Forecast'!$G$4:$G$520,'Fin Forecast'!$A$4:$A$520,'Sep20-Feb21 Transport Forecast'!$F18,'Fin Forecast'!$B$4:$B$520,'Sep20-Feb21 Transport Forecast'!BA$5)</f>
        <v>0</v>
      </c>
      <c r="BB18" s="28">
        <f>SUMIFS('Fin Forecast'!$G$4:$G$520,'Fin Forecast'!$A$4:$A$520,'Sep20-Feb21 Transport Forecast'!$F18,'Fin Forecast'!$B$4:$B$520,'Sep20-Feb21 Transport Forecast'!BB$5)</f>
        <v>0</v>
      </c>
      <c r="BC18" s="28">
        <f>SUMIFS('Fin Forecast'!$E$4:$E$520,'Fin Forecast'!$A$4:$A$520,'Sep20-Feb21 Transport Forecast'!$F18,'Fin Forecast'!$B$4:$B$520,'Sep20-Feb21 Transport Forecast'!BC$5)</f>
        <v>0</v>
      </c>
      <c r="BD18" s="28">
        <f>SUMIFS('Fin Forecast'!$E$4:$E$520,'Fin Forecast'!$A$4:$A$520,'Sep20-Feb21 Transport Forecast'!$F18,'Fin Forecast'!$B$4:$B$520,'Sep20-Feb21 Transport Forecast'!BD$5)</f>
        <v>0</v>
      </c>
      <c r="BE18" s="28">
        <f>SUMIFS('Fin Forecast'!$G$4:$G$520,'Fin Forecast'!$A$4:$A$520,'Sep20-Feb21 Transport Forecast'!$F18,'Fin Forecast'!$B$4:$B$520,'Sep20-Feb21 Transport Forecast'!BE$5)</f>
        <v>0</v>
      </c>
      <c r="BF18" s="28">
        <f>SUMIFS('Fin Forecast'!$E$4:$E$520,'Fin Forecast'!$A$4:$A$520,'Sep20-Feb21 Transport Forecast'!$F18,'Fin Forecast'!$B$4:$B$520,'Sep20-Feb21 Transport Forecast'!BF$5)</f>
        <v>0</v>
      </c>
      <c r="BG18" s="28">
        <f>SUMIFS('Fin Forecast'!$E$4:$E$520,'Fin Forecast'!$A$4:$A$520,'Sep20-Feb21 Transport Forecast'!$F18,'Fin Forecast'!$B$4:$B$520,'Sep20-Feb21 Transport Forecast'!BG$5)</f>
        <v>0</v>
      </c>
      <c r="BI18" s="37">
        <f t="shared" si="20"/>
        <v>0</v>
      </c>
      <c r="BJ18" s="42">
        <f t="shared" si="21"/>
        <v>0</v>
      </c>
      <c r="BK18" s="42">
        <f t="shared" si="22"/>
        <v>0</v>
      </c>
      <c r="BL18" s="392">
        <f t="shared" si="23"/>
        <v>0</v>
      </c>
      <c r="BM18" s="42">
        <f t="shared" si="24"/>
        <v>0</v>
      </c>
    </row>
    <row r="19" spans="1:65" s="422" customFormat="1" x14ac:dyDescent="0.25">
      <c r="A19" s="412"/>
      <c r="B19" s="412"/>
      <c r="C19" s="413"/>
      <c r="D19" s="413"/>
      <c r="E19" s="414"/>
      <c r="F19" s="414"/>
      <c r="G19" s="415"/>
      <c r="H19" s="415"/>
      <c r="I19" s="415"/>
      <c r="J19" s="415"/>
      <c r="K19" s="415"/>
      <c r="L19" s="415"/>
      <c r="M19" s="415"/>
      <c r="N19" s="416"/>
      <c r="O19" s="416"/>
      <c r="P19" s="416"/>
      <c r="Q19" s="417"/>
      <c r="R19" s="417"/>
      <c r="S19" s="417"/>
      <c r="T19" s="418"/>
      <c r="U19" s="419"/>
      <c r="V19" s="419"/>
      <c r="W19" s="419"/>
      <c r="X19" s="419"/>
      <c r="Y19" s="419"/>
      <c r="Z19" s="419"/>
      <c r="AA19" s="419"/>
      <c r="AB19" s="420"/>
      <c r="AC19" s="420"/>
      <c r="AD19" s="419"/>
      <c r="AE19" s="419"/>
      <c r="AF19" s="419"/>
      <c r="AG19" s="419"/>
      <c r="AH19" s="419"/>
      <c r="AI19" s="419"/>
      <c r="AJ19" s="419"/>
      <c r="AK19" s="419"/>
      <c r="AL19" s="419"/>
      <c r="AM19" s="419"/>
      <c r="AN19" s="419"/>
      <c r="AO19" s="419"/>
      <c r="AP19" s="419"/>
      <c r="AQ19" s="419"/>
      <c r="AR19" s="419"/>
      <c r="AS19" s="419"/>
      <c r="AT19" s="419"/>
      <c r="AU19" s="419"/>
      <c r="AV19" s="419"/>
      <c r="AW19" s="421"/>
      <c r="AX19" s="419"/>
      <c r="AY19" s="419"/>
      <c r="AZ19" s="419"/>
      <c r="BA19" s="419"/>
      <c r="BB19" s="419"/>
      <c r="BC19" s="419"/>
      <c r="BD19" s="419"/>
      <c r="BE19" s="419"/>
      <c r="BF19" s="419"/>
      <c r="BG19" s="419"/>
      <c r="BI19" s="423"/>
      <c r="BJ19" s="419"/>
      <c r="BK19" s="419"/>
      <c r="BL19" s="424"/>
      <c r="BM19" s="419"/>
    </row>
    <row r="20" spans="1:65" x14ac:dyDescent="0.25">
      <c r="A20" s="8"/>
      <c r="B20" s="8"/>
      <c r="C20" s="307">
        <f>EDATE(C13,1)</f>
        <v>44136</v>
      </c>
      <c r="D20" s="307" t="s">
        <v>34</v>
      </c>
      <c r="E20" s="2" t="str">
        <f t="shared" ref="E20:E25" si="39">MID(D20,6,3)</f>
        <v>895</v>
      </c>
      <c r="F20" s="2" t="s">
        <v>610</v>
      </c>
      <c r="G20" s="20">
        <v>0</v>
      </c>
      <c r="H20" s="20">
        <f>SUMIF('Forecasted Customer Cts'!$D$5:$D$28,'Sep20-Feb21 Transport Forecast'!$F20,'Forecasted Customer Cts'!$P$5:$P$28)</f>
        <v>86</v>
      </c>
      <c r="I20" s="20">
        <f>SUMIF('Forecasted Calendar Month Usage'!$D$5:$D$32,'Sep20-Feb21 Transport Forecast'!$F20,'Forecasted Calendar Month Usage'!$P$5:$P$32)</f>
        <v>1040341.5233807465</v>
      </c>
      <c r="J20" s="20">
        <v>0</v>
      </c>
      <c r="K20" s="20">
        <v>71</v>
      </c>
      <c r="L20" s="20">
        <f>SUMIFS('Fin Forecast'!$H$4:$H$520,'Fin Forecast'!$A$4:$A$520,'Sep20-Feb21 Transport Forecast'!$F20,'Fin Forecast'!$B$4:$B$520,'Sep20-Feb21 Transport Forecast'!L$5)/S20</f>
        <v>77880.199999999808</v>
      </c>
      <c r="M20" s="20">
        <v>0</v>
      </c>
      <c r="N20" s="21">
        <f>VLOOKUP($D20,'Retail Rates'!$B$7:$P$40,4,FALSE)</f>
        <v>0</v>
      </c>
      <c r="O20" s="21">
        <f>VLOOKUP($D20,'Retail Rates'!$B$7:$P$40,5,FALSE)</f>
        <v>750</v>
      </c>
      <c r="P20" s="21">
        <f>VLOOKUP($D20,'Retail Rates'!$B$7:$P$40,6,FALSE)</f>
        <v>550</v>
      </c>
      <c r="Q20" s="22">
        <f>VLOOKUP($D20,'Retail Rates'!$B$7:$P$40,10,FALSE)</f>
        <v>3.7999999999999999E-2</v>
      </c>
      <c r="R20" s="22">
        <f>VLOOKUP($D20,'Retail Rates'!$B$7:$P$40,11,FALSE)</f>
        <v>0</v>
      </c>
      <c r="S20" s="22">
        <f>VLOOKUP($D20,'Retail Rates'!$B$7:$P$40,15,FALSE)</f>
        <v>4.8899999999999997</v>
      </c>
      <c r="T20" s="21">
        <v>75</v>
      </c>
      <c r="U20" s="23">
        <f t="shared" ref="U20:U25" si="40">(+G20*N20)</f>
        <v>0</v>
      </c>
      <c r="V20" s="23">
        <f t="shared" ref="V20:V25" si="41">H20*O20</f>
        <v>64500</v>
      </c>
      <c r="W20" s="23">
        <f>H20*P20</f>
        <v>47300</v>
      </c>
      <c r="X20" s="23">
        <f t="shared" ref="X20:Y25" si="42">+I20*Q20</f>
        <v>39532.977888468362</v>
      </c>
      <c r="Y20" s="23">
        <f t="shared" si="42"/>
        <v>0</v>
      </c>
      <c r="Z20" s="23">
        <f t="shared" ref="Z20:Z25" si="43">L20*S20</f>
        <v>380834.17799999902</v>
      </c>
      <c r="AA20" s="23">
        <f t="shared" ref="AA20:AA25" si="44">K20*T20</f>
        <v>5325</v>
      </c>
      <c r="AB20" s="41"/>
      <c r="AC20" s="41"/>
      <c r="AD20" s="33"/>
      <c r="AE20" s="33"/>
      <c r="AF20" s="33"/>
      <c r="AG20" s="33"/>
      <c r="AH20" s="33"/>
      <c r="AI20" s="23">
        <f t="shared" ref="AI20:AJ25" si="45">U20+AD20</f>
        <v>0</v>
      </c>
      <c r="AJ20" s="23">
        <f t="shared" si="45"/>
        <v>64500</v>
      </c>
      <c r="AK20" s="23">
        <f t="shared" ref="AK20:AK25" si="46">W20</f>
        <v>47300</v>
      </c>
      <c r="AL20" s="23">
        <f t="shared" ref="AL20:AN25" si="47">+X20+AF20</f>
        <v>39532.977888468362</v>
      </c>
      <c r="AM20" s="23">
        <f t="shared" si="47"/>
        <v>0</v>
      </c>
      <c r="AN20" s="23">
        <f t="shared" si="47"/>
        <v>380834.17799999902</v>
      </c>
      <c r="AO20" s="23">
        <f t="shared" ref="AO20:AO25" si="48">AA20</f>
        <v>5325</v>
      </c>
      <c r="AP20" s="23">
        <f t="shared" ref="AP20:AP25" si="49">BG20</f>
        <v>0</v>
      </c>
      <c r="AQ20" s="28">
        <f t="shared" si="10"/>
        <v>0</v>
      </c>
      <c r="AR20" s="28">
        <f t="shared" si="11"/>
        <v>0</v>
      </c>
      <c r="AS20" s="28">
        <f t="shared" si="12"/>
        <v>11129.919398910401</v>
      </c>
      <c r="AT20" s="28">
        <f t="shared" si="13"/>
        <v>0</v>
      </c>
      <c r="AU20" s="389">
        <f t="shared" ref="AU20:AU25" si="50">ROUND(SUM(AI20:AT20),2)</f>
        <v>548622.07999999996</v>
      </c>
      <c r="AV20" s="389">
        <f t="shared" ref="AV20:AV25" si="51">SUM(AX20:BG20)</f>
        <v>548622.07528737793</v>
      </c>
      <c r="AW20" s="29">
        <f t="shared" ref="AW20:AW25" si="52">IF(AV20=0,0,ROUND(AV20/AU20,6))</f>
        <v>1</v>
      </c>
      <c r="AX20" s="28">
        <f>SUMIFS('Fin Forecast'!$H$4:$H$520,'Fin Forecast'!$A$4:$A$520,'Sep20-Feb21 Transport Forecast'!$F20,'Fin Forecast'!$B$4:$B$520,'Sep20-Feb21 Transport Forecast'!AX$5)</f>
        <v>64500</v>
      </c>
      <c r="AY20" s="28">
        <f>SUMIFS('Fin Forecast'!$H$4:$H$520,'Fin Forecast'!$A$4:$A$520,'Sep20-Feb21 Transport Forecast'!$F20,'Fin Forecast'!$B$4:$B$520,'Sep20-Feb21 Transport Forecast'!AY$5)</f>
        <v>47300</v>
      </c>
      <c r="AZ20" s="28">
        <f>SUMIFS('Fin Forecast'!$H$4:$H$520,'Fin Forecast'!$A$4:$A$520,'Sep20-Feb21 Transport Forecast'!$F20,'Fin Forecast'!$B$4:$B$520,'Sep20-Feb21 Transport Forecast'!AZ$5)</f>
        <v>39532.9778884685</v>
      </c>
      <c r="BA20" s="28">
        <f>SUMIFS('Fin Forecast'!$H$4:$H$520,'Fin Forecast'!$A$4:$A$520,'Sep20-Feb21 Transport Forecast'!$F20,'Fin Forecast'!$B$4:$B$520,'Sep20-Feb21 Transport Forecast'!BA$5)</f>
        <v>380834.17799999902</v>
      </c>
      <c r="BB20" s="28">
        <f>SUMIFS('Fin Forecast'!$H$4:$H$520,'Fin Forecast'!$A$4:$A$520,'Sep20-Feb21 Transport Forecast'!$F20,'Fin Forecast'!$B$4:$B$520,'Sep20-Feb21 Transport Forecast'!BB$5)</f>
        <v>5325</v>
      </c>
      <c r="BC20" s="28">
        <f>SUMIFS('Fin Forecast'!$H$4:$H$520,'Fin Forecast'!$A$4:$A$520,'Sep20-Feb21 Transport Forecast'!$F20,'Fin Forecast'!$B$4:$B$520,'Sep20-Feb21 Transport Forecast'!BC$5)</f>
        <v>0</v>
      </c>
      <c r="BD20" s="28">
        <f>SUMIFS('Fin Forecast'!$H$4:$H$520,'Fin Forecast'!$A$4:$A$520,'Sep20-Feb21 Transport Forecast'!$F20,'Fin Forecast'!$B$4:$B$520,'Sep20-Feb21 Transport Forecast'!BD$5)</f>
        <v>0</v>
      </c>
      <c r="BE20" s="28">
        <f>SUMIFS('Fin Forecast'!$H$4:$H$520,'Fin Forecast'!$A$4:$A$520,'Sep20-Feb21 Transport Forecast'!$F20,'Fin Forecast'!$B$4:$B$520,'Sep20-Feb21 Transport Forecast'!BE$5)</f>
        <v>11129.919398910401</v>
      </c>
      <c r="BF20" s="28">
        <f>SUMIFS('Fin Forecast'!$F$4:$F$520,'Fin Forecast'!$A$4:$A$520,'Sep20-Feb21 Transport Forecast'!$F20,'Fin Forecast'!$B$4:$B$520,'Sep20-Feb21 Transport Forecast'!BF$5)</f>
        <v>0</v>
      </c>
      <c r="BG20" s="28">
        <f>SUMIFS('Fin Forecast'!$F$4:$F$520,'Fin Forecast'!$A$4:$A$520,'Sep20-Feb21 Transport Forecast'!$F20,'Fin Forecast'!$B$4:$B$520,'Sep20-Feb21 Transport Forecast'!BG$5)</f>
        <v>0</v>
      </c>
      <c r="BI20" s="37">
        <f t="shared" si="20"/>
        <v>4.7126220306381583E-3</v>
      </c>
      <c r="BJ20" s="42">
        <f t="shared" si="21"/>
        <v>0</v>
      </c>
      <c r="BK20" s="42">
        <f t="shared" si="22"/>
        <v>-1.3824319466948509E-10</v>
      </c>
      <c r="BL20" s="392">
        <f t="shared" si="23"/>
        <v>0</v>
      </c>
      <c r="BM20" s="42">
        <f t="shared" si="24"/>
        <v>0</v>
      </c>
    </row>
    <row r="21" spans="1:65" x14ac:dyDescent="0.25">
      <c r="A21" s="8"/>
      <c r="B21" s="8"/>
      <c r="C21" s="307">
        <f>$C$20</f>
        <v>44136</v>
      </c>
      <c r="D21" s="307" t="s">
        <v>30</v>
      </c>
      <c r="E21" s="2" t="str">
        <f t="shared" si="39"/>
        <v>881</v>
      </c>
      <c r="F21" s="2" t="s">
        <v>546</v>
      </c>
      <c r="G21" s="20">
        <f>SUMIFS('Forecasted Customer Cts'!$N$5:$N$28,'Forecasted Customer Cts'!$D$5:$D$28,$F21,'Forecasted Customer Cts'!$C$5:$C$28,$A$8)</f>
        <v>0</v>
      </c>
      <c r="H21" s="20">
        <f>SUMIFS('Forecasted Customer Cts'!$N$5:$N$28,'Forecasted Customer Cts'!$D$5:$D$28,$F21,'Forecasted Customer Cts'!$C$5:$C$28,$B$8)</f>
        <v>0</v>
      </c>
      <c r="I21" s="20">
        <f>(G21+H21)*100</f>
        <v>0</v>
      </c>
      <c r="J21" s="20">
        <f>SUMIF('Forecasted Calendar Month Usage'!$D$5:$D$32,'Sep20-Feb21 Transport Forecast'!$F21,'Forecasted Calendar Month Usage'!$N$5:$N$32)*10</f>
        <v>0</v>
      </c>
      <c r="K21" s="20">
        <v>0</v>
      </c>
      <c r="L21" s="20">
        <v>0</v>
      </c>
      <c r="M21" s="20">
        <v>0</v>
      </c>
      <c r="N21" s="21">
        <f>VLOOKUP($D21,'Retail Rates'!$B$7:$P$40,4,FALSE)</f>
        <v>1.97</v>
      </c>
      <c r="O21" s="21">
        <f>VLOOKUP($D21,'Retail Rates'!$B$7:$P$40,5,FALSE)</f>
        <v>9.3699999999999992</v>
      </c>
      <c r="P21" s="21">
        <f>VLOOKUP($D21,'Retail Rates'!$B$7:$P$40,6,FALSE)</f>
        <v>550</v>
      </c>
      <c r="Q21" s="22">
        <f>VLOOKUP($D21,'Retail Rates'!$B$7:$P$40,10,FALSE)</f>
        <v>3.0669999999999997</v>
      </c>
      <c r="R21" s="22">
        <f>VLOOKUP($D21,'Retail Rates'!$B$7:$P$40,11,FALSE)</f>
        <v>2.5669999999999997</v>
      </c>
      <c r="S21" s="22">
        <f>VLOOKUP($D21,'Retail Rates'!$B$7:$P$40,15,FALSE)</f>
        <v>0</v>
      </c>
      <c r="T21" s="21">
        <v>75</v>
      </c>
      <c r="U21" s="23">
        <f t="shared" si="40"/>
        <v>0</v>
      </c>
      <c r="V21" s="23">
        <f t="shared" si="41"/>
        <v>0</v>
      </c>
      <c r="W21" s="23">
        <f>(G21*P21)+(H21*P21)</f>
        <v>0</v>
      </c>
      <c r="X21" s="23">
        <f t="shared" si="42"/>
        <v>0</v>
      </c>
      <c r="Y21" s="23">
        <f t="shared" si="42"/>
        <v>0</v>
      </c>
      <c r="Z21" s="23">
        <f t="shared" si="43"/>
        <v>0</v>
      </c>
      <c r="AA21" s="23">
        <f t="shared" si="44"/>
        <v>0</v>
      </c>
      <c r="AB21" s="41"/>
      <c r="AC21" s="41"/>
      <c r="AD21" s="33"/>
      <c r="AE21" s="33"/>
      <c r="AF21" s="33"/>
      <c r="AG21" s="33"/>
      <c r="AH21" s="33"/>
      <c r="AI21" s="23">
        <f t="shared" si="45"/>
        <v>0</v>
      </c>
      <c r="AJ21" s="23">
        <f t="shared" si="45"/>
        <v>0</v>
      </c>
      <c r="AK21" s="23">
        <f t="shared" si="46"/>
        <v>0</v>
      </c>
      <c r="AL21" s="23">
        <f t="shared" si="47"/>
        <v>0</v>
      </c>
      <c r="AM21" s="23">
        <f t="shared" si="47"/>
        <v>0</v>
      </c>
      <c r="AN21" s="23">
        <f t="shared" si="47"/>
        <v>0</v>
      </c>
      <c r="AO21" s="23">
        <f t="shared" si="48"/>
        <v>0</v>
      </c>
      <c r="AP21" s="23">
        <f t="shared" si="49"/>
        <v>0</v>
      </c>
      <c r="AQ21" s="28">
        <f t="shared" si="10"/>
        <v>0</v>
      </c>
      <c r="AR21" s="28">
        <f t="shared" si="11"/>
        <v>0</v>
      </c>
      <c r="AS21" s="28">
        <f t="shared" si="12"/>
        <v>0</v>
      </c>
      <c r="AT21" s="28">
        <f t="shared" si="13"/>
        <v>0</v>
      </c>
      <c r="AU21" s="389">
        <f t="shared" si="50"/>
        <v>0</v>
      </c>
      <c r="AV21" s="389">
        <f t="shared" si="51"/>
        <v>0</v>
      </c>
      <c r="AW21" s="29">
        <f t="shared" si="52"/>
        <v>0</v>
      </c>
      <c r="AX21" s="28">
        <f>SUMIFS('Fin Forecast'!$H$4:$H$520,'Fin Forecast'!$A$4:$A$520,'Sep20-Feb21 Transport Forecast'!$F21,'Fin Forecast'!$B$4:$B$520,'Sep20-Feb21 Transport Forecast'!AX$5)</f>
        <v>0</v>
      </c>
      <c r="AY21" s="28">
        <f>SUMIFS('Fin Forecast'!$H$4:$H$520,'Fin Forecast'!$A$4:$A$520,'Sep20-Feb21 Transport Forecast'!$F21,'Fin Forecast'!$B$4:$B$520,'Sep20-Feb21 Transport Forecast'!AY$5)</f>
        <v>0</v>
      </c>
      <c r="AZ21" s="28">
        <f>SUMIFS('Fin Forecast'!$H$4:$H$520,'Fin Forecast'!$A$4:$A$520,'Sep20-Feb21 Transport Forecast'!$F21,'Fin Forecast'!$B$4:$B$520,'Sep20-Feb21 Transport Forecast'!AZ$5)</f>
        <v>0</v>
      </c>
      <c r="BA21" s="28">
        <f>SUMIFS('Fin Forecast'!$H$4:$H$520,'Fin Forecast'!$A$4:$A$520,'Sep20-Feb21 Transport Forecast'!$F21,'Fin Forecast'!$B$4:$B$520,'Sep20-Feb21 Transport Forecast'!BA$5)</f>
        <v>0</v>
      </c>
      <c r="BB21" s="28">
        <f>SUMIFS('Fin Forecast'!$H$4:$H$520,'Fin Forecast'!$A$4:$A$520,'Sep20-Feb21 Transport Forecast'!$F21,'Fin Forecast'!$B$4:$B$520,'Sep20-Feb21 Transport Forecast'!BB$5)</f>
        <v>0</v>
      </c>
      <c r="BC21" s="28">
        <f>SUMIFS('Fin Forecast'!$H$4:$H$520,'Fin Forecast'!$A$4:$A$520,'Sep20-Feb21 Transport Forecast'!$F21,'Fin Forecast'!$B$4:$B$520,'Sep20-Feb21 Transport Forecast'!BC$5)</f>
        <v>0</v>
      </c>
      <c r="BD21" s="28">
        <f>SUMIFS('Fin Forecast'!$H$4:$H$520,'Fin Forecast'!$A$4:$A$520,'Sep20-Feb21 Transport Forecast'!$F21,'Fin Forecast'!$B$4:$B$520,'Sep20-Feb21 Transport Forecast'!BD$5)</f>
        <v>0</v>
      </c>
      <c r="BE21" s="28">
        <f>SUMIFS('Fin Forecast'!$H$4:$H$520,'Fin Forecast'!$A$4:$A$520,'Sep20-Feb21 Transport Forecast'!$F21,'Fin Forecast'!$B$4:$B$520,'Sep20-Feb21 Transport Forecast'!BE$5)</f>
        <v>0</v>
      </c>
      <c r="BF21" s="28">
        <f>SUMIFS('Fin Forecast'!$F$4:$F$520,'Fin Forecast'!$A$4:$A$520,'Sep20-Feb21 Transport Forecast'!$F21,'Fin Forecast'!$B$4:$B$520,'Sep20-Feb21 Transport Forecast'!BF$5)</f>
        <v>0</v>
      </c>
      <c r="BG21" s="28">
        <f>SUMIFS('Fin Forecast'!$F$4:$F$520,'Fin Forecast'!$A$4:$A$520,'Sep20-Feb21 Transport Forecast'!$F21,'Fin Forecast'!$B$4:$B$520,'Sep20-Feb21 Transport Forecast'!BG$5)</f>
        <v>0</v>
      </c>
      <c r="BI21" s="37">
        <f t="shared" si="20"/>
        <v>0</v>
      </c>
      <c r="BJ21" s="42">
        <f t="shared" si="21"/>
        <v>0</v>
      </c>
      <c r="BK21" s="42">
        <f t="shared" si="22"/>
        <v>0</v>
      </c>
      <c r="BL21" s="392">
        <f t="shared" si="23"/>
        <v>0</v>
      </c>
      <c r="BM21" s="42">
        <f t="shared" si="24"/>
        <v>0</v>
      </c>
    </row>
    <row r="22" spans="1:65" x14ac:dyDescent="0.25">
      <c r="A22" s="8"/>
      <c r="B22" s="8"/>
      <c r="C22" s="307">
        <f>$C$20</f>
        <v>44136</v>
      </c>
      <c r="D22" s="307" t="s">
        <v>31</v>
      </c>
      <c r="E22" s="2" t="str">
        <f t="shared" si="39"/>
        <v>882</v>
      </c>
      <c r="F22" s="2" t="s">
        <v>549</v>
      </c>
      <c r="G22" s="20">
        <f>SUMIFS('Forecasted Customer Cts'!$N$5:$N$28,'Forecasted Customer Cts'!$D$5:$D$28,$F22,'Forecasted Customer Cts'!$C$5:$C$28,$A$8)</f>
        <v>0</v>
      </c>
      <c r="H22" s="20">
        <f>SUMIFS('Forecasted Customer Cts'!$N$5:$N$28,'Forecasted Customer Cts'!$D$5:$D$28,$F22,'Forecasted Customer Cts'!$C$5:$C$28,$B$8)</f>
        <v>8</v>
      </c>
      <c r="I22" s="20">
        <f>SUMIF('Forecasted Calendar Month Usage'!$D$5:$D$32,'Sep20-Feb21 Transport Forecast'!$F22,'Forecasted Calendar Month Usage'!$P$5:$P$32)</f>
        <v>45834.603636674488</v>
      </c>
      <c r="J22" s="20">
        <f>SUMIF('Forecasted Calendar Month Usage'!$D$5:$D$32,'Sep20-Feb21 Transport Forecast'!$F22,'Forecasted Calendar Month Usage'!$P$5:$P$32)-I22</f>
        <v>0</v>
      </c>
      <c r="K22" s="20">
        <v>9</v>
      </c>
      <c r="L22" s="20">
        <v>0</v>
      </c>
      <c r="M22" s="20">
        <f>SUMIFS('Fin Forecast'!$H$4:$H$520,'Fin Forecast'!$A$4:$A$520,'Sep20-Feb21 Transport Forecast'!$F22,'Fin Forecast'!$B$4:$B$520,'Sep20-Feb21 Transport Forecast'!AX$5)/O22</f>
        <v>240</v>
      </c>
      <c r="N22" s="21">
        <f>VLOOKUP($D22,'Retail Rates'!$B$7:$P$40,4,FALSE)</f>
        <v>5.42</v>
      </c>
      <c r="O22" s="21">
        <f>VLOOKUP($D22,'Retail Rates'!$B$7:$P$40,5,FALSE)</f>
        <v>24.64</v>
      </c>
      <c r="P22" s="21">
        <f>VLOOKUP($D22,'Retail Rates'!$B$7:$P$40,6,FALSE)</f>
        <v>550</v>
      </c>
      <c r="Q22" s="22">
        <f>VLOOKUP($D22,'Retail Rates'!$B$7:$P$40,10,FALSE)</f>
        <v>2.1929000000000003</v>
      </c>
      <c r="R22" s="22">
        <f>VLOOKUP($D22,'Retail Rates'!$B$7:$P$40,11,FALSE)</f>
        <v>1.6928999999999998</v>
      </c>
      <c r="S22" s="22">
        <f>VLOOKUP($D22,'Retail Rates'!$B$7:$P$40,15,FALSE)</f>
        <v>0</v>
      </c>
      <c r="T22" s="21">
        <v>75</v>
      </c>
      <c r="U22" s="23">
        <f t="shared" si="40"/>
        <v>0</v>
      </c>
      <c r="V22" s="23">
        <f>M22*O22</f>
        <v>5913.6</v>
      </c>
      <c r="W22" s="23">
        <f>(G22*P22)+(H22*P22)</f>
        <v>4400</v>
      </c>
      <c r="X22" s="23">
        <f t="shared" si="42"/>
        <v>100510.70231486351</v>
      </c>
      <c r="Y22" s="23">
        <f t="shared" si="42"/>
        <v>0</v>
      </c>
      <c r="Z22" s="23">
        <f t="shared" si="43"/>
        <v>0</v>
      </c>
      <c r="AA22" s="23">
        <f t="shared" si="44"/>
        <v>675</v>
      </c>
      <c r="AB22" s="41"/>
      <c r="AC22" s="41"/>
      <c r="AD22" s="33"/>
      <c r="AE22" s="33"/>
      <c r="AF22" s="33"/>
      <c r="AG22" s="33"/>
      <c r="AH22" s="33"/>
      <c r="AI22" s="23">
        <f t="shared" si="45"/>
        <v>0</v>
      </c>
      <c r="AJ22" s="23">
        <f t="shared" si="45"/>
        <v>5913.6</v>
      </c>
      <c r="AK22" s="23">
        <f t="shared" si="46"/>
        <v>4400</v>
      </c>
      <c r="AL22" s="23">
        <f t="shared" si="47"/>
        <v>100510.70231486351</v>
      </c>
      <c r="AM22" s="23">
        <f t="shared" si="47"/>
        <v>0</v>
      </c>
      <c r="AN22" s="23">
        <f t="shared" si="47"/>
        <v>0</v>
      </c>
      <c r="AO22" s="23">
        <f t="shared" si="48"/>
        <v>675</v>
      </c>
      <c r="AP22" s="23">
        <f t="shared" si="49"/>
        <v>0</v>
      </c>
      <c r="AQ22" s="28">
        <f t="shared" si="10"/>
        <v>0</v>
      </c>
      <c r="AR22" s="28">
        <f t="shared" si="11"/>
        <v>0</v>
      </c>
      <c r="AS22" s="28">
        <f t="shared" si="12"/>
        <v>7968.1179916522296</v>
      </c>
      <c r="AT22" s="28">
        <f t="shared" si="13"/>
        <v>0</v>
      </c>
      <c r="AU22" s="389">
        <f t="shared" si="50"/>
        <v>119467.42</v>
      </c>
      <c r="AV22" s="389">
        <f t="shared" si="51"/>
        <v>119467.42030651523</v>
      </c>
      <c r="AW22" s="29">
        <f t="shared" si="52"/>
        <v>1</v>
      </c>
      <c r="AX22" s="28">
        <f>SUMIFS('Fin Forecast'!$H$4:$H$520,'Fin Forecast'!$A$4:$A$520,'Sep20-Feb21 Transport Forecast'!$F22,'Fin Forecast'!$B$4:$B$520,'Sep20-Feb21 Transport Forecast'!AX$5)</f>
        <v>5913.6</v>
      </c>
      <c r="AY22" s="28">
        <f>SUMIFS('Fin Forecast'!$H$4:$H$520,'Fin Forecast'!$A$4:$A$520,'Sep20-Feb21 Transport Forecast'!$F22,'Fin Forecast'!$B$4:$B$520,'Sep20-Feb21 Transport Forecast'!AY$5)</f>
        <v>4400</v>
      </c>
      <c r="AZ22" s="28">
        <f>SUMIFS('Fin Forecast'!$H$4:$H$520,'Fin Forecast'!$A$4:$A$520,'Sep20-Feb21 Transport Forecast'!$F22,'Fin Forecast'!$B$4:$B$520,'Sep20-Feb21 Transport Forecast'!AZ$5)</f>
        <v>100510.702314863</v>
      </c>
      <c r="BA22" s="28">
        <f>SUMIFS('Fin Forecast'!$H$4:$H$520,'Fin Forecast'!$A$4:$A$520,'Sep20-Feb21 Transport Forecast'!$F22,'Fin Forecast'!$B$4:$B$520,'Sep20-Feb21 Transport Forecast'!BA$5)</f>
        <v>0</v>
      </c>
      <c r="BB22" s="28">
        <f>SUMIFS('Fin Forecast'!$H$4:$H$520,'Fin Forecast'!$A$4:$A$520,'Sep20-Feb21 Transport Forecast'!$F22,'Fin Forecast'!$B$4:$B$520,'Sep20-Feb21 Transport Forecast'!BB$5)</f>
        <v>675</v>
      </c>
      <c r="BC22" s="28">
        <f>SUMIFS('Fin Forecast'!$H$4:$H$520,'Fin Forecast'!$A$4:$A$520,'Sep20-Feb21 Transport Forecast'!$F22,'Fin Forecast'!$B$4:$B$520,'Sep20-Feb21 Transport Forecast'!BC$5)</f>
        <v>0</v>
      </c>
      <c r="BD22" s="28">
        <f>SUMIFS('Fin Forecast'!$H$4:$H$520,'Fin Forecast'!$A$4:$A$520,'Sep20-Feb21 Transport Forecast'!$F22,'Fin Forecast'!$B$4:$B$520,'Sep20-Feb21 Transport Forecast'!BD$5)</f>
        <v>0</v>
      </c>
      <c r="BE22" s="28">
        <f>SUMIFS('Fin Forecast'!$H$4:$H$520,'Fin Forecast'!$A$4:$A$520,'Sep20-Feb21 Transport Forecast'!$F22,'Fin Forecast'!$B$4:$B$520,'Sep20-Feb21 Transport Forecast'!BE$5)</f>
        <v>7968.1179916522296</v>
      </c>
      <c r="BF22" s="28">
        <f>SUMIFS('Fin Forecast'!$F$4:$F$520,'Fin Forecast'!$A$4:$A$520,'Sep20-Feb21 Transport Forecast'!$F22,'Fin Forecast'!$B$4:$B$520,'Sep20-Feb21 Transport Forecast'!BF$5)</f>
        <v>0</v>
      </c>
      <c r="BG22" s="28">
        <f>SUMIFS('Fin Forecast'!$F$4:$F$520,'Fin Forecast'!$A$4:$A$520,'Sep20-Feb21 Transport Forecast'!$F22,'Fin Forecast'!$B$4:$B$520,'Sep20-Feb21 Transport Forecast'!BG$5)</f>
        <v>0</v>
      </c>
      <c r="BI22" s="37">
        <f t="shared" si="20"/>
        <v>-3.0651522683911026E-4</v>
      </c>
      <c r="BJ22" s="42">
        <f t="shared" si="21"/>
        <v>0</v>
      </c>
      <c r="BK22" s="42">
        <f t="shared" si="22"/>
        <v>5.0931703299283981E-10</v>
      </c>
      <c r="BL22" s="392">
        <f t="shared" si="23"/>
        <v>0</v>
      </c>
      <c r="BM22" s="42">
        <f t="shared" si="24"/>
        <v>0</v>
      </c>
    </row>
    <row r="23" spans="1:65" x14ac:dyDescent="0.25">
      <c r="A23" s="8" t="s">
        <v>380</v>
      </c>
      <c r="B23" s="8" t="s">
        <v>381</v>
      </c>
      <c r="C23" s="307">
        <f>$C$20</f>
        <v>44136</v>
      </c>
      <c r="D23" s="307" t="s">
        <v>53</v>
      </c>
      <c r="E23" s="2" t="str">
        <f t="shared" si="39"/>
        <v>892</v>
      </c>
      <c r="F23" s="2" t="s">
        <v>445</v>
      </c>
      <c r="G23" s="20">
        <f>SUMIF('Forecasted Customer Cts'!$D$5:$D$28,'Sep20-Feb21 Transport Forecast'!$F23,'Forecasted Customer Cts'!$P$5:$P$28)</f>
        <v>1</v>
      </c>
      <c r="H23" s="20">
        <v>0</v>
      </c>
      <c r="I23" s="20">
        <f>SUMIF('Forecasted Calendar Month Usage'!$D$5:$D$32,'Sep20-Feb21 Transport Forecast'!$F23,'Forecasted Calendar Month Usage'!$P$5:$P$32)</f>
        <v>13842.125</v>
      </c>
      <c r="J23" s="20">
        <v>0</v>
      </c>
      <c r="K23" s="20">
        <v>0</v>
      </c>
      <c r="L23" s="20">
        <v>0</v>
      </c>
      <c r="M23" s="20">
        <v>0</v>
      </c>
      <c r="N23" s="21">
        <f>VLOOKUP($D23,'Retail Rates'!$B$7:$P$40,4,FALSE)</f>
        <v>500</v>
      </c>
      <c r="O23" s="21">
        <f>VLOOKUP($D23,'Retail Rates'!$B$7:$P$40,5,FALSE)</f>
        <v>0</v>
      </c>
      <c r="P23" s="21">
        <f>VLOOKUP($D23,'Retail Rates'!$B$7:$P$40,6,FALSE)</f>
        <v>550</v>
      </c>
      <c r="Q23" s="22">
        <f>VLOOKUP($D23,'Retail Rates'!$B$7:$P$40,10,FALSE)</f>
        <v>1.0644</v>
      </c>
      <c r="R23" s="22">
        <f>VLOOKUP($D23,'Retail Rates'!$B$7:$P$40,11,FALSE)</f>
        <v>0</v>
      </c>
      <c r="S23" s="22">
        <f>VLOOKUP($D23,'Retail Rates'!$B$7:$P$40,15,FALSE)</f>
        <v>0</v>
      </c>
      <c r="T23" s="21">
        <v>75</v>
      </c>
      <c r="U23" s="23">
        <f t="shared" si="40"/>
        <v>500</v>
      </c>
      <c r="V23" s="23">
        <f t="shared" si="41"/>
        <v>0</v>
      </c>
      <c r="W23" s="23">
        <f>(G23*P23)+(H23*P23)</f>
        <v>550</v>
      </c>
      <c r="X23" s="23">
        <f t="shared" si="42"/>
        <v>14733.557850000001</v>
      </c>
      <c r="Y23" s="23">
        <f t="shared" si="42"/>
        <v>0</v>
      </c>
      <c r="Z23" s="23">
        <f t="shared" si="43"/>
        <v>0</v>
      </c>
      <c r="AA23" s="23">
        <f t="shared" si="44"/>
        <v>0</v>
      </c>
      <c r="AB23" s="41"/>
      <c r="AC23" s="41"/>
      <c r="AD23" s="33"/>
      <c r="AE23" s="33"/>
      <c r="AF23" s="33"/>
      <c r="AG23" s="33"/>
      <c r="AH23" s="33"/>
      <c r="AI23" s="23">
        <f t="shared" si="45"/>
        <v>500</v>
      </c>
      <c r="AJ23" s="23">
        <f t="shared" si="45"/>
        <v>0</v>
      </c>
      <c r="AK23" s="23">
        <f t="shared" si="46"/>
        <v>550</v>
      </c>
      <c r="AL23" s="23">
        <f t="shared" si="47"/>
        <v>14733.557850000001</v>
      </c>
      <c r="AM23" s="23">
        <f t="shared" si="47"/>
        <v>0</v>
      </c>
      <c r="AN23" s="23">
        <f t="shared" si="47"/>
        <v>0</v>
      </c>
      <c r="AO23" s="23">
        <f t="shared" si="48"/>
        <v>0</v>
      </c>
      <c r="AP23" s="23">
        <f t="shared" si="49"/>
        <v>0</v>
      </c>
      <c r="AQ23" s="28">
        <f t="shared" si="10"/>
        <v>0</v>
      </c>
      <c r="AR23" s="28">
        <f t="shared" si="11"/>
        <v>0</v>
      </c>
      <c r="AS23" s="28">
        <f t="shared" si="12"/>
        <v>1127.94653119639</v>
      </c>
      <c r="AT23" s="28">
        <f t="shared" si="13"/>
        <v>0</v>
      </c>
      <c r="AU23" s="389">
        <f t="shared" si="50"/>
        <v>16911.5</v>
      </c>
      <c r="AV23" s="389">
        <f t="shared" si="51"/>
        <v>16911.504381196388</v>
      </c>
      <c r="AW23" s="29">
        <f t="shared" si="52"/>
        <v>1</v>
      </c>
      <c r="AX23" s="28">
        <f>SUMIFS('Fin Forecast'!$H$4:$H$520,'Fin Forecast'!$A$4:$A$520,'Sep20-Feb21 Transport Forecast'!$F23,'Fin Forecast'!$B$4:$B$520,'Sep20-Feb21 Transport Forecast'!AX$5)</f>
        <v>500</v>
      </c>
      <c r="AY23" s="28">
        <f>SUMIFS('Fin Forecast'!$H$4:$H$520,'Fin Forecast'!$A$4:$A$520,'Sep20-Feb21 Transport Forecast'!$F23,'Fin Forecast'!$B$4:$B$520,'Sep20-Feb21 Transport Forecast'!AY$5)</f>
        <v>550</v>
      </c>
      <c r="AZ23" s="28">
        <f>SUMIFS('Fin Forecast'!$H$4:$H$520,'Fin Forecast'!$A$4:$A$520,'Sep20-Feb21 Transport Forecast'!$F23,'Fin Forecast'!$B$4:$B$520,'Sep20-Feb21 Transport Forecast'!AZ$5)</f>
        <v>14733.557849999999</v>
      </c>
      <c r="BA23" s="28">
        <f>SUMIFS('Fin Forecast'!$H$4:$H$520,'Fin Forecast'!$A$4:$A$520,'Sep20-Feb21 Transport Forecast'!$F23,'Fin Forecast'!$B$4:$B$520,'Sep20-Feb21 Transport Forecast'!BA$5)</f>
        <v>0</v>
      </c>
      <c r="BB23" s="28">
        <f>SUMIFS('Fin Forecast'!$H$4:$H$520,'Fin Forecast'!$A$4:$A$520,'Sep20-Feb21 Transport Forecast'!$F23,'Fin Forecast'!$B$4:$B$520,'Sep20-Feb21 Transport Forecast'!BB$5)</f>
        <v>0</v>
      </c>
      <c r="BC23" s="28">
        <f>SUMIFS('Fin Forecast'!$H$4:$H$520,'Fin Forecast'!$A$4:$A$520,'Sep20-Feb21 Transport Forecast'!$F23,'Fin Forecast'!$B$4:$B$520,'Sep20-Feb21 Transport Forecast'!BC$5)</f>
        <v>0</v>
      </c>
      <c r="BD23" s="28">
        <f>SUMIFS('Fin Forecast'!$H$4:$H$520,'Fin Forecast'!$A$4:$A$520,'Sep20-Feb21 Transport Forecast'!$F23,'Fin Forecast'!$B$4:$B$520,'Sep20-Feb21 Transport Forecast'!BD$5)</f>
        <v>0</v>
      </c>
      <c r="BE23" s="28">
        <f>SUMIFS('Fin Forecast'!$H$4:$H$520,'Fin Forecast'!$A$4:$A$520,'Sep20-Feb21 Transport Forecast'!$F23,'Fin Forecast'!$B$4:$B$520,'Sep20-Feb21 Transport Forecast'!BE$5)</f>
        <v>1127.94653119639</v>
      </c>
      <c r="BF23" s="28">
        <f>SUMIFS('Fin Forecast'!$F$4:$F$520,'Fin Forecast'!$A$4:$A$520,'Sep20-Feb21 Transport Forecast'!$F23,'Fin Forecast'!$B$4:$B$520,'Sep20-Feb21 Transport Forecast'!BF$5)</f>
        <v>0</v>
      </c>
      <c r="BG23" s="28">
        <f>SUMIFS('Fin Forecast'!$F$4:$F$520,'Fin Forecast'!$A$4:$A$520,'Sep20-Feb21 Transport Forecast'!$F23,'Fin Forecast'!$B$4:$B$520,'Sep20-Feb21 Transport Forecast'!BG$5)</f>
        <v>0</v>
      </c>
      <c r="BI23" s="37">
        <f t="shared" si="20"/>
        <v>-4.3811963878397364E-3</v>
      </c>
      <c r="BJ23" s="42">
        <f t="shared" si="21"/>
        <v>0</v>
      </c>
      <c r="BK23" s="42">
        <f t="shared" si="22"/>
        <v>0</v>
      </c>
      <c r="BL23" s="392">
        <f t="shared" si="23"/>
        <v>0</v>
      </c>
      <c r="BM23" s="42">
        <f t="shared" si="24"/>
        <v>0</v>
      </c>
    </row>
    <row r="24" spans="1:65" x14ac:dyDescent="0.25">
      <c r="A24" s="8"/>
      <c r="B24" s="8"/>
      <c r="C24" s="307">
        <f>$C$20</f>
        <v>44136</v>
      </c>
      <c r="D24" s="307" t="s">
        <v>567</v>
      </c>
      <c r="E24" s="2" t="str">
        <f t="shared" si="39"/>
        <v>883</v>
      </c>
      <c r="F24" s="2" t="s">
        <v>576</v>
      </c>
      <c r="G24" s="20">
        <f>SUMIF('Forecasted Customer Cts'!$D$5:$D$28,'Sep20-Feb21 Transport Forecast'!$F24,'Forecasted Customer Cts'!$N$5:$N$28)</f>
        <v>0</v>
      </c>
      <c r="H24" s="20">
        <v>0</v>
      </c>
      <c r="I24" s="20">
        <f>SUMIF('Forecasted Calendar Month Usage'!$D$5:$D$32,'Sep20-Feb21 Transport Forecast'!$F24,'Forecasted Calendar Month Usage'!$N$5:$N$32)</f>
        <v>0</v>
      </c>
      <c r="J24" s="20">
        <v>0</v>
      </c>
      <c r="K24" s="20">
        <v>0</v>
      </c>
      <c r="L24" s="20">
        <f>SUMIFS('Fin Forecast'!$H$4:$H$520,'Fin Forecast'!$A$4:$A$520,'Sep20-Feb21 Transport Forecast'!$F24,'Fin Forecast'!$B$4:$B$520,'Sep20-Feb21 Transport Forecast'!L$5)/S24</f>
        <v>0</v>
      </c>
      <c r="M24" s="20">
        <v>0</v>
      </c>
      <c r="N24" s="21">
        <f>VLOOKUP($D24,'Retail Rates'!$B$7:$P$40,4,FALSE)</f>
        <v>165</v>
      </c>
      <c r="O24" s="21">
        <f>VLOOKUP($D24,'Retail Rates'!$B$7:$P$40,5,FALSE)</f>
        <v>750</v>
      </c>
      <c r="P24" s="21">
        <f>VLOOKUP($D24,'Retail Rates'!$B$7:$P$40,6,FALSE)</f>
        <v>550</v>
      </c>
      <c r="Q24" s="22">
        <f>VLOOKUP($D24,'Retail Rates'!$B$7:$P$40,10,FALSE)</f>
        <v>0.29919999999999997</v>
      </c>
      <c r="R24" s="22">
        <f>VLOOKUP($D24,'Retail Rates'!$B$7:$P$40,11,FALSE)</f>
        <v>0</v>
      </c>
      <c r="S24" s="22">
        <f>VLOOKUP($D24,'Retail Rates'!$B$7:$P$40,15,FALSE)</f>
        <v>10.8978</v>
      </c>
      <c r="T24" s="21">
        <v>75</v>
      </c>
      <c r="U24" s="23">
        <f t="shared" si="40"/>
        <v>0</v>
      </c>
      <c r="V24" s="23">
        <f t="shared" si="41"/>
        <v>0</v>
      </c>
      <c r="W24" s="23">
        <f>G24*P24</f>
        <v>0</v>
      </c>
      <c r="X24" s="23">
        <f t="shared" si="42"/>
        <v>0</v>
      </c>
      <c r="Y24" s="23">
        <f t="shared" si="42"/>
        <v>0</v>
      </c>
      <c r="Z24" s="23">
        <f t="shared" si="43"/>
        <v>0</v>
      </c>
      <c r="AA24" s="23">
        <f t="shared" si="44"/>
        <v>0</v>
      </c>
      <c r="AB24" s="41"/>
      <c r="AC24" s="41"/>
      <c r="AD24" s="33"/>
      <c r="AE24" s="33"/>
      <c r="AF24" s="33"/>
      <c r="AG24" s="33"/>
      <c r="AH24" s="33"/>
      <c r="AI24" s="23">
        <f t="shared" si="45"/>
        <v>0</v>
      </c>
      <c r="AJ24" s="23">
        <f t="shared" si="45"/>
        <v>0</v>
      </c>
      <c r="AK24" s="23">
        <f t="shared" si="46"/>
        <v>0</v>
      </c>
      <c r="AL24" s="23">
        <f t="shared" si="47"/>
        <v>0</v>
      </c>
      <c r="AM24" s="23">
        <f t="shared" si="47"/>
        <v>0</v>
      </c>
      <c r="AN24" s="23">
        <f t="shared" si="47"/>
        <v>0</v>
      </c>
      <c r="AO24" s="23">
        <f t="shared" si="48"/>
        <v>0</v>
      </c>
      <c r="AP24" s="23">
        <f t="shared" si="49"/>
        <v>0</v>
      </c>
      <c r="AQ24" s="28">
        <f t="shared" si="10"/>
        <v>0</v>
      </c>
      <c r="AR24" s="28">
        <f t="shared" si="11"/>
        <v>0</v>
      </c>
      <c r="AS24" s="28">
        <f t="shared" si="12"/>
        <v>0</v>
      </c>
      <c r="AT24" s="28">
        <f t="shared" si="13"/>
        <v>0</v>
      </c>
      <c r="AU24" s="389">
        <f t="shared" si="50"/>
        <v>0</v>
      </c>
      <c r="AV24" s="389">
        <f t="shared" si="51"/>
        <v>0</v>
      </c>
      <c r="AW24" s="29">
        <f t="shared" si="52"/>
        <v>0</v>
      </c>
      <c r="AX24" s="28">
        <f>SUMIFS('Fin Forecast'!$H$4:$H$520,'Fin Forecast'!$A$4:$A$520,'Sep20-Feb21 Transport Forecast'!$F24,'Fin Forecast'!$B$4:$B$520,'Sep20-Feb21 Transport Forecast'!AX$5)</f>
        <v>0</v>
      </c>
      <c r="AY24" s="28">
        <f>SUMIFS('Fin Forecast'!$H$4:$H$520,'Fin Forecast'!$A$4:$A$520,'Sep20-Feb21 Transport Forecast'!$F24,'Fin Forecast'!$B$4:$B$520,'Sep20-Feb21 Transport Forecast'!AY$5)</f>
        <v>0</v>
      </c>
      <c r="AZ24" s="28">
        <f>SUMIFS('Fin Forecast'!$H$4:$H$520,'Fin Forecast'!$A$4:$A$520,'Sep20-Feb21 Transport Forecast'!$F24,'Fin Forecast'!$B$4:$B$520,'Sep20-Feb21 Transport Forecast'!AZ$5)</f>
        <v>0</v>
      </c>
      <c r="BA24" s="28">
        <f>SUMIFS('Fin Forecast'!$H$4:$H$520,'Fin Forecast'!$A$4:$A$520,'Sep20-Feb21 Transport Forecast'!$F24,'Fin Forecast'!$B$4:$B$520,'Sep20-Feb21 Transport Forecast'!BA$5)</f>
        <v>0</v>
      </c>
      <c r="BB24" s="28">
        <f>SUMIFS('Fin Forecast'!$H$4:$H$520,'Fin Forecast'!$A$4:$A$520,'Sep20-Feb21 Transport Forecast'!$F24,'Fin Forecast'!$B$4:$B$520,'Sep20-Feb21 Transport Forecast'!BB$5)</f>
        <v>0</v>
      </c>
      <c r="BC24" s="28">
        <f>SUMIFS('Fin Forecast'!$H$4:$H$520,'Fin Forecast'!$A$4:$A$520,'Sep20-Feb21 Transport Forecast'!$F24,'Fin Forecast'!$B$4:$B$520,'Sep20-Feb21 Transport Forecast'!BC$5)</f>
        <v>0</v>
      </c>
      <c r="BD24" s="28">
        <f>SUMIFS('Fin Forecast'!$H$4:$H$520,'Fin Forecast'!$A$4:$A$520,'Sep20-Feb21 Transport Forecast'!$F24,'Fin Forecast'!$B$4:$B$520,'Sep20-Feb21 Transport Forecast'!BD$5)</f>
        <v>0</v>
      </c>
      <c r="BE24" s="28">
        <f>SUMIFS('Fin Forecast'!$H$4:$H$520,'Fin Forecast'!$A$4:$A$520,'Sep20-Feb21 Transport Forecast'!$F24,'Fin Forecast'!$B$4:$B$520,'Sep20-Feb21 Transport Forecast'!BE$5)</f>
        <v>0</v>
      </c>
      <c r="BF24" s="28">
        <f>SUMIFS('Fin Forecast'!$F$4:$F$520,'Fin Forecast'!$A$4:$A$520,'Sep20-Feb21 Transport Forecast'!$F24,'Fin Forecast'!$B$4:$B$520,'Sep20-Feb21 Transport Forecast'!BF$5)</f>
        <v>0</v>
      </c>
      <c r="BG24" s="28">
        <f>SUMIFS('Fin Forecast'!$F$4:$F$520,'Fin Forecast'!$A$4:$A$520,'Sep20-Feb21 Transport Forecast'!$F24,'Fin Forecast'!$B$4:$B$520,'Sep20-Feb21 Transport Forecast'!BG$5)</f>
        <v>0</v>
      </c>
      <c r="BI24" s="37">
        <f t="shared" si="20"/>
        <v>0</v>
      </c>
      <c r="BJ24" s="42">
        <f t="shared" si="21"/>
        <v>0</v>
      </c>
      <c r="BK24" s="42">
        <f t="shared" si="22"/>
        <v>0</v>
      </c>
      <c r="BL24" s="392">
        <f t="shared" si="23"/>
        <v>0</v>
      </c>
      <c r="BM24" s="42">
        <f t="shared" si="24"/>
        <v>0</v>
      </c>
    </row>
    <row r="25" spans="1:65" x14ac:dyDescent="0.25">
      <c r="A25" s="362" t="s">
        <v>530</v>
      </c>
      <c r="B25" s="8"/>
      <c r="C25" s="307">
        <f>$C$20</f>
        <v>44136</v>
      </c>
      <c r="D25" s="307" t="s">
        <v>562</v>
      </c>
      <c r="E25" s="2" t="str">
        <f t="shared" si="39"/>
        <v>872</v>
      </c>
      <c r="F25" s="2" t="s">
        <v>551</v>
      </c>
      <c r="G25" s="20">
        <f>SUMIF('Forecasted Customer Cts'!$D$5:$D$28,'Sep20-Feb21 Transport Forecast'!$F25,'Forecasted Customer Cts'!$N$5:$N$28)</f>
        <v>0</v>
      </c>
      <c r="H25" s="20">
        <v>0</v>
      </c>
      <c r="I25" s="20">
        <f>SUMIF('Forecasted Calendar Month Usage'!$D$5:$D$32,'Sep20-Feb21 Transport Forecast'!$F25,'Forecasted Calendar Month Usage'!$N$5:$N$32)</f>
        <v>0</v>
      </c>
      <c r="J25" s="20">
        <v>0</v>
      </c>
      <c r="K25" s="20">
        <v>0</v>
      </c>
      <c r="L25" s="20">
        <f>SUMIFS('Fin Forecast'!$H$4:$H$520,'Fin Forecast'!$A$4:$A$520,'Sep20-Feb21 Transport Forecast'!$F25,'Fin Forecast'!$B$4:$B$520,'Sep20-Feb21 Transport Forecast'!L$5)/S25</f>
        <v>0</v>
      </c>
      <c r="M25" s="20">
        <v>0</v>
      </c>
      <c r="N25" s="21">
        <f>VLOOKUP($D25,'Retail Rates'!$B$7:$P$40,4,FALSE)</f>
        <v>750</v>
      </c>
      <c r="O25" s="21">
        <f>VLOOKUP($D25,'Retail Rates'!$B$7:$P$40,5,FALSE)</f>
        <v>0</v>
      </c>
      <c r="P25" s="21">
        <f>VLOOKUP($D25,'Retail Rates'!$B$7:$P$40,6,FALSE)</f>
        <v>550</v>
      </c>
      <c r="Q25" s="22">
        <f>VLOOKUP($D25,'Retail Rates'!$B$7:$P$40,10,FALSE)</f>
        <v>3.7999999999999999E-2</v>
      </c>
      <c r="R25" s="22">
        <f>VLOOKUP($D25,'Retail Rates'!$B$7:$P$40,11,FALSE)</f>
        <v>0</v>
      </c>
      <c r="S25" s="22">
        <f>VLOOKUP($D25,'Retail Rates'!$B$7:$P$40,15,FALSE)</f>
        <v>4.8899999999999997</v>
      </c>
      <c r="T25" s="21">
        <v>75</v>
      </c>
      <c r="U25" s="23">
        <f t="shared" si="40"/>
        <v>0</v>
      </c>
      <c r="V25" s="23">
        <f t="shared" si="41"/>
        <v>0</v>
      </c>
      <c r="W25" s="23">
        <f>G25*P25</f>
        <v>0</v>
      </c>
      <c r="X25" s="23">
        <f t="shared" si="42"/>
        <v>0</v>
      </c>
      <c r="Y25" s="23">
        <f t="shared" si="42"/>
        <v>0</v>
      </c>
      <c r="Z25" s="23">
        <f t="shared" si="43"/>
        <v>0</v>
      </c>
      <c r="AA25" s="23">
        <f t="shared" si="44"/>
        <v>0</v>
      </c>
      <c r="AB25" s="41"/>
      <c r="AC25" s="41"/>
      <c r="AD25" s="33"/>
      <c r="AE25" s="33"/>
      <c r="AF25" s="33"/>
      <c r="AG25" s="33"/>
      <c r="AH25" s="33"/>
      <c r="AI25" s="23">
        <f t="shared" si="45"/>
        <v>0</v>
      </c>
      <c r="AJ25" s="23">
        <f t="shared" si="45"/>
        <v>0</v>
      </c>
      <c r="AK25" s="23">
        <f t="shared" si="46"/>
        <v>0</v>
      </c>
      <c r="AL25" s="23">
        <f t="shared" si="47"/>
        <v>0</v>
      </c>
      <c r="AM25" s="23">
        <f t="shared" si="47"/>
        <v>0</v>
      </c>
      <c r="AN25" s="23">
        <f t="shared" si="47"/>
        <v>0</v>
      </c>
      <c r="AO25" s="23">
        <f t="shared" si="48"/>
        <v>0</v>
      </c>
      <c r="AP25" s="23">
        <f t="shared" si="49"/>
        <v>0</v>
      </c>
      <c r="AQ25" s="28">
        <f t="shared" si="10"/>
        <v>0</v>
      </c>
      <c r="AR25" s="28">
        <f t="shared" si="11"/>
        <v>0</v>
      </c>
      <c r="AS25" s="28">
        <f t="shared" si="12"/>
        <v>0</v>
      </c>
      <c r="AT25" s="28">
        <f t="shared" si="13"/>
        <v>0</v>
      </c>
      <c r="AU25" s="389">
        <f t="shared" si="50"/>
        <v>0</v>
      </c>
      <c r="AV25" s="389">
        <f t="shared" si="51"/>
        <v>0</v>
      </c>
      <c r="AW25" s="29">
        <f t="shared" si="52"/>
        <v>0</v>
      </c>
      <c r="AX25" s="28">
        <f>SUMIFS('Fin Forecast'!$H$4:$H$520,'Fin Forecast'!$A$4:$A$520,'Sep20-Feb21 Transport Forecast'!$F25,'Fin Forecast'!$B$4:$B$520,'Sep20-Feb21 Transport Forecast'!AX$5)</f>
        <v>0</v>
      </c>
      <c r="AY25" s="28">
        <f>SUMIFS('Fin Forecast'!$H$4:$H$520,'Fin Forecast'!$A$4:$A$520,'Sep20-Feb21 Transport Forecast'!$F25,'Fin Forecast'!$B$4:$B$520,'Sep20-Feb21 Transport Forecast'!AY$5)</f>
        <v>0</v>
      </c>
      <c r="AZ25" s="28">
        <f>SUMIFS('Fin Forecast'!$H$4:$H$520,'Fin Forecast'!$A$4:$A$520,'Sep20-Feb21 Transport Forecast'!$F25,'Fin Forecast'!$B$4:$B$520,'Sep20-Feb21 Transport Forecast'!AZ$5)</f>
        <v>0</v>
      </c>
      <c r="BA25" s="28">
        <f>SUMIFS('Fin Forecast'!$H$4:$H$520,'Fin Forecast'!$A$4:$A$520,'Sep20-Feb21 Transport Forecast'!$F25,'Fin Forecast'!$B$4:$B$520,'Sep20-Feb21 Transport Forecast'!BA$5)</f>
        <v>0</v>
      </c>
      <c r="BB25" s="28">
        <f>SUMIFS('Fin Forecast'!$H$4:$H$520,'Fin Forecast'!$A$4:$A$520,'Sep20-Feb21 Transport Forecast'!$F25,'Fin Forecast'!$B$4:$B$520,'Sep20-Feb21 Transport Forecast'!BB$5)</f>
        <v>0</v>
      </c>
      <c r="BC25" s="28">
        <f>SUMIFS('Fin Forecast'!$H$4:$H$520,'Fin Forecast'!$A$4:$A$520,'Sep20-Feb21 Transport Forecast'!$F25,'Fin Forecast'!$B$4:$B$520,'Sep20-Feb21 Transport Forecast'!BC$5)</f>
        <v>0</v>
      </c>
      <c r="BD25" s="28">
        <f>SUMIFS('Fin Forecast'!$H$4:$H$520,'Fin Forecast'!$A$4:$A$520,'Sep20-Feb21 Transport Forecast'!$F25,'Fin Forecast'!$B$4:$B$520,'Sep20-Feb21 Transport Forecast'!BD$5)</f>
        <v>0</v>
      </c>
      <c r="BE25" s="28">
        <f>SUMIFS('Fin Forecast'!$H$4:$H$520,'Fin Forecast'!$A$4:$A$520,'Sep20-Feb21 Transport Forecast'!$F25,'Fin Forecast'!$B$4:$B$520,'Sep20-Feb21 Transport Forecast'!BE$5)</f>
        <v>0</v>
      </c>
      <c r="BF25" s="28">
        <f>SUMIFS('Fin Forecast'!$F$4:$F$520,'Fin Forecast'!$A$4:$A$520,'Sep20-Feb21 Transport Forecast'!$F25,'Fin Forecast'!$B$4:$B$520,'Sep20-Feb21 Transport Forecast'!BF$5)</f>
        <v>0</v>
      </c>
      <c r="BG25" s="28">
        <f>SUMIFS('Fin Forecast'!$F$4:$F$520,'Fin Forecast'!$A$4:$A$520,'Sep20-Feb21 Transport Forecast'!$F25,'Fin Forecast'!$B$4:$B$520,'Sep20-Feb21 Transport Forecast'!BG$5)</f>
        <v>0</v>
      </c>
      <c r="BI25" s="37">
        <f t="shared" si="20"/>
        <v>0</v>
      </c>
      <c r="BJ25" s="42">
        <f t="shared" si="21"/>
        <v>0</v>
      </c>
      <c r="BK25" s="42">
        <f t="shared" si="22"/>
        <v>0</v>
      </c>
      <c r="BL25" s="392">
        <f t="shared" si="23"/>
        <v>0</v>
      </c>
      <c r="BM25" s="42">
        <f t="shared" si="24"/>
        <v>0</v>
      </c>
    </row>
    <row r="26" spans="1:65" s="422" customFormat="1" x14ac:dyDescent="0.25">
      <c r="A26" s="412"/>
      <c r="B26" s="412"/>
      <c r="C26" s="413"/>
      <c r="D26" s="413"/>
      <c r="E26" s="414"/>
      <c r="F26" s="414"/>
      <c r="G26" s="415"/>
      <c r="H26" s="415"/>
      <c r="I26" s="415"/>
      <c r="J26" s="415"/>
      <c r="K26" s="415"/>
      <c r="L26" s="415"/>
      <c r="M26" s="415"/>
      <c r="N26" s="416"/>
      <c r="O26" s="416"/>
      <c r="P26" s="416"/>
      <c r="Q26" s="417"/>
      <c r="R26" s="417"/>
      <c r="S26" s="417"/>
      <c r="T26" s="418"/>
      <c r="U26" s="419"/>
      <c r="V26" s="419"/>
      <c r="W26" s="419"/>
      <c r="X26" s="419"/>
      <c r="Y26" s="419"/>
      <c r="Z26" s="419"/>
      <c r="AA26" s="419"/>
      <c r="AB26" s="420"/>
      <c r="AC26" s="420"/>
      <c r="AD26" s="419"/>
      <c r="AE26" s="419"/>
      <c r="AF26" s="419"/>
      <c r="AG26" s="419"/>
      <c r="AH26" s="419"/>
      <c r="AI26" s="419"/>
      <c r="AJ26" s="419"/>
      <c r="AK26" s="419"/>
      <c r="AL26" s="419"/>
      <c r="AM26" s="419"/>
      <c r="AN26" s="419"/>
      <c r="AO26" s="419"/>
      <c r="AP26" s="419"/>
      <c r="AQ26" s="419"/>
      <c r="AR26" s="419"/>
      <c r="AS26" s="419"/>
      <c r="AT26" s="419"/>
      <c r="AU26" s="419"/>
      <c r="AV26" s="419"/>
      <c r="AW26" s="421"/>
      <c r="AX26" s="419"/>
      <c r="AY26" s="419"/>
      <c r="AZ26" s="419"/>
      <c r="BA26" s="419"/>
      <c r="BB26" s="419"/>
      <c r="BC26" s="419"/>
      <c r="BD26" s="419"/>
      <c r="BE26" s="419"/>
      <c r="BF26" s="419"/>
      <c r="BG26" s="419"/>
      <c r="BI26" s="423"/>
      <c r="BJ26" s="419"/>
      <c r="BK26" s="419"/>
      <c r="BL26" s="424"/>
      <c r="BM26" s="419"/>
    </row>
    <row r="27" spans="1:65" x14ac:dyDescent="0.25">
      <c r="A27" s="8"/>
      <c r="B27" s="8"/>
      <c r="C27" s="307">
        <f>EDATE(C20,1)</f>
        <v>44166</v>
      </c>
      <c r="D27" s="307" t="s">
        <v>34</v>
      </c>
      <c r="E27" s="2" t="str">
        <f t="shared" ref="E27:E32" si="53">MID(D27,6,3)</f>
        <v>895</v>
      </c>
      <c r="F27" s="2" t="s">
        <v>610</v>
      </c>
      <c r="G27" s="20">
        <v>0</v>
      </c>
      <c r="H27" s="20">
        <f>SUMIF('Forecasted Customer Cts'!$D$5:$D$28,'Sep20-Feb21 Transport Forecast'!$F27,'Forecasted Customer Cts'!$Q$5:$Q$28)</f>
        <v>87</v>
      </c>
      <c r="I27" s="20">
        <f>SUMIF('Forecasted Calendar Month Usage'!$D$5:$D$32,'Sep20-Feb21 Transport Forecast'!$F27,'Forecasted Calendar Month Usage'!$Q$5:$Q$32)</f>
        <v>1167817.4816420332</v>
      </c>
      <c r="J27" s="20">
        <v>0</v>
      </c>
      <c r="K27" s="20">
        <v>71</v>
      </c>
      <c r="L27" s="20">
        <f>SUMIFS('Fin Forecast'!$I$4:$I$520,'Fin Forecast'!$A$4:$A$520,'Sep20-Feb21 Transport Forecast'!$F27,'Fin Forecast'!$B$4:$B$520,'Sep20-Feb21 Transport Forecast'!L$5)/S27</f>
        <v>77511.100000000006</v>
      </c>
      <c r="M27" s="20">
        <v>0</v>
      </c>
      <c r="N27" s="21">
        <f>VLOOKUP($D27,'Retail Rates'!$B$7:$P$40,4,FALSE)</f>
        <v>0</v>
      </c>
      <c r="O27" s="21">
        <f>VLOOKUP($D27,'Retail Rates'!$B$7:$P$40,5,FALSE)</f>
        <v>750</v>
      </c>
      <c r="P27" s="21">
        <f>VLOOKUP($D27,'Retail Rates'!$B$7:$P$40,6,FALSE)</f>
        <v>550</v>
      </c>
      <c r="Q27" s="22">
        <f>VLOOKUP($D27,'Retail Rates'!$B$7:$P$40,10,FALSE)</f>
        <v>3.7999999999999999E-2</v>
      </c>
      <c r="R27" s="22">
        <f>VLOOKUP($D27,'Retail Rates'!$B$7:$P$40,11,FALSE)</f>
        <v>0</v>
      </c>
      <c r="S27" s="22">
        <f>VLOOKUP($D27,'Retail Rates'!$B$7:$P$40,15,FALSE)</f>
        <v>4.8899999999999997</v>
      </c>
      <c r="T27" s="21">
        <v>75</v>
      </c>
      <c r="U27" s="23">
        <f t="shared" ref="U27:U32" si="54">(+G27*N27)</f>
        <v>0</v>
      </c>
      <c r="V27" s="23">
        <f t="shared" ref="V27:V32" si="55">H27*O27</f>
        <v>65250</v>
      </c>
      <c r="W27" s="23">
        <f>H27*P27</f>
        <v>47850</v>
      </c>
      <c r="X27" s="23">
        <f t="shared" ref="X27:Y32" si="56">+I27*Q27</f>
        <v>44377.064302397259</v>
      </c>
      <c r="Y27" s="23">
        <f t="shared" si="56"/>
        <v>0</v>
      </c>
      <c r="Z27" s="23">
        <f t="shared" ref="Z27:Z32" si="57">L27*S27</f>
        <v>379029.27899999998</v>
      </c>
      <c r="AA27" s="23">
        <f t="shared" ref="AA27:AA32" si="58">K27*T27</f>
        <v>5325</v>
      </c>
      <c r="AB27" s="41"/>
      <c r="AC27" s="41"/>
      <c r="AD27" s="33"/>
      <c r="AE27" s="33"/>
      <c r="AF27" s="33"/>
      <c r="AG27" s="33"/>
      <c r="AH27" s="33"/>
      <c r="AI27" s="23">
        <f t="shared" ref="AI27:AJ32" si="59">U27+AD27</f>
        <v>0</v>
      </c>
      <c r="AJ27" s="23">
        <f t="shared" si="59"/>
        <v>65250</v>
      </c>
      <c r="AK27" s="23">
        <f t="shared" ref="AK27:AK32" si="60">W27</f>
        <v>47850</v>
      </c>
      <c r="AL27" s="23">
        <f t="shared" ref="AL27:AN32" si="61">+X27+AF27</f>
        <v>44377.064302397259</v>
      </c>
      <c r="AM27" s="23">
        <f t="shared" si="61"/>
        <v>0</v>
      </c>
      <c r="AN27" s="23">
        <f t="shared" si="61"/>
        <v>379029.27899999998</v>
      </c>
      <c r="AO27" s="23">
        <f t="shared" ref="AO27:AO32" si="62">AA27</f>
        <v>5325</v>
      </c>
      <c r="AP27" s="23">
        <f t="shared" ref="AP27:AP32" si="63">BG27</f>
        <v>0</v>
      </c>
      <c r="AQ27" s="28">
        <f t="shared" si="10"/>
        <v>0</v>
      </c>
      <c r="AR27" s="28">
        <f t="shared" si="11"/>
        <v>0</v>
      </c>
      <c r="AS27" s="28">
        <f t="shared" si="12"/>
        <v>11289.2991045445</v>
      </c>
      <c r="AT27" s="28">
        <f t="shared" si="13"/>
        <v>0</v>
      </c>
      <c r="AU27" s="389">
        <f t="shared" ref="AU27:AU32" si="64">ROUND(SUM(AI27:AT27),2)</f>
        <v>553120.64</v>
      </c>
      <c r="AV27" s="389">
        <f t="shared" ref="AV27:AV32" si="65">SUM(AX27:BG27)</f>
        <v>553120.64240694151</v>
      </c>
      <c r="AW27" s="29">
        <f t="shared" ref="AW27:AW46" si="66">IF(AV27=0,0,ROUND(AV27/AU27,6))</f>
        <v>1</v>
      </c>
      <c r="AX27" s="28">
        <f>SUMIFS('Fin Forecast'!$I$4:$I$520,'Fin Forecast'!$A$4:$A$520,'Sep20-Feb21 Transport Forecast'!$F27,'Fin Forecast'!$B$4:$B$520,'Sep20-Feb21 Transport Forecast'!AX$5)</f>
        <v>65250</v>
      </c>
      <c r="AY27" s="28">
        <f>SUMIFS('Fin Forecast'!$I$4:$I$520,'Fin Forecast'!$A$4:$A$520,'Sep20-Feb21 Transport Forecast'!$F27,'Fin Forecast'!$B$4:$B$520,'Sep20-Feb21 Transport Forecast'!AY$5)</f>
        <v>47850</v>
      </c>
      <c r="AZ27" s="28">
        <f>SUMIFS('Fin Forecast'!$I$4:$I$520,'Fin Forecast'!$A$4:$A$520,'Sep20-Feb21 Transport Forecast'!$F27,'Fin Forecast'!$B$4:$B$520,'Sep20-Feb21 Transport Forecast'!AZ$5)</f>
        <v>44377.064302397099</v>
      </c>
      <c r="BA27" s="28">
        <f>SUMIFS('Fin Forecast'!$I$4:$I$520,'Fin Forecast'!$A$4:$A$520,'Sep20-Feb21 Transport Forecast'!$F27,'Fin Forecast'!$B$4:$B$520,'Sep20-Feb21 Transport Forecast'!BA$5)</f>
        <v>379029.27899999998</v>
      </c>
      <c r="BB27" s="28">
        <f>SUMIFS('Fin Forecast'!$I$4:$I$520,'Fin Forecast'!$A$4:$A$520,'Sep20-Feb21 Transport Forecast'!$F27,'Fin Forecast'!$B$4:$B$520,'Sep20-Feb21 Transport Forecast'!BB$5)</f>
        <v>5325</v>
      </c>
      <c r="BC27" s="28">
        <f>SUMIFS('Fin Forecast'!$I$4:$I$520,'Fin Forecast'!$A$4:$A$520,'Sep20-Feb21 Transport Forecast'!$F27,'Fin Forecast'!$B$4:$B$520,'Sep20-Feb21 Transport Forecast'!BC$5)</f>
        <v>0</v>
      </c>
      <c r="BD27" s="28">
        <f>SUMIFS('Fin Forecast'!$I$4:$I$520,'Fin Forecast'!$A$4:$A$520,'Sep20-Feb21 Transport Forecast'!$F27,'Fin Forecast'!$B$4:$B$520,'Sep20-Feb21 Transport Forecast'!BD$5)</f>
        <v>0</v>
      </c>
      <c r="BE27" s="28">
        <f>SUMIFS('Fin Forecast'!$I$4:$I$520,'Fin Forecast'!$A$4:$A$520,'Sep20-Feb21 Transport Forecast'!$F27,'Fin Forecast'!$B$4:$B$520,'Sep20-Feb21 Transport Forecast'!BE$5)</f>
        <v>11289.2991045445</v>
      </c>
      <c r="BF27" s="28">
        <f>SUMIFS('Fin Forecast'!$G$4:$G$520,'Fin Forecast'!$A$4:$A$520,'Sep20-Feb21 Transport Forecast'!$F27,'Fin Forecast'!$B$4:$B$520,'Sep20-Feb21 Transport Forecast'!BF$5)</f>
        <v>0</v>
      </c>
      <c r="BG27" s="28">
        <f>SUMIFS('Fin Forecast'!$G$4:$G$520,'Fin Forecast'!$A$4:$A$520,'Sep20-Feb21 Transport Forecast'!$F27,'Fin Forecast'!$B$4:$B$520,'Sep20-Feb21 Transport Forecast'!BG$5)</f>
        <v>0</v>
      </c>
      <c r="BI27" s="37">
        <f t="shared" si="20"/>
        <v>-2.4069414939731359E-3</v>
      </c>
      <c r="BJ27" s="42">
        <f t="shared" si="21"/>
        <v>0</v>
      </c>
      <c r="BK27" s="42">
        <f t="shared" si="22"/>
        <v>1.6007106751203537E-10</v>
      </c>
      <c r="BL27" s="392">
        <f t="shared" si="23"/>
        <v>0</v>
      </c>
      <c r="BM27" s="42">
        <f t="shared" si="24"/>
        <v>0</v>
      </c>
    </row>
    <row r="28" spans="1:65" x14ac:dyDescent="0.25">
      <c r="A28" s="8"/>
      <c r="B28" s="8"/>
      <c r="C28" s="307">
        <f>$C$27</f>
        <v>44166</v>
      </c>
      <c r="D28" s="307" t="s">
        <v>30</v>
      </c>
      <c r="E28" s="2" t="str">
        <f t="shared" si="53"/>
        <v>881</v>
      </c>
      <c r="F28" s="2" t="s">
        <v>546</v>
      </c>
      <c r="G28" s="20">
        <f>SUMIFS('Forecasted Customer Cts'!$O$5:$O$28,'Forecasted Customer Cts'!$D$5:$D$28,$F28,'Forecasted Customer Cts'!$C$5:$C$28,$A$8)</f>
        <v>0</v>
      </c>
      <c r="H28" s="20">
        <f>SUMIFS('Forecasted Customer Cts'!$O$5:$O$28,'Forecasted Customer Cts'!$D$5:$D$28,$F28,'Forecasted Customer Cts'!$C$5:$C$28,$B$8)</f>
        <v>0</v>
      </c>
      <c r="I28" s="20">
        <f>(G28+H28)*100</f>
        <v>0</v>
      </c>
      <c r="J28" s="20">
        <f>SUMIF('Forecasted Calendar Month Usage'!$D$5:$D$32,'Sep20-Feb21 Transport Forecast'!$F28,'Forecasted Calendar Month Usage'!$O$5:$O$32)</f>
        <v>0</v>
      </c>
      <c r="K28" s="20">
        <v>0</v>
      </c>
      <c r="L28" s="20">
        <v>0</v>
      </c>
      <c r="M28" s="20">
        <v>0</v>
      </c>
      <c r="N28" s="21">
        <f>VLOOKUP($D28,'Retail Rates'!$B$7:$P$40,4,FALSE)</f>
        <v>1.97</v>
      </c>
      <c r="O28" s="21">
        <f>VLOOKUP($D28,'Retail Rates'!$B$7:$P$40,5,FALSE)</f>
        <v>9.3699999999999992</v>
      </c>
      <c r="P28" s="21">
        <f>VLOOKUP($D28,'Retail Rates'!$B$7:$P$40,6,FALSE)</f>
        <v>550</v>
      </c>
      <c r="Q28" s="22">
        <f>VLOOKUP($D28,'Retail Rates'!$B$7:$P$40,10,FALSE)</f>
        <v>3.0669999999999997</v>
      </c>
      <c r="R28" s="22">
        <f>VLOOKUP($D28,'Retail Rates'!$B$7:$P$40,11,FALSE)</f>
        <v>2.5669999999999997</v>
      </c>
      <c r="S28" s="22">
        <f>VLOOKUP($D28,'Retail Rates'!$B$7:$P$40,15,FALSE)</f>
        <v>0</v>
      </c>
      <c r="T28" s="21">
        <v>75</v>
      </c>
      <c r="U28" s="23">
        <f t="shared" si="54"/>
        <v>0</v>
      </c>
      <c r="V28" s="23">
        <f t="shared" si="55"/>
        <v>0</v>
      </c>
      <c r="W28" s="23">
        <f>(G28*P28)+(H28*P28)</f>
        <v>0</v>
      </c>
      <c r="X28" s="23">
        <f t="shared" si="56"/>
        <v>0</v>
      </c>
      <c r="Y28" s="23">
        <f t="shared" si="56"/>
        <v>0</v>
      </c>
      <c r="Z28" s="23">
        <f t="shared" si="57"/>
        <v>0</v>
      </c>
      <c r="AA28" s="23">
        <f t="shared" si="58"/>
        <v>0</v>
      </c>
      <c r="AB28" s="41"/>
      <c r="AC28" s="41"/>
      <c r="AD28" s="33"/>
      <c r="AE28" s="33"/>
      <c r="AF28" s="33"/>
      <c r="AG28" s="33"/>
      <c r="AH28" s="33"/>
      <c r="AI28" s="23">
        <f t="shared" si="59"/>
        <v>0</v>
      </c>
      <c r="AJ28" s="23">
        <f t="shared" si="59"/>
        <v>0</v>
      </c>
      <c r="AK28" s="23">
        <f t="shared" si="60"/>
        <v>0</v>
      </c>
      <c r="AL28" s="23">
        <f t="shared" si="61"/>
        <v>0</v>
      </c>
      <c r="AM28" s="23">
        <f t="shared" si="61"/>
        <v>0</v>
      </c>
      <c r="AN28" s="23">
        <f t="shared" si="61"/>
        <v>0</v>
      </c>
      <c r="AO28" s="23">
        <f t="shared" si="62"/>
        <v>0</v>
      </c>
      <c r="AP28" s="23">
        <f t="shared" si="63"/>
        <v>0</v>
      </c>
      <c r="AQ28" s="28">
        <f t="shared" si="10"/>
        <v>0</v>
      </c>
      <c r="AR28" s="28">
        <f t="shared" si="11"/>
        <v>0</v>
      </c>
      <c r="AS28" s="28">
        <f t="shared" si="12"/>
        <v>0</v>
      </c>
      <c r="AT28" s="28">
        <f t="shared" si="13"/>
        <v>0</v>
      </c>
      <c r="AU28" s="389">
        <f t="shared" si="64"/>
        <v>0</v>
      </c>
      <c r="AV28" s="389">
        <f t="shared" si="65"/>
        <v>0</v>
      </c>
      <c r="AW28" s="29">
        <f t="shared" si="66"/>
        <v>0</v>
      </c>
      <c r="AX28" s="28">
        <f>SUMIFS('Fin Forecast'!$I$4:$I$520,'Fin Forecast'!$A$4:$A$520,'Sep20-Feb21 Transport Forecast'!$F28,'Fin Forecast'!$B$4:$B$520,'Sep20-Feb21 Transport Forecast'!AX$5)</f>
        <v>0</v>
      </c>
      <c r="AY28" s="28">
        <f>SUMIFS('Fin Forecast'!$I$4:$I$520,'Fin Forecast'!$A$4:$A$520,'Sep20-Feb21 Transport Forecast'!$F28,'Fin Forecast'!$B$4:$B$520,'Sep20-Feb21 Transport Forecast'!AY$5)</f>
        <v>0</v>
      </c>
      <c r="AZ28" s="28">
        <f>SUMIFS('Fin Forecast'!$I$4:$I$520,'Fin Forecast'!$A$4:$A$520,'Sep20-Feb21 Transport Forecast'!$F28,'Fin Forecast'!$B$4:$B$520,'Sep20-Feb21 Transport Forecast'!AZ$5)</f>
        <v>0</v>
      </c>
      <c r="BA28" s="28">
        <f>SUMIFS('Fin Forecast'!$I$4:$I$520,'Fin Forecast'!$A$4:$A$520,'Sep20-Feb21 Transport Forecast'!$F28,'Fin Forecast'!$B$4:$B$520,'Sep20-Feb21 Transport Forecast'!BA$5)</f>
        <v>0</v>
      </c>
      <c r="BB28" s="28">
        <f>SUMIFS('Fin Forecast'!$I$4:$I$520,'Fin Forecast'!$A$4:$A$520,'Sep20-Feb21 Transport Forecast'!$F28,'Fin Forecast'!$B$4:$B$520,'Sep20-Feb21 Transport Forecast'!BB$5)</f>
        <v>0</v>
      </c>
      <c r="BC28" s="28">
        <f>SUMIFS('Fin Forecast'!$I$4:$I$520,'Fin Forecast'!$A$4:$A$520,'Sep20-Feb21 Transport Forecast'!$F28,'Fin Forecast'!$B$4:$B$520,'Sep20-Feb21 Transport Forecast'!BC$5)</f>
        <v>0</v>
      </c>
      <c r="BD28" s="28">
        <f>SUMIFS('Fin Forecast'!$I$4:$I$520,'Fin Forecast'!$A$4:$A$520,'Sep20-Feb21 Transport Forecast'!$F28,'Fin Forecast'!$B$4:$B$520,'Sep20-Feb21 Transport Forecast'!BD$5)</f>
        <v>0</v>
      </c>
      <c r="BE28" s="28">
        <f>SUMIFS('Fin Forecast'!$I$4:$I$520,'Fin Forecast'!$A$4:$A$520,'Sep20-Feb21 Transport Forecast'!$F28,'Fin Forecast'!$B$4:$B$520,'Sep20-Feb21 Transport Forecast'!BE$5)</f>
        <v>0</v>
      </c>
      <c r="BF28" s="28">
        <f>SUMIFS('Fin Forecast'!$G$4:$G$520,'Fin Forecast'!$A$4:$A$520,'Sep20-Feb21 Transport Forecast'!$F28,'Fin Forecast'!$B$4:$B$520,'Sep20-Feb21 Transport Forecast'!BF$5)</f>
        <v>0</v>
      </c>
      <c r="BG28" s="28">
        <f>SUMIFS('Fin Forecast'!$G$4:$G$520,'Fin Forecast'!$A$4:$A$520,'Sep20-Feb21 Transport Forecast'!$F28,'Fin Forecast'!$B$4:$B$520,'Sep20-Feb21 Transport Forecast'!BG$5)</f>
        <v>0</v>
      </c>
      <c r="BI28" s="37">
        <f t="shared" si="20"/>
        <v>0</v>
      </c>
      <c r="BJ28" s="42">
        <f t="shared" si="21"/>
        <v>0</v>
      </c>
      <c r="BK28" s="42">
        <f t="shared" si="22"/>
        <v>0</v>
      </c>
      <c r="BL28" s="392">
        <f t="shared" si="23"/>
        <v>0</v>
      </c>
      <c r="BM28" s="42">
        <f t="shared" si="24"/>
        <v>0</v>
      </c>
    </row>
    <row r="29" spans="1:65" x14ac:dyDescent="0.25">
      <c r="A29" s="8"/>
      <c r="B29" s="8"/>
      <c r="C29" s="307">
        <f>$C$27</f>
        <v>44166</v>
      </c>
      <c r="D29" s="307" t="s">
        <v>31</v>
      </c>
      <c r="E29" s="2" t="str">
        <f t="shared" si="53"/>
        <v>882</v>
      </c>
      <c r="F29" s="2" t="s">
        <v>549</v>
      </c>
      <c r="G29" s="20">
        <f>SUMIFS('Forecasted Customer Cts'!$O$5:$O$28,'Forecasted Customer Cts'!$D$5:$D$28,$F29,'Forecasted Customer Cts'!$C$5:$C$28,$A$8)</f>
        <v>0</v>
      </c>
      <c r="H29" s="20">
        <f>SUMIFS('Forecasted Customer Cts'!$O$5:$O$28,'Forecasted Customer Cts'!$D$5:$D$28,$F29,'Forecasted Customer Cts'!$C$5:$C$28,$B$8)</f>
        <v>8</v>
      </c>
      <c r="I29" s="20">
        <f>SUMIF('Forecasted Calendar Month Usage'!$D$5:$D$32,'Sep20-Feb21 Transport Forecast'!$F29,'Forecasted Calendar Month Usage'!$Q$5:$Q$32)</f>
        <v>25748.607908548438</v>
      </c>
      <c r="J29" s="20">
        <f>SUMIF('Forecasted Calendar Month Usage'!$D$5:$D$32,'Sep20-Feb21 Transport Forecast'!$F29,'Forecasted Calendar Month Usage'!$Q$5:$Q$32)-I29</f>
        <v>0</v>
      </c>
      <c r="K29" s="20">
        <v>9</v>
      </c>
      <c r="L29" s="20">
        <v>0</v>
      </c>
      <c r="M29" s="20">
        <f>SUMIFS('Fin Forecast'!$I$4:$I$520,'Fin Forecast'!$A$4:$A$520,'Sep20-Feb21 Transport Forecast'!$F29,'Fin Forecast'!$B$4:$B$520,'Sep20-Feb21 Transport Forecast'!AX$5)/O29</f>
        <v>248</v>
      </c>
      <c r="N29" s="21">
        <f>VLOOKUP($D29,'Retail Rates'!$B$7:$P$40,4,FALSE)</f>
        <v>5.42</v>
      </c>
      <c r="O29" s="21">
        <f>VLOOKUP($D29,'Retail Rates'!$B$7:$P$40,5,FALSE)</f>
        <v>24.64</v>
      </c>
      <c r="P29" s="21">
        <f>VLOOKUP($D29,'Retail Rates'!$B$7:$P$40,6,FALSE)</f>
        <v>550</v>
      </c>
      <c r="Q29" s="22">
        <f>VLOOKUP($D29,'Retail Rates'!$B$7:$P$40,10,FALSE)</f>
        <v>2.1929000000000003</v>
      </c>
      <c r="R29" s="22">
        <f>VLOOKUP($D29,'Retail Rates'!$B$7:$P$40,11,FALSE)</f>
        <v>1.6928999999999998</v>
      </c>
      <c r="S29" s="22">
        <f>VLOOKUP($D29,'Retail Rates'!$B$7:$P$40,15,FALSE)</f>
        <v>0</v>
      </c>
      <c r="T29" s="21">
        <v>75</v>
      </c>
      <c r="U29" s="23">
        <f t="shared" si="54"/>
        <v>0</v>
      </c>
      <c r="V29" s="23">
        <f>M29*O29</f>
        <v>6110.72</v>
      </c>
      <c r="W29" s="23">
        <f>(G29*P29)+(H29*P29)</f>
        <v>4400</v>
      </c>
      <c r="X29" s="23">
        <f t="shared" si="56"/>
        <v>56464.122282655881</v>
      </c>
      <c r="Y29" s="23">
        <f t="shared" si="56"/>
        <v>0</v>
      </c>
      <c r="Z29" s="23">
        <f t="shared" si="57"/>
        <v>0</v>
      </c>
      <c r="AA29" s="23">
        <f t="shared" si="58"/>
        <v>675</v>
      </c>
      <c r="AB29" s="41"/>
      <c r="AC29" s="41"/>
      <c r="AD29" s="33"/>
      <c r="AE29" s="33"/>
      <c r="AF29" s="33"/>
      <c r="AG29" s="33"/>
      <c r="AH29" s="33"/>
      <c r="AI29" s="23">
        <f t="shared" si="59"/>
        <v>0</v>
      </c>
      <c r="AJ29" s="23">
        <f t="shared" si="59"/>
        <v>6110.72</v>
      </c>
      <c r="AK29" s="23">
        <f t="shared" si="60"/>
        <v>4400</v>
      </c>
      <c r="AL29" s="23">
        <f t="shared" si="61"/>
        <v>56464.122282655881</v>
      </c>
      <c r="AM29" s="23">
        <f t="shared" si="61"/>
        <v>0</v>
      </c>
      <c r="AN29" s="23">
        <f t="shared" si="61"/>
        <v>0</v>
      </c>
      <c r="AO29" s="23">
        <f t="shared" si="62"/>
        <v>675</v>
      </c>
      <c r="AP29" s="23">
        <f t="shared" si="63"/>
        <v>0</v>
      </c>
      <c r="AQ29" s="28">
        <f t="shared" si="10"/>
        <v>0</v>
      </c>
      <c r="AR29" s="28">
        <f t="shared" si="11"/>
        <v>0</v>
      </c>
      <c r="AS29" s="28">
        <f t="shared" si="12"/>
        <v>4085.6159857880002</v>
      </c>
      <c r="AT29" s="28">
        <f t="shared" si="13"/>
        <v>0</v>
      </c>
      <c r="AU29" s="389">
        <f t="shared" si="64"/>
        <v>71735.460000000006</v>
      </c>
      <c r="AV29" s="389">
        <f t="shared" si="65"/>
        <v>71735.458268443705</v>
      </c>
      <c r="AW29" s="29">
        <f t="shared" si="66"/>
        <v>1</v>
      </c>
      <c r="AX29" s="28">
        <f>SUMIFS('Fin Forecast'!$I$4:$I$520,'Fin Forecast'!$A$4:$A$520,'Sep20-Feb21 Transport Forecast'!$F29,'Fin Forecast'!$B$4:$B$520,'Sep20-Feb21 Transport Forecast'!AX$5)</f>
        <v>6110.72</v>
      </c>
      <c r="AY29" s="28">
        <f>SUMIFS('Fin Forecast'!$I$4:$I$520,'Fin Forecast'!$A$4:$A$520,'Sep20-Feb21 Transport Forecast'!$F29,'Fin Forecast'!$B$4:$B$520,'Sep20-Feb21 Transport Forecast'!AY$5)</f>
        <v>4400</v>
      </c>
      <c r="AZ29" s="28">
        <f>SUMIFS('Fin Forecast'!$I$4:$I$520,'Fin Forecast'!$A$4:$A$520,'Sep20-Feb21 Transport Forecast'!$F29,'Fin Forecast'!$B$4:$B$520,'Sep20-Feb21 Transport Forecast'!AZ$5)</f>
        <v>56464.122282655699</v>
      </c>
      <c r="BA29" s="28">
        <f>SUMIFS('Fin Forecast'!$I$4:$I$520,'Fin Forecast'!$A$4:$A$520,'Sep20-Feb21 Transport Forecast'!$F29,'Fin Forecast'!$B$4:$B$520,'Sep20-Feb21 Transport Forecast'!BA$5)</f>
        <v>0</v>
      </c>
      <c r="BB29" s="28">
        <f>SUMIFS('Fin Forecast'!$I$4:$I$520,'Fin Forecast'!$A$4:$A$520,'Sep20-Feb21 Transport Forecast'!$F29,'Fin Forecast'!$B$4:$B$520,'Sep20-Feb21 Transport Forecast'!BB$5)</f>
        <v>675</v>
      </c>
      <c r="BC29" s="28">
        <f>SUMIFS('Fin Forecast'!$I$4:$I$520,'Fin Forecast'!$A$4:$A$520,'Sep20-Feb21 Transport Forecast'!$F29,'Fin Forecast'!$B$4:$B$520,'Sep20-Feb21 Transport Forecast'!BC$5)</f>
        <v>0</v>
      </c>
      <c r="BD29" s="28">
        <f>SUMIFS('Fin Forecast'!$I$4:$I$520,'Fin Forecast'!$A$4:$A$520,'Sep20-Feb21 Transport Forecast'!$F29,'Fin Forecast'!$B$4:$B$520,'Sep20-Feb21 Transport Forecast'!BD$5)</f>
        <v>0</v>
      </c>
      <c r="BE29" s="28">
        <f>SUMIFS('Fin Forecast'!$I$4:$I$520,'Fin Forecast'!$A$4:$A$520,'Sep20-Feb21 Transport Forecast'!$F29,'Fin Forecast'!$B$4:$B$520,'Sep20-Feb21 Transport Forecast'!BE$5)</f>
        <v>4085.6159857880002</v>
      </c>
      <c r="BF29" s="28">
        <f>SUMIFS('Fin Forecast'!$G$4:$G$520,'Fin Forecast'!$A$4:$A$520,'Sep20-Feb21 Transport Forecast'!$F29,'Fin Forecast'!$B$4:$B$520,'Sep20-Feb21 Transport Forecast'!BF$5)</f>
        <v>0</v>
      </c>
      <c r="BG29" s="28">
        <f>SUMIFS('Fin Forecast'!$G$4:$G$520,'Fin Forecast'!$A$4:$A$520,'Sep20-Feb21 Transport Forecast'!$F29,'Fin Forecast'!$B$4:$B$520,'Sep20-Feb21 Transport Forecast'!BG$5)</f>
        <v>0</v>
      </c>
      <c r="BI29" s="37">
        <f t="shared" si="20"/>
        <v>1.7315563018200919E-3</v>
      </c>
      <c r="BJ29" s="42">
        <f t="shared" si="21"/>
        <v>0</v>
      </c>
      <c r="BK29" s="42">
        <f t="shared" si="22"/>
        <v>1.8189894035458565E-10</v>
      </c>
      <c r="BL29" s="392">
        <f t="shared" si="23"/>
        <v>0</v>
      </c>
      <c r="BM29" s="42">
        <f t="shared" si="24"/>
        <v>0</v>
      </c>
    </row>
    <row r="30" spans="1:65" x14ac:dyDescent="0.25">
      <c r="A30" s="8" t="s">
        <v>380</v>
      </c>
      <c r="B30" s="8" t="s">
        <v>381</v>
      </c>
      <c r="C30" s="307">
        <f>$C$27</f>
        <v>44166</v>
      </c>
      <c r="D30" s="307" t="s">
        <v>53</v>
      </c>
      <c r="E30" s="2" t="str">
        <f t="shared" si="53"/>
        <v>892</v>
      </c>
      <c r="F30" s="2" t="s">
        <v>445</v>
      </c>
      <c r="G30" s="20">
        <f>SUMIF('Forecasted Customer Cts'!$D$5:$D$28,'Sep20-Feb21 Transport Forecast'!$F30,'Forecasted Customer Cts'!$O$5:$O$28)</f>
        <v>1</v>
      </c>
      <c r="H30" s="20">
        <v>0</v>
      </c>
      <c r="I30" s="20">
        <f>SUMIF('Forecasted Calendar Month Usage'!$D$5:$D$32,'Sep20-Feb21 Transport Forecast'!$F30,'Forecasted Calendar Month Usage'!$Q$5:$Q$32)</f>
        <v>8835.5</v>
      </c>
      <c r="J30" s="20">
        <v>0</v>
      </c>
      <c r="K30" s="20">
        <v>0</v>
      </c>
      <c r="L30" s="20">
        <v>0</v>
      </c>
      <c r="M30" s="20">
        <v>0</v>
      </c>
      <c r="N30" s="21">
        <f>VLOOKUP($D30,'Retail Rates'!$B$7:$P$40,4,FALSE)</f>
        <v>500</v>
      </c>
      <c r="O30" s="21">
        <f>VLOOKUP($D30,'Retail Rates'!$B$7:$P$40,5,FALSE)</f>
        <v>0</v>
      </c>
      <c r="P30" s="21">
        <f>VLOOKUP($D30,'Retail Rates'!$B$7:$P$40,6,FALSE)</f>
        <v>550</v>
      </c>
      <c r="Q30" s="22">
        <f>VLOOKUP($D30,'Retail Rates'!$B$7:$P$40,10,FALSE)</f>
        <v>1.0644</v>
      </c>
      <c r="R30" s="22">
        <f>VLOOKUP($D30,'Retail Rates'!$B$7:$P$40,11,FALSE)</f>
        <v>0</v>
      </c>
      <c r="S30" s="22">
        <f>VLOOKUP($D30,'Retail Rates'!$B$7:$P$40,15,FALSE)</f>
        <v>0</v>
      </c>
      <c r="T30" s="21">
        <v>75</v>
      </c>
      <c r="U30" s="23">
        <f t="shared" si="54"/>
        <v>500</v>
      </c>
      <c r="V30" s="23">
        <f t="shared" si="55"/>
        <v>0</v>
      </c>
      <c r="W30" s="23">
        <f>(G30*P30)+(H30*P30)</f>
        <v>550</v>
      </c>
      <c r="X30" s="23">
        <f t="shared" si="56"/>
        <v>9404.5061999999998</v>
      </c>
      <c r="Y30" s="23">
        <f t="shared" si="56"/>
        <v>0</v>
      </c>
      <c r="Z30" s="23">
        <f t="shared" si="57"/>
        <v>0</v>
      </c>
      <c r="AA30" s="23">
        <f t="shared" si="58"/>
        <v>0</v>
      </c>
      <c r="AB30" s="41"/>
      <c r="AC30" s="41"/>
      <c r="AD30" s="33"/>
      <c r="AE30" s="33"/>
      <c r="AF30" s="33"/>
      <c r="AG30" s="33"/>
      <c r="AH30" s="33"/>
      <c r="AI30" s="23">
        <f t="shared" si="59"/>
        <v>500</v>
      </c>
      <c r="AJ30" s="23">
        <f t="shared" si="59"/>
        <v>0</v>
      </c>
      <c r="AK30" s="23">
        <f t="shared" si="60"/>
        <v>550</v>
      </c>
      <c r="AL30" s="23">
        <f t="shared" si="61"/>
        <v>9404.5061999999998</v>
      </c>
      <c r="AM30" s="23">
        <f t="shared" si="61"/>
        <v>0</v>
      </c>
      <c r="AN30" s="23">
        <f t="shared" si="61"/>
        <v>0</v>
      </c>
      <c r="AO30" s="23">
        <f t="shared" si="62"/>
        <v>0</v>
      </c>
      <c r="AP30" s="23">
        <f t="shared" si="63"/>
        <v>0</v>
      </c>
      <c r="AQ30" s="28">
        <f t="shared" si="10"/>
        <v>0</v>
      </c>
      <c r="AR30" s="28">
        <f t="shared" si="11"/>
        <v>0</v>
      </c>
      <c r="AS30" s="28">
        <f t="shared" si="12"/>
        <v>631.38502933643497</v>
      </c>
      <c r="AT30" s="28">
        <f t="shared" si="13"/>
        <v>0</v>
      </c>
      <c r="AU30" s="389">
        <f t="shared" si="64"/>
        <v>11085.89</v>
      </c>
      <c r="AV30" s="389">
        <f t="shared" si="65"/>
        <v>11085.891229336436</v>
      </c>
      <c r="AW30" s="29">
        <f t="shared" si="66"/>
        <v>1</v>
      </c>
      <c r="AX30" s="28">
        <f>SUMIFS('Fin Forecast'!$I$4:$I$520,'Fin Forecast'!$A$4:$A$520,'Sep20-Feb21 Transport Forecast'!$F30,'Fin Forecast'!$B$4:$B$520,'Sep20-Feb21 Transport Forecast'!AX$5)</f>
        <v>500</v>
      </c>
      <c r="AY30" s="28">
        <f>SUMIFS('Fin Forecast'!$I$4:$I$520,'Fin Forecast'!$A$4:$A$520,'Sep20-Feb21 Transport Forecast'!$F30,'Fin Forecast'!$B$4:$B$520,'Sep20-Feb21 Transport Forecast'!AY$5)</f>
        <v>550</v>
      </c>
      <c r="AZ30" s="28">
        <f>SUMIFS('Fin Forecast'!$I$4:$I$520,'Fin Forecast'!$A$4:$A$520,'Sep20-Feb21 Transport Forecast'!$F30,'Fin Forecast'!$B$4:$B$520,'Sep20-Feb21 Transport Forecast'!AZ$5)</f>
        <v>9404.5061999999998</v>
      </c>
      <c r="BA30" s="28">
        <f>SUMIFS('Fin Forecast'!$I$4:$I$520,'Fin Forecast'!$A$4:$A$520,'Sep20-Feb21 Transport Forecast'!$F30,'Fin Forecast'!$B$4:$B$520,'Sep20-Feb21 Transport Forecast'!BA$5)</f>
        <v>0</v>
      </c>
      <c r="BB30" s="28">
        <f>SUMIFS('Fin Forecast'!$I$4:$I$520,'Fin Forecast'!$A$4:$A$520,'Sep20-Feb21 Transport Forecast'!$F30,'Fin Forecast'!$B$4:$B$520,'Sep20-Feb21 Transport Forecast'!BB$5)</f>
        <v>0</v>
      </c>
      <c r="BC30" s="28">
        <f>SUMIFS('Fin Forecast'!$I$4:$I$520,'Fin Forecast'!$A$4:$A$520,'Sep20-Feb21 Transport Forecast'!$F30,'Fin Forecast'!$B$4:$B$520,'Sep20-Feb21 Transport Forecast'!BC$5)</f>
        <v>0</v>
      </c>
      <c r="BD30" s="28">
        <f>SUMIFS('Fin Forecast'!$I$4:$I$520,'Fin Forecast'!$A$4:$A$520,'Sep20-Feb21 Transport Forecast'!$F30,'Fin Forecast'!$B$4:$B$520,'Sep20-Feb21 Transport Forecast'!BD$5)</f>
        <v>0</v>
      </c>
      <c r="BE30" s="28">
        <f>SUMIFS('Fin Forecast'!$I$4:$I$520,'Fin Forecast'!$A$4:$A$520,'Sep20-Feb21 Transport Forecast'!$F30,'Fin Forecast'!$B$4:$B$520,'Sep20-Feb21 Transport Forecast'!BE$5)</f>
        <v>631.38502933643497</v>
      </c>
      <c r="BF30" s="28">
        <f>SUMIFS('Fin Forecast'!$G$4:$G$520,'Fin Forecast'!$A$4:$A$520,'Sep20-Feb21 Transport Forecast'!$F30,'Fin Forecast'!$B$4:$B$520,'Sep20-Feb21 Transport Forecast'!BF$5)</f>
        <v>0</v>
      </c>
      <c r="BG30" s="28">
        <f>SUMIFS('Fin Forecast'!$G$4:$G$520,'Fin Forecast'!$A$4:$A$520,'Sep20-Feb21 Transport Forecast'!$F30,'Fin Forecast'!$B$4:$B$520,'Sep20-Feb21 Transport Forecast'!BG$5)</f>
        <v>0</v>
      </c>
      <c r="BI30" s="37">
        <f t="shared" si="20"/>
        <v>-1.2293364361539716E-3</v>
      </c>
      <c r="BJ30" s="42">
        <f t="shared" si="21"/>
        <v>0</v>
      </c>
      <c r="BK30" s="42">
        <f t="shared" si="22"/>
        <v>0</v>
      </c>
      <c r="BL30" s="392">
        <f t="shared" si="23"/>
        <v>0</v>
      </c>
      <c r="BM30" s="42">
        <f t="shared" si="24"/>
        <v>0</v>
      </c>
    </row>
    <row r="31" spans="1:65" x14ac:dyDescent="0.25">
      <c r="A31" s="8"/>
      <c r="B31" s="8"/>
      <c r="C31" s="307">
        <f>$C$27</f>
        <v>44166</v>
      </c>
      <c r="D31" s="307" t="s">
        <v>567</v>
      </c>
      <c r="E31" s="2" t="str">
        <f t="shared" si="53"/>
        <v>883</v>
      </c>
      <c r="F31" s="2" t="s">
        <v>576</v>
      </c>
      <c r="G31" s="20">
        <f>SUMIF('Forecasted Customer Cts'!$D$5:$D$28,'Sep20-Feb21 Transport Forecast'!$F31,'Forecasted Customer Cts'!$O$5:$O$28)</f>
        <v>0</v>
      </c>
      <c r="H31" s="20">
        <v>0</v>
      </c>
      <c r="I31" s="20">
        <f>SUMIF('Forecasted Calendar Month Usage'!$D$5:$D$32,'Sep20-Feb21 Transport Forecast'!$F31,'Forecasted Calendar Month Usage'!$O$5:$O$32)</f>
        <v>0</v>
      </c>
      <c r="J31" s="20">
        <v>0</v>
      </c>
      <c r="K31" s="20">
        <v>0</v>
      </c>
      <c r="L31" s="20">
        <f>SUMIFS('Fin Forecast'!$I$4:$I$520,'Fin Forecast'!$A$4:$A$520,'Sep20-Feb21 Transport Forecast'!$F31,'Fin Forecast'!$B$4:$B$520,'Sep20-Feb21 Transport Forecast'!L$5)/S31</f>
        <v>0</v>
      </c>
      <c r="M31" s="20">
        <v>0</v>
      </c>
      <c r="N31" s="21">
        <f>VLOOKUP($D31,'Retail Rates'!$B$7:$P$40,4,FALSE)</f>
        <v>165</v>
      </c>
      <c r="O31" s="21">
        <f>VLOOKUP($D31,'Retail Rates'!$B$7:$P$40,5,FALSE)</f>
        <v>750</v>
      </c>
      <c r="P31" s="21">
        <f>VLOOKUP($D31,'Retail Rates'!$B$7:$P$40,6,FALSE)</f>
        <v>550</v>
      </c>
      <c r="Q31" s="22">
        <f>VLOOKUP($D31,'Retail Rates'!$B$7:$P$40,10,FALSE)</f>
        <v>0.29919999999999997</v>
      </c>
      <c r="R31" s="22">
        <f>VLOOKUP($D31,'Retail Rates'!$B$7:$P$40,11,FALSE)</f>
        <v>0</v>
      </c>
      <c r="S31" s="22">
        <f>VLOOKUP($D31,'Retail Rates'!$B$7:$P$40,15,FALSE)</f>
        <v>10.8978</v>
      </c>
      <c r="T31" s="21">
        <v>75</v>
      </c>
      <c r="U31" s="23">
        <f t="shared" si="54"/>
        <v>0</v>
      </c>
      <c r="V31" s="23">
        <f t="shared" si="55"/>
        <v>0</v>
      </c>
      <c r="W31" s="23">
        <f>G31*P31</f>
        <v>0</v>
      </c>
      <c r="X31" s="23">
        <f t="shared" si="56"/>
        <v>0</v>
      </c>
      <c r="Y31" s="23">
        <f t="shared" si="56"/>
        <v>0</v>
      </c>
      <c r="Z31" s="23">
        <f t="shared" si="57"/>
        <v>0</v>
      </c>
      <c r="AA31" s="23">
        <f t="shared" si="58"/>
        <v>0</v>
      </c>
      <c r="AB31" s="41"/>
      <c r="AC31" s="41"/>
      <c r="AD31" s="33"/>
      <c r="AE31" s="33"/>
      <c r="AF31" s="33"/>
      <c r="AG31" s="33"/>
      <c r="AH31" s="33"/>
      <c r="AI31" s="23">
        <f t="shared" si="59"/>
        <v>0</v>
      </c>
      <c r="AJ31" s="23">
        <f t="shared" si="59"/>
        <v>0</v>
      </c>
      <c r="AK31" s="23">
        <f t="shared" si="60"/>
        <v>0</v>
      </c>
      <c r="AL31" s="23">
        <f t="shared" si="61"/>
        <v>0</v>
      </c>
      <c r="AM31" s="23">
        <f t="shared" si="61"/>
        <v>0</v>
      </c>
      <c r="AN31" s="23">
        <f t="shared" si="61"/>
        <v>0</v>
      </c>
      <c r="AO31" s="23">
        <f t="shared" si="62"/>
        <v>0</v>
      </c>
      <c r="AP31" s="23">
        <f t="shared" si="63"/>
        <v>0</v>
      </c>
      <c r="AQ31" s="28">
        <f t="shared" si="10"/>
        <v>0</v>
      </c>
      <c r="AR31" s="28">
        <f t="shared" si="11"/>
        <v>0</v>
      </c>
      <c r="AS31" s="28">
        <f t="shared" si="12"/>
        <v>0</v>
      </c>
      <c r="AT31" s="28">
        <f t="shared" si="13"/>
        <v>0</v>
      </c>
      <c r="AU31" s="389">
        <f t="shared" si="64"/>
        <v>0</v>
      </c>
      <c r="AV31" s="389">
        <f t="shared" si="65"/>
        <v>0</v>
      </c>
      <c r="AW31" s="29">
        <f t="shared" si="66"/>
        <v>0</v>
      </c>
      <c r="AX31" s="28">
        <f>SUMIFS('Fin Forecast'!$I$4:$I$520,'Fin Forecast'!$A$4:$A$520,'Sep20-Feb21 Transport Forecast'!$F31,'Fin Forecast'!$B$4:$B$520,'Sep20-Feb21 Transport Forecast'!AX$5)</f>
        <v>0</v>
      </c>
      <c r="AY31" s="28">
        <f>SUMIFS('Fin Forecast'!$I$4:$I$520,'Fin Forecast'!$A$4:$A$520,'Sep20-Feb21 Transport Forecast'!$F31,'Fin Forecast'!$B$4:$B$520,'Sep20-Feb21 Transport Forecast'!AY$5)</f>
        <v>0</v>
      </c>
      <c r="AZ31" s="28">
        <f>SUMIFS('Fin Forecast'!$I$4:$I$520,'Fin Forecast'!$A$4:$A$520,'Sep20-Feb21 Transport Forecast'!$F31,'Fin Forecast'!$B$4:$B$520,'Sep20-Feb21 Transport Forecast'!AZ$5)</f>
        <v>0</v>
      </c>
      <c r="BA31" s="28">
        <f>SUMIFS('Fin Forecast'!$I$4:$I$520,'Fin Forecast'!$A$4:$A$520,'Sep20-Feb21 Transport Forecast'!$F31,'Fin Forecast'!$B$4:$B$520,'Sep20-Feb21 Transport Forecast'!BA$5)</f>
        <v>0</v>
      </c>
      <c r="BB31" s="28">
        <f>SUMIFS('Fin Forecast'!$I$4:$I$520,'Fin Forecast'!$A$4:$A$520,'Sep20-Feb21 Transport Forecast'!$F31,'Fin Forecast'!$B$4:$B$520,'Sep20-Feb21 Transport Forecast'!BB$5)</f>
        <v>0</v>
      </c>
      <c r="BC31" s="28">
        <f>SUMIFS('Fin Forecast'!$I$4:$I$520,'Fin Forecast'!$A$4:$A$520,'Sep20-Feb21 Transport Forecast'!$F31,'Fin Forecast'!$B$4:$B$520,'Sep20-Feb21 Transport Forecast'!BC$5)</f>
        <v>0</v>
      </c>
      <c r="BD31" s="28">
        <f>SUMIFS('Fin Forecast'!$I$4:$I$520,'Fin Forecast'!$A$4:$A$520,'Sep20-Feb21 Transport Forecast'!$F31,'Fin Forecast'!$B$4:$B$520,'Sep20-Feb21 Transport Forecast'!BD$5)</f>
        <v>0</v>
      </c>
      <c r="BE31" s="28">
        <f>SUMIFS('Fin Forecast'!$I$4:$I$520,'Fin Forecast'!$A$4:$A$520,'Sep20-Feb21 Transport Forecast'!$F31,'Fin Forecast'!$B$4:$B$520,'Sep20-Feb21 Transport Forecast'!BE$5)</f>
        <v>0</v>
      </c>
      <c r="BF31" s="28">
        <f>SUMIFS('Fin Forecast'!$G$4:$G$520,'Fin Forecast'!$A$4:$A$520,'Sep20-Feb21 Transport Forecast'!$F31,'Fin Forecast'!$B$4:$B$520,'Sep20-Feb21 Transport Forecast'!BF$5)</f>
        <v>0</v>
      </c>
      <c r="BG31" s="28">
        <f>SUMIFS('Fin Forecast'!$G$4:$G$520,'Fin Forecast'!$A$4:$A$520,'Sep20-Feb21 Transport Forecast'!$F31,'Fin Forecast'!$B$4:$B$520,'Sep20-Feb21 Transport Forecast'!BG$5)</f>
        <v>0</v>
      </c>
      <c r="BI31" s="37">
        <f t="shared" si="20"/>
        <v>0</v>
      </c>
      <c r="BJ31" s="42">
        <f t="shared" si="21"/>
        <v>0</v>
      </c>
      <c r="BK31" s="42">
        <f t="shared" si="22"/>
        <v>0</v>
      </c>
      <c r="BL31" s="392">
        <f t="shared" si="23"/>
        <v>0</v>
      </c>
      <c r="BM31" s="42">
        <f t="shared" si="24"/>
        <v>0</v>
      </c>
    </row>
    <row r="32" spans="1:65" x14ac:dyDescent="0.25">
      <c r="A32" s="362" t="s">
        <v>530</v>
      </c>
      <c r="B32" s="8"/>
      <c r="C32" s="307">
        <f>$C$27</f>
        <v>44166</v>
      </c>
      <c r="D32" s="307" t="s">
        <v>562</v>
      </c>
      <c r="E32" s="2" t="str">
        <f t="shared" si="53"/>
        <v>872</v>
      </c>
      <c r="F32" s="2" t="s">
        <v>551</v>
      </c>
      <c r="G32" s="20">
        <f>SUMIF('Forecasted Customer Cts'!$D$5:$D$28,'Sep20-Feb21 Transport Forecast'!$F32,'Forecasted Customer Cts'!$O$5:$O$28)</f>
        <v>0</v>
      </c>
      <c r="H32" s="20">
        <v>0</v>
      </c>
      <c r="I32" s="20">
        <f>SUMIF('Forecasted Calendar Month Usage'!$D$5:$D$32,'Sep20-Feb21 Transport Forecast'!$F32,'Forecasted Calendar Month Usage'!$O$5:$O$32)</f>
        <v>0</v>
      </c>
      <c r="J32" s="20">
        <v>0</v>
      </c>
      <c r="K32" s="20">
        <v>0</v>
      </c>
      <c r="L32" s="20">
        <f>SUMIFS('Fin Forecast'!$I$4:$I$520,'Fin Forecast'!$A$4:$A$520,'Sep20-Feb21 Transport Forecast'!$F32,'Fin Forecast'!$B$4:$B$520,'Sep20-Feb21 Transport Forecast'!L$5)/S32</f>
        <v>0</v>
      </c>
      <c r="M32" s="20">
        <v>0</v>
      </c>
      <c r="N32" s="21">
        <f>VLOOKUP($D32,'Retail Rates'!$B$7:$P$40,4,FALSE)</f>
        <v>750</v>
      </c>
      <c r="O32" s="21">
        <f>VLOOKUP($D32,'Retail Rates'!$B$7:$P$40,5,FALSE)</f>
        <v>0</v>
      </c>
      <c r="P32" s="21">
        <f>VLOOKUP($D32,'Retail Rates'!$B$7:$P$40,6,FALSE)</f>
        <v>550</v>
      </c>
      <c r="Q32" s="22">
        <f>VLOOKUP($D32,'Retail Rates'!$B$7:$P$40,10,FALSE)</f>
        <v>3.7999999999999999E-2</v>
      </c>
      <c r="R32" s="22">
        <f>VLOOKUP($D32,'Retail Rates'!$B$7:$P$40,11,FALSE)</f>
        <v>0</v>
      </c>
      <c r="S32" s="22">
        <f>VLOOKUP($D32,'Retail Rates'!$B$7:$P$40,15,FALSE)</f>
        <v>4.8899999999999997</v>
      </c>
      <c r="T32" s="21">
        <v>75</v>
      </c>
      <c r="U32" s="23">
        <f t="shared" si="54"/>
        <v>0</v>
      </c>
      <c r="V32" s="23">
        <f t="shared" si="55"/>
        <v>0</v>
      </c>
      <c r="W32" s="23">
        <f>G32*P32</f>
        <v>0</v>
      </c>
      <c r="X32" s="23">
        <f t="shared" si="56"/>
        <v>0</v>
      </c>
      <c r="Y32" s="23">
        <f t="shared" si="56"/>
        <v>0</v>
      </c>
      <c r="Z32" s="23">
        <f t="shared" si="57"/>
        <v>0</v>
      </c>
      <c r="AA32" s="23">
        <f t="shared" si="58"/>
        <v>0</v>
      </c>
      <c r="AB32" s="41"/>
      <c r="AC32" s="41"/>
      <c r="AD32" s="33"/>
      <c r="AE32" s="33"/>
      <c r="AF32" s="33"/>
      <c r="AG32" s="33"/>
      <c r="AH32" s="33"/>
      <c r="AI32" s="23">
        <f t="shared" si="59"/>
        <v>0</v>
      </c>
      <c r="AJ32" s="23">
        <f t="shared" si="59"/>
        <v>0</v>
      </c>
      <c r="AK32" s="23">
        <f t="shared" si="60"/>
        <v>0</v>
      </c>
      <c r="AL32" s="23">
        <f t="shared" si="61"/>
        <v>0</v>
      </c>
      <c r="AM32" s="23">
        <f t="shared" si="61"/>
        <v>0</v>
      </c>
      <c r="AN32" s="23">
        <f t="shared" si="61"/>
        <v>0</v>
      </c>
      <c r="AO32" s="23">
        <f t="shared" si="62"/>
        <v>0</v>
      </c>
      <c r="AP32" s="23">
        <f t="shared" si="63"/>
        <v>0</v>
      </c>
      <c r="AQ32" s="28">
        <f t="shared" si="10"/>
        <v>0</v>
      </c>
      <c r="AR32" s="28">
        <f t="shared" si="11"/>
        <v>0</v>
      </c>
      <c r="AS32" s="28">
        <f t="shared" si="12"/>
        <v>0</v>
      </c>
      <c r="AT32" s="28">
        <f t="shared" si="13"/>
        <v>0</v>
      </c>
      <c r="AU32" s="389">
        <f t="shared" si="64"/>
        <v>0</v>
      </c>
      <c r="AV32" s="389">
        <f t="shared" si="65"/>
        <v>0</v>
      </c>
      <c r="AW32" s="29">
        <f t="shared" si="66"/>
        <v>0</v>
      </c>
      <c r="AX32" s="28">
        <f>SUMIFS('Fin Forecast'!$I$4:$I$520,'Fin Forecast'!$A$4:$A$520,'Sep20-Feb21 Transport Forecast'!$F32,'Fin Forecast'!$B$4:$B$520,'Sep20-Feb21 Transport Forecast'!AX$5)</f>
        <v>0</v>
      </c>
      <c r="AY32" s="28">
        <f>SUMIFS('Fin Forecast'!$I$4:$I$520,'Fin Forecast'!$A$4:$A$520,'Sep20-Feb21 Transport Forecast'!$F32,'Fin Forecast'!$B$4:$B$520,'Sep20-Feb21 Transport Forecast'!AY$5)</f>
        <v>0</v>
      </c>
      <c r="AZ32" s="28">
        <f>SUMIFS('Fin Forecast'!$I$4:$I$520,'Fin Forecast'!$A$4:$A$520,'Sep20-Feb21 Transport Forecast'!$F32,'Fin Forecast'!$B$4:$B$520,'Sep20-Feb21 Transport Forecast'!AZ$5)</f>
        <v>0</v>
      </c>
      <c r="BA32" s="28">
        <f>SUMIFS('Fin Forecast'!$I$4:$I$520,'Fin Forecast'!$A$4:$A$520,'Sep20-Feb21 Transport Forecast'!$F32,'Fin Forecast'!$B$4:$B$520,'Sep20-Feb21 Transport Forecast'!BA$5)</f>
        <v>0</v>
      </c>
      <c r="BB32" s="28">
        <f>SUMIFS('Fin Forecast'!$I$4:$I$520,'Fin Forecast'!$A$4:$A$520,'Sep20-Feb21 Transport Forecast'!$F32,'Fin Forecast'!$B$4:$B$520,'Sep20-Feb21 Transport Forecast'!BB$5)</f>
        <v>0</v>
      </c>
      <c r="BC32" s="28">
        <f>SUMIFS('Fin Forecast'!$I$4:$I$520,'Fin Forecast'!$A$4:$A$520,'Sep20-Feb21 Transport Forecast'!$F32,'Fin Forecast'!$B$4:$B$520,'Sep20-Feb21 Transport Forecast'!BC$5)</f>
        <v>0</v>
      </c>
      <c r="BD32" s="28">
        <f>SUMIFS('Fin Forecast'!$I$4:$I$520,'Fin Forecast'!$A$4:$A$520,'Sep20-Feb21 Transport Forecast'!$F32,'Fin Forecast'!$B$4:$B$520,'Sep20-Feb21 Transport Forecast'!BD$5)</f>
        <v>0</v>
      </c>
      <c r="BE32" s="28">
        <f>SUMIFS('Fin Forecast'!$I$4:$I$520,'Fin Forecast'!$A$4:$A$520,'Sep20-Feb21 Transport Forecast'!$F32,'Fin Forecast'!$B$4:$B$520,'Sep20-Feb21 Transport Forecast'!BE$5)</f>
        <v>0</v>
      </c>
      <c r="BF32" s="28">
        <f>SUMIFS('Fin Forecast'!$G$4:$G$520,'Fin Forecast'!$A$4:$A$520,'Sep20-Feb21 Transport Forecast'!$F32,'Fin Forecast'!$B$4:$B$520,'Sep20-Feb21 Transport Forecast'!BF$5)</f>
        <v>0</v>
      </c>
      <c r="BG32" s="28">
        <f>SUMIFS('Fin Forecast'!$G$4:$G$520,'Fin Forecast'!$A$4:$A$520,'Sep20-Feb21 Transport Forecast'!$F32,'Fin Forecast'!$B$4:$B$520,'Sep20-Feb21 Transport Forecast'!BG$5)</f>
        <v>0</v>
      </c>
      <c r="BI32" s="37">
        <f t="shared" si="20"/>
        <v>0</v>
      </c>
      <c r="BJ32" s="42">
        <f t="shared" si="21"/>
        <v>0</v>
      </c>
      <c r="BK32" s="42">
        <f t="shared" si="22"/>
        <v>0</v>
      </c>
      <c r="BL32" s="392">
        <f t="shared" si="23"/>
        <v>0</v>
      </c>
      <c r="BM32" s="42">
        <f t="shared" si="24"/>
        <v>0</v>
      </c>
    </row>
    <row r="33" spans="1:65" s="422" customFormat="1" x14ac:dyDescent="0.25">
      <c r="A33" s="412"/>
      <c r="B33" s="412"/>
      <c r="C33" s="413"/>
      <c r="D33" s="413"/>
      <c r="E33" s="414"/>
      <c r="F33" s="414"/>
      <c r="G33" s="415"/>
      <c r="H33" s="415"/>
      <c r="I33" s="415"/>
      <c r="J33" s="415"/>
      <c r="K33" s="415"/>
      <c r="L33" s="415"/>
      <c r="M33" s="415"/>
      <c r="N33" s="416"/>
      <c r="O33" s="416"/>
      <c r="P33" s="416"/>
      <c r="Q33" s="417"/>
      <c r="R33" s="417"/>
      <c r="S33" s="417"/>
      <c r="T33" s="418"/>
      <c r="U33" s="419"/>
      <c r="V33" s="419"/>
      <c r="W33" s="419"/>
      <c r="X33" s="419"/>
      <c r="Y33" s="419"/>
      <c r="Z33" s="419"/>
      <c r="AA33" s="419"/>
      <c r="AB33" s="420"/>
      <c r="AC33" s="420"/>
      <c r="AD33" s="419"/>
      <c r="AE33" s="419"/>
      <c r="AF33" s="419"/>
      <c r="AG33" s="419"/>
      <c r="AH33" s="419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21"/>
      <c r="AX33" s="419"/>
      <c r="AY33" s="419"/>
      <c r="AZ33" s="419"/>
      <c r="BA33" s="419"/>
      <c r="BB33" s="419"/>
      <c r="BC33" s="419"/>
      <c r="BD33" s="419"/>
      <c r="BE33" s="419"/>
      <c r="BF33" s="419"/>
      <c r="BG33" s="419"/>
      <c r="BI33" s="423"/>
      <c r="BJ33" s="419"/>
      <c r="BK33" s="419"/>
      <c r="BL33" s="424"/>
      <c r="BM33" s="419"/>
    </row>
    <row r="34" spans="1:65" x14ac:dyDescent="0.25">
      <c r="A34" s="8"/>
      <c r="B34" s="8"/>
      <c r="C34" s="307">
        <f>EDATE(C27,1)</f>
        <v>44197</v>
      </c>
      <c r="D34" s="307" t="s">
        <v>34</v>
      </c>
      <c r="E34" s="2" t="str">
        <f t="shared" ref="E34:E39" si="67">MID(D34,6,3)</f>
        <v>895</v>
      </c>
      <c r="F34" s="2" t="s">
        <v>610</v>
      </c>
      <c r="G34" s="20">
        <v>0</v>
      </c>
      <c r="H34" s="20">
        <f>SUMIF('Forecasted Customer Cts'!$D$5:$D$28,'Sep20-Feb21 Transport Forecast'!$F34,'Forecasted Customer Cts'!$R$5:$R$28)</f>
        <v>77</v>
      </c>
      <c r="I34" s="20">
        <f>SUMIF('Forecasted Calendar Month Usage'!$D$5:$D$32,'Sep20-Feb21 Transport Forecast'!$F34,'Forecasted Calendar Month Usage'!$R$5:$R$32)</f>
        <v>1374315.9820134528</v>
      </c>
      <c r="J34" s="20">
        <v>0</v>
      </c>
      <c r="K34" s="20">
        <v>71</v>
      </c>
      <c r="L34" s="20">
        <f>SUMIFS('Fin Forecast'!$J$4:$J$520,'Fin Forecast'!$A$4:$A$520,'Sep20-Feb21 Transport Forecast'!$F34,'Fin Forecast'!$B$4:$B$520,'Sep20-Feb21 Transport Forecast'!L$5)/S34</f>
        <v>77511.100000000006</v>
      </c>
      <c r="M34" s="20">
        <v>0</v>
      </c>
      <c r="N34" s="21">
        <f>VLOOKUP($D34,'Retail Rates'!$B$7:$P$40,4,FALSE)</f>
        <v>0</v>
      </c>
      <c r="O34" s="21">
        <f>VLOOKUP($D34,'Retail Rates'!$B$7:$P$40,5,FALSE)</f>
        <v>750</v>
      </c>
      <c r="P34" s="21">
        <f>VLOOKUP($D34,'Retail Rates'!$B$7:$P$40,6,FALSE)</f>
        <v>550</v>
      </c>
      <c r="Q34" s="22">
        <f>VLOOKUP($D34,'Retail Rates'!$B$7:$P$40,10,FALSE)</f>
        <v>3.7999999999999999E-2</v>
      </c>
      <c r="R34" s="22">
        <f>VLOOKUP($D34,'Retail Rates'!$B$7:$P$40,11,FALSE)</f>
        <v>0</v>
      </c>
      <c r="S34" s="22">
        <f>VLOOKUP($D34,'Retail Rates'!$B$7:$P$40,15,FALSE)</f>
        <v>4.8899999999999997</v>
      </c>
      <c r="T34" s="21">
        <v>75</v>
      </c>
      <c r="U34" s="23">
        <f t="shared" ref="U34:U39" si="68">(+G34*N34)</f>
        <v>0</v>
      </c>
      <c r="V34" s="23">
        <f t="shared" ref="V34:V39" si="69">H34*O34</f>
        <v>57750</v>
      </c>
      <c r="W34" s="23">
        <f>H34*P34</f>
        <v>42350</v>
      </c>
      <c r="X34" s="23">
        <f t="shared" ref="X34:Y39" si="70">+I34*Q34</f>
        <v>52224.007316511204</v>
      </c>
      <c r="Y34" s="23">
        <f t="shared" si="70"/>
        <v>0</v>
      </c>
      <c r="Z34" s="23">
        <f t="shared" ref="Z34:Z39" si="71">L34*S34</f>
        <v>379029.27899999998</v>
      </c>
      <c r="AA34" s="23">
        <f t="shared" ref="AA34:AA39" si="72">K34*T34</f>
        <v>5325</v>
      </c>
      <c r="AB34" s="41"/>
      <c r="AC34" s="41"/>
      <c r="AD34" s="33"/>
      <c r="AE34" s="33"/>
      <c r="AF34" s="33"/>
      <c r="AG34" s="33"/>
      <c r="AH34" s="33"/>
      <c r="AI34" s="23">
        <f t="shared" ref="AI34:AJ39" si="73">U34+AD34</f>
        <v>0</v>
      </c>
      <c r="AJ34" s="23">
        <f t="shared" si="73"/>
        <v>57750</v>
      </c>
      <c r="AK34" s="23">
        <f t="shared" ref="AK34:AK39" si="74">W34</f>
        <v>42350</v>
      </c>
      <c r="AL34" s="23">
        <f t="shared" ref="AL34:AN39" si="75">+X34+AF34</f>
        <v>52224.007316511204</v>
      </c>
      <c r="AM34" s="23">
        <f t="shared" si="75"/>
        <v>0</v>
      </c>
      <c r="AN34" s="23">
        <f t="shared" si="75"/>
        <v>379029.27899999998</v>
      </c>
      <c r="AO34" s="23">
        <f t="shared" ref="AO34:AO39" si="76">AA34</f>
        <v>5325</v>
      </c>
      <c r="AP34" s="23">
        <f t="shared" ref="AP34:AP39" si="77">BG34</f>
        <v>0</v>
      </c>
      <c r="AQ34" s="28">
        <f t="shared" si="10"/>
        <v>0</v>
      </c>
      <c r="AR34" s="28">
        <f t="shared" si="11"/>
        <v>0</v>
      </c>
      <c r="AS34" s="28">
        <f t="shared" si="12"/>
        <v>16348.1609950566</v>
      </c>
      <c r="AT34" s="28">
        <f t="shared" si="13"/>
        <v>0</v>
      </c>
      <c r="AU34" s="389">
        <f t="shared" ref="AU34:AU39" si="78">ROUND(SUM(AI34:AT34),2)</f>
        <v>553026.44999999995</v>
      </c>
      <c r="AV34" s="389">
        <f t="shared" ref="AV34:AV39" si="79">SUM(AX34:BG34)</f>
        <v>553026.44731156761</v>
      </c>
      <c r="AW34" s="29">
        <f t="shared" si="66"/>
        <v>1</v>
      </c>
      <c r="AX34" s="28">
        <f>SUMIFS('Fin Forecast'!$J$4:$J$520,'Fin Forecast'!$A$4:$A$520,'Sep20-Feb21 Transport Forecast'!$F34,'Fin Forecast'!$B$4:$B$520,'Sep20-Feb21 Transport Forecast'!AX$5)</f>
        <v>57750</v>
      </c>
      <c r="AY34" s="28">
        <f>SUMIFS('Fin Forecast'!$J$4:$J$520,'Fin Forecast'!$A$4:$A$520,'Sep20-Feb21 Transport Forecast'!$F34,'Fin Forecast'!$B$4:$B$520,'Sep20-Feb21 Transport Forecast'!AY$5)</f>
        <v>42350</v>
      </c>
      <c r="AZ34" s="28">
        <f>SUMIFS('Fin Forecast'!$J$4:$J$520,'Fin Forecast'!$A$4:$A$520,'Sep20-Feb21 Transport Forecast'!$F34,'Fin Forecast'!$B$4:$B$520,'Sep20-Feb21 Transport Forecast'!AZ$5)</f>
        <v>52224.007316511001</v>
      </c>
      <c r="BA34" s="28">
        <f>SUMIFS('Fin Forecast'!$J$4:$J$520,'Fin Forecast'!$A$4:$A$520,'Sep20-Feb21 Transport Forecast'!$F34,'Fin Forecast'!$B$4:$B$520,'Sep20-Feb21 Transport Forecast'!BA$5)</f>
        <v>379029.27899999998</v>
      </c>
      <c r="BB34" s="28">
        <f>SUMIFS('Fin Forecast'!$J$4:$J$520,'Fin Forecast'!$A$4:$A$520,'Sep20-Feb21 Transport Forecast'!$F34,'Fin Forecast'!$B$4:$B$520,'Sep20-Feb21 Transport Forecast'!BB$5)</f>
        <v>5325</v>
      </c>
      <c r="BC34" s="28">
        <f>SUMIFS('Fin Forecast'!$J$4:$J$520,'Fin Forecast'!$A$4:$A$520,'Sep20-Feb21 Transport Forecast'!$F34,'Fin Forecast'!$B$4:$B$520,'Sep20-Feb21 Transport Forecast'!BC$5)</f>
        <v>0</v>
      </c>
      <c r="BD34" s="28">
        <f>SUMIFS('Fin Forecast'!$J$4:$J$520,'Fin Forecast'!$A$4:$A$520,'Sep20-Feb21 Transport Forecast'!$F34,'Fin Forecast'!$B$4:$B$520,'Sep20-Feb21 Transport Forecast'!BD$5)</f>
        <v>0</v>
      </c>
      <c r="BE34" s="28">
        <f>SUMIFS('Fin Forecast'!$J$4:$J$520,'Fin Forecast'!$A$4:$A$520,'Sep20-Feb21 Transport Forecast'!$F34,'Fin Forecast'!$B$4:$B$520,'Sep20-Feb21 Transport Forecast'!BE$5)</f>
        <v>16348.1609950566</v>
      </c>
      <c r="BF34" s="28">
        <f>SUMIFS('Fin Forecast'!$H$4:$H$520,'Fin Forecast'!$A$4:$A$520,'Sep20-Feb21 Transport Forecast'!$F34,'Fin Forecast'!$B$4:$B$520,'Sep20-Feb21 Transport Forecast'!BF$5)</f>
        <v>0</v>
      </c>
      <c r="BG34" s="28">
        <f>SUMIFS('Fin Forecast'!$H$4:$H$520,'Fin Forecast'!$A$4:$A$520,'Sep20-Feb21 Transport Forecast'!$F34,'Fin Forecast'!$B$4:$B$520,'Sep20-Feb21 Transport Forecast'!BG$5)</f>
        <v>0</v>
      </c>
      <c r="BI34" s="37">
        <f t="shared" si="20"/>
        <v>2.6884323451668024E-3</v>
      </c>
      <c r="BJ34" s="42">
        <f t="shared" si="21"/>
        <v>0</v>
      </c>
      <c r="BK34" s="42">
        <f t="shared" si="22"/>
        <v>2.0372681319713593E-10</v>
      </c>
      <c r="BL34" s="392">
        <f t="shared" si="23"/>
        <v>0</v>
      </c>
      <c r="BM34" s="42">
        <f t="shared" si="24"/>
        <v>0</v>
      </c>
    </row>
    <row r="35" spans="1:65" x14ac:dyDescent="0.25">
      <c r="A35" s="8"/>
      <c r="B35" s="8"/>
      <c r="C35" s="307">
        <f>$C$34</f>
        <v>44197</v>
      </c>
      <c r="D35" s="307" t="s">
        <v>30</v>
      </c>
      <c r="E35" s="2" t="str">
        <f t="shared" si="67"/>
        <v>881</v>
      </c>
      <c r="F35" s="2" t="s">
        <v>546</v>
      </c>
      <c r="G35" s="20">
        <f>SUMIFS('Forecasted Customer Cts'!$P$5:$P$28,'Forecasted Customer Cts'!$D$5:$D$28,$F35,'Forecasted Customer Cts'!$C$5:$C$28,$A$8)</f>
        <v>0</v>
      </c>
      <c r="H35" s="20">
        <f>SUMIFS('Forecasted Customer Cts'!$P$5:$P$28,'Forecasted Customer Cts'!$D$5:$D$28,$F35,'Forecasted Customer Cts'!$C$5:$C$28,$B$8)</f>
        <v>0</v>
      </c>
      <c r="I35" s="20">
        <f>SUMIF('Forecasted Calendar Month Usage'!$D$5:$D$32,'Sep20-Feb21 Transport Forecast'!$F35,'Forecasted Calendar Month Usage'!$P$5:$P$32)</f>
        <v>0</v>
      </c>
      <c r="J35" s="20">
        <v>0</v>
      </c>
      <c r="K35" s="20">
        <v>0</v>
      </c>
      <c r="L35" s="20">
        <v>0</v>
      </c>
      <c r="M35" s="20">
        <v>0</v>
      </c>
      <c r="N35" s="21">
        <f>VLOOKUP($D35,'Retail Rates'!$B$7:$P$40,4,FALSE)</f>
        <v>1.97</v>
      </c>
      <c r="O35" s="21">
        <f>VLOOKUP($D35,'Retail Rates'!$B$7:$P$40,5,FALSE)</f>
        <v>9.3699999999999992</v>
      </c>
      <c r="P35" s="21">
        <f>VLOOKUP($D35,'Retail Rates'!$B$7:$P$40,6,FALSE)</f>
        <v>550</v>
      </c>
      <c r="Q35" s="22">
        <f>VLOOKUP($D35,'Retail Rates'!$B$7:$P$40,10,FALSE)</f>
        <v>3.0669999999999997</v>
      </c>
      <c r="R35" s="22">
        <f>VLOOKUP($D35,'Retail Rates'!$B$7:$P$40,11,FALSE)</f>
        <v>2.5669999999999997</v>
      </c>
      <c r="S35" s="22">
        <f>VLOOKUP($D35,'Retail Rates'!$B$7:$P$40,15,FALSE)</f>
        <v>0</v>
      </c>
      <c r="T35" s="21">
        <v>75</v>
      </c>
      <c r="U35" s="23">
        <f t="shared" si="68"/>
        <v>0</v>
      </c>
      <c r="V35" s="23">
        <f t="shared" si="69"/>
        <v>0</v>
      </c>
      <c r="W35" s="23">
        <f>(G35*P35)+(H35*P35)</f>
        <v>0</v>
      </c>
      <c r="X35" s="23">
        <f t="shared" si="70"/>
        <v>0</v>
      </c>
      <c r="Y35" s="23">
        <f t="shared" si="70"/>
        <v>0</v>
      </c>
      <c r="Z35" s="23">
        <f t="shared" si="71"/>
        <v>0</v>
      </c>
      <c r="AA35" s="23">
        <f t="shared" si="72"/>
        <v>0</v>
      </c>
      <c r="AB35" s="41"/>
      <c r="AC35" s="41"/>
      <c r="AD35" s="33"/>
      <c r="AE35" s="33"/>
      <c r="AF35" s="33"/>
      <c r="AG35" s="33"/>
      <c r="AH35" s="33"/>
      <c r="AI35" s="23">
        <f t="shared" si="73"/>
        <v>0</v>
      </c>
      <c r="AJ35" s="23">
        <f t="shared" si="73"/>
        <v>0</v>
      </c>
      <c r="AK35" s="23">
        <f t="shared" si="74"/>
        <v>0</v>
      </c>
      <c r="AL35" s="23">
        <f t="shared" si="75"/>
        <v>0</v>
      </c>
      <c r="AM35" s="23">
        <f t="shared" si="75"/>
        <v>0</v>
      </c>
      <c r="AN35" s="23">
        <f t="shared" si="75"/>
        <v>0</v>
      </c>
      <c r="AO35" s="23">
        <f t="shared" si="76"/>
        <v>0</v>
      </c>
      <c r="AP35" s="23">
        <f t="shared" si="77"/>
        <v>0</v>
      </c>
      <c r="AQ35" s="28">
        <f t="shared" si="10"/>
        <v>0</v>
      </c>
      <c r="AR35" s="28">
        <f t="shared" si="11"/>
        <v>0</v>
      </c>
      <c r="AS35" s="28">
        <f t="shared" si="12"/>
        <v>0</v>
      </c>
      <c r="AT35" s="28">
        <f t="shared" si="13"/>
        <v>0</v>
      </c>
      <c r="AU35" s="389">
        <f t="shared" si="78"/>
        <v>0</v>
      </c>
      <c r="AV35" s="389">
        <f t="shared" si="79"/>
        <v>0</v>
      </c>
      <c r="AW35" s="29">
        <f t="shared" si="66"/>
        <v>0</v>
      </c>
      <c r="AX35" s="28">
        <f>SUMIFS('Fin Forecast'!$J$4:$J$520,'Fin Forecast'!$A$4:$A$520,'Sep20-Feb21 Transport Forecast'!$F35,'Fin Forecast'!$B$4:$B$520,'Sep20-Feb21 Transport Forecast'!AX$5)</f>
        <v>0</v>
      </c>
      <c r="AY35" s="28">
        <f>SUMIFS('Fin Forecast'!$J$4:$J$520,'Fin Forecast'!$A$4:$A$520,'Sep20-Feb21 Transport Forecast'!$F35,'Fin Forecast'!$B$4:$B$520,'Sep20-Feb21 Transport Forecast'!AY$5)</f>
        <v>0</v>
      </c>
      <c r="AZ35" s="28">
        <f>SUMIFS('Fin Forecast'!$J$4:$J$520,'Fin Forecast'!$A$4:$A$520,'Sep20-Feb21 Transport Forecast'!$F35,'Fin Forecast'!$B$4:$B$520,'Sep20-Feb21 Transport Forecast'!AZ$5)</f>
        <v>0</v>
      </c>
      <c r="BA35" s="28">
        <f>SUMIFS('Fin Forecast'!$J$4:$J$520,'Fin Forecast'!$A$4:$A$520,'Sep20-Feb21 Transport Forecast'!$F35,'Fin Forecast'!$B$4:$B$520,'Sep20-Feb21 Transport Forecast'!BA$5)</f>
        <v>0</v>
      </c>
      <c r="BB35" s="28">
        <f>SUMIFS('Fin Forecast'!$J$4:$J$520,'Fin Forecast'!$A$4:$A$520,'Sep20-Feb21 Transport Forecast'!$F35,'Fin Forecast'!$B$4:$B$520,'Sep20-Feb21 Transport Forecast'!BB$5)</f>
        <v>0</v>
      </c>
      <c r="BC35" s="28">
        <f>SUMIFS('Fin Forecast'!$J$4:$J$520,'Fin Forecast'!$A$4:$A$520,'Sep20-Feb21 Transport Forecast'!$F35,'Fin Forecast'!$B$4:$B$520,'Sep20-Feb21 Transport Forecast'!BC$5)</f>
        <v>0</v>
      </c>
      <c r="BD35" s="28">
        <f>SUMIFS('Fin Forecast'!$J$4:$J$520,'Fin Forecast'!$A$4:$A$520,'Sep20-Feb21 Transport Forecast'!$F35,'Fin Forecast'!$B$4:$B$520,'Sep20-Feb21 Transport Forecast'!BD$5)</f>
        <v>0</v>
      </c>
      <c r="BE35" s="28">
        <f>SUMIFS('Fin Forecast'!$J$4:$J$520,'Fin Forecast'!$A$4:$A$520,'Sep20-Feb21 Transport Forecast'!$F35,'Fin Forecast'!$B$4:$B$520,'Sep20-Feb21 Transport Forecast'!BE$5)</f>
        <v>0</v>
      </c>
      <c r="BF35" s="28">
        <f>SUMIFS('Fin Forecast'!$H$4:$H$520,'Fin Forecast'!$A$4:$A$520,'Sep20-Feb21 Transport Forecast'!$F35,'Fin Forecast'!$B$4:$B$520,'Sep20-Feb21 Transport Forecast'!BF$5)</f>
        <v>0</v>
      </c>
      <c r="BG35" s="28">
        <f>SUMIFS('Fin Forecast'!$H$4:$H$520,'Fin Forecast'!$A$4:$A$520,'Sep20-Feb21 Transport Forecast'!$F35,'Fin Forecast'!$B$4:$B$520,'Sep20-Feb21 Transport Forecast'!BG$5)</f>
        <v>0</v>
      </c>
      <c r="BI35" s="37">
        <f t="shared" si="20"/>
        <v>0</v>
      </c>
      <c r="BJ35" s="42">
        <f t="shared" si="21"/>
        <v>0</v>
      </c>
      <c r="BK35" s="42">
        <f t="shared" si="22"/>
        <v>0</v>
      </c>
      <c r="BL35" s="392">
        <f t="shared" si="23"/>
        <v>0</v>
      </c>
      <c r="BM35" s="42">
        <f t="shared" si="24"/>
        <v>0</v>
      </c>
    </row>
    <row r="36" spans="1:65" x14ac:dyDescent="0.25">
      <c r="A36" s="8"/>
      <c r="B36" s="8"/>
      <c r="C36" s="307">
        <f>$C$34</f>
        <v>44197</v>
      </c>
      <c r="D36" s="307" t="s">
        <v>31</v>
      </c>
      <c r="E36" s="2" t="str">
        <f t="shared" si="67"/>
        <v>882</v>
      </c>
      <c r="F36" s="2" t="s">
        <v>549</v>
      </c>
      <c r="G36" s="20">
        <f>SUMIFS('Forecasted Customer Cts'!$P$5:$P$28,'Forecasted Customer Cts'!$D$5:$D$28,$F36,'Forecasted Customer Cts'!$C$5:$C$28,$A$8)</f>
        <v>0</v>
      </c>
      <c r="H36" s="20">
        <f>SUMIFS('Forecasted Customer Cts'!$P$5:$P$28,'Forecasted Customer Cts'!$D$5:$D$28,$F36,'Forecasted Customer Cts'!$C$5:$C$28,$B$8)</f>
        <v>8</v>
      </c>
      <c r="I36" s="20">
        <f>SUMIF('Forecasted Calendar Month Usage'!$D$5:$D$32,'Sep20-Feb21 Transport Forecast'!$F36,'Forecasted Calendar Month Usage'!$R$5:$R$32)</f>
        <v>12583.724410719073</v>
      </c>
      <c r="J36" s="20">
        <v>0</v>
      </c>
      <c r="K36" s="20">
        <v>9</v>
      </c>
      <c r="L36" s="20">
        <v>0</v>
      </c>
      <c r="M36" s="20">
        <f>SUMIFS('Fin Forecast'!$J$4:$J$520,'Fin Forecast'!$A$4:$A$520,'Sep20-Feb21 Transport Forecast'!$F36,'Fin Forecast'!$B$4:$B$520,'Sep20-Feb21 Transport Forecast'!AX$5)/O36</f>
        <v>248</v>
      </c>
      <c r="N36" s="21">
        <f>VLOOKUP($D36,'Retail Rates'!$B$7:$P$40,4,FALSE)</f>
        <v>5.42</v>
      </c>
      <c r="O36" s="21">
        <f>VLOOKUP($D36,'Retail Rates'!$B$7:$P$40,5,FALSE)</f>
        <v>24.64</v>
      </c>
      <c r="P36" s="21">
        <f>VLOOKUP($D36,'Retail Rates'!$B$7:$P$40,6,FALSE)</f>
        <v>550</v>
      </c>
      <c r="Q36" s="22">
        <f>VLOOKUP($D36,'Retail Rates'!$B$7:$P$40,10,FALSE)</f>
        <v>2.1929000000000003</v>
      </c>
      <c r="R36" s="22">
        <f>VLOOKUP($D36,'Retail Rates'!$B$7:$P$40,11,FALSE)</f>
        <v>1.6928999999999998</v>
      </c>
      <c r="S36" s="22">
        <f>VLOOKUP($D36,'Retail Rates'!$B$7:$P$40,15,FALSE)</f>
        <v>0</v>
      </c>
      <c r="T36" s="21">
        <v>75</v>
      </c>
      <c r="U36" s="23">
        <f t="shared" si="68"/>
        <v>0</v>
      </c>
      <c r="V36" s="23">
        <f>M36*O36</f>
        <v>6110.72</v>
      </c>
      <c r="W36" s="23">
        <f>(G36*P36)+(H36*P36)</f>
        <v>4400</v>
      </c>
      <c r="X36" s="23">
        <f t="shared" si="70"/>
        <v>27594.849260265859</v>
      </c>
      <c r="Y36" s="23">
        <f t="shared" si="70"/>
        <v>0</v>
      </c>
      <c r="Z36" s="23">
        <f t="shared" si="71"/>
        <v>0</v>
      </c>
      <c r="AA36" s="23">
        <f t="shared" si="72"/>
        <v>675</v>
      </c>
      <c r="AB36" s="41"/>
      <c r="AC36" s="41"/>
      <c r="AD36" s="33"/>
      <c r="AE36" s="33"/>
      <c r="AF36" s="33"/>
      <c r="AG36" s="33"/>
      <c r="AH36" s="33"/>
      <c r="AI36" s="23">
        <f t="shared" si="73"/>
        <v>0</v>
      </c>
      <c r="AJ36" s="23">
        <f t="shared" si="73"/>
        <v>6110.72</v>
      </c>
      <c r="AK36" s="23">
        <f t="shared" si="74"/>
        <v>4400</v>
      </c>
      <c r="AL36" s="23">
        <f t="shared" si="75"/>
        <v>27594.849260265859</v>
      </c>
      <c r="AM36" s="23">
        <f t="shared" si="75"/>
        <v>0</v>
      </c>
      <c r="AN36" s="23">
        <f t="shared" si="75"/>
        <v>0</v>
      </c>
      <c r="AO36" s="23">
        <f t="shared" si="76"/>
        <v>675</v>
      </c>
      <c r="AP36" s="23">
        <f t="shared" si="77"/>
        <v>0</v>
      </c>
      <c r="AQ36" s="28">
        <f t="shared" si="10"/>
        <v>0</v>
      </c>
      <c r="AR36" s="28">
        <f t="shared" si="11"/>
        <v>0</v>
      </c>
      <c r="AS36" s="28">
        <f t="shared" si="12"/>
        <v>2846.9302912538601</v>
      </c>
      <c r="AT36" s="28">
        <f t="shared" si="13"/>
        <v>0</v>
      </c>
      <c r="AU36" s="389">
        <f t="shared" si="78"/>
        <v>41627.5</v>
      </c>
      <c r="AV36" s="389">
        <f t="shared" si="79"/>
        <v>41627.499551519759</v>
      </c>
      <c r="AW36" s="29">
        <f t="shared" si="66"/>
        <v>1</v>
      </c>
      <c r="AX36" s="28">
        <f>SUMIFS('Fin Forecast'!$J$4:$J$520,'Fin Forecast'!$A$4:$A$520,'Sep20-Feb21 Transport Forecast'!$F36,'Fin Forecast'!$B$4:$B$520,'Sep20-Feb21 Transport Forecast'!AX$5)</f>
        <v>6110.72</v>
      </c>
      <c r="AY36" s="28">
        <f>SUMIFS('Fin Forecast'!$J$4:$J$520,'Fin Forecast'!$A$4:$A$520,'Sep20-Feb21 Transport Forecast'!$F36,'Fin Forecast'!$B$4:$B$520,'Sep20-Feb21 Transport Forecast'!AY$5)</f>
        <v>4400</v>
      </c>
      <c r="AZ36" s="28">
        <f>SUMIFS('Fin Forecast'!$J$4:$J$520,'Fin Forecast'!$A$4:$A$520,'Sep20-Feb21 Transport Forecast'!$F36,'Fin Forecast'!$B$4:$B$520,'Sep20-Feb21 Transport Forecast'!AZ$5)</f>
        <v>27594.849260265899</v>
      </c>
      <c r="BA36" s="28">
        <f>SUMIFS('Fin Forecast'!$J$4:$J$520,'Fin Forecast'!$A$4:$A$520,'Sep20-Feb21 Transport Forecast'!$F36,'Fin Forecast'!$B$4:$B$520,'Sep20-Feb21 Transport Forecast'!BA$5)</f>
        <v>0</v>
      </c>
      <c r="BB36" s="28">
        <f>SUMIFS('Fin Forecast'!$J$4:$J$520,'Fin Forecast'!$A$4:$A$520,'Sep20-Feb21 Transport Forecast'!$F36,'Fin Forecast'!$B$4:$B$520,'Sep20-Feb21 Transport Forecast'!BB$5)</f>
        <v>675</v>
      </c>
      <c r="BC36" s="28">
        <f>SUMIFS('Fin Forecast'!$J$4:$J$520,'Fin Forecast'!$A$4:$A$520,'Sep20-Feb21 Transport Forecast'!$F36,'Fin Forecast'!$B$4:$B$520,'Sep20-Feb21 Transport Forecast'!BC$5)</f>
        <v>0</v>
      </c>
      <c r="BD36" s="28">
        <f>SUMIFS('Fin Forecast'!$J$4:$J$520,'Fin Forecast'!$A$4:$A$520,'Sep20-Feb21 Transport Forecast'!$F36,'Fin Forecast'!$B$4:$B$520,'Sep20-Feb21 Transport Forecast'!BD$5)</f>
        <v>0</v>
      </c>
      <c r="BE36" s="28">
        <f>SUMIFS('Fin Forecast'!$J$4:$J$520,'Fin Forecast'!$A$4:$A$520,'Sep20-Feb21 Transport Forecast'!$F36,'Fin Forecast'!$B$4:$B$520,'Sep20-Feb21 Transport Forecast'!BE$5)</f>
        <v>2846.9302912538601</v>
      </c>
      <c r="BF36" s="28">
        <f>SUMIFS('Fin Forecast'!$H$4:$H$520,'Fin Forecast'!$A$4:$A$520,'Sep20-Feb21 Transport Forecast'!$F36,'Fin Forecast'!$B$4:$B$520,'Sep20-Feb21 Transport Forecast'!BF$5)</f>
        <v>0</v>
      </c>
      <c r="BG36" s="28">
        <f>SUMIFS('Fin Forecast'!$H$4:$H$520,'Fin Forecast'!$A$4:$A$520,'Sep20-Feb21 Transport Forecast'!$F36,'Fin Forecast'!$B$4:$B$520,'Sep20-Feb21 Transport Forecast'!BG$5)</f>
        <v>0</v>
      </c>
      <c r="BI36" s="37">
        <f t="shared" si="20"/>
        <v>4.484802411752753E-4</v>
      </c>
      <c r="BJ36" s="42">
        <f t="shared" si="21"/>
        <v>0</v>
      </c>
      <c r="BK36" s="42">
        <f t="shared" si="22"/>
        <v>-4.0017766878008842E-11</v>
      </c>
      <c r="BL36" s="392">
        <f t="shared" si="23"/>
        <v>0</v>
      </c>
      <c r="BM36" s="42">
        <f t="shared" si="24"/>
        <v>0</v>
      </c>
    </row>
    <row r="37" spans="1:65" x14ac:dyDescent="0.25">
      <c r="A37" s="8" t="s">
        <v>380</v>
      </c>
      <c r="B37" s="8" t="s">
        <v>381</v>
      </c>
      <c r="C37" s="307">
        <f>$C$34</f>
        <v>44197</v>
      </c>
      <c r="D37" s="307" t="s">
        <v>53</v>
      </c>
      <c r="E37" s="2" t="str">
        <f t="shared" si="67"/>
        <v>892</v>
      </c>
      <c r="F37" s="2" t="s">
        <v>445</v>
      </c>
      <c r="G37" s="20">
        <f>SUMIF('Forecasted Customer Cts'!$D$5:$D$28,'Sep20-Feb21 Transport Forecast'!$F37,'Forecasted Customer Cts'!$P$5:$P$28)</f>
        <v>1</v>
      </c>
      <c r="H37" s="20">
        <v>0</v>
      </c>
      <c r="I37" s="20">
        <f>SUMIF('Forecasted Calendar Month Usage'!$D$5:$D$32,'Sep20-Feb21 Transport Forecast'!$F37,'Forecasted Calendar Month Usage'!$R$5:$R$32)</f>
        <v>6889.6250000000018</v>
      </c>
      <c r="J37" s="20">
        <v>0</v>
      </c>
      <c r="K37" s="20">
        <v>0</v>
      </c>
      <c r="L37" s="20">
        <v>0</v>
      </c>
      <c r="M37" s="20">
        <v>0</v>
      </c>
      <c r="N37" s="21">
        <f>VLOOKUP($D37,'Retail Rates'!$B$7:$P$40,4,FALSE)</f>
        <v>500</v>
      </c>
      <c r="O37" s="21">
        <f>VLOOKUP($D37,'Retail Rates'!$B$7:$P$40,5,FALSE)</f>
        <v>0</v>
      </c>
      <c r="P37" s="21">
        <f>VLOOKUP($D37,'Retail Rates'!$B$7:$P$40,6,FALSE)</f>
        <v>550</v>
      </c>
      <c r="Q37" s="22">
        <f>VLOOKUP($D37,'Retail Rates'!$B$7:$P$40,10,FALSE)</f>
        <v>1.0644</v>
      </c>
      <c r="R37" s="22">
        <f>VLOOKUP($D37,'Retail Rates'!$B$7:$P$40,11,FALSE)</f>
        <v>0</v>
      </c>
      <c r="S37" s="22">
        <f>VLOOKUP($D37,'Retail Rates'!$B$7:$P$40,15,FALSE)</f>
        <v>0</v>
      </c>
      <c r="T37" s="21">
        <v>75</v>
      </c>
      <c r="U37" s="23">
        <f t="shared" si="68"/>
        <v>500</v>
      </c>
      <c r="V37" s="23">
        <f t="shared" si="69"/>
        <v>0</v>
      </c>
      <c r="W37" s="23">
        <f>(G37*P37)+(H37*P37)</f>
        <v>550</v>
      </c>
      <c r="X37" s="23">
        <f t="shared" si="70"/>
        <v>7333.316850000002</v>
      </c>
      <c r="Y37" s="23">
        <f t="shared" si="70"/>
        <v>0</v>
      </c>
      <c r="Z37" s="23">
        <f t="shared" si="71"/>
        <v>0</v>
      </c>
      <c r="AA37" s="23">
        <f t="shared" si="72"/>
        <v>0</v>
      </c>
      <c r="AB37" s="41"/>
      <c r="AC37" s="41"/>
      <c r="AD37" s="33"/>
      <c r="AE37" s="33"/>
      <c r="AF37" s="33"/>
      <c r="AG37" s="33"/>
      <c r="AH37" s="33"/>
      <c r="AI37" s="23">
        <f t="shared" si="73"/>
        <v>500</v>
      </c>
      <c r="AJ37" s="23">
        <f t="shared" si="73"/>
        <v>0</v>
      </c>
      <c r="AK37" s="23">
        <f t="shared" si="74"/>
        <v>550</v>
      </c>
      <c r="AL37" s="23">
        <f t="shared" si="75"/>
        <v>7333.316850000002</v>
      </c>
      <c r="AM37" s="23">
        <f t="shared" si="75"/>
        <v>0</v>
      </c>
      <c r="AN37" s="23">
        <f t="shared" si="75"/>
        <v>0</v>
      </c>
      <c r="AO37" s="23">
        <f t="shared" si="76"/>
        <v>0</v>
      </c>
      <c r="AP37" s="23">
        <f t="shared" si="77"/>
        <v>0</v>
      </c>
      <c r="AQ37" s="28">
        <f t="shared" si="10"/>
        <v>0</v>
      </c>
      <c r="AR37" s="28">
        <f t="shared" si="11"/>
        <v>0</v>
      </c>
      <c r="AS37" s="28">
        <f t="shared" si="12"/>
        <v>615.42981799128597</v>
      </c>
      <c r="AT37" s="28">
        <f t="shared" si="13"/>
        <v>0</v>
      </c>
      <c r="AU37" s="389">
        <f t="shared" si="78"/>
        <v>8998.75</v>
      </c>
      <c r="AV37" s="389">
        <f t="shared" si="79"/>
        <v>8998.746667991285</v>
      </c>
      <c r="AW37" s="29">
        <f t="shared" si="66"/>
        <v>1</v>
      </c>
      <c r="AX37" s="28">
        <f>SUMIFS('Fin Forecast'!$J$4:$J$520,'Fin Forecast'!$A$4:$A$520,'Sep20-Feb21 Transport Forecast'!$F37,'Fin Forecast'!$B$4:$B$520,'Sep20-Feb21 Transport Forecast'!AX$5)</f>
        <v>500</v>
      </c>
      <c r="AY37" s="28">
        <f>SUMIFS('Fin Forecast'!$J$4:$J$520,'Fin Forecast'!$A$4:$A$520,'Sep20-Feb21 Transport Forecast'!$F37,'Fin Forecast'!$B$4:$B$520,'Sep20-Feb21 Transport Forecast'!AY$5)</f>
        <v>550</v>
      </c>
      <c r="AZ37" s="28">
        <f>SUMIFS('Fin Forecast'!$J$4:$J$520,'Fin Forecast'!$A$4:$A$520,'Sep20-Feb21 Transport Forecast'!$F37,'Fin Forecast'!$B$4:$B$520,'Sep20-Feb21 Transport Forecast'!AZ$5)</f>
        <v>7333.3168500000002</v>
      </c>
      <c r="BA37" s="28">
        <f>SUMIFS('Fin Forecast'!$J$4:$J$520,'Fin Forecast'!$A$4:$A$520,'Sep20-Feb21 Transport Forecast'!$F37,'Fin Forecast'!$B$4:$B$520,'Sep20-Feb21 Transport Forecast'!BA$5)</f>
        <v>0</v>
      </c>
      <c r="BB37" s="28">
        <f>SUMIFS('Fin Forecast'!$J$4:$J$520,'Fin Forecast'!$A$4:$A$520,'Sep20-Feb21 Transport Forecast'!$F37,'Fin Forecast'!$B$4:$B$520,'Sep20-Feb21 Transport Forecast'!BB$5)</f>
        <v>0</v>
      </c>
      <c r="BC37" s="28">
        <f>SUMIFS('Fin Forecast'!$J$4:$J$520,'Fin Forecast'!$A$4:$A$520,'Sep20-Feb21 Transport Forecast'!$F37,'Fin Forecast'!$B$4:$B$520,'Sep20-Feb21 Transport Forecast'!BC$5)</f>
        <v>0</v>
      </c>
      <c r="BD37" s="28">
        <f>SUMIFS('Fin Forecast'!$J$4:$J$520,'Fin Forecast'!$A$4:$A$520,'Sep20-Feb21 Transport Forecast'!$F37,'Fin Forecast'!$B$4:$B$520,'Sep20-Feb21 Transport Forecast'!BD$5)</f>
        <v>0</v>
      </c>
      <c r="BE37" s="28">
        <f>SUMIFS('Fin Forecast'!$J$4:$J$520,'Fin Forecast'!$A$4:$A$520,'Sep20-Feb21 Transport Forecast'!$F37,'Fin Forecast'!$B$4:$B$520,'Sep20-Feb21 Transport Forecast'!BE$5)</f>
        <v>615.42981799128597</v>
      </c>
      <c r="BF37" s="28">
        <f>SUMIFS('Fin Forecast'!$H$4:$H$520,'Fin Forecast'!$A$4:$A$520,'Sep20-Feb21 Transport Forecast'!$F37,'Fin Forecast'!$B$4:$B$520,'Sep20-Feb21 Transport Forecast'!BF$5)</f>
        <v>0</v>
      </c>
      <c r="BG37" s="28">
        <f>SUMIFS('Fin Forecast'!$H$4:$H$520,'Fin Forecast'!$A$4:$A$520,'Sep20-Feb21 Transport Forecast'!$F37,'Fin Forecast'!$B$4:$B$520,'Sep20-Feb21 Transport Forecast'!BG$5)</f>
        <v>0</v>
      </c>
      <c r="BI37" s="37">
        <f t="shared" si="20"/>
        <v>3.3320087150059408E-3</v>
      </c>
      <c r="BJ37" s="42">
        <f t="shared" si="21"/>
        <v>0</v>
      </c>
      <c r="BK37" s="42">
        <f t="shared" si="22"/>
        <v>0</v>
      </c>
      <c r="BL37" s="392">
        <f t="shared" si="23"/>
        <v>0</v>
      </c>
      <c r="BM37" s="42">
        <f t="shared" si="24"/>
        <v>0</v>
      </c>
    </row>
    <row r="38" spans="1:65" x14ac:dyDescent="0.25">
      <c r="A38" s="8"/>
      <c r="B38" s="8"/>
      <c r="C38" s="307">
        <f>$C$34</f>
        <v>44197</v>
      </c>
      <c r="D38" s="307" t="s">
        <v>567</v>
      </c>
      <c r="E38" s="2" t="str">
        <f t="shared" si="67"/>
        <v>883</v>
      </c>
      <c r="F38" s="2" t="s">
        <v>576</v>
      </c>
      <c r="G38" s="20">
        <f>SUMIF('Forecasted Customer Cts'!$D$5:$D$28,'Sep20-Feb21 Transport Forecast'!$F38,'Forecasted Customer Cts'!$P$5:$P$28)</f>
        <v>0</v>
      </c>
      <c r="H38" s="20">
        <v>0</v>
      </c>
      <c r="I38" s="20">
        <f>SUMIF('Forecasted Calendar Month Usage'!$D$5:$D$32,'Sep20-Feb21 Transport Forecast'!$F38,'Forecasted Calendar Month Usage'!$P$5:$P$32)</f>
        <v>0</v>
      </c>
      <c r="J38" s="20">
        <v>0</v>
      </c>
      <c r="K38" s="20">
        <v>0</v>
      </c>
      <c r="L38" s="20">
        <f>SUMIFS('Fin Forecast'!$J$4:$J$520,'Fin Forecast'!$A$4:$A$520,'Sep20-Feb21 Transport Forecast'!$F38,'Fin Forecast'!$B$4:$B$520,'Sep20-Feb21 Transport Forecast'!L$5)/S38</f>
        <v>0</v>
      </c>
      <c r="M38" s="20">
        <v>0</v>
      </c>
      <c r="N38" s="21">
        <f>VLOOKUP($D38,'Retail Rates'!$B$7:$P$40,4,FALSE)</f>
        <v>165</v>
      </c>
      <c r="O38" s="21">
        <f>VLOOKUP($D38,'Retail Rates'!$B$7:$P$40,5,FALSE)</f>
        <v>750</v>
      </c>
      <c r="P38" s="21">
        <f>VLOOKUP($D38,'Retail Rates'!$B$7:$P$40,6,FALSE)</f>
        <v>550</v>
      </c>
      <c r="Q38" s="22">
        <f>VLOOKUP($D38,'Retail Rates'!$B$7:$P$40,10,FALSE)</f>
        <v>0.29919999999999997</v>
      </c>
      <c r="R38" s="22">
        <f>VLOOKUP($D38,'Retail Rates'!$B$7:$P$40,11,FALSE)</f>
        <v>0</v>
      </c>
      <c r="S38" s="22">
        <f>VLOOKUP($D38,'Retail Rates'!$B$7:$P$40,15,FALSE)</f>
        <v>10.8978</v>
      </c>
      <c r="T38" s="21">
        <v>75</v>
      </c>
      <c r="U38" s="23">
        <f t="shared" si="68"/>
        <v>0</v>
      </c>
      <c r="V38" s="23">
        <f t="shared" si="69"/>
        <v>0</v>
      </c>
      <c r="W38" s="23">
        <f>G38*P38</f>
        <v>0</v>
      </c>
      <c r="X38" s="23">
        <f t="shared" si="70"/>
        <v>0</v>
      </c>
      <c r="Y38" s="23">
        <f t="shared" si="70"/>
        <v>0</v>
      </c>
      <c r="Z38" s="23">
        <f t="shared" si="71"/>
        <v>0</v>
      </c>
      <c r="AA38" s="23">
        <f t="shared" si="72"/>
        <v>0</v>
      </c>
      <c r="AB38" s="41"/>
      <c r="AC38" s="41"/>
      <c r="AD38" s="33"/>
      <c r="AE38" s="33"/>
      <c r="AF38" s="33"/>
      <c r="AG38" s="33"/>
      <c r="AH38" s="33"/>
      <c r="AI38" s="23">
        <f t="shared" si="73"/>
        <v>0</v>
      </c>
      <c r="AJ38" s="23">
        <f t="shared" si="73"/>
        <v>0</v>
      </c>
      <c r="AK38" s="23">
        <f t="shared" si="74"/>
        <v>0</v>
      </c>
      <c r="AL38" s="23">
        <f t="shared" si="75"/>
        <v>0</v>
      </c>
      <c r="AM38" s="23">
        <f t="shared" si="75"/>
        <v>0</v>
      </c>
      <c r="AN38" s="23">
        <f t="shared" si="75"/>
        <v>0</v>
      </c>
      <c r="AO38" s="23">
        <f t="shared" si="76"/>
        <v>0</v>
      </c>
      <c r="AP38" s="23">
        <f t="shared" si="77"/>
        <v>0</v>
      </c>
      <c r="AQ38" s="28">
        <f t="shared" si="10"/>
        <v>0</v>
      </c>
      <c r="AR38" s="28">
        <f t="shared" si="11"/>
        <v>0</v>
      </c>
      <c r="AS38" s="28">
        <f t="shared" si="12"/>
        <v>0</v>
      </c>
      <c r="AT38" s="28">
        <f t="shared" si="13"/>
        <v>0</v>
      </c>
      <c r="AU38" s="389">
        <f t="shared" si="78"/>
        <v>0</v>
      </c>
      <c r="AV38" s="389">
        <f t="shared" si="79"/>
        <v>0</v>
      </c>
      <c r="AW38" s="29">
        <f t="shared" si="66"/>
        <v>0</v>
      </c>
      <c r="AX38" s="28">
        <f>SUMIFS('Fin Forecast'!$J$4:$J$520,'Fin Forecast'!$A$4:$A$520,'Sep20-Feb21 Transport Forecast'!$F38,'Fin Forecast'!$B$4:$B$520,'Sep20-Feb21 Transport Forecast'!AX$5)</f>
        <v>0</v>
      </c>
      <c r="AY38" s="28">
        <f>SUMIFS('Fin Forecast'!$J$4:$J$520,'Fin Forecast'!$A$4:$A$520,'Sep20-Feb21 Transport Forecast'!$F38,'Fin Forecast'!$B$4:$B$520,'Sep20-Feb21 Transport Forecast'!AY$5)</f>
        <v>0</v>
      </c>
      <c r="AZ38" s="28">
        <f>SUMIFS('Fin Forecast'!$J$4:$J$520,'Fin Forecast'!$A$4:$A$520,'Sep20-Feb21 Transport Forecast'!$F38,'Fin Forecast'!$B$4:$B$520,'Sep20-Feb21 Transport Forecast'!AZ$5)</f>
        <v>0</v>
      </c>
      <c r="BA38" s="28">
        <f>SUMIFS('Fin Forecast'!$J$4:$J$520,'Fin Forecast'!$A$4:$A$520,'Sep20-Feb21 Transport Forecast'!$F38,'Fin Forecast'!$B$4:$B$520,'Sep20-Feb21 Transport Forecast'!BA$5)</f>
        <v>0</v>
      </c>
      <c r="BB38" s="28">
        <f>SUMIFS('Fin Forecast'!$J$4:$J$520,'Fin Forecast'!$A$4:$A$520,'Sep20-Feb21 Transport Forecast'!$F38,'Fin Forecast'!$B$4:$B$520,'Sep20-Feb21 Transport Forecast'!BB$5)</f>
        <v>0</v>
      </c>
      <c r="BC38" s="28">
        <f>SUMIFS('Fin Forecast'!$J$4:$J$520,'Fin Forecast'!$A$4:$A$520,'Sep20-Feb21 Transport Forecast'!$F38,'Fin Forecast'!$B$4:$B$520,'Sep20-Feb21 Transport Forecast'!BC$5)</f>
        <v>0</v>
      </c>
      <c r="BD38" s="28">
        <f>SUMIFS('Fin Forecast'!$J$4:$J$520,'Fin Forecast'!$A$4:$A$520,'Sep20-Feb21 Transport Forecast'!$F38,'Fin Forecast'!$B$4:$B$520,'Sep20-Feb21 Transport Forecast'!BD$5)</f>
        <v>0</v>
      </c>
      <c r="BE38" s="28">
        <f>SUMIFS('Fin Forecast'!$J$4:$J$520,'Fin Forecast'!$A$4:$A$520,'Sep20-Feb21 Transport Forecast'!$F38,'Fin Forecast'!$B$4:$B$520,'Sep20-Feb21 Transport Forecast'!BE$5)</f>
        <v>0</v>
      </c>
      <c r="BF38" s="28">
        <f>SUMIFS('Fin Forecast'!$H$4:$H$520,'Fin Forecast'!$A$4:$A$520,'Sep20-Feb21 Transport Forecast'!$F38,'Fin Forecast'!$B$4:$B$520,'Sep20-Feb21 Transport Forecast'!BF$5)</f>
        <v>0</v>
      </c>
      <c r="BG38" s="28">
        <f>SUMIFS('Fin Forecast'!$H$4:$H$520,'Fin Forecast'!$A$4:$A$520,'Sep20-Feb21 Transport Forecast'!$F38,'Fin Forecast'!$B$4:$B$520,'Sep20-Feb21 Transport Forecast'!BG$5)</f>
        <v>0</v>
      </c>
      <c r="BI38" s="37">
        <f t="shared" si="20"/>
        <v>0</v>
      </c>
      <c r="BJ38" s="42">
        <f t="shared" si="21"/>
        <v>0</v>
      </c>
      <c r="BK38" s="42">
        <f t="shared" si="22"/>
        <v>0</v>
      </c>
      <c r="BL38" s="392">
        <f t="shared" si="23"/>
        <v>0</v>
      </c>
      <c r="BM38" s="42">
        <f t="shared" si="24"/>
        <v>0</v>
      </c>
    </row>
    <row r="39" spans="1:65" x14ac:dyDescent="0.25">
      <c r="A39" s="362" t="s">
        <v>530</v>
      </c>
      <c r="B39" s="8"/>
      <c r="C39" s="307">
        <f>$C$34</f>
        <v>44197</v>
      </c>
      <c r="D39" s="307" t="s">
        <v>562</v>
      </c>
      <c r="E39" s="2" t="str">
        <f t="shared" si="67"/>
        <v>872</v>
      </c>
      <c r="F39" s="2" t="s">
        <v>551</v>
      </c>
      <c r="G39" s="20">
        <f>SUMIF('Forecasted Customer Cts'!$D$5:$D$28,'Sep20-Feb21 Transport Forecast'!$F39,'Forecasted Customer Cts'!$P$5:$P$28)</f>
        <v>0</v>
      </c>
      <c r="H39" s="20">
        <v>0</v>
      </c>
      <c r="I39" s="20">
        <f>SUMIF('Forecasted Calendar Month Usage'!$D$5:$D$32,'Sep20-Feb21 Transport Forecast'!$F39,'Forecasted Calendar Month Usage'!$P$5:$P$32)</f>
        <v>0</v>
      </c>
      <c r="J39" s="20">
        <v>0</v>
      </c>
      <c r="K39" s="20">
        <v>0</v>
      </c>
      <c r="L39" s="20">
        <f>SUMIFS('Fin Forecast'!$J$4:$J$520,'Fin Forecast'!$A$4:$A$520,'Sep20-Feb21 Transport Forecast'!$F39,'Fin Forecast'!$B$4:$B$520,'Sep20-Feb21 Transport Forecast'!L$5)/S39</f>
        <v>0</v>
      </c>
      <c r="M39" s="20">
        <v>0</v>
      </c>
      <c r="N39" s="21">
        <f>VLOOKUP($D39,'Retail Rates'!$B$7:$P$40,4,FALSE)</f>
        <v>750</v>
      </c>
      <c r="O39" s="21">
        <f>VLOOKUP($D39,'Retail Rates'!$B$7:$P$40,5,FALSE)</f>
        <v>0</v>
      </c>
      <c r="P39" s="21">
        <f>VLOOKUP($D39,'Retail Rates'!$B$7:$P$40,6,FALSE)</f>
        <v>550</v>
      </c>
      <c r="Q39" s="22">
        <f>VLOOKUP($D39,'Retail Rates'!$B$7:$P$40,10,FALSE)</f>
        <v>3.7999999999999999E-2</v>
      </c>
      <c r="R39" s="22">
        <f>VLOOKUP($D39,'Retail Rates'!$B$7:$P$40,11,FALSE)</f>
        <v>0</v>
      </c>
      <c r="S39" s="22">
        <f>VLOOKUP($D39,'Retail Rates'!$B$7:$P$40,15,FALSE)</f>
        <v>4.8899999999999997</v>
      </c>
      <c r="T39" s="21">
        <v>75</v>
      </c>
      <c r="U39" s="23">
        <f t="shared" si="68"/>
        <v>0</v>
      </c>
      <c r="V39" s="23">
        <f t="shared" si="69"/>
        <v>0</v>
      </c>
      <c r="W39" s="23">
        <f>G39*P39</f>
        <v>0</v>
      </c>
      <c r="X39" s="23">
        <f t="shared" si="70"/>
        <v>0</v>
      </c>
      <c r="Y39" s="23">
        <f t="shared" si="70"/>
        <v>0</v>
      </c>
      <c r="Z39" s="23">
        <f t="shared" si="71"/>
        <v>0</v>
      </c>
      <c r="AA39" s="23">
        <f t="shared" si="72"/>
        <v>0</v>
      </c>
      <c r="AB39" s="41"/>
      <c r="AC39" s="41"/>
      <c r="AD39" s="33"/>
      <c r="AE39" s="33"/>
      <c r="AF39" s="33"/>
      <c r="AG39" s="33"/>
      <c r="AH39" s="33"/>
      <c r="AI39" s="23">
        <f t="shared" si="73"/>
        <v>0</v>
      </c>
      <c r="AJ39" s="23">
        <f t="shared" si="73"/>
        <v>0</v>
      </c>
      <c r="AK39" s="23">
        <f t="shared" si="74"/>
        <v>0</v>
      </c>
      <c r="AL39" s="23">
        <f t="shared" si="75"/>
        <v>0</v>
      </c>
      <c r="AM39" s="23">
        <f t="shared" si="75"/>
        <v>0</v>
      </c>
      <c r="AN39" s="23">
        <f t="shared" si="75"/>
        <v>0</v>
      </c>
      <c r="AO39" s="23">
        <f t="shared" si="76"/>
        <v>0</v>
      </c>
      <c r="AP39" s="23">
        <f t="shared" si="77"/>
        <v>0</v>
      </c>
      <c r="AQ39" s="28">
        <f t="shared" si="10"/>
        <v>0</v>
      </c>
      <c r="AR39" s="28">
        <f t="shared" si="11"/>
        <v>0</v>
      </c>
      <c r="AS39" s="28">
        <f t="shared" si="12"/>
        <v>0</v>
      </c>
      <c r="AT39" s="28">
        <f t="shared" si="13"/>
        <v>0</v>
      </c>
      <c r="AU39" s="389">
        <f t="shared" si="78"/>
        <v>0</v>
      </c>
      <c r="AV39" s="389">
        <f t="shared" si="79"/>
        <v>0</v>
      </c>
      <c r="AW39" s="29">
        <f t="shared" si="66"/>
        <v>0</v>
      </c>
      <c r="AX39" s="28">
        <f>SUMIFS('Fin Forecast'!$J$4:$J$520,'Fin Forecast'!$A$4:$A$520,'Sep20-Feb21 Transport Forecast'!$F39,'Fin Forecast'!$B$4:$B$520,'Sep20-Feb21 Transport Forecast'!AX$5)</f>
        <v>0</v>
      </c>
      <c r="AY39" s="28">
        <f>SUMIFS('Fin Forecast'!$J$4:$J$520,'Fin Forecast'!$A$4:$A$520,'Sep20-Feb21 Transport Forecast'!$F39,'Fin Forecast'!$B$4:$B$520,'Sep20-Feb21 Transport Forecast'!AY$5)</f>
        <v>0</v>
      </c>
      <c r="AZ39" s="28">
        <f>SUMIFS('Fin Forecast'!$J$4:$J$520,'Fin Forecast'!$A$4:$A$520,'Sep20-Feb21 Transport Forecast'!$F39,'Fin Forecast'!$B$4:$B$520,'Sep20-Feb21 Transport Forecast'!AZ$5)</f>
        <v>0</v>
      </c>
      <c r="BA39" s="28">
        <f>SUMIFS('Fin Forecast'!$J$4:$J$520,'Fin Forecast'!$A$4:$A$520,'Sep20-Feb21 Transport Forecast'!$F39,'Fin Forecast'!$B$4:$B$520,'Sep20-Feb21 Transport Forecast'!BA$5)</f>
        <v>0</v>
      </c>
      <c r="BB39" s="28">
        <f>SUMIFS('Fin Forecast'!$J$4:$J$520,'Fin Forecast'!$A$4:$A$520,'Sep20-Feb21 Transport Forecast'!$F39,'Fin Forecast'!$B$4:$B$520,'Sep20-Feb21 Transport Forecast'!BB$5)</f>
        <v>0</v>
      </c>
      <c r="BC39" s="28">
        <f>SUMIFS('Fin Forecast'!$J$4:$J$520,'Fin Forecast'!$A$4:$A$520,'Sep20-Feb21 Transport Forecast'!$F39,'Fin Forecast'!$B$4:$B$520,'Sep20-Feb21 Transport Forecast'!BC$5)</f>
        <v>0</v>
      </c>
      <c r="BD39" s="28">
        <f>SUMIFS('Fin Forecast'!$J$4:$J$520,'Fin Forecast'!$A$4:$A$520,'Sep20-Feb21 Transport Forecast'!$F39,'Fin Forecast'!$B$4:$B$520,'Sep20-Feb21 Transport Forecast'!BD$5)</f>
        <v>0</v>
      </c>
      <c r="BE39" s="28">
        <f>SUMIFS('Fin Forecast'!$J$4:$J$520,'Fin Forecast'!$A$4:$A$520,'Sep20-Feb21 Transport Forecast'!$F39,'Fin Forecast'!$B$4:$B$520,'Sep20-Feb21 Transport Forecast'!BE$5)</f>
        <v>0</v>
      </c>
      <c r="BF39" s="28">
        <f>SUMIFS('Fin Forecast'!$H$4:$H$520,'Fin Forecast'!$A$4:$A$520,'Sep20-Feb21 Transport Forecast'!$F39,'Fin Forecast'!$B$4:$B$520,'Sep20-Feb21 Transport Forecast'!BF$5)</f>
        <v>0</v>
      </c>
      <c r="BG39" s="28">
        <f>SUMIFS('Fin Forecast'!$H$4:$H$520,'Fin Forecast'!$A$4:$A$520,'Sep20-Feb21 Transport Forecast'!$F39,'Fin Forecast'!$B$4:$B$520,'Sep20-Feb21 Transport Forecast'!BG$5)</f>
        <v>0</v>
      </c>
      <c r="BI39" s="37">
        <f t="shared" si="20"/>
        <v>0</v>
      </c>
      <c r="BJ39" s="42">
        <f t="shared" si="21"/>
        <v>0</v>
      </c>
      <c r="BK39" s="42">
        <f t="shared" si="22"/>
        <v>0</v>
      </c>
      <c r="BL39" s="392">
        <f t="shared" si="23"/>
        <v>0</v>
      </c>
      <c r="BM39" s="42">
        <f t="shared" si="24"/>
        <v>0</v>
      </c>
    </row>
    <row r="40" spans="1:65" s="422" customFormat="1" x14ac:dyDescent="0.25">
      <c r="A40" s="412"/>
      <c r="B40" s="412"/>
      <c r="C40" s="413"/>
      <c r="D40" s="413"/>
      <c r="E40" s="414"/>
      <c r="F40" s="414"/>
      <c r="G40" s="415"/>
      <c r="H40" s="415"/>
      <c r="I40" s="415"/>
      <c r="J40" s="415"/>
      <c r="K40" s="415"/>
      <c r="L40" s="415"/>
      <c r="M40" s="415"/>
      <c r="N40" s="416"/>
      <c r="O40" s="416"/>
      <c r="P40" s="416"/>
      <c r="Q40" s="417"/>
      <c r="R40" s="417"/>
      <c r="S40" s="417"/>
      <c r="T40" s="418"/>
      <c r="U40" s="419"/>
      <c r="V40" s="419"/>
      <c r="W40" s="419"/>
      <c r="X40" s="419"/>
      <c r="Y40" s="419"/>
      <c r="Z40" s="419"/>
      <c r="AA40" s="419"/>
      <c r="AB40" s="420"/>
      <c r="AC40" s="420"/>
      <c r="AD40" s="419"/>
      <c r="AE40" s="419"/>
      <c r="AF40" s="419"/>
      <c r="AG40" s="419"/>
      <c r="AH40" s="419"/>
      <c r="AI40" s="419"/>
      <c r="AJ40" s="419"/>
      <c r="AK40" s="419"/>
      <c r="AL40" s="419"/>
      <c r="AM40" s="419"/>
      <c r="AN40" s="419"/>
      <c r="AO40" s="419"/>
      <c r="AP40" s="419"/>
      <c r="AQ40" s="419"/>
      <c r="AR40" s="419"/>
      <c r="AS40" s="419"/>
      <c r="AT40" s="419"/>
      <c r="AU40" s="419"/>
      <c r="AV40" s="419"/>
      <c r="AW40" s="421"/>
      <c r="AX40" s="419"/>
      <c r="AY40" s="419"/>
      <c r="AZ40" s="419"/>
      <c r="BA40" s="419"/>
      <c r="BB40" s="419"/>
      <c r="BC40" s="419"/>
      <c r="BD40" s="419"/>
      <c r="BE40" s="419"/>
      <c r="BF40" s="419"/>
      <c r="BG40" s="419"/>
      <c r="BI40" s="423"/>
      <c r="BJ40" s="419"/>
      <c r="BK40" s="419"/>
      <c r="BL40" s="424"/>
      <c r="BM40" s="419"/>
    </row>
    <row r="41" spans="1:65" x14ac:dyDescent="0.25">
      <c r="A41" s="8"/>
      <c r="B41" s="8"/>
      <c r="C41" s="307">
        <f>EDATE(C34,1)</f>
        <v>44228</v>
      </c>
      <c r="D41" s="307" t="s">
        <v>34</v>
      </c>
      <c r="E41" s="2" t="str">
        <f t="shared" ref="E41:E46" si="80">MID(D41,6,3)</f>
        <v>895</v>
      </c>
      <c r="F41" s="2" t="s">
        <v>610</v>
      </c>
      <c r="G41" s="20">
        <v>0</v>
      </c>
      <c r="H41" s="20">
        <f>SUMIF('Forecasted Customer Cts'!$D$5:$D$28,'Sep20-Feb21 Transport Forecast'!$F41,'Forecasted Customer Cts'!$S$5:$S$28)</f>
        <v>77</v>
      </c>
      <c r="I41" s="20">
        <f>SUMIF('Forecasted Calendar Month Usage'!$D$5:$D$32,'Sep20-Feb21 Transport Forecast'!$F41,'Forecasted Calendar Month Usage'!$S$5:$S$32)</f>
        <v>1209150.9576236235</v>
      </c>
      <c r="J41" s="20">
        <v>0</v>
      </c>
      <c r="K41" s="20">
        <v>71</v>
      </c>
      <c r="L41" s="20">
        <f>SUMIFS('Fin Forecast'!$K$4:$K$520,'Fin Forecast'!$A$4:$A$520,'Sep20-Feb21 Transport Forecast'!$F41,'Fin Forecast'!$B$4:$B$520,'Sep20-Feb21 Transport Forecast'!L$5)/S41</f>
        <v>76359.995193785478</v>
      </c>
      <c r="M41" s="20">
        <v>0</v>
      </c>
      <c r="N41" s="21">
        <f>VLOOKUP($D41,'Retail Rates'!$B$7:$P$40,4,FALSE)</f>
        <v>0</v>
      </c>
      <c r="O41" s="21">
        <f>VLOOKUP($D41,'Retail Rates'!$B$7:$P$40,5,FALSE)</f>
        <v>750</v>
      </c>
      <c r="P41" s="21">
        <f>VLOOKUP($D41,'Retail Rates'!$B$7:$P$40,6,FALSE)</f>
        <v>550</v>
      </c>
      <c r="Q41" s="22">
        <f>VLOOKUP($D41,'Retail Rates'!$B$7:$P$40,10,FALSE)</f>
        <v>3.7999999999999999E-2</v>
      </c>
      <c r="R41" s="22">
        <f>VLOOKUP($D41,'Retail Rates'!$B$7:$P$40,11,FALSE)</f>
        <v>0</v>
      </c>
      <c r="S41" s="22">
        <f>VLOOKUP($D41,'Retail Rates'!$B$7:$P$40,15,FALSE)</f>
        <v>4.8899999999999997</v>
      </c>
      <c r="T41" s="21">
        <v>75</v>
      </c>
      <c r="U41" s="23">
        <f t="shared" ref="U41:U46" si="81">(+G41*N41)</f>
        <v>0</v>
      </c>
      <c r="V41" s="23">
        <f t="shared" ref="V41:V46" si="82">H41*O41</f>
        <v>57750</v>
      </c>
      <c r="W41" s="23">
        <f>H41*P41</f>
        <v>42350</v>
      </c>
      <c r="X41" s="23">
        <f t="shared" ref="X41:Y46" si="83">+I41*Q41</f>
        <v>45947.736389697697</v>
      </c>
      <c r="Y41" s="23">
        <f t="shared" si="83"/>
        <v>0</v>
      </c>
      <c r="Z41" s="23">
        <f t="shared" ref="Z41:Z46" si="84">L41*S41</f>
        <v>373400.37649761094</v>
      </c>
      <c r="AA41" s="23">
        <f t="shared" ref="AA41:AA46" si="85">K41*T41</f>
        <v>5325</v>
      </c>
      <c r="AB41" s="41"/>
      <c r="AC41" s="41"/>
      <c r="AD41" s="33"/>
      <c r="AE41" s="33"/>
      <c r="AF41" s="33"/>
      <c r="AG41" s="33"/>
      <c r="AH41" s="33"/>
      <c r="AI41" s="23">
        <f t="shared" ref="AI41:AJ46" si="86">U41+AD41</f>
        <v>0</v>
      </c>
      <c r="AJ41" s="23">
        <f t="shared" si="86"/>
        <v>57750</v>
      </c>
      <c r="AK41" s="23">
        <f t="shared" ref="AK41:AK46" si="87">W41</f>
        <v>42350</v>
      </c>
      <c r="AL41" s="23">
        <f t="shared" ref="AL41:AN46" si="88">+X41+AF41</f>
        <v>45947.736389697697</v>
      </c>
      <c r="AM41" s="23">
        <f t="shared" si="88"/>
        <v>0</v>
      </c>
      <c r="AN41" s="23">
        <f t="shared" si="88"/>
        <v>373400.37649761094</v>
      </c>
      <c r="AO41" s="23">
        <f t="shared" ref="AO41:AO46" si="89">AA41</f>
        <v>5325</v>
      </c>
      <c r="AP41" s="23">
        <f t="shared" ref="AP41:AP46" si="90">BG41</f>
        <v>0</v>
      </c>
      <c r="AQ41" s="28">
        <f t="shared" si="10"/>
        <v>0</v>
      </c>
      <c r="AR41" s="28">
        <f t="shared" si="11"/>
        <v>0</v>
      </c>
      <c r="AS41" s="28">
        <f t="shared" si="12"/>
        <v>16393.436243992601</v>
      </c>
      <c r="AT41" s="28">
        <f t="shared" si="13"/>
        <v>0</v>
      </c>
      <c r="AU41" s="389">
        <f t="shared" ref="AU41:AU46" si="91">ROUND(SUM(AI41:AT41),2)</f>
        <v>541166.55000000005</v>
      </c>
      <c r="AV41" s="389">
        <f t="shared" ref="AV41:AV46" si="92">SUM(AX41:BG41)</f>
        <v>541166.54913130112</v>
      </c>
      <c r="AW41" s="29">
        <f t="shared" si="66"/>
        <v>1</v>
      </c>
      <c r="AX41" s="28">
        <f>SUMIFS('Fin Forecast'!$K$4:$K$520,'Fin Forecast'!$A$4:$A$520,'Sep20-Feb21 Transport Forecast'!$F41,'Fin Forecast'!$B$4:$B$520,'Sep20-Feb21 Transport Forecast'!AX$5)</f>
        <v>57750</v>
      </c>
      <c r="AY41" s="28">
        <f>SUMIFS('Fin Forecast'!$K$4:$K$520,'Fin Forecast'!$A$4:$A$520,'Sep20-Feb21 Transport Forecast'!$F41,'Fin Forecast'!$B$4:$B$520,'Sep20-Feb21 Transport Forecast'!AY$5)</f>
        <v>42350</v>
      </c>
      <c r="AZ41" s="28">
        <f>SUMIFS('Fin Forecast'!$K$4:$K$520,'Fin Forecast'!$A$4:$A$520,'Sep20-Feb21 Transport Forecast'!$F41,'Fin Forecast'!$B$4:$B$520,'Sep20-Feb21 Transport Forecast'!AZ$5)</f>
        <v>45947.7363896975</v>
      </c>
      <c r="BA41" s="28">
        <f>SUMIFS('Fin Forecast'!$K$4:$K$520,'Fin Forecast'!$A$4:$A$520,'Sep20-Feb21 Transport Forecast'!$F41,'Fin Forecast'!$B$4:$B$520,'Sep20-Feb21 Transport Forecast'!BA$5)</f>
        <v>373400.376497611</v>
      </c>
      <c r="BB41" s="28">
        <f>SUMIFS('Fin Forecast'!$K$4:$K$520,'Fin Forecast'!$A$4:$A$520,'Sep20-Feb21 Transport Forecast'!$F41,'Fin Forecast'!$B$4:$B$520,'Sep20-Feb21 Transport Forecast'!BB$5)</f>
        <v>5325</v>
      </c>
      <c r="BC41" s="28">
        <f>SUMIFS('Fin Forecast'!$K$4:$K$520,'Fin Forecast'!$A$4:$A$520,'Sep20-Feb21 Transport Forecast'!$F41,'Fin Forecast'!$B$4:$B$520,'Sep20-Feb21 Transport Forecast'!BC$5)</f>
        <v>0</v>
      </c>
      <c r="BD41" s="28">
        <f>SUMIFS('Fin Forecast'!$K$4:$K$520,'Fin Forecast'!$A$4:$A$520,'Sep20-Feb21 Transport Forecast'!$F41,'Fin Forecast'!$B$4:$B$520,'Sep20-Feb21 Transport Forecast'!BD$5)</f>
        <v>0</v>
      </c>
      <c r="BE41" s="28">
        <f>SUMIFS('Fin Forecast'!$K$4:$K$520,'Fin Forecast'!$A$4:$A$520,'Sep20-Feb21 Transport Forecast'!$F41,'Fin Forecast'!$B$4:$B$520,'Sep20-Feb21 Transport Forecast'!BE$5)</f>
        <v>16393.436243992601</v>
      </c>
      <c r="BF41" s="28">
        <f>SUMIFS('Fin Forecast'!$K$4:$K$520,'Fin Forecast'!$A$4:$A$520,'Sep20-Feb21 Transport Forecast'!$F41,'Fin Forecast'!$B$4:$B$520,'Sep20-Feb21 Transport Forecast'!BF$5)</f>
        <v>0</v>
      </c>
      <c r="BG41" s="28">
        <f>SUMIFS('Fin Forecast'!$K$4:$K$520,'Fin Forecast'!$A$4:$A$520,'Sep20-Feb21 Transport Forecast'!$F41,'Fin Forecast'!$B$4:$B$520,'Sep20-Feb21 Transport Forecast'!BG$5)</f>
        <v>0</v>
      </c>
      <c r="BI41" s="37">
        <f t="shared" si="20"/>
        <v>8.6869893129914999E-4</v>
      </c>
      <c r="BJ41" s="42">
        <f t="shared" si="21"/>
        <v>0</v>
      </c>
      <c r="BK41" s="42">
        <f t="shared" si="22"/>
        <v>1.964508555829525E-10</v>
      </c>
      <c r="BL41" s="392">
        <f t="shared" si="23"/>
        <v>0</v>
      </c>
      <c r="BM41" s="42">
        <f t="shared" si="24"/>
        <v>0</v>
      </c>
    </row>
    <row r="42" spans="1:65" x14ac:dyDescent="0.25">
      <c r="A42" s="8"/>
      <c r="B42" s="8"/>
      <c r="C42" s="307">
        <f>$C$41</f>
        <v>44228</v>
      </c>
      <c r="D42" s="307" t="s">
        <v>30</v>
      </c>
      <c r="E42" s="2" t="str">
        <f t="shared" si="80"/>
        <v>881</v>
      </c>
      <c r="F42" s="2" t="s">
        <v>546</v>
      </c>
      <c r="G42" s="20">
        <f>SUMIFS('Forecasted Customer Cts'!$Q$5:$Q$28,'Forecasted Customer Cts'!$D$5:$D$28,$F42,'Forecasted Customer Cts'!$C$5:$C$28,$A$8)</f>
        <v>0</v>
      </c>
      <c r="H42" s="20">
        <f>SUMIFS('Forecasted Customer Cts'!$Q$5:$Q$28,'Forecasted Customer Cts'!$D$5:$D$28,$F42,'Forecasted Customer Cts'!$C$5:$C$28,$B$8)</f>
        <v>0</v>
      </c>
      <c r="I42" s="20">
        <f>SUMIF('Forecasted Calendar Month Usage'!$D$5:$D$32,'Sep20-Feb21 Transport Forecast'!$F42,'Forecasted Calendar Month Usage'!$P$5:$P$32)</f>
        <v>0</v>
      </c>
      <c r="J42" s="20">
        <v>0</v>
      </c>
      <c r="K42" s="20">
        <v>0</v>
      </c>
      <c r="L42" s="20">
        <v>0</v>
      </c>
      <c r="M42" s="20">
        <v>0</v>
      </c>
      <c r="N42" s="21">
        <f>VLOOKUP($D42,'Retail Rates'!$B$7:$P$40,4,FALSE)</f>
        <v>1.97</v>
      </c>
      <c r="O42" s="21">
        <f>VLOOKUP($D42,'Retail Rates'!$B$7:$P$40,5,FALSE)</f>
        <v>9.3699999999999992</v>
      </c>
      <c r="P42" s="21">
        <f>VLOOKUP($D42,'Retail Rates'!$B$7:$P$40,6,FALSE)</f>
        <v>550</v>
      </c>
      <c r="Q42" s="22">
        <f>VLOOKUP($D42,'Retail Rates'!$B$7:$P$40,10,FALSE)</f>
        <v>3.0669999999999997</v>
      </c>
      <c r="R42" s="22">
        <f>VLOOKUP($D42,'Retail Rates'!$B$7:$P$40,11,FALSE)</f>
        <v>2.5669999999999997</v>
      </c>
      <c r="S42" s="22">
        <f>VLOOKUP($D42,'Retail Rates'!$B$7:$P$40,15,FALSE)</f>
        <v>0</v>
      </c>
      <c r="T42" s="21">
        <v>75</v>
      </c>
      <c r="U42" s="23">
        <f t="shared" si="81"/>
        <v>0</v>
      </c>
      <c r="V42" s="23">
        <f t="shared" si="82"/>
        <v>0</v>
      </c>
      <c r="W42" s="23">
        <f>(G42*P42)+(H42*P42)</f>
        <v>0</v>
      </c>
      <c r="X42" s="23">
        <f t="shared" si="83"/>
        <v>0</v>
      </c>
      <c r="Y42" s="23">
        <f t="shared" si="83"/>
        <v>0</v>
      </c>
      <c r="Z42" s="23">
        <f t="shared" si="84"/>
        <v>0</v>
      </c>
      <c r="AA42" s="23">
        <f t="shared" si="85"/>
        <v>0</v>
      </c>
      <c r="AB42" s="41"/>
      <c r="AC42" s="41"/>
      <c r="AD42" s="33"/>
      <c r="AE42" s="33"/>
      <c r="AF42" s="33"/>
      <c r="AG42" s="33"/>
      <c r="AH42" s="33"/>
      <c r="AI42" s="23">
        <f t="shared" si="86"/>
        <v>0</v>
      </c>
      <c r="AJ42" s="23">
        <f t="shared" si="86"/>
        <v>0</v>
      </c>
      <c r="AK42" s="23">
        <f t="shared" si="87"/>
        <v>0</v>
      </c>
      <c r="AL42" s="23">
        <f t="shared" si="88"/>
        <v>0</v>
      </c>
      <c r="AM42" s="23">
        <f t="shared" si="88"/>
        <v>0</v>
      </c>
      <c r="AN42" s="23">
        <f t="shared" si="88"/>
        <v>0</v>
      </c>
      <c r="AO42" s="23">
        <f t="shared" si="89"/>
        <v>0</v>
      </c>
      <c r="AP42" s="23">
        <f t="shared" si="90"/>
        <v>0</v>
      </c>
      <c r="AQ42" s="28">
        <f t="shared" si="10"/>
        <v>0</v>
      </c>
      <c r="AR42" s="28">
        <f t="shared" si="11"/>
        <v>0</v>
      </c>
      <c r="AS42" s="28">
        <f t="shared" si="12"/>
        <v>0</v>
      </c>
      <c r="AT42" s="28">
        <f t="shared" si="13"/>
        <v>0</v>
      </c>
      <c r="AU42" s="389">
        <f t="shared" si="91"/>
        <v>0</v>
      </c>
      <c r="AV42" s="389">
        <f t="shared" si="92"/>
        <v>0</v>
      </c>
      <c r="AW42" s="29">
        <f t="shared" si="66"/>
        <v>0</v>
      </c>
      <c r="AX42" s="28">
        <f>SUMIFS('Fin Forecast'!$K$4:$K$520,'Fin Forecast'!$A$4:$A$520,'Sep20-Feb21 Transport Forecast'!$F42,'Fin Forecast'!$B$4:$B$520,'Sep20-Feb21 Transport Forecast'!AX$5)</f>
        <v>0</v>
      </c>
      <c r="AY42" s="28">
        <f>SUMIFS('Fin Forecast'!$K$4:$K$520,'Fin Forecast'!$A$4:$A$520,'Sep20-Feb21 Transport Forecast'!$F42,'Fin Forecast'!$B$4:$B$520,'Sep20-Feb21 Transport Forecast'!AY$5)</f>
        <v>0</v>
      </c>
      <c r="AZ42" s="28">
        <f>SUMIFS('Fin Forecast'!$K$4:$K$520,'Fin Forecast'!$A$4:$A$520,'Sep20-Feb21 Transport Forecast'!$F42,'Fin Forecast'!$B$4:$B$520,'Sep20-Feb21 Transport Forecast'!AZ$5)</f>
        <v>0</v>
      </c>
      <c r="BA42" s="28">
        <f>SUMIFS('Fin Forecast'!$K$4:$K$520,'Fin Forecast'!$A$4:$A$520,'Sep20-Feb21 Transport Forecast'!$F42,'Fin Forecast'!$B$4:$B$520,'Sep20-Feb21 Transport Forecast'!BA$5)</f>
        <v>0</v>
      </c>
      <c r="BB42" s="28">
        <f>SUMIFS('Fin Forecast'!$K$4:$K$520,'Fin Forecast'!$A$4:$A$520,'Sep20-Feb21 Transport Forecast'!$F42,'Fin Forecast'!$B$4:$B$520,'Sep20-Feb21 Transport Forecast'!BB$5)</f>
        <v>0</v>
      </c>
      <c r="BC42" s="28">
        <f>SUMIFS('Fin Forecast'!$K$4:$K$520,'Fin Forecast'!$A$4:$A$520,'Sep20-Feb21 Transport Forecast'!$F42,'Fin Forecast'!$B$4:$B$520,'Sep20-Feb21 Transport Forecast'!BC$5)</f>
        <v>0</v>
      </c>
      <c r="BD42" s="28">
        <f>SUMIFS('Fin Forecast'!$K$4:$K$520,'Fin Forecast'!$A$4:$A$520,'Sep20-Feb21 Transport Forecast'!$F42,'Fin Forecast'!$B$4:$B$520,'Sep20-Feb21 Transport Forecast'!BD$5)</f>
        <v>0</v>
      </c>
      <c r="BE42" s="28">
        <f>SUMIFS('Fin Forecast'!$K$4:$K$520,'Fin Forecast'!$A$4:$A$520,'Sep20-Feb21 Transport Forecast'!$F42,'Fin Forecast'!$B$4:$B$520,'Sep20-Feb21 Transport Forecast'!BE$5)</f>
        <v>0</v>
      </c>
      <c r="BF42" s="28">
        <f>SUMIFS('Fin Forecast'!$K$4:$K$520,'Fin Forecast'!$A$4:$A$520,'Sep20-Feb21 Transport Forecast'!$F42,'Fin Forecast'!$B$4:$B$520,'Sep20-Feb21 Transport Forecast'!BF$5)</f>
        <v>0</v>
      </c>
      <c r="BG42" s="28">
        <f>SUMIFS('Fin Forecast'!$K$4:$K$520,'Fin Forecast'!$A$4:$A$520,'Sep20-Feb21 Transport Forecast'!$F42,'Fin Forecast'!$B$4:$B$520,'Sep20-Feb21 Transport Forecast'!BG$5)</f>
        <v>0</v>
      </c>
      <c r="BI42" s="37">
        <f t="shared" si="20"/>
        <v>0</v>
      </c>
      <c r="BJ42" s="42">
        <f t="shared" si="21"/>
        <v>0</v>
      </c>
      <c r="BK42" s="42">
        <f t="shared" si="22"/>
        <v>0</v>
      </c>
      <c r="BL42" s="392">
        <f t="shared" si="23"/>
        <v>0</v>
      </c>
      <c r="BM42" s="42">
        <f t="shared" si="24"/>
        <v>0</v>
      </c>
    </row>
    <row r="43" spans="1:65" x14ac:dyDescent="0.25">
      <c r="A43" s="8"/>
      <c r="B43" s="8"/>
      <c r="C43" s="307">
        <f>$C$41</f>
        <v>44228</v>
      </c>
      <c r="D43" s="307" t="s">
        <v>31</v>
      </c>
      <c r="E43" s="2" t="str">
        <f t="shared" si="80"/>
        <v>882</v>
      </c>
      <c r="F43" s="2" t="s">
        <v>549</v>
      </c>
      <c r="G43" s="20">
        <f>SUMIFS('Forecasted Customer Cts'!$Q$5:$Q$28,'Forecasted Customer Cts'!$D$5:$D$28,$F43,'Forecasted Customer Cts'!$C$5:$C$28,$A$8)</f>
        <v>0</v>
      </c>
      <c r="H43" s="20">
        <f>SUMIFS('Forecasted Customer Cts'!$Q$5:$Q$28,'Forecasted Customer Cts'!$D$5:$D$28,$F43,'Forecasted Customer Cts'!$C$5:$C$28,$B$8)</f>
        <v>8</v>
      </c>
      <c r="I43" s="20">
        <f>SUMIF('Forecasted Calendar Month Usage'!$D$5:$D$32,'Sep20-Feb21 Transport Forecast'!$F43,'Forecasted Calendar Month Usage'!$S$5:$S$32)</f>
        <v>16654.779416743047</v>
      </c>
      <c r="J43" s="20">
        <v>0</v>
      </c>
      <c r="K43" s="20">
        <v>9</v>
      </c>
      <c r="L43" s="20">
        <v>0</v>
      </c>
      <c r="M43" s="20">
        <f>SUMIFS('Fin Forecast'!$K$4:$K$520,'Fin Forecast'!$A$4:$A$520,'Sep20-Feb21 Transport Forecast'!$F43,'Fin Forecast'!$B$4:$B$520,'Sep20-Feb21 Transport Forecast'!AX$5)/O43</f>
        <v>223.99999999999997</v>
      </c>
      <c r="N43" s="21">
        <f>VLOOKUP($D43,'Retail Rates'!$B$7:$P$40,4,FALSE)</f>
        <v>5.42</v>
      </c>
      <c r="O43" s="21">
        <f>VLOOKUP($D43,'Retail Rates'!$B$7:$P$40,5,FALSE)</f>
        <v>24.64</v>
      </c>
      <c r="P43" s="21">
        <f>VLOOKUP($D43,'Retail Rates'!$B$7:$P$40,6,FALSE)</f>
        <v>550</v>
      </c>
      <c r="Q43" s="22">
        <f>VLOOKUP($D43,'Retail Rates'!$B$7:$P$40,10,FALSE)</f>
        <v>2.1929000000000003</v>
      </c>
      <c r="R43" s="22">
        <f>VLOOKUP($D43,'Retail Rates'!$B$7:$P$40,11,FALSE)</f>
        <v>1.6928999999999998</v>
      </c>
      <c r="S43" s="22">
        <f>VLOOKUP($D43,'Retail Rates'!$B$7:$P$40,15,FALSE)</f>
        <v>0</v>
      </c>
      <c r="T43" s="21">
        <v>75</v>
      </c>
      <c r="U43" s="23">
        <f t="shared" si="81"/>
        <v>0</v>
      </c>
      <c r="V43" s="23">
        <f>M43*O43</f>
        <v>5519.36</v>
      </c>
      <c r="W43" s="23">
        <f>(G43*P43)+(H43*P43)</f>
        <v>4400</v>
      </c>
      <c r="X43" s="23">
        <f t="shared" si="83"/>
        <v>36522.265782975832</v>
      </c>
      <c r="Y43" s="23">
        <f>+J43*R43</f>
        <v>0</v>
      </c>
      <c r="Z43" s="23">
        <f t="shared" si="84"/>
        <v>0</v>
      </c>
      <c r="AA43" s="23">
        <f t="shared" si="85"/>
        <v>675</v>
      </c>
      <c r="AB43" s="41"/>
      <c r="AC43" s="41"/>
      <c r="AD43" s="33"/>
      <c r="AE43" s="33"/>
      <c r="AF43" s="33"/>
      <c r="AG43" s="33"/>
      <c r="AH43" s="33"/>
      <c r="AI43" s="23">
        <f t="shared" si="86"/>
        <v>0</v>
      </c>
      <c r="AJ43" s="23">
        <f t="shared" si="86"/>
        <v>5519.36</v>
      </c>
      <c r="AK43" s="23">
        <f t="shared" si="87"/>
        <v>4400</v>
      </c>
      <c r="AL43" s="23">
        <f t="shared" si="88"/>
        <v>36522.265782975832</v>
      </c>
      <c r="AM43" s="23">
        <f t="shared" si="88"/>
        <v>0</v>
      </c>
      <c r="AN43" s="23">
        <f t="shared" si="88"/>
        <v>0</v>
      </c>
      <c r="AO43" s="23">
        <f t="shared" si="89"/>
        <v>675</v>
      </c>
      <c r="AP43" s="23">
        <f t="shared" si="90"/>
        <v>0</v>
      </c>
      <c r="AQ43" s="28">
        <f t="shared" si="10"/>
        <v>0</v>
      </c>
      <c r="AR43" s="28">
        <f t="shared" si="11"/>
        <v>0</v>
      </c>
      <c r="AS43" s="28">
        <f t="shared" si="12"/>
        <v>4179.4478248575797</v>
      </c>
      <c r="AT43" s="28">
        <f t="shared" si="13"/>
        <v>0</v>
      </c>
      <c r="AU43" s="389">
        <f t="shared" si="91"/>
        <v>51296.07</v>
      </c>
      <c r="AV43" s="389">
        <f t="shared" si="92"/>
        <v>51296.073607833285</v>
      </c>
      <c r="AW43" s="29">
        <f t="shared" si="66"/>
        <v>1</v>
      </c>
      <c r="AX43" s="28">
        <f>SUMIFS('Fin Forecast'!$K$4:$K$520,'Fin Forecast'!$A$4:$A$520,'Sep20-Feb21 Transport Forecast'!$F43,'Fin Forecast'!$B$4:$B$520,'Sep20-Feb21 Transport Forecast'!AX$5)</f>
        <v>5519.36</v>
      </c>
      <c r="AY43" s="28">
        <f>SUMIFS('Fin Forecast'!$K$4:$K$520,'Fin Forecast'!$A$4:$A$520,'Sep20-Feb21 Transport Forecast'!$F43,'Fin Forecast'!$B$4:$B$520,'Sep20-Feb21 Transport Forecast'!AY$5)</f>
        <v>4400</v>
      </c>
      <c r="AZ43" s="28">
        <f>SUMIFS('Fin Forecast'!$K$4:$K$520,'Fin Forecast'!$A$4:$A$520,'Sep20-Feb21 Transport Forecast'!$F43,'Fin Forecast'!$B$4:$B$520,'Sep20-Feb21 Transport Forecast'!AZ$5)</f>
        <v>36522.265782975701</v>
      </c>
      <c r="BA43" s="28">
        <f>SUMIFS('Fin Forecast'!$K$4:$K$520,'Fin Forecast'!$A$4:$A$520,'Sep20-Feb21 Transport Forecast'!$F43,'Fin Forecast'!$B$4:$B$520,'Sep20-Feb21 Transport Forecast'!BA$5)</f>
        <v>0</v>
      </c>
      <c r="BB43" s="28">
        <f>SUMIFS('Fin Forecast'!$K$4:$K$520,'Fin Forecast'!$A$4:$A$520,'Sep20-Feb21 Transport Forecast'!$F43,'Fin Forecast'!$B$4:$B$520,'Sep20-Feb21 Transport Forecast'!BB$5)</f>
        <v>675</v>
      </c>
      <c r="BC43" s="28">
        <f>SUMIFS('Fin Forecast'!$K$4:$K$520,'Fin Forecast'!$A$4:$A$520,'Sep20-Feb21 Transport Forecast'!$F43,'Fin Forecast'!$B$4:$B$520,'Sep20-Feb21 Transport Forecast'!BC$5)</f>
        <v>0</v>
      </c>
      <c r="BD43" s="28">
        <f>SUMIFS('Fin Forecast'!$K$4:$K$520,'Fin Forecast'!$A$4:$A$520,'Sep20-Feb21 Transport Forecast'!$F43,'Fin Forecast'!$B$4:$B$520,'Sep20-Feb21 Transport Forecast'!BD$5)</f>
        <v>0</v>
      </c>
      <c r="BE43" s="28">
        <f>SUMIFS('Fin Forecast'!$K$4:$K$520,'Fin Forecast'!$A$4:$A$520,'Sep20-Feb21 Transport Forecast'!$F43,'Fin Forecast'!$B$4:$B$520,'Sep20-Feb21 Transport Forecast'!BE$5)</f>
        <v>4179.4478248575797</v>
      </c>
      <c r="BF43" s="28">
        <f>SUMIFS('Fin Forecast'!$K$4:$K$520,'Fin Forecast'!$A$4:$A$520,'Sep20-Feb21 Transport Forecast'!$F43,'Fin Forecast'!$B$4:$B$520,'Sep20-Feb21 Transport Forecast'!BF$5)</f>
        <v>0</v>
      </c>
      <c r="BG43" s="28">
        <f>SUMIFS('Fin Forecast'!$K$4:$K$520,'Fin Forecast'!$A$4:$A$520,'Sep20-Feb21 Transport Forecast'!$F43,'Fin Forecast'!$B$4:$B$520,'Sep20-Feb21 Transport Forecast'!BG$5)</f>
        <v>0</v>
      </c>
      <c r="BI43" s="37">
        <f t="shared" si="20"/>
        <v>-3.6078332850593142E-3</v>
      </c>
      <c r="BJ43" s="42">
        <f t="shared" si="21"/>
        <v>0</v>
      </c>
      <c r="BK43" s="42">
        <f t="shared" si="22"/>
        <v>1.3096723705530167E-10</v>
      </c>
      <c r="BL43" s="392">
        <f t="shared" si="23"/>
        <v>0</v>
      </c>
      <c r="BM43" s="42">
        <f t="shared" si="24"/>
        <v>0</v>
      </c>
    </row>
    <row r="44" spans="1:65" x14ac:dyDescent="0.25">
      <c r="A44" s="8" t="s">
        <v>380</v>
      </c>
      <c r="B44" s="8" t="s">
        <v>381</v>
      </c>
      <c r="C44" s="307">
        <f>$C$41</f>
        <v>44228</v>
      </c>
      <c r="D44" s="307" t="s">
        <v>53</v>
      </c>
      <c r="E44" s="2" t="str">
        <f t="shared" si="80"/>
        <v>892</v>
      </c>
      <c r="F44" s="2" t="s">
        <v>445</v>
      </c>
      <c r="G44" s="20">
        <f>SUMIF('Forecasted Customer Cts'!$D$5:$D$28,'Sep20-Feb21 Transport Forecast'!$F44,'Forecasted Customer Cts'!$Q$5:$Q$28)</f>
        <v>1</v>
      </c>
      <c r="H44" s="20">
        <v>0</v>
      </c>
      <c r="I44" s="20">
        <f>SUMIF('Forecasted Calendar Month Usage'!$D$5:$D$32,'Sep20-Feb21 Transport Forecast'!$F44,'Forecasted Calendar Month Usage'!$S$5:$S$32)</f>
        <v>5839.0749999999998</v>
      </c>
      <c r="J44" s="20">
        <v>0</v>
      </c>
      <c r="K44" s="20">
        <v>0</v>
      </c>
      <c r="L44" s="20">
        <v>0</v>
      </c>
      <c r="M44" s="20">
        <v>0</v>
      </c>
      <c r="N44" s="21">
        <f>VLOOKUP($D44,'Retail Rates'!$B$7:$P$40,4,FALSE)</f>
        <v>500</v>
      </c>
      <c r="O44" s="21">
        <f>VLOOKUP($D44,'Retail Rates'!$B$7:$P$40,5,FALSE)</f>
        <v>0</v>
      </c>
      <c r="P44" s="21">
        <f>VLOOKUP($D44,'Retail Rates'!$B$7:$P$40,6,FALSE)</f>
        <v>550</v>
      </c>
      <c r="Q44" s="22">
        <f>VLOOKUP($D44,'Retail Rates'!$B$7:$P$40,10,FALSE)</f>
        <v>1.0644</v>
      </c>
      <c r="R44" s="22">
        <f>VLOOKUP($D44,'Retail Rates'!$B$7:$P$40,11,FALSE)</f>
        <v>0</v>
      </c>
      <c r="S44" s="22">
        <f>VLOOKUP($D44,'Retail Rates'!$B$7:$P$40,15,FALSE)</f>
        <v>0</v>
      </c>
      <c r="T44" s="21">
        <v>75</v>
      </c>
      <c r="U44" s="23">
        <f t="shared" si="81"/>
        <v>500</v>
      </c>
      <c r="V44" s="23">
        <f t="shared" si="82"/>
        <v>0</v>
      </c>
      <c r="W44" s="23">
        <f>(G44*P44)+(H44*P44)</f>
        <v>550</v>
      </c>
      <c r="X44" s="23">
        <f t="shared" si="83"/>
        <v>6215.1114299999999</v>
      </c>
      <c r="Y44" s="23">
        <f t="shared" si="83"/>
        <v>0</v>
      </c>
      <c r="Z44" s="23">
        <f t="shared" si="84"/>
        <v>0</v>
      </c>
      <c r="AA44" s="23">
        <f t="shared" si="85"/>
        <v>0</v>
      </c>
      <c r="AB44" s="41"/>
      <c r="AC44" s="41"/>
      <c r="AD44" s="33"/>
      <c r="AE44" s="33"/>
      <c r="AF44" s="33"/>
      <c r="AG44" s="33"/>
      <c r="AH44" s="33"/>
      <c r="AI44" s="23">
        <f t="shared" si="86"/>
        <v>500</v>
      </c>
      <c r="AJ44" s="23">
        <f t="shared" si="86"/>
        <v>0</v>
      </c>
      <c r="AK44" s="23">
        <f t="shared" si="87"/>
        <v>550</v>
      </c>
      <c r="AL44" s="23">
        <f t="shared" si="88"/>
        <v>6215.1114299999999</v>
      </c>
      <c r="AM44" s="23">
        <f t="shared" si="88"/>
        <v>0</v>
      </c>
      <c r="AN44" s="23">
        <f t="shared" si="88"/>
        <v>0</v>
      </c>
      <c r="AO44" s="23">
        <f t="shared" si="89"/>
        <v>0</v>
      </c>
      <c r="AP44" s="23">
        <f t="shared" si="90"/>
        <v>0</v>
      </c>
      <c r="AQ44" s="28">
        <f t="shared" si="10"/>
        <v>0</v>
      </c>
      <c r="AR44" s="28">
        <f t="shared" si="11"/>
        <v>0</v>
      </c>
      <c r="AS44" s="28">
        <f t="shared" si="12"/>
        <v>644.44670344863005</v>
      </c>
      <c r="AT44" s="28">
        <f t="shared" si="13"/>
        <v>0</v>
      </c>
      <c r="AU44" s="389">
        <f t="shared" si="91"/>
        <v>7909.56</v>
      </c>
      <c r="AV44" s="389">
        <f t="shared" si="92"/>
        <v>7909.5581334486296</v>
      </c>
      <c r="AW44" s="29">
        <f t="shared" si="66"/>
        <v>1</v>
      </c>
      <c r="AX44" s="28">
        <f>SUMIFS('Fin Forecast'!$K$4:$K$520,'Fin Forecast'!$A$4:$A$520,'Sep20-Feb21 Transport Forecast'!$F44,'Fin Forecast'!$B$4:$B$520,'Sep20-Feb21 Transport Forecast'!AX$5)</f>
        <v>500</v>
      </c>
      <c r="AY44" s="28">
        <f>SUMIFS('Fin Forecast'!$K$4:$K$520,'Fin Forecast'!$A$4:$A$520,'Sep20-Feb21 Transport Forecast'!$F44,'Fin Forecast'!$B$4:$B$520,'Sep20-Feb21 Transport Forecast'!AY$5)</f>
        <v>550</v>
      </c>
      <c r="AZ44" s="28">
        <f>SUMIFS('Fin Forecast'!$K$4:$K$520,'Fin Forecast'!$A$4:$A$520,'Sep20-Feb21 Transport Forecast'!$F44,'Fin Forecast'!$B$4:$B$520,'Sep20-Feb21 Transport Forecast'!AZ$5)</f>
        <v>6215.1114299999999</v>
      </c>
      <c r="BA44" s="28">
        <f>SUMIFS('Fin Forecast'!$K$4:$K$520,'Fin Forecast'!$A$4:$A$520,'Sep20-Feb21 Transport Forecast'!$F44,'Fin Forecast'!$B$4:$B$520,'Sep20-Feb21 Transport Forecast'!BA$5)</f>
        <v>0</v>
      </c>
      <c r="BB44" s="28">
        <f>SUMIFS('Fin Forecast'!$K$4:$K$520,'Fin Forecast'!$A$4:$A$520,'Sep20-Feb21 Transport Forecast'!$F44,'Fin Forecast'!$B$4:$B$520,'Sep20-Feb21 Transport Forecast'!BB$5)</f>
        <v>0</v>
      </c>
      <c r="BC44" s="28">
        <f>SUMIFS('Fin Forecast'!$K$4:$K$520,'Fin Forecast'!$A$4:$A$520,'Sep20-Feb21 Transport Forecast'!$F44,'Fin Forecast'!$B$4:$B$520,'Sep20-Feb21 Transport Forecast'!BC$5)</f>
        <v>0</v>
      </c>
      <c r="BD44" s="28">
        <f>SUMIFS('Fin Forecast'!$K$4:$K$520,'Fin Forecast'!$A$4:$A$520,'Sep20-Feb21 Transport Forecast'!$F44,'Fin Forecast'!$B$4:$B$520,'Sep20-Feb21 Transport Forecast'!BD$5)</f>
        <v>0</v>
      </c>
      <c r="BE44" s="28">
        <f>SUMIFS('Fin Forecast'!$K$4:$K$520,'Fin Forecast'!$A$4:$A$520,'Sep20-Feb21 Transport Forecast'!$F44,'Fin Forecast'!$B$4:$B$520,'Sep20-Feb21 Transport Forecast'!BE$5)</f>
        <v>644.44670344863005</v>
      </c>
      <c r="BF44" s="28">
        <f>SUMIFS('Fin Forecast'!$K$4:$K$520,'Fin Forecast'!$A$4:$A$520,'Sep20-Feb21 Transport Forecast'!$F44,'Fin Forecast'!$B$4:$B$520,'Sep20-Feb21 Transport Forecast'!BF$5)</f>
        <v>0</v>
      </c>
      <c r="BG44" s="28">
        <f>SUMIFS('Fin Forecast'!$K$4:$K$520,'Fin Forecast'!$A$4:$A$520,'Sep20-Feb21 Transport Forecast'!$F44,'Fin Forecast'!$B$4:$B$520,'Sep20-Feb21 Transport Forecast'!BG$5)</f>
        <v>0</v>
      </c>
      <c r="BI44" s="37">
        <f t="shared" si="20"/>
        <v>1.8665513707674108E-3</v>
      </c>
      <c r="BJ44" s="42">
        <f t="shared" si="21"/>
        <v>0</v>
      </c>
      <c r="BK44" s="42">
        <f t="shared" si="22"/>
        <v>0</v>
      </c>
      <c r="BL44" s="392">
        <f t="shared" si="23"/>
        <v>0</v>
      </c>
      <c r="BM44" s="42">
        <f t="shared" si="24"/>
        <v>0</v>
      </c>
    </row>
    <row r="45" spans="1:65" x14ac:dyDescent="0.25">
      <c r="A45" s="8"/>
      <c r="B45" s="8"/>
      <c r="C45" s="307">
        <f>$C$41</f>
        <v>44228</v>
      </c>
      <c r="D45" s="307" t="s">
        <v>567</v>
      </c>
      <c r="E45" s="2" t="str">
        <f t="shared" si="80"/>
        <v>883</v>
      </c>
      <c r="F45" s="2" t="s">
        <v>576</v>
      </c>
      <c r="G45" s="20">
        <f>SUMIF('Forecasted Customer Cts'!$D$5:$D$28,'Sep20-Feb21 Transport Forecast'!$F45,'Forecasted Customer Cts'!$Q$5:$Q$28)</f>
        <v>0</v>
      </c>
      <c r="H45" s="20">
        <v>0</v>
      </c>
      <c r="I45" s="20">
        <f>SUMIF('Forecasted Calendar Month Usage'!$D$5:$D$32,'Sep20-Feb21 Transport Forecast'!$F45,'Forecasted Calendar Month Usage'!$Q$5:$Q$32)</f>
        <v>0</v>
      </c>
      <c r="J45" s="20">
        <v>0</v>
      </c>
      <c r="K45" s="20">
        <v>0</v>
      </c>
      <c r="L45" s="20">
        <f>SUMIFS('Fin Forecast'!$K$4:$K$520,'Fin Forecast'!$A$4:$A$520,'Sep20-Feb21 Transport Forecast'!$F45,'Fin Forecast'!$B$4:$B$520,'Sep20-Feb21 Transport Forecast'!L$5)/S45</f>
        <v>0</v>
      </c>
      <c r="M45" s="20">
        <v>0</v>
      </c>
      <c r="N45" s="21">
        <f>VLOOKUP($D45,'Retail Rates'!$B$7:$P$40,4,FALSE)</f>
        <v>165</v>
      </c>
      <c r="O45" s="21">
        <f>VLOOKUP($D45,'Retail Rates'!$B$7:$P$40,5,FALSE)</f>
        <v>750</v>
      </c>
      <c r="P45" s="21">
        <f>VLOOKUP($D45,'Retail Rates'!$B$7:$P$40,6,FALSE)</f>
        <v>550</v>
      </c>
      <c r="Q45" s="22">
        <f>VLOOKUP($D45,'Retail Rates'!$B$7:$P$40,10,FALSE)</f>
        <v>0.29919999999999997</v>
      </c>
      <c r="R45" s="22">
        <f>VLOOKUP($D45,'Retail Rates'!$B$7:$P$40,11,FALSE)</f>
        <v>0</v>
      </c>
      <c r="S45" s="22">
        <f>VLOOKUP($D45,'Retail Rates'!$B$7:$P$40,15,FALSE)</f>
        <v>10.8978</v>
      </c>
      <c r="T45" s="21">
        <v>75</v>
      </c>
      <c r="U45" s="23">
        <f t="shared" si="81"/>
        <v>0</v>
      </c>
      <c r="V45" s="23">
        <f t="shared" si="82"/>
        <v>0</v>
      </c>
      <c r="W45" s="23">
        <f>G45*P45</f>
        <v>0</v>
      </c>
      <c r="X45" s="23">
        <f t="shared" si="83"/>
        <v>0</v>
      </c>
      <c r="Y45" s="23">
        <f t="shared" si="83"/>
        <v>0</v>
      </c>
      <c r="Z45" s="23">
        <f t="shared" si="84"/>
        <v>0</v>
      </c>
      <c r="AA45" s="23">
        <f t="shared" si="85"/>
        <v>0</v>
      </c>
      <c r="AB45" s="41"/>
      <c r="AC45" s="41"/>
      <c r="AD45" s="33"/>
      <c r="AE45" s="33"/>
      <c r="AF45" s="33"/>
      <c r="AG45" s="33"/>
      <c r="AH45" s="33"/>
      <c r="AI45" s="23">
        <f t="shared" si="86"/>
        <v>0</v>
      </c>
      <c r="AJ45" s="23">
        <f t="shared" si="86"/>
        <v>0</v>
      </c>
      <c r="AK45" s="23">
        <f t="shared" si="87"/>
        <v>0</v>
      </c>
      <c r="AL45" s="23">
        <f t="shared" si="88"/>
        <v>0</v>
      </c>
      <c r="AM45" s="23">
        <f t="shared" si="88"/>
        <v>0</v>
      </c>
      <c r="AN45" s="23">
        <f t="shared" si="88"/>
        <v>0</v>
      </c>
      <c r="AO45" s="23">
        <f t="shared" si="89"/>
        <v>0</v>
      </c>
      <c r="AP45" s="23">
        <f t="shared" si="90"/>
        <v>0</v>
      </c>
      <c r="AQ45" s="28">
        <f t="shared" si="10"/>
        <v>0</v>
      </c>
      <c r="AR45" s="28">
        <f t="shared" si="11"/>
        <v>0</v>
      </c>
      <c r="AS45" s="28">
        <f t="shared" si="12"/>
        <v>0</v>
      </c>
      <c r="AT45" s="28">
        <f t="shared" si="13"/>
        <v>0</v>
      </c>
      <c r="AU45" s="389">
        <f t="shared" si="91"/>
        <v>0</v>
      </c>
      <c r="AV45" s="389">
        <f t="shared" si="92"/>
        <v>0</v>
      </c>
      <c r="AW45" s="29">
        <f t="shared" si="66"/>
        <v>0</v>
      </c>
      <c r="AX45" s="28">
        <f>SUMIFS('Fin Forecast'!$K$4:$K$520,'Fin Forecast'!$A$4:$A$520,'Sep20-Feb21 Transport Forecast'!$F45,'Fin Forecast'!$B$4:$B$520,'Sep20-Feb21 Transport Forecast'!AX$5)</f>
        <v>0</v>
      </c>
      <c r="AY45" s="28">
        <f>SUMIFS('Fin Forecast'!$K$4:$K$520,'Fin Forecast'!$A$4:$A$520,'Sep20-Feb21 Transport Forecast'!$F45,'Fin Forecast'!$B$4:$B$520,'Sep20-Feb21 Transport Forecast'!AY$5)</f>
        <v>0</v>
      </c>
      <c r="AZ45" s="28">
        <f>SUMIFS('Fin Forecast'!$K$4:$K$520,'Fin Forecast'!$A$4:$A$520,'Sep20-Feb21 Transport Forecast'!$F45,'Fin Forecast'!$B$4:$B$520,'Sep20-Feb21 Transport Forecast'!AZ$5)</f>
        <v>0</v>
      </c>
      <c r="BA45" s="28">
        <f>SUMIFS('Fin Forecast'!$K$4:$K$520,'Fin Forecast'!$A$4:$A$520,'Sep20-Feb21 Transport Forecast'!$F45,'Fin Forecast'!$B$4:$B$520,'Sep20-Feb21 Transport Forecast'!BA$5)</f>
        <v>0</v>
      </c>
      <c r="BB45" s="28">
        <f>SUMIFS('Fin Forecast'!$K$4:$K$520,'Fin Forecast'!$A$4:$A$520,'Sep20-Feb21 Transport Forecast'!$F45,'Fin Forecast'!$B$4:$B$520,'Sep20-Feb21 Transport Forecast'!BB$5)</f>
        <v>0</v>
      </c>
      <c r="BC45" s="28">
        <f>SUMIFS('Fin Forecast'!$K$4:$K$520,'Fin Forecast'!$A$4:$A$520,'Sep20-Feb21 Transport Forecast'!$F45,'Fin Forecast'!$B$4:$B$520,'Sep20-Feb21 Transport Forecast'!BC$5)</f>
        <v>0</v>
      </c>
      <c r="BD45" s="28">
        <f>SUMIFS('Fin Forecast'!$K$4:$K$520,'Fin Forecast'!$A$4:$A$520,'Sep20-Feb21 Transport Forecast'!$F45,'Fin Forecast'!$B$4:$B$520,'Sep20-Feb21 Transport Forecast'!BD$5)</f>
        <v>0</v>
      </c>
      <c r="BE45" s="28">
        <f>SUMIFS('Fin Forecast'!$K$4:$K$520,'Fin Forecast'!$A$4:$A$520,'Sep20-Feb21 Transport Forecast'!$F45,'Fin Forecast'!$B$4:$B$520,'Sep20-Feb21 Transport Forecast'!BE$5)</f>
        <v>0</v>
      </c>
      <c r="BF45" s="28">
        <f>SUMIFS('Fin Forecast'!$K$4:$K$520,'Fin Forecast'!$A$4:$A$520,'Sep20-Feb21 Transport Forecast'!$F45,'Fin Forecast'!$B$4:$B$520,'Sep20-Feb21 Transport Forecast'!BF$5)</f>
        <v>0</v>
      </c>
      <c r="BG45" s="28">
        <f>SUMIFS('Fin Forecast'!$K$4:$K$520,'Fin Forecast'!$A$4:$A$520,'Sep20-Feb21 Transport Forecast'!$F45,'Fin Forecast'!$B$4:$B$520,'Sep20-Feb21 Transport Forecast'!BG$5)</f>
        <v>0</v>
      </c>
      <c r="BI45" s="37">
        <f t="shared" si="20"/>
        <v>0</v>
      </c>
      <c r="BJ45" s="42">
        <f t="shared" si="21"/>
        <v>0</v>
      </c>
      <c r="BK45" s="42">
        <f t="shared" si="22"/>
        <v>0</v>
      </c>
      <c r="BL45" s="392">
        <f t="shared" si="23"/>
        <v>0</v>
      </c>
      <c r="BM45" s="42">
        <f t="shared" si="24"/>
        <v>0</v>
      </c>
    </row>
    <row r="46" spans="1:65" x14ac:dyDescent="0.25">
      <c r="A46" s="362" t="s">
        <v>530</v>
      </c>
      <c r="B46" s="8"/>
      <c r="C46" s="307">
        <f>$C$41</f>
        <v>44228</v>
      </c>
      <c r="D46" s="307" t="s">
        <v>562</v>
      </c>
      <c r="E46" s="2" t="str">
        <f t="shared" si="80"/>
        <v>872</v>
      </c>
      <c r="F46" s="2" t="s">
        <v>551</v>
      </c>
      <c r="G46" s="20">
        <f>SUMIF('Forecasted Customer Cts'!$D$5:$D$28,'Sep20-Feb21 Transport Forecast'!$F46,'Forecasted Customer Cts'!$Q$5:$Q$28)</f>
        <v>0</v>
      </c>
      <c r="H46" s="20">
        <v>0</v>
      </c>
      <c r="I46" s="20">
        <f>SUMIF('Forecasted Calendar Month Usage'!$D$5:$D$32,'Sep20-Feb21 Transport Forecast'!$F46,'Forecasted Calendar Month Usage'!$Q$5:$Q$32)</f>
        <v>0</v>
      </c>
      <c r="J46" s="20">
        <v>0</v>
      </c>
      <c r="K46" s="20">
        <v>0</v>
      </c>
      <c r="L46" s="20">
        <f>SUMIFS('Fin Forecast'!$K$4:$K$520,'Fin Forecast'!$A$4:$A$520,'Sep20-Feb21 Transport Forecast'!$F46,'Fin Forecast'!$B$4:$B$520,'Sep20-Feb21 Transport Forecast'!L$5)/S46</f>
        <v>0</v>
      </c>
      <c r="M46" s="20">
        <v>0</v>
      </c>
      <c r="N46" s="21">
        <f>VLOOKUP($D46,'Retail Rates'!$B$7:$P$40,4,FALSE)</f>
        <v>750</v>
      </c>
      <c r="O46" s="21">
        <f>VLOOKUP($D46,'Retail Rates'!$B$7:$P$40,5,FALSE)</f>
        <v>0</v>
      </c>
      <c r="P46" s="21">
        <f>VLOOKUP($D46,'Retail Rates'!$B$7:$P$40,6,FALSE)</f>
        <v>550</v>
      </c>
      <c r="Q46" s="22">
        <f>VLOOKUP($D46,'Retail Rates'!$B$7:$P$40,10,FALSE)</f>
        <v>3.7999999999999999E-2</v>
      </c>
      <c r="R46" s="22">
        <f>VLOOKUP($D46,'Retail Rates'!$B$7:$P$40,11,FALSE)</f>
        <v>0</v>
      </c>
      <c r="S46" s="22">
        <f>VLOOKUP($D46,'Retail Rates'!$B$7:$P$40,15,FALSE)</f>
        <v>4.8899999999999997</v>
      </c>
      <c r="T46" s="21">
        <v>75</v>
      </c>
      <c r="U46" s="23">
        <f t="shared" si="81"/>
        <v>0</v>
      </c>
      <c r="V46" s="23">
        <f t="shared" si="82"/>
        <v>0</v>
      </c>
      <c r="W46" s="23">
        <f>G46*P46</f>
        <v>0</v>
      </c>
      <c r="X46" s="23">
        <f t="shared" si="83"/>
        <v>0</v>
      </c>
      <c r="Y46" s="23">
        <f t="shared" si="83"/>
        <v>0</v>
      </c>
      <c r="Z46" s="23">
        <f t="shared" si="84"/>
        <v>0</v>
      </c>
      <c r="AA46" s="23">
        <f t="shared" si="85"/>
        <v>0</v>
      </c>
      <c r="AB46" s="41"/>
      <c r="AC46" s="41"/>
      <c r="AD46" s="33"/>
      <c r="AE46" s="33"/>
      <c r="AF46" s="33"/>
      <c r="AG46" s="33"/>
      <c r="AH46" s="33"/>
      <c r="AI46" s="23">
        <f t="shared" si="86"/>
        <v>0</v>
      </c>
      <c r="AJ46" s="23">
        <f t="shared" si="86"/>
        <v>0</v>
      </c>
      <c r="AK46" s="23">
        <f t="shared" si="87"/>
        <v>0</v>
      </c>
      <c r="AL46" s="23">
        <f t="shared" si="88"/>
        <v>0</v>
      </c>
      <c r="AM46" s="23">
        <f t="shared" si="88"/>
        <v>0</v>
      </c>
      <c r="AN46" s="23">
        <f t="shared" si="88"/>
        <v>0</v>
      </c>
      <c r="AO46" s="23">
        <f t="shared" si="89"/>
        <v>0</v>
      </c>
      <c r="AP46" s="23">
        <f t="shared" si="90"/>
        <v>0</v>
      </c>
      <c r="AQ46" s="28">
        <f t="shared" si="10"/>
        <v>0</v>
      </c>
      <c r="AR46" s="28">
        <f t="shared" si="11"/>
        <v>0</v>
      </c>
      <c r="AS46" s="28">
        <f t="shared" si="12"/>
        <v>0</v>
      </c>
      <c r="AT46" s="28">
        <f t="shared" si="13"/>
        <v>0</v>
      </c>
      <c r="AU46" s="389">
        <f t="shared" si="91"/>
        <v>0</v>
      </c>
      <c r="AV46" s="389">
        <f t="shared" si="92"/>
        <v>0</v>
      </c>
      <c r="AW46" s="29">
        <f t="shared" si="66"/>
        <v>0</v>
      </c>
      <c r="AX46" s="28">
        <f>SUMIFS('Fin Forecast'!$K$4:$K$520,'Fin Forecast'!$A$4:$A$520,'Sep20-Feb21 Transport Forecast'!$F46,'Fin Forecast'!$B$4:$B$520,'Sep20-Feb21 Transport Forecast'!AX$5)</f>
        <v>0</v>
      </c>
      <c r="AY46" s="28">
        <f>SUMIFS('Fin Forecast'!$K$4:$K$520,'Fin Forecast'!$A$4:$A$520,'Sep20-Feb21 Transport Forecast'!$F46,'Fin Forecast'!$B$4:$B$520,'Sep20-Feb21 Transport Forecast'!AY$5)</f>
        <v>0</v>
      </c>
      <c r="AZ46" s="28">
        <f>SUMIFS('Fin Forecast'!$K$4:$K$520,'Fin Forecast'!$A$4:$A$520,'Sep20-Feb21 Transport Forecast'!$F46,'Fin Forecast'!$B$4:$B$520,'Sep20-Feb21 Transport Forecast'!AZ$5)</f>
        <v>0</v>
      </c>
      <c r="BA46" s="28">
        <f>SUMIFS('Fin Forecast'!$K$4:$K$520,'Fin Forecast'!$A$4:$A$520,'Sep20-Feb21 Transport Forecast'!$F46,'Fin Forecast'!$B$4:$B$520,'Sep20-Feb21 Transport Forecast'!BA$5)</f>
        <v>0</v>
      </c>
      <c r="BB46" s="28">
        <f>SUMIFS('Fin Forecast'!$K$4:$K$520,'Fin Forecast'!$A$4:$A$520,'Sep20-Feb21 Transport Forecast'!$F46,'Fin Forecast'!$B$4:$B$520,'Sep20-Feb21 Transport Forecast'!BB$5)</f>
        <v>0</v>
      </c>
      <c r="BC46" s="28">
        <f>SUMIFS('Fin Forecast'!$K$4:$K$520,'Fin Forecast'!$A$4:$A$520,'Sep20-Feb21 Transport Forecast'!$F46,'Fin Forecast'!$B$4:$B$520,'Sep20-Feb21 Transport Forecast'!BC$5)</f>
        <v>0</v>
      </c>
      <c r="BD46" s="28">
        <f>SUMIFS('Fin Forecast'!$K$4:$K$520,'Fin Forecast'!$A$4:$A$520,'Sep20-Feb21 Transport Forecast'!$F46,'Fin Forecast'!$B$4:$B$520,'Sep20-Feb21 Transport Forecast'!BD$5)</f>
        <v>0</v>
      </c>
      <c r="BE46" s="28">
        <f>SUMIFS('Fin Forecast'!$K$4:$K$520,'Fin Forecast'!$A$4:$A$520,'Sep20-Feb21 Transport Forecast'!$F46,'Fin Forecast'!$B$4:$B$520,'Sep20-Feb21 Transport Forecast'!BE$5)</f>
        <v>0</v>
      </c>
      <c r="BF46" s="28">
        <f>SUMIFS('Fin Forecast'!$K$4:$K$520,'Fin Forecast'!$A$4:$A$520,'Sep20-Feb21 Transport Forecast'!$F46,'Fin Forecast'!$B$4:$B$520,'Sep20-Feb21 Transport Forecast'!BF$5)</f>
        <v>0</v>
      </c>
      <c r="BG46" s="28">
        <f>SUMIFS('Fin Forecast'!$K$4:$K$520,'Fin Forecast'!$A$4:$A$520,'Sep20-Feb21 Transport Forecast'!$F46,'Fin Forecast'!$B$4:$B$520,'Sep20-Feb21 Transport Forecast'!BG$5)</f>
        <v>0</v>
      </c>
      <c r="BI46" s="37">
        <f t="shared" si="20"/>
        <v>0</v>
      </c>
      <c r="BJ46" s="42">
        <f t="shared" si="21"/>
        <v>0</v>
      </c>
      <c r="BK46" s="42">
        <f t="shared" si="22"/>
        <v>0</v>
      </c>
      <c r="BL46" s="392">
        <f t="shared" si="23"/>
        <v>0</v>
      </c>
      <c r="BM46" s="42">
        <f t="shared" si="24"/>
        <v>0</v>
      </c>
    </row>
    <row r="47" spans="1:65" x14ac:dyDescent="0.25">
      <c r="BI47" s="37"/>
      <c r="BJ47" s="42"/>
      <c r="BK47" s="42"/>
      <c r="BL47" s="392"/>
      <c r="BM47" s="42"/>
    </row>
    <row r="48" spans="1:65" x14ac:dyDescent="0.25">
      <c r="AP48" s="45">
        <f>SUM(AP6:AP46)</f>
        <v>0</v>
      </c>
      <c r="AS48" t="s">
        <v>324</v>
      </c>
      <c r="AY48" s="789"/>
      <c r="BI48" s="37"/>
      <c r="BJ48" s="42"/>
      <c r="BK48" s="42"/>
      <c r="BL48" s="392"/>
      <c r="BM48" s="42"/>
    </row>
    <row r="49" spans="6:65" x14ac:dyDescent="0.25">
      <c r="F49" s="2" t="s">
        <v>610</v>
      </c>
      <c r="G49">
        <f>SUMIF($F$6:$F$46,$F49,G$6:G$46)</f>
        <v>0</v>
      </c>
      <c r="H49">
        <f>SUMIF($F$6:$F$46,$F49,H$6:H$46)</f>
        <v>496</v>
      </c>
      <c r="I49" s="757">
        <f>(SUMIF($F$6:$F$46,$F49,I$6:I$46))/10</f>
        <v>627289.92541153415</v>
      </c>
      <c r="J49" s="757">
        <f t="shared" ref="I49:M54" si="93">(SUMIF($F$6:$F$46,$F49,J$6:J$46))/10</f>
        <v>0</v>
      </c>
      <c r="K49" s="757">
        <f>(SUMIF($F$6:$F$46,$F49,K$6:K$46))</f>
        <v>426</v>
      </c>
      <c r="L49" s="757">
        <f>(SUMIF($F$6:$F$46,$F49,L$6:L$46))</f>
        <v>462231.99519378488</v>
      </c>
      <c r="M49" s="757">
        <f t="shared" si="93"/>
        <v>0</v>
      </c>
      <c r="N49" s="757"/>
      <c r="O49" s="757"/>
      <c r="P49" s="757"/>
      <c r="Q49" s="757"/>
      <c r="R49" s="757"/>
      <c r="S49" s="757"/>
      <c r="T49" s="757"/>
      <c r="U49" s="757">
        <f t="shared" ref="U49:AP49" si="94">(SUMIF($F$6:$F$46,$F49,U$6:U$46))</f>
        <v>0</v>
      </c>
      <c r="V49" s="757">
        <f t="shared" si="94"/>
        <v>372000</v>
      </c>
      <c r="W49" s="757">
        <f t="shared" si="94"/>
        <v>272800</v>
      </c>
      <c r="X49" s="757">
        <f t="shared" si="94"/>
        <v>238370.17165638297</v>
      </c>
      <c r="Y49" s="757">
        <f t="shared" si="94"/>
        <v>0</v>
      </c>
      <c r="Z49" s="757">
        <f t="shared" si="94"/>
        <v>2260314.4564976082</v>
      </c>
      <c r="AA49" s="757">
        <f t="shared" si="94"/>
        <v>31950</v>
      </c>
      <c r="AB49" s="757"/>
      <c r="AC49" s="757"/>
      <c r="AD49" s="757"/>
      <c r="AE49" s="757"/>
      <c r="AF49" s="757"/>
      <c r="AG49" s="757"/>
      <c r="AH49" s="757"/>
      <c r="AI49" s="757"/>
      <c r="AJ49" s="757">
        <f>(SUMIF($F$6:$F$46,$F49,AJ$6:AJ$46))</f>
        <v>372000</v>
      </c>
      <c r="AK49" s="757">
        <f t="shared" si="94"/>
        <v>272800</v>
      </c>
      <c r="AL49" s="757">
        <f t="shared" si="94"/>
        <v>238370.17165638297</v>
      </c>
      <c r="AM49" s="757">
        <f t="shared" si="94"/>
        <v>0</v>
      </c>
      <c r="AN49" s="757">
        <f t="shared" si="94"/>
        <v>2260314.4564976082</v>
      </c>
      <c r="AO49" s="757">
        <f t="shared" si="94"/>
        <v>31950</v>
      </c>
      <c r="AP49" s="757">
        <f t="shared" si="94"/>
        <v>0</v>
      </c>
      <c r="AS49" s="789">
        <f t="shared" ref="AS49:AS54" si="95">SUMIF($F$6:$F$46,$F49,$AS$6:$AS$46)</f>
        <v>75855.466286804905</v>
      </c>
      <c r="AT49" s="2" t="s">
        <v>610</v>
      </c>
      <c r="AU49" s="789">
        <f>SUMIF($F$6:$F$46,$AT49,$AU$6:$AU$46)</f>
        <v>3251290.0999999996</v>
      </c>
      <c r="AX49">
        <v>895</v>
      </c>
      <c r="AY49" s="789">
        <f>'Mar20-Aug20 Transport Actuals'!P29+'Mar20-Aug20 Transport Actuals'!P40</f>
        <v>125036.32999999999</v>
      </c>
      <c r="BI49" s="37"/>
      <c r="BJ49" s="42"/>
      <c r="BK49" s="42"/>
      <c r="BL49" s="392"/>
      <c r="BM49" s="42"/>
    </row>
    <row r="50" spans="6:65" x14ac:dyDescent="0.25">
      <c r="F50" s="2" t="s">
        <v>546</v>
      </c>
      <c r="G50">
        <f t="shared" ref="G50:H54" si="96">SUMIF($F$6:$F$46,$F50,G$6:G$46)</f>
        <v>0</v>
      </c>
      <c r="H50">
        <f t="shared" si="96"/>
        <v>0</v>
      </c>
      <c r="I50" s="757">
        <f t="shared" si="93"/>
        <v>0</v>
      </c>
      <c r="J50" s="757">
        <f t="shared" si="93"/>
        <v>0</v>
      </c>
      <c r="AS50" s="789">
        <f t="shared" si="95"/>
        <v>0</v>
      </c>
      <c r="AT50" s="2" t="s">
        <v>546</v>
      </c>
      <c r="AU50" s="789">
        <f>SUMIF($F$6:$F$46,$AT50,$AU$6:$AU$46)</f>
        <v>0</v>
      </c>
      <c r="AX50">
        <v>896</v>
      </c>
      <c r="AY50" s="789">
        <f>'Mar20-Aug20 Transport Actuals'!P69+'Mar20-Aug20 Transport Actuals'!P92+'Mar20-Aug20 Transport Actuals'!P103</f>
        <v>3000955.42386</v>
      </c>
      <c r="BI50" s="37"/>
      <c r="BJ50" s="42"/>
      <c r="BK50" s="42"/>
      <c r="BL50" s="392"/>
      <c r="BM50" s="42"/>
    </row>
    <row r="51" spans="6:65" x14ac:dyDescent="0.25">
      <c r="F51" s="2" t="s">
        <v>549</v>
      </c>
      <c r="G51">
        <f t="shared" si="96"/>
        <v>0</v>
      </c>
      <c r="H51">
        <f t="shared" si="96"/>
        <v>48</v>
      </c>
      <c r="I51" s="757">
        <f t="shared" si="93"/>
        <v>10242.171537268505</v>
      </c>
      <c r="J51" s="757">
        <f t="shared" si="93"/>
        <v>8900.2185423684823</v>
      </c>
      <c r="K51" s="757">
        <f>(SUMIF($F$6:$F$46,$F51,K$6:K$46))</f>
        <v>54</v>
      </c>
      <c r="L51" s="757">
        <f>(SUMIF($F$6:$F$46,$F51,L$6:L$46))</f>
        <v>0</v>
      </c>
      <c r="M51" s="757">
        <f>(SUMIF($F$6:$F$46,$F51,M$6:M$46))</f>
        <v>1448</v>
      </c>
      <c r="N51" s="757"/>
      <c r="O51" s="757"/>
      <c r="P51" s="757"/>
      <c r="Q51" s="757"/>
      <c r="R51" s="757"/>
      <c r="S51" s="757"/>
      <c r="T51" s="757"/>
      <c r="U51" s="757">
        <f t="shared" ref="U51:AO51" si="97">(SUMIF($F$6:$F$46,$F51,U$6:U$46))</f>
        <v>0</v>
      </c>
      <c r="V51" s="757">
        <f t="shared" si="97"/>
        <v>35678.720000000001</v>
      </c>
      <c r="W51" s="757">
        <f t="shared" si="97"/>
        <v>26400</v>
      </c>
      <c r="X51" s="757">
        <f t="shared" si="97"/>
        <v>224600.57964076105</v>
      </c>
      <c r="Y51" s="757">
        <f t="shared" si="97"/>
        <v>150671.79970375606</v>
      </c>
      <c r="Z51" s="757">
        <f t="shared" si="97"/>
        <v>0</v>
      </c>
      <c r="AA51" s="757">
        <f t="shared" si="97"/>
        <v>4050</v>
      </c>
      <c r="AB51" s="757"/>
      <c r="AC51" s="757"/>
      <c r="AD51" s="757"/>
      <c r="AE51" s="757"/>
      <c r="AF51" s="757"/>
      <c r="AG51" s="757"/>
      <c r="AH51" s="757"/>
      <c r="AI51" s="757"/>
      <c r="AJ51" s="757">
        <f t="shared" si="97"/>
        <v>35678.720000000001</v>
      </c>
      <c r="AK51" s="757">
        <f t="shared" si="97"/>
        <v>26400</v>
      </c>
      <c r="AL51" s="757">
        <f t="shared" si="97"/>
        <v>224600.57964076105</v>
      </c>
      <c r="AM51" s="757">
        <f t="shared" si="97"/>
        <v>150671.79970375606</v>
      </c>
      <c r="AN51" s="757">
        <f t="shared" si="97"/>
        <v>0</v>
      </c>
      <c r="AO51" s="757">
        <f t="shared" si="97"/>
        <v>4050</v>
      </c>
      <c r="AS51" s="789">
        <f t="shared" si="95"/>
        <v>39006.688812913824</v>
      </c>
      <c r="AT51" s="2" t="s">
        <v>549</v>
      </c>
      <c r="AU51" s="789">
        <f>SUMIF($F$6:$F$46,$AT51,$AU$6:$AU$46)</f>
        <v>480407.79000000004</v>
      </c>
      <c r="AX51" s="426" t="s">
        <v>734</v>
      </c>
      <c r="AY51" s="789">
        <f>'Mar20-Aug20 Transport Actuals'!P133+'Mar20-Aug20 Transport Actuals'!P175+'Mar20-Aug20 Transport Actuals'!P155</f>
        <v>182111.97</v>
      </c>
      <c r="BI51" s="37"/>
      <c r="BJ51" s="42"/>
      <c r="BK51" s="42"/>
      <c r="BL51" s="392"/>
      <c r="BM51" s="42"/>
    </row>
    <row r="52" spans="6:65" x14ac:dyDescent="0.25">
      <c r="F52" s="2" t="s">
        <v>445</v>
      </c>
      <c r="G52">
        <f t="shared" si="96"/>
        <v>6</v>
      </c>
      <c r="H52">
        <f t="shared" si="96"/>
        <v>0</v>
      </c>
      <c r="I52" s="757">
        <f t="shared" si="93"/>
        <v>6123.5424999999996</v>
      </c>
      <c r="J52" s="757">
        <f t="shared" si="93"/>
        <v>0</v>
      </c>
      <c r="AS52" s="789">
        <f t="shared" si="95"/>
        <v>6365.9424951326409</v>
      </c>
      <c r="AT52" s="2" t="s">
        <v>445</v>
      </c>
      <c r="AU52" s="789">
        <f t="shared" ref="AU52:AU54" si="98">SUMIF($F$6:$F$46,$AT52,$AU$6:$AU$46)</f>
        <v>77844.929999999993</v>
      </c>
      <c r="AX52" s="426" t="s">
        <v>735</v>
      </c>
      <c r="AY52" s="789">
        <f>'Mar20-Aug20 Transport Actuals'!P286+'Mar20-Aug20 Transport Actuals'!P294+'Mar20-Aug20 Transport Actuals'!P263</f>
        <v>511394.6</v>
      </c>
      <c r="BI52" s="37"/>
      <c r="BJ52" s="42"/>
      <c r="BK52" s="42"/>
      <c r="BL52" s="392"/>
      <c r="BM52" s="42"/>
    </row>
    <row r="53" spans="6:65" x14ac:dyDescent="0.25">
      <c r="F53" s="2" t="s">
        <v>576</v>
      </c>
      <c r="G53">
        <f t="shared" si="96"/>
        <v>0</v>
      </c>
      <c r="H53">
        <f t="shared" si="96"/>
        <v>0</v>
      </c>
      <c r="I53" s="757">
        <f t="shared" si="93"/>
        <v>0</v>
      </c>
      <c r="J53" s="757">
        <f t="shared" si="93"/>
        <v>0</v>
      </c>
      <c r="AS53" s="789">
        <f t="shared" si="95"/>
        <v>0</v>
      </c>
      <c r="AT53" s="2" t="s">
        <v>576</v>
      </c>
      <c r="AU53" s="789">
        <f t="shared" si="98"/>
        <v>0</v>
      </c>
      <c r="AX53" s="426" t="s">
        <v>736</v>
      </c>
      <c r="AY53" s="789">
        <f>'Mar20-Aug20 Transport Actuals'!P313</f>
        <v>147944.92911999999</v>
      </c>
      <c r="BI53" s="37"/>
      <c r="BJ53" s="42"/>
      <c r="BK53" s="42"/>
      <c r="BL53" s="392"/>
      <c r="BM53" s="42"/>
    </row>
    <row r="54" spans="6:65" x14ac:dyDescent="0.25">
      <c r="F54" s="2" t="s">
        <v>551</v>
      </c>
      <c r="G54">
        <f t="shared" si="96"/>
        <v>0</v>
      </c>
      <c r="H54">
        <f t="shared" si="96"/>
        <v>0</v>
      </c>
      <c r="I54" s="757">
        <f t="shared" si="93"/>
        <v>0</v>
      </c>
      <c r="J54" s="757">
        <f t="shared" si="93"/>
        <v>0</v>
      </c>
      <c r="AS54" s="789">
        <f t="shared" si="95"/>
        <v>0</v>
      </c>
      <c r="AT54" s="2" t="s">
        <v>551</v>
      </c>
      <c r="AU54" s="789">
        <f t="shared" si="98"/>
        <v>0</v>
      </c>
      <c r="AX54" s="426" t="s">
        <v>737</v>
      </c>
      <c r="AY54" s="789">
        <f>'Mar20-Aug20 Transport Actuals'!P359</f>
        <v>0</v>
      </c>
      <c r="BI54" s="37"/>
      <c r="BJ54" s="42"/>
      <c r="BK54" s="42"/>
      <c r="BL54" s="392"/>
      <c r="BM54" s="42"/>
    </row>
    <row r="55" spans="6:65" x14ac:dyDescent="0.25">
      <c r="AX55" s="426" t="s">
        <v>738</v>
      </c>
      <c r="AY55" s="789">
        <f>'Mar20-Aug20 Transport Actuals'!P376</f>
        <v>0</v>
      </c>
      <c r="BI55" s="37"/>
      <c r="BJ55" s="42"/>
      <c r="BK55" s="42"/>
      <c r="BL55" s="392"/>
      <c r="BM55" s="42"/>
    </row>
    <row r="56" spans="6:65" x14ac:dyDescent="0.25">
      <c r="AT56" s="2" t="s">
        <v>732</v>
      </c>
      <c r="AU56" s="774">
        <f>SUM(AU49:AU54)</f>
        <v>3809542.82</v>
      </c>
      <c r="AX56" s="426"/>
      <c r="AY56" s="789"/>
      <c r="BI56" s="37"/>
      <c r="BJ56" s="42"/>
      <c r="BK56" s="42"/>
      <c r="BL56" s="392"/>
      <c r="BM56" s="42"/>
    </row>
    <row r="57" spans="6:65" x14ac:dyDescent="0.25">
      <c r="AT57" s="2" t="s">
        <v>733</v>
      </c>
      <c r="AU57" s="774">
        <f>AY57</f>
        <v>3967443.2529800003</v>
      </c>
      <c r="AX57" s="426" t="s">
        <v>739</v>
      </c>
      <c r="AY57" s="789">
        <f>SUM(AY49:AY55)</f>
        <v>3967443.2529800003</v>
      </c>
      <c r="BI57" s="37"/>
      <c r="BJ57" s="42"/>
      <c r="BK57" s="42"/>
      <c r="BL57" s="392"/>
      <c r="BM57" s="42"/>
    </row>
    <row r="58" spans="6:65" x14ac:dyDescent="0.25">
      <c r="AU58" s="774">
        <f>SUM(AU56:AU57)</f>
        <v>7776986.0729799997</v>
      </c>
      <c r="AY58" s="789"/>
      <c r="BI58" s="37"/>
      <c r="BJ58" s="42"/>
      <c r="BK58" s="42"/>
      <c r="BL58" s="392"/>
      <c r="BM58" s="42"/>
    </row>
    <row r="59" spans="6:65" x14ac:dyDescent="0.25">
      <c r="AY59" s="789"/>
      <c r="BI59" s="37"/>
      <c r="BJ59" s="42"/>
      <c r="BK59" s="42"/>
      <c r="BL59" s="392"/>
      <c r="BM59" s="42"/>
    </row>
    <row r="60" spans="6:65" x14ac:dyDescent="0.25">
      <c r="AY60" s="789"/>
      <c r="BI60" s="37"/>
      <c r="BJ60" s="42"/>
      <c r="BK60" s="42"/>
      <c r="BL60" s="392"/>
      <c r="BM60" s="42"/>
    </row>
    <row r="61" spans="6:65" x14ac:dyDescent="0.25">
      <c r="AY61" s="789"/>
      <c r="BI61" s="37"/>
      <c r="BJ61" s="42"/>
      <c r="BK61" s="42"/>
      <c r="BL61" s="392"/>
      <c r="BM61" s="42"/>
    </row>
    <row r="62" spans="6:65" x14ac:dyDescent="0.25">
      <c r="BI62" s="37"/>
      <c r="BJ62" s="42"/>
      <c r="BK62" s="42"/>
      <c r="BL62" s="392"/>
      <c r="BM62" s="42"/>
    </row>
    <row r="63" spans="6:65" x14ac:dyDescent="0.25">
      <c r="BI63" s="37"/>
      <c r="BJ63" s="42"/>
      <c r="BK63" s="42"/>
      <c r="BL63" s="392"/>
      <c r="BM63" s="42"/>
    </row>
  </sheetData>
  <mergeCells count="1">
    <mergeCell ref="G4:L4"/>
  </mergeCells>
  <conditionalFormatting sqref="AW6:AW40">
    <cfRule type="cellIs" dxfId="2" priority="7" operator="notBetween">
      <formula>0.998</formula>
      <formula>1.002</formula>
    </cfRule>
  </conditionalFormatting>
  <conditionalFormatting sqref="AW41:AW46">
    <cfRule type="cellIs" dxfId="1" priority="1" operator="notBetween">
      <formula>0.998</formula>
      <formula>1.002</formula>
    </cfRule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theme="5" tint="0.39997558519241921"/>
  </sheetPr>
  <dimension ref="A1:HY660"/>
  <sheetViews>
    <sheetView workbookViewId="0">
      <selection activeCell="T59" sqref="T59"/>
    </sheetView>
  </sheetViews>
  <sheetFormatPr defaultRowHeight="15" x14ac:dyDescent="0.25"/>
  <cols>
    <col min="1" max="1" width="2.42578125" style="152" customWidth="1"/>
    <col min="2" max="2" width="23.42578125" customWidth="1"/>
    <col min="3" max="3" width="13.85546875" style="152" customWidth="1"/>
    <col min="4" max="4" width="10.42578125" style="152" customWidth="1"/>
    <col min="5" max="5" width="16.5703125" style="152" customWidth="1"/>
    <col min="6" max="6" width="30.7109375" style="152" customWidth="1"/>
    <col min="7" max="7" width="48.140625" style="152" customWidth="1"/>
    <col min="8" max="8" width="31.7109375" style="152" customWidth="1"/>
    <col min="9" max="9" width="23" style="152" customWidth="1"/>
    <col min="10" max="10" width="21.42578125" style="152" customWidth="1"/>
    <col min="11" max="11" width="35.28515625" style="152" customWidth="1"/>
    <col min="12" max="12" width="31.7109375" style="152" customWidth="1"/>
    <col min="13" max="13" width="33.5703125" style="152" customWidth="1"/>
    <col min="14" max="14" width="20.7109375" style="152" customWidth="1"/>
    <col min="15" max="15" width="22.140625" style="152" customWidth="1"/>
    <col min="16" max="16" width="19" style="152" customWidth="1"/>
    <col min="17" max="17" width="11.7109375" customWidth="1"/>
    <col min="18" max="18" width="12.7109375" bestFit="1" customWidth="1"/>
    <col min="19" max="20" width="12.5703125" bestFit="1" customWidth="1"/>
    <col min="21" max="21" width="13" customWidth="1"/>
    <col min="22" max="22" width="13.85546875" bestFit="1" customWidth="1"/>
    <col min="24" max="24" width="10.42578125" customWidth="1"/>
    <col min="234" max="16384" width="9.140625" style="152"/>
  </cols>
  <sheetData>
    <row r="1" spans="1:20" x14ac:dyDescent="0.25">
      <c r="A1" s="203">
        <f>J286+J294</f>
        <v>39241.549999999996</v>
      </c>
    </row>
    <row r="3" spans="1:20" x14ac:dyDescent="0.25">
      <c r="O3" s="275"/>
    </row>
    <row r="4" spans="1:20" x14ac:dyDescent="0.25">
      <c r="H4" s="153" t="s">
        <v>276</v>
      </c>
      <c r="I4" s="151">
        <v>43891</v>
      </c>
      <c r="J4" s="151">
        <v>43922</v>
      </c>
      <c r="K4" s="151">
        <v>43952</v>
      </c>
      <c r="L4" s="151">
        <v>43983</v>
      </c>
      <c r="M4" s="151">
        <v>44013</v>
      </c>
      <c r="N4" s="151">
        <v>44044</v>
      </c>
      <c r="O4" s="151">
        <f>EDATE(N4,1)</f>
        <v>44075</v>
      </c>
    </row>
    <row r="5" spans="1:20" x14ac:dyDescent="0.25">
      <c r="H5" s="153" t="s">
        <v>275</v>
      </c>
      <c r="I5" s="151">
        <f t="shared" ref="I5:O5" si="0">EDATE(I4,-1)</f>
        <v>43862</v>
      </c>
      <c r="J5" s="151">
        <f t="shared" si="0"/>
        <v>43891</v>
      </c>
      <c r="K5" s="151">
        <f t="shared" si="0"/>
        <v>43922</v>
      </c>
      <c r="L5" s="151">
        <f t="shared" si="0"/>
        <v>43952</v>
      </c>
      <c r="M5" s="151">
        <f t="shared" si="0"/>
        <v>43983</v>
      </c>
      <c r="N5" s="151">
        <f t="shared" si="0"/>
        <v>44013</v>
      </c>
      <c r="O5" s="151">
        <f t="shared" si="0"/>
        <v>44044</v>
      </c>
      <c r="P5" s="154" t="s">
        <v>536</v>
      </c>
    </row>
    <row r="6" spans="1:20" ht="16.5" x14ac:dyDescent="0.35">
      <c r="C6" s="155" t="s">
        <v>8</v>
      </c>
      <c r="D6" s="155" t="s">
        <v>87</v>
      </c>
      <c r="E6" s="155" t="s">
        <v>88</v>
      </c>
      <c r="F6" s="155"/>
      <c r="G6" s="155"/>
      <c r="H6" s="156" t="s">
        <v>264</v>
      </c>
      <c r="I6" s="156" t="s">
        <v>266</v>
      </c>
      <c r="J6" s="156" t="s">
        <v>266</v>
      </c>
      <c r="K6" s="156" t="s">
        <v>266</v>
      </c>
      <c r="L6" s="156" t="s">
        <v>266</v>
      </c>
      <c r="M6" s="156" t="s">
        <v>266</v>
      </c>
      <c r="N6" s="156" t="s">
        <v>266</v>
      </c>
      <c r="O6" s="156" t="s">
        <v>266</v>
      </c>
    </row>
    <row r="7" spans="1:20" ht="16.5" x14ac:dyDescent="0.35">
      <c r="C7" s="155"/>
      <c r="D7" s="155"/>
      <c r="E7" s="155"/>
      <c r="F7" s="155"/>
      <c r="G7" s="155"/>
      <c r="H7" s="156" t="s">
        <v>264</v>
      </c>
      <c r="I7" s="156" t="s">
        <v>345</v>
      </c>
      <c r="J7" s="156" t="s">
        <v>345</v>
      </c>
      <c r="K7" s="156" t="s">
        <v>345</v>
      </c>
      <c r="L7" s="156" t="s">
        <v>345</v>
      </c>
      <c r="M7" s="156" t="s">
        <v>345</v>
      </c>
      <c r="N7" s="156" t="s">
        <v>345</v>
      </c>
      <c r="O7" s="156" t="s">
        <v>345</v>
      </c>
    </row>
    <row r="8" spans="1:20" x14ac:dyDescent="0.25">
      <c r="H8" s="156" t="s">
        <v>264</v>
      </c>
      <c r="I8" s="156" t="s">
        <v>339</v>
      </c>
      <c r="J8" s="156" t="s">
        <v>339</v>
      </c>
      <c r="K8" s="156" t="s">
        <v>339</v>
      </c>
      <c r="L8" s="156" t="s">
        <v>339</v>
      </c>
      <c r="M8" s="156" t="s">
        <v>339</v>
      </c>
      <c r="N8" s="156" t="s">
        <v>339</v>
      </c>
      <c r="O8" s="156" t="s">
        <v>339</v>
      </c>
    </row>
    <row r="9" spans="1:20" x14ac:dyDescent="0.25">
      <c r="H9" s="156" t="s">
        <v>264</v>
      </c>
      <c r="I9" s="156" t="s">
        <v>969</v>
      </c>
      <c r="J9" s="156" t="s">
        <v>969</v>
      </c>
      <c r="K9" s="156" t="s">
        <v>969</v>
      </c>
      <c r="L9" s="156" t="s">
        <v>969</v>
      </c>
      <c r="M9" s="156" t="s">
        <v>969</v>
      </c>
      <c r="N9" s="156" t="s">
        <v>969</v>
      </c>
      <c r="O9" s="156" t="s">
        <v>969</v>
      </c>
    </row>
    <row r="10" spans="1:20" x14ac:dyDescent="0.25">
      <c r="G10" s="157" t="s">
        <v>239</v>
      </c>
      <c r="H10" s="157"/>
    </row>
    <row r="11" spans="1:20" x14ac:dyDescent="0.25">
      <c r="C11" s="159" t="s">
        <v>34</v>
      </c>
      <c r="D11" s="159" t="str">
        <f>MID(C11,6,3)</f>
        <v>895</v>
      </c>
      <c r="E11" s="158" t="str">
        <f>VLOOKUP($C11,'Retail Rates'!$B$7:$P$40,2,FALSE)</f>
        <v>FT-C</v>
      </c>
      <c r="F11" s="160" t="s">
        <v>318</v>
      </c>
      <c r="G11" s="161" t="s">
        <v>157</v>
      </c>
      <c r="H11" s="162"/>
      <c r="I11" s="158">
        <f>+I18/I13</f>
        <v>7</v>
      </c>
      <c r="J11" s="158">
        <f t="shared" ref="J11:O11" si="1">+J18/J13</f>
        <v>7</v>
      </c>
      <c r="K11" s="158">
        <f t="shared" si="1"/>
        <v>7</v>
      </c>
      <c r="L11" s="158">
        <f t="shared" si="1"/>
        <v>7</v>
      </c>
      <c r="M11" s="158">
        <f t="shared" si="1"/>
        <v>7</v>
      </c>
      <c r="N11" s="158">
        <f t="shared" si="1"/>
        <v>7</v>
      </c>
      <c r="O11" s="158">
        <f t="shared" si="1"/>
        <v>7</v>
      </c>
      <c r="P11" s="288">
        <f>SUM(I11:N11)</f>
        <v>42</v>
      </c>
      <c r="Q11" s="213" t="s">
        <v>1039</v>
      </c>
      <c r="R11" s="213"/>
      <c r="S11" s="213"/>
      <c r="T11" s="272"/>
    </row>
    <row r="12" spans="1:20" x14ac:dyDescent="0.25">
      <c r="C12" s="159" t="s">
        <v>34</v>
      </c>
      <c r="D12" s="159" t="str">
        <f t="shared" ref="D12:D25" si="2">MID(C12,6,3)</f>
        <v>895</v>
      </c>
      <c r="E12" s="158" t="str">
        <f>VLOOKUP($C12,'Retail Rates'!$B$7:$P$40,2,FALSE)</f>
        <v>FT-C</v>
      </c>
      <c r="F12" s="160" t="s">
        <v>318</v>
      </c>
      <c r="G12" s="160" t="s">
        <v>158</v>
      </c>
      <c r="H12" s="156" t="s">
        <v>265</v>
      </c>
      <c r="I12" s="210">
        <f>SUMIFS('Data-Transport'!$H$4:$H$10000,'Data-Transport'!$A$4:$A$10000,'Mar20-Aug20 Transport Actuals'!I$4,'Data-Transport'!$B$4:$B$10000,'Mar20-Aug20 Transport Actuals'!$C$12,'Data-Transport'!$D$4:$D$10000,'Mar20-Aug20 Transport Actuals'!$F$12,'Data-Transport'!$E$4:$E$10000,'Mar20-Aug20 Transport Actuals'!$H$12,'Data-Transport'!$F$4:$F$10000,'Mar20-Aug20 Transport Actuals'!I$6)/10</f>
        <v>45086.400000000001</v>
      </c>
      <c r="J12" s="210">
        <f>SUMIFS('Data-Transport'!$H$4:$H$10000,'Data-Transport'!$A$4:$A$10000,'Mar20-Aug20 Transport Actuals'!J$4,'Data-Transport'!$B$4:$B$10000,'Mar20-Aug20 Transport Actuals'!$C$12,'Data-Transport'!$D$4:$D$10000,'Mar20-Aug20 Transport Actuals'!$F$12,'Data-Transport'!$E$4:$E$10000,'Mar20-Aug20 Transport Actuals'!$H$12,'Data-Transport'!$F$4:$F$10000,'Mar20-Aug20 Transport Actuals'!J$6)/10</f>
        <v>39709.699999999997</v>
      </c>
      <c r="K12" s="210">
        <f>SUMIFS('Data-Transport'!$H$4:$H$10000,'Data-Transport'!$A$4:$A$10000,'Mar20-Aug20 Transport Actuals'!K$4,'Data-Transport'!$B$4:$B$10000,'Mar20-Aug20 Transport Actuals'!$C$12,'Data-Transport'!$D$4:$D$10000,'Mar20-Aug20 Transport Actuals'!$F$12,'Data-Transport'!$E$4:$E$10000,'Mar20-Aug20 Transport Actuals'!$H$12,'Data-Transport'!$F$4:$F$10000,'Mar20-Aug20 Transport Actuals'!K$6)/10</f>
        <v>35146.6</v>
      </c>
      <c r="L12" s="210">
        <f>SUMIFS('Data-Transport'!$H$4:$H$10000,'Data-Transport'!$A$4:$A$10000,'Mar20-Aug20 Transport Actuals'!L$4,'Data-Transport'!$B$4:$B$10000,'Mar20-Aug20 Transport Actuals'!$C$12,'Data-Transport'!$D$4:$D$10000,'Mar20-Aug20 Transport Actuals'!$F$12,'Data-Transport'!$E$4:$E$10000,'Mar20-Aug20 Transport Actuals'!$H$12,'Data-Transport'!$F$4:$F$10000,'Mar20-Aug20 Transport Actuals'!L$6)/10</f>
        <v>31684.400000000001</v>
      </c>
      <c r="M12" s="210">
        <f>SUMIFS('Data-Transport'!$H$4:$H$10000,'Data-Transport'!$A$4:$A$10000,'Mar20-Aug20 Transport Actuals'!M$4,'Data-Transport'!$B$4:$B$10000,'Mar20-Aug20 Transport Actuals'!$C$12,'Data-Transport'!$D$4:$D$10000,'Mar20-Aug20 Transport Actuals'!$F$12,'Data-Transport'!$E$4:$E$10000,'Mar20-Aug20 Transport Actuals'!$H$12,'Data-Transport'!$F$4:$F$10000,'Mar20-Aug20 Transport Actuals'!M$6)/10</f>
        <v>26195.4</v>
      </c>
      <c r="N12" s="210">
        <f>SUMIFS('Data-Transport'!$H$4:$H$10000,'Data-Transport'!$A$4:$A$10000,'Mar20-Aug20 Transport Actuals'!N$4,'Data-Transport'!$B$4:$B$10000,'Mar20-Aug20 Transport Actuals'!$C$12,'Data-Transport'!$D$4:$D$10000,'Mar20-Aug20 Transport Actuals'!$F$12,'Data-Transport'!$E$4:$E$10000,'Mar20-Aug20 Transport Actuals'!$H$12,'Data-Transport'!$F$4:$F$10000,'Mar20-Aug20 Transport Actuals'!N$6)/10</f>
        <v>25102.7</v>
      </c>
      <c r="O12" s="210">
        <f>SUMIFS('Data-Transport'!$H$4:$H$10000,'Data-Transport'!$A$4:$A$10000,'Mar20-Aug20 Transport Actuals'!O$4,'Data-Transport'!$B$4:$B$10000,'Mar20-Aug20 Transport Actuals'!$Q$12,'Data-Transport'!$D$4:$D$10000,'Mar20-Aug20 Transport Actuals'!$F$12,'Data-Transport'!$E$4:$E$10000,'Mar20-Aug20 Transport Actuals'!$R$12,'Data-Transport'!$F$4:$F$10000,'Mar20-Aug20 Transport Actuals'!O$6)/10</f>
        <v>26590.9</v>
      </c>
      <c r="P12" s="288">
        <f>SUM(I12:N12)</f>
        <v>202925.2</v>
      </c>
      <c r="Q12" s="213" t="s">
        <v>1039</v>
      </c>
      <c r="R12" s="213" t="s">
        <v>1036</v>
      </c>
      <c r="S12" s="213"/>
      <c r="T12" s="46"/>
    </row>
    <row r="13" spans="1:20" x14ac:dyDescent="0.25">
      <c r="C13" s="159" t="s">
        <v>34</v>
      </c>
      <c r="D13" s="159" t="str">
        <f t="shared" si="2"/>
        <v>895</v>
      </c>
      <c r="E13" s="158" t="str">
        <f>VLOOKUP($C13,'Retail Rates'!$B$7:$P$40,2,FALSE)</f>
        <v>FT-C</v>
      </c>
      <c r="F13" s="160" t="s">
        <v>318</v>
      </c>
      <c r="G13" s="160" t="s">
        <v>159</v>
      </c>
      <c r="H13" s="160"/>
      <c r="I13" s="158">
        <f>VLOOKUP($C13,'Retail Rates'!$B$7:$P$40,6,FALSE)</f>
        <v>550</v>
      </c>
      <c r="J13" s="158">
        <f>VLOOKUP($C13,'Retail Rates'!$B$7:$P$40,6,FALSE)</f>
        <v>550</v>
      </c>
      <c r="K13" s="158">
        <f>VLOOKUP($C13,'Retail Rates'!$B$7:$P$40,6,FALSE)</f>
        <v>550</v>
      </c>
      <c r="L13" s="158">
        <f>VLOOKUP($C13,'Retail Rates'!$B$7:$P$40,6,FALSE)</f>
        <v>550</v>
      </c>
      <c r="M13" s="158">
        <f>VLOOKUP($C13,'Retail Rates'!$B$7:$P$40,6,FALSE)</f>
        <v>550</v>
      </c>
      <c r="N13" s="158">
        <f>VLOOKUP($C13,'Retail Rates'!$B$7:$P$40,6,FALSE)</f>
        <v>550</v>
      </c>
      <c r="O13" s="158">
        <f>VLOOKUP($C13,'Retail Rates'!$B$7:$P$40,6,FALSE)</f>
        <v>550</v>
      </c>
      <c r="P13" s="198"/>
      <c r="Q13" s="213" t="s">
        <v>1039</v>
      </c>
      <c r="R13" s="213"/>
      <c r="S13" s="213"/>
    </row>
    <row r="14" spans="1:20" x14ac:dyDescent="0.25">
      <c r="C14" s="159" t="s">
        <v>34</v>
      </c>
      <c r="D14" s="159" t="str">
        <f t="shared" si="2"/>
        <v>895</v>
      </c>
      <c r="E14" s="158" t="str">
        <f>VLOOKUP($C14,'Retail Rates'!$B$7:$P$40,2,FALSE)</f>
        <v>FT-C</v>
      </c>
      <c r="F14" s="160" t="s">
        <v>318</v>
      </c>
      <c r="G14" s="160" t="s">
        <v>331</v>
      </c>
      <c r="H14" s="160"/>
      <c r="I14" s="158">
        <f>VLOOKUP($C14,'Retail Rates'!$B$7:$P$40,5,FALSE)</f>
        <v>750</v>
      </c>
      <c r="J14" s="158">
        <v>750</v>
      </c>
      <c r="K14" s="158">
        <v>750</v>
      </c>
      <c r="L14" s="158">
        <v>750</v>
      </c>
      <c r="M14" s="158">
        <v>750</v>
      </c>
      <c r="N14" s="158">
        <v>750</v>
      </c>
      <c r="O14" s="158">
        <v>750</v>
      </c>
      <c r="P14" s="198"/>
      <c r="Q14" s="213" t="s">
        <v>1039</v>
      </c>
      <c r="R14" s="213"/>
      <c r="S14" s="213"/>
      <c r="T14" s="272"/>
    </row>
    <row r="15" spans="1:20" x14ac:dyDescent="0.25">
      <c r="C15" s="159" t="s">
        <v>34</v>
      </c>
      <c r="D15" s="159" t="str">
        <f t="shared" si="2"/>
        <v>895</v>
      </c>
      <c r="E15" s="158" t="str">
        <f>VLOOKUP($C15,'Retail Rates'!$B$7:$P$40,2,FALSE)</f>
        <v>FT-C</v>
      </c>
      <c r="F15" s="160" t="s">
        <v>318</v>
      </c>
      <c r="G15" s="160" t="s">
        <v>160</v>
      </c>
      <c r="H15" s="160"/>
      <c r="I15" s="194">
        <f>VLOOKUP($C15,'Retail Rates'!$B$7:$P$40,10,FALSE)</f>
        <v>3.7999999999999999E-2</v>
      </c>
      <c r="J15" s="194">
        <f>VLOOKUP($C15,'Retail Rates'!$B$7:$P$40,10,FALSE)</f>
        <v>3.7999999999999999E-2</v>
      </c>
      <c r="K15" s="194">
        <f>VLOOKUP($C15,'Retail Rates'!$B$7:$P$40,10,FALSE)</f>
        <v>3.7999999999999999E-2</v>
      </c>
      <c r="L15" s="194">
        <f>VLOOKUP($C15,'Retail Rates'!$B$7:$P$40,10,FALSE)</f>
        <v>3.7999999999999999E-2</v>
      </c>
      <c r="M15" s="194">
        <f>VLOOKUP($C15,'Retail Rates'!$B$7:$P$40,10,FALSE)</f>
        <v>3.7999999999999999E-2</v>
      </c>
      <c r="N15" s="194">
        <f>VLOOKUP($C15,'Retail Rates'!$B$7:$P$40,10,FALSE)</f>
        <v>3.7999999999999999E-2</v>
      </c>
      <c r="O15" s="194">
        <f>VLOOKUP($C15,'Retail Rates'!$B$7:$P$40,10,FALSE)</f>
        <v>3.7999999999999999E-2</v>
      </c>
      <c r="P15" s="198"/>
      <c r="Q15" s="213" t="s">
        <v>1039</v>
      </c>
      <c r="R15" s="213"/>
      <c r="S15" s="213"/>
    </row>
    <row r="16" spans="1:20" x14ac:dyDescent="0.25">
      <c r="C16" s="199" t="s">
        <v>34</v>
      </c>
      <c r="D16" s="159" t="str">
        <f t="shared" si="2"/>
        <v>895</v>
      </c>
      <c r="E16" s="158" t="str">
        <f>VLOOKUP($C16,'Retail Rates'!$B$7:$P$40,2,FALSE)</f>
        <v>FT-C</v>
      </c>
      <c r="F16" s="160" t="s">
        <v>318</v>
      </c>
      <c r="G16" s="163" t="s">
        <v>168</v>
      </c>
      <c r="H16" s="163"/>
      <c r="I16" s="194">
        <f>VLOOKUP($C16,'Retail Rates'!$B$7:$P$40,15,FALSE)</f>
        <v>4.8899999999999997</v>
      </c>
      <c r="J16" s="194">
        <f>VLOOKUP($C16,'Retail Rates'!$B$7:$P$40,15,FALSE)</f>
        <v>4.8899999999999997</v>
      </c>
      <c r="K16" s="194">
        <f>VLOOKUP($C16,'Retail Rates'!$B$7:$P$40,15,FALSE)</f>
        <v>4.8899999999999997</v>
      </c>
      <c r="L16" s="194">
        <f>VLOOKUP($C16,'Retail Rates'!$B$7:$P$40,15,FALSE)</f>
        <v>4.8899999999999997</v>
      </c>
      <c r="M16" s="194">
        <f>VLOOKUP($C16,'Retail Rates'!$B$7:$P$40,15,FALSE)</f>
        <v>4.8899999999999997</v>
      </c>
      <c r="N16" s="194">
        <f>VLOOKUP($C16,'Retail Rates'!$B$7:$P$40,15,FALSE)</f>
        <v>4.8899999999999997</v>
      </c>
      <c r="O16" s="194">
        <f>VLOOKUP($C16,'Retail Rates'!$B$7:$P$40,15,FALSE)</f>
        <v>4.8899999999999997</v>
      </c>
      <c r="P16" s="198"/>
      <c r="Q16" s="213" t="s">
        <v>1039</v>
      </c>
      <c r="R16" s="213"/>
      <c r="S16" s="213"/>
    </row>
    <row r="17" spans="3:19" x14ac:dyDescent="0.25">
      <c r="C17" s="199" t="s">
        <v>34</v>
      </c>
      <c r="D17" s="159" t="str">
        <f t="shared" si="2"/>
        <v>895</v>
      </c>
      <c r="E17" s="158" t="str">
        <f>VLOOKUP($C17,'Retail Rates'!$B$7:$P$40,2,FALSE)</f>
        <v>FT-C</v>
      </c>
      <c r="F17" s="160" t="s">
        <v>318</v>
      </c>
      <c r="G17" s="164" t="s">
        <v>162</v>
      </c>
      <c r="H17" s="164"/>
      <c r="I17" s="158"/>
      <c r="J17" s="158"/>
      <c r="K17" s="158"/>
      <c r="L17" s="158"/>
      <c r="M17" s="158"/>
      <c r="N17" s="158"/>
      <c r="O17" s="158"/>
      <c r="P17" s="198"/>
      <c r="Q17" s="213" t="s">
        <v>1039</v>
      </c>
      <c r="R17" s="213"/>
      <c r="S17" s="213"/>
    </row>
    <row r="18" spans="3:19" x14ac:dyDescent="0.25">
      <c r="C18" s="199" t="s">
        <v>34</v>
      </c>
      <c r="D18" s="159" t="str">
        <f t="shared" si="2"/>
        <v>895</v>
      </c>
      <c r="E18" s="158" t="str">
        <f>VLOOKUP($C18,'Retail Rates'!$B$7:$P$40,2,FALSE)</f>
        <v>FT-C</v>
      </c>
      <c r="F18" s="160" t="s">
        <v>318</v>
      </c>
      <c r="G18" s="160" t="s">
        <v>163</v>
      </c>
      <c r="H18" s="156" t="s">
        <v>268</v>
      </c>
      <c r="I18" s="196">
        <f>SUMIFS('Data-Transport'!$K$4:$K$4704,'Data-Transport'!$A$4:$A$4704,'Mar20-Aug20 Transport Actuals'!I$4,'Data-Transport'!$B$4:$B$4704,'Mar20-Aug20 Transport Actuals'!$C$18,'Data-Transport'!$D$4:$D$4704,'Mar20-Aug20 Transport Actuals'!$F$18,'Data-Transport'!$E$4:$E$4704,'Mar20-Aug20 Transport Actuals'!$H$18,'Data-Transport'!$F$4:$F$4704,'Mar20-Aug20 Transport Actuals'!I$6)</f>
        <v>3850</v>
      </c>
      <c r="J18" s="196">
        <f>SUMIFS('Data-Transport'!$K$14:$K$4704,'Data-Transport'!$A$14:$A$4704,'Mar20-Aug20 Transport Actuals'!J$4,'Data-Transport'!$B$14:$B$4704,'Mar20-Aug20 Transport Actuals'!$C$18,'Data-Transport'!$D$14:$D$4704,'Mar20-Aug20 Transport Actuals'!$F$18,'Data-Transport'!$E$14:$E$4704,'Mar20-Aug20 Transport Actuals'!$H$18,'Data-Transport'!$F$14:$F$4704,'Mar20-Aug20 Transport Actuals'!J$6)</f>
        <v>3850</v>
      </c>
      <c r="K18" s="196">
        <f>SUMIFS('Data-Transport'!$K$14:$K$4704,'Data-Transport'!$A$14:$A$4704,'Mar20-Aug20 Transport Actuals'!K$4,'Data-Transport'!$B$14:$B$4704,'Mar20-Aug20 Transport Actuals'!$C$18,'Data-Transport'!$D$14:$D$4704,'Mar20-Aug20 Transport Actuals'!$F$18,'Data-Transport'!$E$14:$E$4704,'Mar20-Aug20 Transport Actuals'!$H$18,'Data-Transport'!$F$14:$F$4704,'Mar20-Aug20 Transport Actuals'!K$6)</f>
        <v>3850</v>
      </c>
      <c r="L18" s="196">
        <f>SUMIFS('Data-Transport'!$K$14:$K$4704,'Data-Transport'!$A$14:$A$4704,'Mar20-Aug20 Transport Actuals'!L$4,'Data-Transport'!$B$14:$B$4704,'Mar20-Aug20 Transport Actuals'!$C$18,'Data-Transport'!$D$14:$D$4704,'Mar20-Aug20 Transport Actuals'!$F$18,'Data-Transport'!$E$14:$E$4704,'Mar20-Aug20 Transport Actuals'!$H$18,'Data-Transport'!$F$14:$F$4704,'Mar20-Aug20 Transport Actuals'!L$6)</f>
        <v>3850</v>
      </c>
      <c r="M18" s="196">
        <f>SUMIFS('Data-Transport'!$K$14:$K$4704,'Data-Transport'!$A$14:$A$4704,'Mar20-Aug20 Transport Actuals'!M$4,'Data-Transport'!$B$14:$B$4704,'Mar20-Aug20 Transport Actuals'!$C$18,'Data-Transport'!$D$14:$D$4704,'Mar20-Aug20 Transport Actuals'!$F$18,'Data-Transport'!$E$14:$E$4704,'Mar20-Aug20 Transport Actuals'!$H$18,'Data-Transport'!$F$14:$F$4704,'Mar20-Aug20 Transport Actuals'!M$6)</f>
        <v>3850</v>
      </c>
      <c r="N18" s="196">
        <f>SUMIFS('Data-Transport'!$K$14:$K$4704,'Data-Transport'!$A$14:$A$4704,'Mar20-Aug20 Transport Actuals'!N$4,'Data-Transport'!$B$14:$B$4704,'Mar20-Aug20 Transport Actuals'!$C$18,'Data-Transport'!$D$14:$D$4704,'Mar20-Aug20 Transport Actuals'!$F$18,'Data-Transport'!$E$14:$E$4704,'Mar20-Aug20 Transport Actuals'!$H$18,'Data-Transport'!$F$14:$F$4704,'Mar20-Aug20 Transport Actuals'!N$6)</f>
        <v>3850</v>
      </c>
      <c r="O18" s="196">
        <f>SUMIFS('Data-Transport'!$K$14:$K$4704,'Data-Transport'!$A$14:$A$4704,'Mar20-Aug20 Transport Actuals'!O$4,'Data-Transport'!$B$14:$B$4704,'Mar20-Aug20 Transport Actuals'!$Q$18,'Data-Transport'!$D$14:$D$4704,'Mar20-Aug20 Transport Actuals'!$F$18,'Data-Transport'!$E$14:$E$4704,'Mar20-Aug20 Transport Actuals'!$R$18,'Data-Transport'!$F$14:$F$4704,'Mar20-Aug20 Transport Actuals'!O$6)</f>
        <v>3850</v>
      </c>
      <c r="P18" s="288">
        <f>SUM(I18:N18)</f>
        <v>23100</v>
      </c>
      <c r="Q18" s="213" t="s">
        <v>1039</v>
      </c>
      <c r="R18" s="213" t="s">
        <v>268</v>
      </c>
      <c r="S18" s="213"/>
    </row>
    <row r="19" spans="3:19" x14ac:dyDescent="0.25">
      <c r="C19" s="199" t="s">
        <v>34</v>
      </c>
      <c r="D19" s="159" t="str">
        <f t="shared" si="2"/>
        <v>895</v>
      </c>
      <c r="E19" s="158" t="str">
        <f>VLOOKUP($C19,'Retail Rates'!$B$7:$P$40,2,FALSE)</f>
        <v>FT-C</v>
      </c>
      <c r="F19" s="160" t="s">
        <v>318</v>
      </c>
      <c r="G19" s="160" t="s">
        <v>331</v>
      </c>
      <c r="H19" s="156" t="s">
        <v>272</v>
      </c>
      <c r="I19" s="196">
        <f>SUMIFS('Data-Transport'!$K$4:$K$4704,'Data-Transport'!$A$4:$A$4704,'Mar20-Aug20 Transport Actuals'!I$4,'Data-Transport'!$B$4:$B$4704,'Mar20-Aug20 Transport Actuals'!$C$19,'Data-Transport'!$D$4:$D$4704,'Mar20-Aug20 Transport Actuals'!$F$19,'Data-Transport'!$E$4:$E$4704,'Mar20-Aug20 Transport Actuals'!$H$19,'Data-Transport'!$F$4:$F$4704,'Mar20-Aug20 Transport Actuals'!I$6)</f>
        <v>5250</v>
      </c>
      <c r="J19" s="196">
        <f>SUMIFS('Data-Transport'!$K$4:$K$4704,'Data-Transport'!$A$4:$A$4704,'Mar20-Aug20 Transport Actuals'!J$4,'Data-Transport'!$B$4:$B$4704,'Mar20-Aug20 Transport Actuals'!$C$19,'Data-Transport'!$D$4:$D$4704,'Mar20-Aug20 Transport Actuals'!$F$19,'Data-Transport'!$E$4:$E$4704,'Mar20-Aug20 Transport Actuals'!$H$19,'Data-Transport'!$F$4:$F$4704,'Mar20-Aug20 Transport Actuals'!J$6)</f>
        <v>5250</v>
      </c>
      <c r="K19" s="196">
        <f>SUMIFS('Data-Transport'!$K$4:$K$4704,'Data-Transport'!$A$4:$A$4704,'Mar20-Aug20 Transport Actuals'!K$4,'Data-Transport'!$B$4:$B$4704,'Mar20-Aug20 Transport Actuals'!$C$19,'Data-Transport'!$D$4:$D$4704,'Mar20-Aug20 Transport Actuals'!$F$19,'Data-Transport'!$E$4:$E$4704,'Mar20-Aug20 Transport Actuals'!$H$19,'Data-Transport'!$F$4:$F$4704,'Mar20-Aug20 Transport Actuals'!K$6)</f>
        <v>5250</v>
      </c>
      <c r="L19" s="196">
        <f>SUMIFS('Data-Transport'!$K$4:$K$4704,'Data-Transport'!$A$4:$A$4704,'Mar20-Aug20 Transport Actuals'!L$4,'Data-Transport'!$B$4:$B$4704,'Mar20-Aug20 Transport Actuals'!$C$19,'Data-Transport'!$D$4:$D$4704,'Mar20-Aug20 Transport Actuals'!$F$19,'Data-Transport'!$E$4:$E$4704,'Mar20-Aug20 Transport Actuals'!$H$19,'Data-Transport'!$F$4:$F$4704,'Mar20-Aug20 Transport Actuals'!L$6)</f>
        <v>5250</v>
      </c>
      <c r="M19" s="196">
        <f>SUMIFS('Data-Transport'!$K$4:$K$4704,'Data-Transport'!$A$4:$A$4704,'Mar20-Aug20 Transport Actuals'!M$4,'Data-Transport'!$B$4:$B$4704,'Mar20-Aug20 Transport Actuals'!$C$19,'Data-Transport'!$D$4:$D$4704,'Mar20-Aug20 Transport Actuals'!$F$19,'Data-Transport'!$E$4:$E$4704,'Mar20-Aug20 Transport Actuals'!$H$19,'Data-Transport'!$F$4:$F$4704,'Mar20-Aug20 Transport Actuals'!M$6)</f>
        <v>5250</v>
      </c>
      <c r="N19" s="196">
        <f>SUMIFS('Data-Transport'!$K$4:$K$4704,'Data-Transport'!$A$4:$A$4704,'Mar20-Aug20 Transport Actuals'!N$4,'Data-Transport'!$B$4:$B$4704,'Mar20-Aug20 Transport Actuals'!$C$19,'Data-Transport'!$D$4:$D$4704,'Mar20-Aug20 Transport Actuals'!$F$19,'Data-Transport'!$E$4:$E$4704,'Mar20-Aug20 Transport Actuals'!$H$19,'Data-Transport'!$F$4:$F$4704,'Mar20-Aug20 Transport Actuals'!N$6)</f>
        <v>5250</v>
      </c>
      <c r="O19" s="196">
        <f>SUMIFS('Data-Transport'!$K$14:$K$4704,'Data-Transport'!$A$14:$A$4704,'Mar20-Aug20 Transport Actuals'!O$4,'Data-Transport'!$B$14:$B$4704,'Mar20-Aug20 Transport Actuals'!$Q$19,'Data-Transport'!$D$14:$D$4704,'Mar20-Aug20 Transport Actuals'!$F$18,'Data-Transport'!$E$14:$E$4704,'Mar20-Aug20 Transport Actuals'!$R$19,'Data-Transport'!$F$14:$F$4704,'Mar20-Aug20 Transport Actuals'!O$6)</f>
        <v>5250</v>
      </c>
      <c r="P19" s="288">
        <f t="shared" ref="P19:P29" si="3">SUM(I19:N19)</f>
        <v>31500</v>
      </c>
      <c r="Q19" s="213" t="s">
        <v>1039</v>
      </c>
      <c r="R19" s="213" t="s">
        <v>272</v>
      </c>
      <c r="S19" s="213"/>
    </row>
    <row r="20" spans="3:19" x14ac:dyDescent="0.25">
      <c r="C20" s="199" t="s">
        <v>34</v>
      </c>
      <c r="D20" s="159" t="str">
        <f t="shared" si="2"/>
        <v>895</v>
      </c>
      <c r="E20" s="158" t="str">
        <f>VLOOKUP($C20,'Retail Rates'!$B$7:$P$40,2,FALSE)</f>
        <v>FT-C</v>
      </c>
      <c r="F20" s="160" t="s">
        <v>318</v>
      </c>
      <c r="G20" s="160" t="s">
        <v>168</v>
      </c>
      <c r="H20" s="156" t="s">
        <v>914</v>
      </c>
      <c r="I20" s="196">
        <f>SUMIFS('Data-Transport'!$L$4:$L$4704,'Data-Transport'!$A$4:$A$4704,'Mar20-Aug20 Transport Actuals'!I$4,'Data-Transport'!$B$4:$B$4704,'Mar20-Aug20 Transport Actuals'!$C$20,'Data-Transport'!$D$4:$D$4704,'Mar20-Aug20 Transport Actuals'!$F$20,'Data-Transport'!$E$4:$E$4704,'Mar20-Aug20 Transport Actuals'!$H$20,'Data-Transport'!$F$4:$F$4704,'Mar20-Aug20 Transport Actuals'!I$6)</f>
        <v>10099.32</v>
      </c>
      <c r="J20" s="196">
        <f>SUMIFS('Data-Transport'!$L$4:$L$4704,'Data-Transport'!$A$4:$A$4704,'Mar20-Aug20 Transport Actuals'!J$4,'Data-Transport'!$B$4:$B$4704,'Mar20-Aug20 Transport Actuals'!$C$20,'Data-Transport'!$D$4:$D$4704,'Mar20-Aug20 Transport Actuals'!$F$20,'Data-Transport'!$E$4:$E$4704,'Mar20-Aug20 Transport Actuals'!$H$20,'Data-Transport'!$F$4:$F$4704,'Mar20-Aug20 Transport Actuals'!J$6)</f>
        <v>10099.32</v>
      </c>
      <c r="K20" s="196">
        <f>SUMIFS('Data-Transport'!$L$4:$L$4704,'Data-Transport'!$A$4:$A$4704,'Mar20-Aug20 Transport Actuals'!K$4,'Data-Transport'!$B$4:$B$4704,'Mar20-Aug20 Transport Actuals'!$C$20,'Data-Transport'!$D$4:$D$4704,'Mar20-Aug20 Transport Actuals'!$F$20,'Data-Transport'!$E$4:$E$4704,'Mar20-Aug20 Transport Actuals'!$H$20,'Data-Transport'!$F$4:$F$4704,'Mar20-Aug20 Transport Actuals'!K$6)</f>
        <v>10099.32</v>
      </c>
      <c r="L20" s="196">
        <f>SUMIFS('Data-Transport'!$L$4:$L$4704,'Data-Transport'!$A$4:$A$4704,'Mar20-Aug20 Transport Actuals'!L$4,'Data-Transport'!$B$4:$B$4704,'Mar20-Aug20 Transport Actuals'!$C$20,'Data-Transport'!$D$4:$D$4704,'Mar20-Aug20 Transport Actuals'!$F$20,'Data-Transport'!$E$4:$E$4704,'Mar20-Aug20 Transport Actuals'!$H$20,'Data-Transport'!$F$4:$F$4704,'Mar20-Aug20 Transport Actuals'!L$6)</f>
        <v>10099.32</v>
      </c>
      <c r="M20" s="196">
        <f>SUMIFS('Data-Transport'!$L$4:$L$4704,'Data-Transport'!$A$4:$A$4704,'Mar20-Aug20 Transport Actuals'!M$4,'Data-Transport'!$B$4:$B$4704,'Mar20-Aug20 Transport Actuals'!$C$20,'Data-Transport'!$D$4:$D$4704,'Mar20-Aug20 Transport Actuals'!$F$20,'Data-Transport'!$E$4:$E$4704,'Mar20-Aug20 Transport Actuals'!$H$20,'Data-Transport'!$F$4:$F$4704,'Mar20-Aug20 Transport Actuals'!M$6)</f>
        <v>10099.32</v>
      </c>
      <c r="N20" s="196">
        <f>SUMIFS('Data-Transport'!$L$4:$L$4704,'Data-Transport'!$A$4:$A$4704,'Mar20-Aug20 Transport Actuals'!N$4,'Data-Transport'!$B$4:$B$4704,'Mar20-Aug20 Transport Actuals'!$C$20,'Data-Transport'!$D$4:$D$4704,'Mar20-Aug20 Transport Actuals'!$F$20,'Data-Transport'!$E$4:$E$4704,'Mar20-Aug20 Transport Actuals'!$H$20,'Data-Transport'!$F$4:$F$4704,'Mar20-Aug20 Transport Actuals'!N$6)</f>
        <v>10099.32</v>
      </c>
      <c r="O20" s="196">
        <f>SUMIFS('Data-Transport'!$L$4:$L$4704,'Data-Transport'!$A$4:$A$4704,'Mar20-Aug20 Transport Actuals'!O$4,'Data-Transport'!$B$4:$B$4704,'Mar20-Aug20 Transport Actuals'!$Q$20,'Data-Transport'!$D$4:$D$4704,'Mar20-Aug20 Transport Actuals'!$F$20,'Data-Transport'!$E$4:$E$4704,'Mar20-Aug20 Transport Actuals'!$R$20,'Data-Transport'!$F$4:$F$4704,'Mar20-Aug20 Transport Actuals'!O$6)</f>
        <v>10099.32</v>
      </c>
      <c r="P20" s="288">
        <f t="shared" si="3"/>
        <v>60595.92</v>
      </c>
      <c r="Q20" s="213" t="s">
        <v>1039</v>
      </c>
      <c r="R20" s="213" t="s">
        <v>914</v>
      </c>
      <c r="S20" s="213"/>
    </row>
    <row r="21" spans="3:19" x14ac:dyDescent="0.25">
      <c r="C21" s="199" t="s">
        <v>34</v>
      </c>
      <c r="D21" s="159" t="str">
        <f t="shared" si="2"/>
        <v>895</v>
      </c>
      <c r="E21" s="158" t="str">
        <f>VLOOKUP($C21,'Retail Rates'!$B$7:$P$40,2,FALSE)</f>
        <v>FT-C</v>
      </c>
      <c r="F21" s="160" t="s">
        <v>318</v>
      </c>
      <c r="G21" s="160" t="s">
        <v>164</v>
      </c>
      <c r="H21" s="160"/>
      <c r="I21" s="197">
        <f t="shared" ref="I21:O21" si="4">ROUND(I12*I15,2)</f>
        <v>1713.28</v>
      </c>
      <c r="J21" s="197">
        <f t="shared" si="4"/>
        <v>1508.97</v>
      </c>
      <c r="K21" s="197">
        <f t="shared" si="4"/>
        <v>1335.57</v>
      </c>
      <c r="L21" s="197">
        <f t="shared" si="4"/>
        <v>1204.01</v>
      </c>
      <c r="M21" s="197">
        <f t="shared" si="4"/>
        <v>995.43</v>
      </c>
      <c r="N21" s="197">
        <f t="shared" si="4"/>
        <v>953.9</v>
      </c>
      <c r="O21" s="197">
        <f t="shared" si="4"/>
        <v>1010.45</v>
      </c>
      <c r="P21" s="288">
        <f t="shared" si="3"/>
        <v>7711.16</v>
      </c>
      <c r="Q21" s="213" t="s">
        <v>1039</v>
      </c>
      <c r="R21" s="213"/>
      <c r="S21" s="213"/>
    </row>
    <row r="22" spans="3:19" x14ac:dyDescent="0.25">
      <c r="C22" s="199" t="s">
        <v>34</v>
      </c>
      <c r="D22" s="159" t="str">
        <f t="shared" si="2"/>
        <v>895</v>
      </c>
      <c r="E22" s="158" t="str">
        <f>VLOOKUP($C22,'Retail Rates'!$B$7:$P$40,2,FALSE)</f>
        <v>FT-C</v>
      </c>
      <c r="F22" s="160" t="s">
        <v>318</v>
      </c>
      <c r="G22" s="160" t="s">
        <v>165</v>
      </c>
      <c r="H22" s="160"/>
      <c r="I22" s="198">
        <f t="shared" ref="I22:O22" si="5">SUM(I18:I21)</f>
        <v>20912.599999999999</v>
      </c>
      <c r="J22" s="198">
        <f t="shared" si="5"/>
        <v>20708.29</v>
      </c>
      <c r="K22" s="198">
        <f t="shared" si="5"/>
        <v>20534.89</v>
      </c>
      <c r="L22" s="198">
        <f t="shared" si="5"/>
        <v>20403.329999999998</v>
      </c>
      <c r="M22" s="198">
        <f t="shared" si="5"/>
        <v>20194.75</v>
      </c>
      <c r="N22" s="198">
        <f t="shared" si="5"/>
        <v>20153.22</v>
      </c>
      <c r="O22" s="198">
        <f t="shared" si="5"/>
        <v>20209.77</v>
      </c>
      <c r="P22" s="288">
        <f t="shared" si="3"/>
        <v>122907.08</v>
      </c>
      <c r="Q22" s="213" t="s">
        <v>1039</v>
      </c>
      <c r="R22" s="213"/>
      <c r="S22" s="213"/>
    </row>
    <row r="23" spans="3:19" x14ac:dyDescent="0.25">
      <c r="C23" s="199" t="s">
        <v>34</v>
      </c>
      <c r="D23" s="159" t="str">
        <f t="shared" si="2"/>
        <v>895</v>
      </c>
      <c r="E23" s="158" t="str">
        <f>VLOOKUP($C23,'Retail Rates'!$B$7:$P$40,2,FALSE)</f>
        <v>FT-C</v>
      </c>
      <c r="F23" s="160" t="s">
        <v>318</v>
      </c>
      <c r="G23" s="160" t="s">
        <v>166</v>
      </c>
      <c r="H23" s="156" t="s">
        <v>109</v>
      </c>
      <c r="I23" s="196">
        <f>SUMIFS('Data-Transport'!$Q$4:$Q$10000,'Data-Transport'!$A$4:$A$10000,'Mar20-Aug20 Transport Actuals'!I$4,'Data-Transport'!$B$4:$B$10000,'Mar20-Aug20 Transport Actuals'!$C$23,'Data-Transport'!$D$4:$D$10000,'Mar20-Aug20 Transport Actuals'!$F$23,'Data-Transport'!$E$4:$E$10000,'Mar20-Aug20 Transport Actuals'!$H$23,'Data-Transport'!$F$4:$F$10000,'Mar20-Aug20 Transport Actuals'!I$6)</f>
        <v>81.150000000000006</v>
      </c>
      <c r="J23" s="196">
        <f>SUMIFS('Data-Transport'!$Q$4:$Q$10000,'Data-Transport'!$A$4:$A$10000,'Mar20-Aug20 Transport Actuals'!J$4,'Data-Transport'!$B$4:$B$10000,'Mar20-Aug20 Transport Actuals'!$C$23,'Data-Transport'!$D$4:$D$10000,'Mar20-Aug20 Transport Actuals'!$F$23,'Data-Transport'!$E$4:$E$10000,'Mar20-Aug20 Transport Actuals'!$H$23,'Data-Transport'!$F$4:$F$10000,'Mar20-Aug20 Transport Actuals'!J$6)</f>
        <v>71.47</v>
      </c>
      <c r="K23" s="196">
        <f>SUMIFS('Data-Transport'!$Q$4:$Q$10000,'Data-Transport'!$A$4:$A$10000,'Mar20-Aug20 Transport Actuals'!K$4,'Data-Transport'!$B$4:$B$10000,'Mar20-Aug20 Transport Actuals'!$C$23,'Data-Transport'!$D$4:$D$10000,'Mar20-Aug20 Transport Actuals'!$F$23,'Data-Transport'!$E$4:$E$10000,'Mar20-Aug20 Transport Actuals'!$H$23,'Data-Transport'!$F$4:$F$10000,'Mar20-Aug20 Transport Actuals'!K$6)</f>
        <v>168.71</v>
      </c>
      <c r="L23" s="196">
        <f>SUMIFS('Data-Transport'!$Q$4:$Q$10000,'Data-Transport'!$A$4:$A$10000,'Mar20-Aug20 Transport Actuals'!L$4,'Data-Transport'!$B$4:$B$10000,'Mar20-Aug20 Transport Actuals'!$C$23,'Data-Transport'!$D$4:$D$10000,'Mar20-Aug20 Transport Actuals'!$F$23,'Data-Transport'!$E$4:$E$10000,'Mar20-Aug20 Transport Actuals'!$H$23,'Data-Transport'!$F$4:$F$10000,'Mar20-Aug20 Transport Actuals'!L$6)</f>
        <v>152.09</v>
      </c>
      <c r="M23" s="196">
        <f>SUMIFS('Data-Transport'!$Q$4:$Q$10000,'Data-Transport'!$A$4:$A$10000,'Mar20-Aug20 Transport Actuals'!M$4,'Data-Transport'!$B$4:$B$10000,'Mar20-Aug20 Transport Actuals'!$C$23,'Data-Transport'!$D$4:$D$10000,'Mar20-Aug20 Transport Actuals'!$F$23,'Data-Transport'!$E$4:$E$10000,'Mar20-Aug20 Transport Actuals'!$H$23,'Data-Transport'!$F$4:$F$10000,'Mar20-Aug20 Transport Actuals'!M$6)</f>
        <v>125.74</v>
      </c>
      <c r="N23" s="196">
        <f>SUMIFS('Data-Transport'!$Q$4:$Q$10000,'Data-Transport'!$A$4:$A$10000,'Mar20-Aug20 Transport Actuals'!N$4,'Data-Transport'!$B$4:$B$10000,'Mar20-Aug20 Transport Actuals'!$C$23,'Data-Transport'!$D$4:$D$10000,'Mar20-Aug20 Transport Actuals'!$F$23,'Data-Transport'!$E$4:$E$10000,'Mar20-Aug20 Transport Actuals'!$H$23,'Data-Transport'!$F$4:$F$10000,'Mar20-Aug20 Transport Actuals'!N$6)</f>
        <v>120.5</v>
      </c>
      <c r="O23" s="196">
        <f>SUMIFS('Data-Transport'!$Q$4:$Q$10000,'Data-Transport'!$A$4:$A$10000,'Mar20-Aug20 Transport Actuals'!O$4,'Data-Transport'!$B$4:$B$10000,'Mar20-Aug20 Transport Actuals'!$Q$23,'Data-Transport'!$D$4:$D$10000,'Mar20-Aug20 Transport Actuals'!$F$23,'Data-Transport'!$E$4:$E$10000,'Mar20-Aug20 Transport Actuals'!$R$23,'Data-Transport'!$F$4:$F$10000,'Mar20-Aug20 Transport Actuals'!O$6)</f>
        <v>127.63</v>
      </c>
      <c r="P23" s="288">
        <f t="shared" si="3"/>
        <v>719.66000000000008</v>
      </c>
      <c r="Q23" s="213" t="s">
        <v>1039</v>
      </c>
      <c r="R23" s="213" t="s">
        <v>1035</v>
      </c>
      <c r="S23" s="213"/>
    </row>
    <row r="24" spans="3:19" x14ac:dyDescent="0.25">
      <c r="C24" s="199" t="s">
        <v>34</v>
      </c>
      <c r="D24" s="159" t="str">
        <f>MID(C24,6,3)</f>
        <v>895</v>
      </c>
      <c r="E24" s="158" t="str">
        <f>VLOOKUP($C24,'Retail Rates'!$B$7:$P$40,2,FALSE)</f>
        <v>FT-C</v>
      </c>
      <c r="F24" s="160" t="s">
        <v>318</v>
      </c>
      <c r="G24" s="160" t="s">
        <v>256</v>
      </c>
      <c r="H24" s="156" t="s">
        <v>329</v>
      </c>
      <c r="I24" s="196">
        <f>SUMIFS('Data-Transport'!$W$4:$W$10000,'Data-Transport'!$A$4:$A$10000,'Mar20-Aug20 Transport Actuals'!I$4,'Data-Transport'!$B$4:$B$10000,'Mar20-Aug20 Transport Actuals'!$C$24,'Data-Transport'!$D$4:$D$10000,'Mar20-Aug20 Transport Actuals'!$F$24,'Data-Transport'!$E$4:$E$10000,'Mar20-Aug20 Transport Actuals'!$H$24,'Data-Transport'!$F$4:$F$10000,'Mar20-Aug20 Transport Actuals'!I$6)</f>
        <v>0</v>
      </c>
      <c r="J24" s="196">
        <f>SUMIFS('Data-Transport'!$W$4:$W$10000,'Data-Transport'!$A$4:$A$10000,'Mar20-Aug20 Transport Actuals'!J$4,'Data-Transport'!$B$4:$B$10000,'Mar20-Aug20 Transport Actuals'!$C$24,'Data-Transport'!$D$4:$D$10000,'Mar20-Aug20 Transport Actuals'!$F$24,'Data-Transport'!$E$4:$E$10000,'Mar20-Aug20 Transport Actuals'!$H$24,'Data-Transport'!$F$4:$F$10000,'Mar20-Aug20 Transport Actuals'!J$6)</f>
        <v>0</v>
      </c>
      <c r="K24" s="196">
        <f>SUMIFS('Data-Transport'!$W$4:$W$10000,'Data-Transport'!$A$4:$A$10000,'Mar20-Aug20 Transport Actuals'!K$4,'Data-Transport'!$B$4:$B$10000,'Mar20-Aug20 Transport Actuals'!$C$24,'Data-Transport'!$D$4:$D$10000,'Mar20-Aug20 Transport Actuals'!$F$24,'Data-Transport'!$E$4:$E$10000,'Mar20-Aug20 Transport Actuals'!$H$24,'Data-Transport'!$F$4:$F$10000,'Mar20-Aug20 Transport Actuals'!K$6)</f>
        <v>0</v>
      </c>
      <c r="L24" s="196">
        <f>SUMIFS('Data-Transport'!$W$4:$W$10000,'Data-Transport'!$A$4:$A$10000,'Mar20-Aug20 Transport Actuals'!L$4,'Data-Transport'!$B$4:$B$10000,'Mar20-Aug20 Transport Actuals'!$C$24,'Data-Transport'!$D$4:$D$10000,'Mar20-Aug20 Transport Actuals'!$F$24,'Data-Transport'!$E$4:$E$10000,'Mar20-Aug20 Transport Actuals'!$H$24,'Data-Transport'!$F$4:$F$10000,'Mar20-Aug20 Transport Actuals'!L$6)</f>
        <v>0</v>
      </c>
      <c r="M24" s="196">
        <f>SUMIFS('Data-Transport'!$W$4:$W$10000,'Data-Transport'!$A$4:$A$10000,'Mar20-Aug20 Transport Actuals'!M$4,'Data-Transport'!$B$4:$B$10000,'Mar20-Aug20 Transport Actuals'!$C$24,'Data-Transport'!$D$4:$D$10000,'Mar20-Aug20 Transport Actuals'!$F$24,'Data-Transport'!$E$4:$E$10000,'Mar20-Aug20 Transport Actuals'!$H$24,'Data-Transport'!$F$4:$F$10000,'Mar20-Aug20 Transport Actuals'!M$6)</f>
        <v>0</v>
      </c>
      <c r="N24" s="196">
        <f>SUMIFS('Data-Transport'!$W$4:$W$10000,'Data-Transport'!$A$4:$A$10000,'Mar20-Aug20 Transport Actuals'!N$4,'Data-Transport'!$B$4:$B$10000,'Mar20-Aug20 Transport Actuals'!$C$24,'Data-Transport'!$D$4:$D$10000,'Mar20-Aug20 Transport Actuals'!$F$24,'Data-Transport'!$E$4:$E$10000,'Mar20-Aug20 Transport Actuals'!$H$24,'Data-Transport'!$F$4:$F$10000,'Mar20-Aug20 Transport Actuals'!N$6)</f>
        <v>0</v>
      </c>
      <c r="O24" s="196">
        <f>SUMIFS('Data-Transport'!$W$4:$W$10000,'Data-Transport'!$A$4:$A$10000,'Mar20-Aug20 Transport Actuals'!O$4,'Data-Transport'!$B$4:$B$10000,'Mar20-Aug20 Transport Actuals'!$Q$24,'Data-Transport'!$D$4:$D$10000,'Mar20-Aug20 Transport Actuals'!$F$24,'Data-Transport'!$E$4:$E$10000,'Mar20-Aug20 Transport Actuals'!$R$24,'Data-Transport'!$F$4:$F$10000,'Mar20-Aug20 Transport Actuals'!O$6)</f>
        <v>0</v>
      </c>
      <c r="P24" s="288">
        <f>SUM(I24:N24)</f>
        <v>0</v>
      </c>
      <c r="Q24" s="213" t="s">
        <v>1039</v>
      </c>
      <c r="R24" s="213" t="s">
        <v>329</v>
      </c>
      <c r="S24" s="213"/>
    </row>
    <row r="25" spans="3:19" x14ac:dyDescent="0.25">
      <c r="C25" s="199" t="s">
        <v>34</v>
      </c>
      <c r="D25" s="159" t="str">
        <f t="shared" si="2"/>
        <v>895</v>
      </c>
      <c r="E25" s="158" t="str">
        <f>VLOOKUP($C25,'Retail Rates'!$B$7:$P$40,2,FALSE)</f>
        <v>FT-C</v>
      </c>
      <c r="F25" s="160" t="s">
        <v>318</v>
      </c>
      <c r="G25" s="160" t="s">
        <v>257</v>
      </c>
      <c r="H25" s="156" t="s">
        <v>330</v>
      </c>
      <c r="I25" s="196">
        <f>SUMIFS('Data-Transport'!$X$4:$X$10000,'Data-Transport'!$A$4:$A$10000,'Mar20-Aug20 Transport Actuals'!I$4,'Data-Transport'!$B$4:$B$10000,'Mar20-Aug20 Transport Actuals'!$C$25,'Data-Transport'!$D$4:$D$10000,'Mar20-Aug20 Transport Actuals'!$F$25,'Data-Transport'!$E$4:$E$10000,'Mar20-Aug20 Transport Actuals'!$H$25,'Data-Transport'!$F$4:$F$10000,'Mar20-Aug20 Transport Actuals'!I$6)</f>
        <v>0</v>
      </c>
      <c r="J25" s="196">
        <f>SUMIFS('Data-Transport'!$X$4:$X$10000,'Data-Transport'!$A$4:$A$10000,'Mar20-Aug20 Transport Actuals'!J$4,'Data-Transport'!$B$4:$B$10000,'Mar20-Aug20 Transport Actuals'!$C$25,'Data-Transport'!$D$4:$D$10000,'Mar20-Aug20 Transport Actuals'!$F$25,'Data-Transport'!$E$4:$E$10000,'Mar20-Aug20 Transport Actuals'!$H$25,'Data-Transport'!$F$4:$F$10000,'Mar20-Aug20 Transport Actuals'!J$6)</f>
        <v>0</v>
      </c>
      <c r="K25" s="196">
        <f>SUMIFS('Data-Transport'!$X$4:$X$10000,'Data-Transport'!$A$4:$A$10000,'Mar20-Aug20 Transport Actuals'!K$4,'Data-Transport'!$B$4:$B$10000,'Mar20-Aug20 Transport Actuals'!$C$25,'Data-Transport'!$D$4:$D$10000,'Mar20-Aug20 Transport Actuals'!$F$25,'Data-Transport'!$E$4:$E$10000,'Mar20-Aug20 Transport Actuals'!$H$25,'Data-Transport'!$F$4:$F$10000,'Mar20-Aug20 Transport Actuals'!K$6)</f>
        <v>0</v>
      </c>
      <c r="L25" s="196">
        <f>SUMIFS('Data-Transport'!$X$4:$X$10000,'Data-Transport'!$A$4:$A$10000,'Mar20-Aug20 Transport Actuals'!L$4,'Data-Transport'!$B$4:$B$10000,'Mar20-Aug20 Transport Actuals'!$C$25,'Data-Transport'!$D$4:$D$10000,'Mar20-Aug20 Transport Actuals'!$F$25,'Data-Transport'!$E$4:$E$10000,'Mar20-Aug20 Transport Actuals'!$H$25,'Data-Transport'!$F$4:$F$10000,'Mar20-Aug20 Transport Actuals'!L$6)</f>
        <v>0</v>
      </c>
      <c r="M25" s="196">
        <f>SUMIFS('Data-Transport'!$X$4:$X$10000,'Data-Transport'!$A$4:$A$10000,'Mar20-Aug20 Transport Actuals'!M$4,'Data-Transport'!$B$4:$B$10000,'Mar20-Aug20 Transport Actuals'!$C$25,'Data-Transport'!$D$4:$D$10000,'Mar20-Aug20 Transport Actuals'!$F$25,'Data-Transport'!$E$4:$E$10000,'Mar20-Aug20 Transport Actuals'!$H$25,'Data-Transport'!$F$4:$F$10000,'Mar20-Aug20 Transport Actuals'!M$6)</f>
        <v>0</v>
      </c>
      <c r="N25" s="196">
        <f>SUMIFS('Data-Transport'!$X$4:$X$10000,'Data-Transport'!$A$4:$A$10000,'Mar20-Aug20 Transport Actuals'!N$4,'Data-Transport'!$B$4:$B$10000,'Mar20-Aug20 Transport Actuals'!$C$25,'Data-Transport'!$D$4:$D$10000,'Mar20-Aug20 Transport Actuals'!$F$25,'Data-Transport'!$E$4:$E$10000,'Mar20-Aug20 Transport Actuals'!$H$25,'Data-Transport'!$F$4:$F$10000,'Mar20-Aug20 Transport Actuals'!N$6)</f>
        <v>0</v>
      </c>
      <c r="O25" s="196">
        <f>SUMIFS('Data-Transport'!$X$4:$X$10000,'Data-Transport'!$A$4:$A$10000,'Mar20-Aug20 Transport Actuals'!O$4,'Data-Transport'!$B$4:$B$10000,'Mar20-Aug20 Transport Actuals'!$Q$25,'Data-Transport'!$D$4:$D$10000,'Mar20-Aug20 Transport Actuals'!$F$25,'Data-Transport'!$E$4:$E$10000,'Mar20-Aug20 Transport Actuals'!$R$25,'Data-Transport'!$F$4:$F$10000,'Mar20-Aug20 Transport Actuals'!O$6)</f>
        <v>0</v>
      </c>
      <c r="P25" s="288">
        <f t="shared" si="3"/>
        <v>0</v>
      </c>
      <c r="Q25" s="213" t="s">
        <v>1039</v>
      </c>
      <c r="R25" s="213" t="s">
        <v>1038</v>
      </c>
      <c r="S25" s="213"/>
    </row>
    <row r="26" spans="3:19" x14ac:dyDescent="0.25">
      <c r="C26" s="199" t="s">
        <v>34</v>
      </c>
      <c r="D26" s="159" t="str">
        <f>MID(C26,6,3)</f>
        <v>895</v>
      </c>
      <c r="E26" s="158" t="str">
        <f>VLOOKUP($C26,'Retail Rates'!$B$7:$P$40,2,FALSE)</f>
        <v>FT-C</v>
      </c>
      <c r="F26" s="160" t="s">
        <v>318</v>
      </c>
      <c r="G26" s="160" t="s">
        <v>340</v>
      </c>
      <c r="H26" s="156" t="s">
        <v>325</v>
      </c>
      <c r="I26" s="196">
        <f>SUMIFS('Data-Transport'!$N$4:$N$10000,'Data-Transport'!$A$4:$A$10000,'Mar20-Aug20 Transport Actuals'!I$4,'Data-Transport'!$B$4:$B$10000,'Mar20-Aug20 Transport Actuals'!$C$26,'Data-Transport'!$D$4:$D$10000,'Mar20-Aug20 Transport Actuals'!$F$26,'Data-Transport'!$E$4:$E$10000,'Mar20-Aug20 Transport Actuals'!$H$26,'Data-Transport'!$F$4:$F$10000,'Mar20-Aug20 Transport Actuals'!I$6)</f>
        <v>0</v>
      </c>
      <c r="J26" s="196">
        <f>SUMIFS('Data-Transport'!$N$4:$N$10000,'Data-Transport'!$A$4:$A$10000,'Mar20-Aug20 Transport Actuals'!J$4,'Data-Transport'!$B$4:$B$10000,'Mar20-Aug20 Transport Actuals'!$C$26,'Data-Transport'!$D$4:$D$10000,'Mar20-Aug20 Transport Actuals'!$F$26,'Data-Transport'!$E$4:$E$10000,'Mar20-Aug20 Transport Actuals'!$H$26,'Data-Transport'!$F$4:$F$10000,'Mar20-Aug20 Transport Actuals'!J$6)</f>
        <v>0.75</v>
      </c>
      <c r="K26" s="196">
        <f>SUMIFS('Data-Transport'!$N$4:$N$10000,'Data-Transport'!$A$4:$A$10000,'Mar20-Aug20 Transport Actuals'!K$4,'Data-Transport'!$B$4:$B$10000,'Mar20-Aug20 Transport Actuals'!$C$26,'Data-Transport'!$D$4:$D$10000,'Mar20-Aug20 Transport Actuals'!$F$26,'Data-Transport'!$E$4:$E$10000,'Mar20-Aug20 Transport Actuals'!$H$26,'Data-Transport'!$F$4:$F$10000,'Mar20-Aug20 Transport Actuals'!K$6)</f>
        <v>0.64</v>
      </c>
      <c r="L26" s="196">
        <f>SUMIFS('Data-Transport'!$N$4:$N$10000,'Data-Transport'!$A$4:$A$10000,'Mar20-Aug20 Transport Actuals'!L$4,'Data-Transport'!$B$4:$B$10000,'Mar20-Aug20 Transport Actuals'!$C$26,'Data-Transport'!$D$4:$D$10000,'Mar20-Aug20 Transport Actuals'!$F$26,'Data-Transport'!$E$4:$E$10000,'Mar20-Aug20 Transport Actuals'!$H$26,'Data-Transport'!$F$4:$F$10000,'Mar20-Aug20 Transport Actuals'!L$6)</f>
        <v>4.72</v>
      </c>
      <c r="M26" s="196">
        <f>SUMIFS('Data-Transport'!$N$4:$N$10000,'Data-Transport'!$A$4:$A$10000,'Mar20-Aug20 Transport Actuals'!M$4,'Data-Transport'!$B$4:$B$10000,'Mar20-Aug20 Transport Actuals'!$C$26,'Data-Transport'!$D$4:$D$10000,'Mar20-Aug20 Transport Actuals'!$F$26,'Data-Transport'!$E$4:$E$10000,'Mar20-Aug20 Transport Actuals'!$H$26,'Data-Transport'!$F$4:$F$10000,'Mar20-Aug20 Transport Actuals'!M$6)</f>
        <v>3.36</v>
      </c>
      <c r="N26" s="196">
        <f>SUMIFS('Data-Transport'!$N$4:$N$10000,'Data-Transport'!$A$4:$A$10000,'Mar20-Aug20 Transport Actuals'!N$4,'Data-Transport'!$B$4:$B$10000,'Mar20-Aug20 Transport Actuals'!$C$26,'Data-Transport'!$D$4:$D$10000,'Mar20-Aug20 Transport Actuals'!$F$26,'Data-Transport'!$E$4:$E$10000,'Mar20-Aug20 Transport Actuals'!$H$26,'Data-Transport'!$F$4:$F$10000,'Mar20-Aug20 Transport Actuals'!N$6)</f>
        <v>11.15</v>
      </c>
      <c r="O26" s="196">
        <f>SUMIFS('Data-Transport'!$N$4:$N$10000,'Data-Transport'!$A$4:$A$10000,'Mar20-Aug20 Transport Actuals'!O$4,'Data-Transport'!$B$4:$B$10000,'Mar20-Aug20 Transport Actuals'!$Q$26,'Data-Transport'!$D$4:$D$10000,'Mar20-Aug20 Transport Actuals'!$F$26,'Data-Transport'!$E$4:$E$10000,'Mar20-Aug20 Transport Actuals'!$R$26,'Data-Transport'!$F$4:$F$10000,'Mar20-Aug20 Transport Actuals'!O$6)</f>
        <v>4.3899999999999997</v>
      </c>
      <c r="P26" s="288">
        <f t="shared" si="3"/>
        <v>20.619999999999997</v>
      </c>
      <c r="Q26" s="213" t="s">
        <v>1039</v>
      </c>
      <c r="R26" s="213" t="s">
        <v>325</v>
      </c>
      <c r="S26" s="213"/>
    </row>
    <row r="27" spans="3:19" x14ac:dyDescent="0.25">
      <c r="C27" s="199" t="s">
        <v>34</v>
      </c>
      <c r="D27" s="159" t="str">
        <f>MID(C27,6,3)</f>
        <v>895</v>
      </c>
      <c r="E27" s="158" t="str">
        <f>VLOOKUP($C27,'Retail Rates'!$B$7:$P$40,2,FALSE)</f>
        <v>FT-C</v>
      </c>
      <c r="F27" s="160" t="s">
        <v>318</v>
      </c>
      <c r="G27" s="160" t="s">
        <v>334</v>
      </c>
      <c r="H27" s="156" t="s">
        <v>326</v>
      </c>
      <c r="I27" s="196">
        <f>SUMIFS('Data-Transport'!$V$4:$V$10000,'Data-Transport'!$A$4:$A$10000,'Mar20-Aug20 Transport Actuals'!I$4,'Data-Transport'!$B$4:$B$10000,'Mar20-Aug20 Transport Actuals'!$C$27,'Data-Transport'!$D$4:$D$10000,'Mar20-Aug20 Transport Actuals'!$F$27,'Data-Transport'!$E$4:$E$10000,'Mar20-Aug20 Transport Actuals'!$H$27,'Data-Transport'!$F$4:$F$10000,'Mar20-Aug20 Transport Actuals'!I$6)</f>
        <v>0</v>
      </c>
      <c r="J27" s="196">
        <f>SUMIFS('Data-Transport'!$V$4:$V$10000,'Data-Transport'!$A$4:$A$10000,'Mar20-Aug20 Transport Actuals'!J$4,'Data-Transport'!$B$4:$B$10000,'Mar20-Aug20 Transport Actuals'!$C$27,'Data-Transport'!$D$4:$D$10000,'Mar20-Aug20 Transport Actuals'!$F$27,'Data-Transport'!$E$4:$E$10000,'Mar20-Aug20 Transport Actuals'!$H$27,'Data-Transport'!$F$4:$F$10000,'Mar20-Aug20 Transport Actuals'!J$6)</f>
        <v>0</v>
      </c>
      <c r="K27" s="196">
        <f>SUMIFS('Data-Transport'!$V$4:$V$10000,'Data-Transport'!$A$4:$A$10000,'Mar20-Aug20 Transport Actuals'!K$4,'Data-Transport'!$B$4:$B$10000,'Mar20-Aug20 Transport Actuals'!$C$27,'Data-Transport'!$D$4:$D$10000,'Mar20-Aug20 Transport Actuals'!$F$27,'Data-Transport'!$E$4:$E$10000,'Mar20-Aug20 Transport Actuals'!$H$27,'Data-Transport'!$F$4:$F$10000,'Mar20-Aug20 Transport Actuals'!K$6)</f>
        <v>0</v>
      </c>
      <c r="L27" s="196">
        <f>SUMIFS('Data-Transport'!$V$4:$V$10000,'Data-Transport'!$A$4:$A$10000,'Mar20-Aug20 Transport Actuals'!L$4,'Data-Transport'!$B$4:$B$10000,'Mar20-Aug20 Transport Actuals'!$C$27,'Data-Transport'!$D$4:$D$10000,'Mar20-Aug20 Transport Actuals'!$F$27,'Data-Transport'!$E$4:$E$10000,'Mar20-Aug20 Transport Actuals'!$H$27,'Data-Transport'!$F$4:$F$10000,'Mar20-Aug20 Transport Actuals'!L$6)</f>
        <v>0</v>
      </c>
      <c r="M27" s="196">
        <f>SUMIFS('Data-Transport'!$V$4:$V$10000,'Data-Transport'!$A$4:$A$10000,'Mar20-Aug20 Transport Actuals'!M$4,'Data-Transport'!$B$4:$B$10000,'Mar20-Aug20 Transport Actuals'!$C$27,'Data-Transport'!$D$4:$D$10000,'Mar20-Aug20 Transport Actuals'!$F$27,'Data-Transport'!$E$4:$E$10000,'Mar20-Aug20 Transport Actuals'!$H$27,'Data-Transport'!$F$4:$F$10000,'Mar20-Aug20 Transport Actuals'!M$6)</f>
        <v>0</v>
      </c>
      <c r="N27" s="196">
        <f>SUMIFS('Data-Transport'!$V$4:$V$10000,'Data-Transport'!$A$4:$A$10000,'Mar20-Aug20 Transport Actuals'!N$4,'Data-Transport'!$B$4:$B$10000,'Mar20-Aug20 Transport Actuals'!$C$27,'Data-Transport'!$D$4:$D$10000,'Mar20-Aug20 Transport Actuals'!$F$27,'Data-Transport'!$E$4:$E$10000,'Mar20-Aug20 Transport Actuals'!$H$27,'Data-Transport'!$F$4:$F$10000,'Mar20-Aug20 Transport Actuals'!N$6)</f>
        <v>0</v>
      </c>
      <c r="O27" s="196">
        <f>SUMIFS('Data-Transport'!$V$4:$V$10000,'Data-Transport'!$A$4:$A$10000,'Mar20-Aug20 Transport Actuals'!O$4,'Data-Transport'!$B$4:$B$10000,'Mar20-Aug20 Transport Actuals'!$Q$27,'Data-Transport'!$D$4:$D$10000,'Mar20-Aug20 Transport Actuals'!$F$27,'Data-Transport'!$E$4:$E$10000,'Mar20-Aug20 Transport Actuals'!$R$27,'Data-Transport'!$F$4:$F$10000,'Mar20-Aug20 Transport Actuals'!O$6)</f>
        <v>0</v>
      </c>
      <c r="P27" s="288">
        <f t="shared" si="3"/>
        <v>0</v>
      </c>
      <c r="Q27" s="213" t="s">
        <v>1039</v>
      </c>
      <c r="R27" s="213" t="s">
        <v>326</v>
      </c>
      <c r="S27" s="213"/>
    </row>
    <row r="28" spans="3:19" x14ac:dyDescent="0.25">
      <c r="C28" s="199" t="s">
        <v>34</v>
      </c>
      <c r="D28" s="159" t="str">
        <f>MID(C28,6,3)</f>
        <v>895</v>
      </c>
      <c r="E28" s="158" t="str">
        <f>VLOOKUP($C28,'Retail Rates'!$B$7:$P$40,2,FALSE)</f>
        <v>FT-C</v>
      </c>
      <c r="F28" s="160" t="s">
        <v>318</v>
      </c>
      <c r="G28" s="160" t="s">
        <v>324</v>
      </c>
      <c r="H28" s="156" t="s">
        <v>621</v>
      </c>
      <c r="I28" s="196">
        <f>SUMIFS('Data-Transport'!$AA$4:$AA$10000,'Data-Transport'!$A$4:$A$10000,'Mar20-Aug20 Transport Actuals'!I$4,'Data-Transport'!$B$4:$B$10000,'Mar20-Aug20 Transport Actuals'!$C$28,'Data-Transport'!$D$4:$D$10000,'Mar20-Aug20 Transport Actuals'!$F$28,'Data-Transport'!$E$4:$E$10000,'Mar20-Aug20 Transport Actuals'!$H$28,'Data-Transport'!$F$4:$F$10000,'Mar20-Aug20 Transport Actuals'!I$6)</f>
        <v>216.42</v>
      </c>
      <c r="J28" s="196">
        <f>SUMIFS('Data-Transport'!$AA$4:$AA$10000,'Data-Transport'!$A$4:$A$10000,'Mar20-Aug20 Transport Actuals'!J$4,'Data-Transport'!$B$4:$B$10000,'Mar20-Aug20 Transport Actuals'!$C$28,'Data-Transport'!$D$4:$D$10000,'Mar20-Aug20 Transport Actuals'!$F$28,'Data-Transport'!$E$4:$E$10000,'Mar20-Aug20 Transport Actuals'!$H$28,'Data-Transport'!$F$4:$F$10000,'Mar20-Aug20 Transport Actuals'!J$6)</f>
        <v>190.62</v>
      </c>
      <c r="K28" s="196">
        <f>SUMIFS('Data-Transport'!$AA$4:$AA$10000,'Data-Transport'!$A$4:$A$10000,'Mar20-Aug20 Transport Actuals'!K$4,'Data-Transport'!$B$4:$B$10000,'Mar20-Aug20 Transport Actuals'!$C$28,'Data-Transport'!$D$4:$D$10000,'Mar20-Aug20 Transport Actuals'!$F$28,'Data-Transport'!$E$4:$E$10000,'Mar20-Aug20 Transport Actuals'!$H$28,'Data-Transport'!$F$4:$F$10000,'Mar20-Aug20 Transport Actuals'!K$6)</f>
        <v>168.71</v>
      </c>
      <c r="L28" s="196">
        <f>SUMIFS('Data-Transport'!$AA$4:$AA$10000,'Data-Transport'!$A$4:$A$10000,'Mar20-Aug20 Transport Actuals'!L$4,'Data-Transport'!$B$4:$B$10000,'Mar20-Aug20 Transport Actuals'!$C$28,'Data-Transport'!$D$4:$D$10000,'Mar20-Aug20 Transport Actuals'!$F$28,'Data-Transport'!$E$4:$E$10000,'Mar20-Aug20 Transport Actuals'!$H$28,'Data-Transport'!$F$4:$F$10000,'Mar20-Aug20 Transport Actuals'!L$6)</f>
        <v>310.51</v>
      </c>
      <c r="M28" s="196">
        <f>SUMIFS('Data-Transport'!$AA$4:$AA$10000,'Data-Transport'!$A$4:$A$10000,'Mar20-Aug20 Transport Actuals'!M$4,'Data-Transport'!$B$4:$B$10000,'Mar20-Aug20 Transport Actuals'!$C$28,'Data-Transport'!$D$4:$D$10000,'Mar20-Aug20 Transport Actuals'!$F$28,'Data-Transport'!$E$4:$E$10000,'Mar20-Aug20 Transport Actuals'!$H$28,'Data-Transport'!$F$4:$F$10000,'Mar20-Aug20 Transport Actuals'!M$6)</f>
        <v>256.70999999999998</v>
      </c>
      <c r="N28" s="196">
        <f>SUMIFS('Data-Transport'!$AA$4:$AA$10000,'Data-Transport'!$A$4:$A$10000,'Mar20-Aug20 Transport Actuals'!N$4,'Data-Transport'!$B$4:$B$10000,'Mar20-Aug20 Transport Actuals'!$C$28,'Data-Transport'!$D$4:$D$10000,'Mar20-Aug20 Transport Actuals'!$F$28,'Data-Transport'!$E$4:$E$10000,'Mar20-Aug20 Transport Actuals'!$H$28,'Data-Transport'!$F$4:$F$10000,'Mar20-Aug20 Transport Actuals'!N$6)</f>
        <v>246</v>
      </c>
      <c r="O28" s="196">
        <f>SUMIFS('Data-Transport'!$AA$4:$AA$10000,'Data-Transport'!$A$4:$A$10000,'Mar20-Aug20 Transport Actuals'!O$4,'Data-Transport'!$B$4:$B$10000,'Mar20-Aug20 Transport Actuals'!$Q$28,'Data-Transport'!$D$4:$D$10000,'Mar20-Aug20 Transport Actuals'!$F$28,'Data-Transport'!$E$4:$E$10000,'Mar20-Aug20 Transport Actuals'!$R$28,'Data-Transport'!$F$4:$F$10000,'Mar20-Aug20 Transport Actuals'!O$6)</f>
        <v>260.57</v>
      </c>
      <c r="P28" s="288">
        <f t="shared" si="3"/>
        <v>1388.97</v>
      </c>
      <c r="Q28" s="213" t="s">
        <v>1039</v>
      </c>
      <c r="R28" s="213" t="s">
        <v>1037</v>
      </c>
      <c r="S28" s="213"/>
    </row>
    <row r="29" spans="3:19" x14ac:dyDescent="0.25">
      <c r="C29" s="199"/>
      <c r="D29" s="159"/>
      <c r="E29" s="158"/>
      <c r="F29" s="160"/>
      <c r="G29" s="160" t="s">
        <v>167</v>
      </c>
      <c r="H29" s="160"/>
      <c r="I29" s="198">
        <f t="shared" ref="I29:O29" si="6">SUM(I22:I28)</f>
        <v>21210.17</v>
      </c>
      <c r="J29" s="198">
        <f t="shared" si="6"/>
        <v>20971.13</v>
      </c>
      <c r="K29" s="198">
        <f t="shared" si="6"/>
        <v>20872.949999999997</v>
      </c>
      <c r="L29" s="198">
        <f t="shared" si="6"/>
        <v>20870.649999999998</v>
      </c>
      <c r="M29" s="198">
        <f t="shared" si="6"/>
        <v>20580.560000000001</v>
      </c>
      <c r="N29" s="198">
        <f t="shared" si="6"/>
        <v>20530.870000000003</v>
      </c>
      <c r="O29" s="198">
        <f t="shared" si="6"/>
        <v>20602.36</v>
      </c>
      <c r="P29" s="288">
        <f t="shared" si="3"/>
        <v>125036.32999999999</v>
      </c>
      <c r="Q29" s="213"/>
      <c r="R29" s="213"/>
      <c r="S29" s="213"/>
    </row>
    <row r="30" spans="3:19" x14ac:dyDescent="0.25">
      <c r="C30" s="199"/>
      <c r="D30" s="159"/>
      <c r="E30" s="158"/>
      <c r="F30" s="160"/>
      <c r="G30" s="160"/>
      <c r="H30" s="160"/>
      <c r="I30" s="158"/>
      <c r="J30" s="158"/>
      <c r="K30" s="158"/>
      <c r="L30" s="158"/>
      <c r="M30" s="158"/>
      <c r="N30" s="158"/>
      <c r="O30" s="158"/>
      <c r="P30" s="198"/>
      <c r="Q30" s="213"/>
      <c r="R30" s="213"/>
      <c r="S30" s="213"/>
    </row>
    <row r="31" spans="3:19" x14ac:dyDescent="0.25">
      <c r="C31" s="199"/>
      <c r="D31" s="159"/>
      <c r="E31" s="158"/>
      <c r="F31" s="160"/>
      <c r="G31" s="160"/>
      <c r="H31" s="160"/>
      <c r="I31" s="158"/>
      <c r="J31" s="158"/>
      <c r="K31" s="158"/>
      <c r="L31" s="158"/>
      <c r="M31" s="158"/>
      <c r="N31" s="158"/>
      <c r="O31" s="158"/>
      <c r="P31" s="158"/>
      <c r="Q31" s="213"/>
      <c r="R31" s="213"/>
      <c r="S31" s="213"/>
    </row>
    <row r="32" spans="3:19" x14ac:dyDescent="0.25">
      <c r="C32" s="159" t="s">
        <v>49</v>
      </c>
      <c r="D32" s="159" t="str">
        <f>MID(C32,6,3)</f>
        <v>895</v>
      </c>
      <c r="E32" s="158" t="str">
        <f>VLOOKUP($C32,'Retail Rates'!$B$7:$P$40,2,FALSE)</f>
        <v>FT-C-PM</v>
      </c>
      <c r="F32" s="160" t="s">
        <v>318</v>
      </c>
      <c r="G32" s="160" t="s">
        <v>157</v>
      </c>
      <c r="H32" s="158"/>
      <c r="I32" s="158">
        <f>+I36/I33</f>
        <v>0</v>
      </c>
      <c r="J32" s="158">
        <f t="shared" ref="J32:O32" si="7">+J36/J33</f>
        <v>0</v>
      </c>
      <c r="K32" s="158">
        <f t="shared" si="7"/>
        <v>0</v>
      </c>
      <c r="L32" s="158">
        <f t="shared" si="7"/>
        <v>0</v>
      </c>
      <c r="M32" s="158">
        <f t="shared" si="7"/>
        <v>0</v>
      </c>
      <c r="N32" s="158">
        <f t="shared" si="7"/>
        <v>0</v>
      </c>
      <c r="O32" s="158">
        <f t="shared" si="7"/>
        <v>0</v>
      </c>
      <c r="P32" s="288">
        <f>SUM(I32:N32)</f>
        <v>0</v>
      </c>
      <c r="Q32" s="213"/>
      <c r="R32" s="213"/>
      <c r="S32" s="213"/>
    </row>
    <row r="33" spans="3:19" x14ac:dyDescent="0.25">
      <c r="C33" s="159" t="s">
        <v>49</v>
      </c>
      <c r="D33" s="159" t="str">
        <f>MID(C33,6,3)</f>
        <v>895</v>
      </c>
      <c r="E33" s="158" t="str">
        <f>VLOOKUP($C33,'Retail Rates'!$B$7:$P$40,2,FALSE)</f>
        <v>FT-C-PM</v>
      </c>
      <c r="F33" s="160" t="s">
        <v>318</v>
      </c>
      <c r="G33" s="160" t="s">
        <v>159</v>
      </c>
      <c r="H33" s="158"/>
      <c r="I33" s="158">
        <f>VLOOKUP($C33,'Retail Rates'!$B$7:$P$40,7,FALSE)</f>
        <v>75</v>
      </c>
      <c r="J33" s="158">
        <f>VLOOKUP($C33,'Retail Rates'!$B$7:$P$40,7,FALSE)</f>
        <v>75</v>
      </c>
      <c r="K33" s="158">
        <f>VLOOKUP($C33,'Retail Rates'!$B$7:$P$40,7,FALSE)</f>
        <v>75</v>
      </c>
      <c r="L33" s="158">
        <f>VLOOKUP($C33,'Retail Rates'!$B$7:$P$40,7,FALSE)</f>
        <v>75</v>
      </c>
      <c r="M33" s="158">
        <f>VLOOKUP($C33,'Retail Rates'!$B$7:$P$40,7,FALSE)</f>
        <v>75</v>
      </c>
      <c r="N33" s="158">
        <f>VLOOKUP($C33,'Retail Rates'!$B$7:$P$40,7,FALSE)</f>
        <v>75</v>
      </c>
      <c r="O33" s="158">
        <f>VLOOKUP($C33,'Retail Rates'!$B$7:$P$40,7,FALSE)</f>
        <v>75</v>
      </c>
      <c r="P33" s="288"/>
      <c r="Q33" s="213"/>
      <c r="R33" s="213"/>
      <c r="S33" s="213"/>
    </row>
    <row r="34" spans="3:19" x14ac:dyDescent="0.25">
      <c r="C34" s="159" t="s">
        <v>49</v>
      </c>
      <c r="D34" s="159" t="str">
        <f t="shared" ref="D34:D40" si="8">MID(C34,6,3)</f>
        <v>895</v>
      </c>
      <c r="E34" s="158" t="str">
        <f>VLOOKUP($C34,'Retail Rates'!$B$7:$P$40,2,FALSE)</f>
        <v>FT-C-PM</v>
      </c>
      <c r="F34" s="160" t="s">
        <v>318</v>
      </c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213"/>
      <c r="R34" s="213"/>
      <c r="S34" s="213"/>
    </row>
    <row r="35" spans="3:19" x14ac:dyDescent="0.25">
      <c r="C35" s="159" t="s">
        <v>49</v>
      </c>
      <c r="D35" s="159" t="str">
        <f t="shared" si="8"/>
        <v>895</v>
      </c>
      <c r="E35" s="158" t="str">
        <f>VLOOKUP($C35,'Retail Rates'!$B$7:$P$40,2,FALSE)</f>
        <v>FT-C-PM</v>
      </c>
      <c r="F35" s="160" t="s">
        <v>318</v>
      </c>
      <c r="G35" s="164" t="s">
        <v>162</v>
      </c>
      <c r="H35" s="158"/>
      <c r="I35" s="158"/>
      <c r="J35" s="158"/>
      <c r="K35" s="158"/>
      <c r="L35" s="158"/>
      <c r="M35" s="158"/>
      <c r="N35" s="158"/>
      <c r="O35" s="158"/>
      <c r="P35" s="158"/>
      <c r="Q35" s="213"/>
      <c r="R35" s="213"/>
      <c r="S35" s="213"/>
    </row>
    <row r="36" spans="3:19" x14ac:dyDescent="0.25">
      <c r="C36" s="159" t="s">
        <v>49</v>
      </c>
      <c r="D36" s="159" t="str">
        <f t="shared" si="8"/>
        <v>895</v>
      </c>
      <c r="E36" s="158" t="str">
        <f>VLOOKUP($C36,'Retail Rates'!$B$7:$P$40,2,FALSE)</f>
        <v>FT-C-PM</v>
      </c>
      <c r="F36" s="160" t="s">
        <v>318</v>
      </c>
      <c r="G36" s="160" t="s">
        <v>163</v>
      </c>
      <c r="H36" s="156" t="s">
        <v>268</v>
      </c>
      <c r="I36" s="196">
        <f>SUMIFS('Data-Transport'!$K$4:$K$10000,'Data-Transport'!$A$4:$A$10000,'Mar20-Aug20 Transport Actuals'!I$4,'Data-Transport'!$B$4:$B$10000,'Mar20-Aug20 Transport Actuals'!$C$36,'Data-Transport'!$D$4:$D$10000,'Mar20-Aug20 Transport Actuals'!$F$36,'Data-Transport'!$E$4:$E$10000,'Mar20-Aug20 Transport Actuals'!$H$36,'Data-Transport'!$F$4:$F$10000,'Mar20-Aug20 Transport Actuals'!I$6)</f>
        <v>0</v>
      </c>
      <c r="J36" s="196">
        <f>SUMIFS('Data-Transport'!$K$4:$K$10000,'Data-Transport'!$A$4:$A$10000,'Mar20-Aug20 Transport Actuals'!J$4,'Data-Transport'!$B$4:$B$10000,'Mar20-Aug20 Transport Actuals'!$C$36,'Data-Transport'!$D$4:$D$10000,'Mar20-Aug20 Transport Actuals'!$F$36,'Data-Transport'!$E$4:$E$10000,'Mar20-Aug20 Transport Actuals'!$H$36,'Data-Transport'!$F$4:$F$10000,'Mar20-Aug20 Transport Actuals'!J$6)</f>
        <v>0</v>
      </c>
      <c r="K36" s="196">
        <f>SUMIFS('Data-Transport'!$K$4:$K$10000,'Data-Transport'!$A$4:$A$10000,'Mar20-Aug20 Transport Actuals'!K$4,'Data-Transport'!$B$4:$B$10000,'Mar20-Aug20 Transport Actuals'!$C$36,'Data-Transport'!$D$4:$D$10000,'Mar20-Aug20 Transport Actuals'!$F$36,'Data-Transport'!$E$4:$E$10000,'Mar20-Aug20 Transport Actuals'!$H$36,'Data-Transport'!$F$4:$F$10000,'Mar20-Aug20 Transport Actuals'!K$6)</f>
        <v>0</v>
      </c>
      <c r="L36" s="196">
        <f>SUMIFS('Data-Transport'!$K$4:$K$10000,'Data-Transport'!$A$4:$A$10000,'Mar20-Aug20 Transport Actuals'!L$4,'Data-Transport'!$B$4:$B$10000,'Mar20-Aug20 Transport Actuals'!$C$36,'Data-Transport'!$D$4:$D$10000,'Mar20-Aug20 Transport Actuals'!$F$36,'Data-Transport'!$E$4:$E$10000,'Mar20-Aug20 Transport Actuals'!$H$36,'Data-Transport'!$F$4:$F$10000,'Mar20-Aug20 Transport Actuals'!L$6)</f>
        <v>0</v>
      </c>
      <c r="M36" s="196">
        <f>SUMIFS('Data-Transport'!$K$4:$K$10000,'Data-Transport'!$A$4:$A$10000,'Mar20-Aug20 Transport Actuals'!M$4,'Data-Transport'!$B$4:$B$10000,'Mar20-Aug20 Transport Actuals'!$C$36,'Data-Transport'!$D$4:$D$10000,'Mar20-Aug20 Transport Actuals'!$F$36,'Data-Transport'!$E$4:$E$10000,'Mar20-Aug20 Transport Actuals'!$H$36,'Data-Transport'!$F$4:$F$10000,'Mar20-Aug20 Transport Actuals'!M$6)</f>
        <v>0</v>
      </c>
      <c r="N36" s="196">
        <f>SUMIFS('Data-Transport'!$K$4:$K$10000,'Data-Transport'!$A$4:$A$10000,'Mar20-Aug20 Transport Actuals'!N$4,'Data-Transport'!$B$4:$B$10000,'Mar20-Aug20 Transport Actuals'!$C$36,'Data-Transport'!$D$4:$D$10000,'Mar20-Aug20 Transport Actuals'!$F$36,'Data-Transport'!$E$4:$E$10000,'Mar20-Aug20 Transport Actuals'!$H$36,'Data-Transport'!$F$4:$F$10000,'Mar20-Aug20 Transport Actuals'!N$6)</f>
        <v>0</v>
      </c>
      <c r="O36" s="196">
        <f>SUMIFS('Data-Transport'!$K$4:$K$10000,'Data-Transport'!$A$4:$A$10000,'Mar20-Aug20 Transport Actuals'!O$4,'Data-Transport'!$B$4:$B$10000,'Mar20-Aug20 Transport Actuals'!$C$36,'Data-Transport'!$D$4:$D$10000,'Mar20-Aug20 Transport Actuals'!$F$36,'Data-Transport'!$E$4:$E$10000,'Mar20-Aug20 Transport Actuals'!$H$36,'Data-Transport'!$F$4:$F$10000,'Mar20-Aug20 Transport Actuals'!O$6)</f>
        <v>0</v>
      </c>
      <c r="P36" s="288">
        <f>SUM(I36:N36)</f>
        <v>0</v>
      </c>
      <c r="Q36" s="213"/>
      <c r="R36" s="213" t="s">
        <v>268</v>
      </c>
      <c r="S36" s="213"/>
    </row>
    <row r="37" spans="3:19" x14ac:dyDescent="0.25">
      <c r="C37" s="159" t="s">
        <v>49</v>
      </c>
      <c r="D37" s="159" t="str">
        <f t="shared" si="8"/>
        <v>895</v>
      </c>
      <c r="E37" s="158" t="str">
        <f>VLOOKUP($C37,'Retail Rates'!$B$7:$P$40,2,FALSE)</f>
        <v>FT-C-PM</v>
      </c>
      <c r="F37" s="160" t="s">
        <v>318</v>
      </c>
      <c r="G37" s="160" t="s">
        <v>256</v>
      </c>
      <c r="H37" s="156" t="s">
        <v>329</v>
      </c>
      <c r="I37" s="196">
        <f>SUMIFS('Data-Transport'!$W$4:$W$10000,'Data-Transport'!$A$4:$A$10000,'Mar20-Aug20 Transport Actuals'!I$4,'Data-Transport'!$B$4:$B$10000,'Mar20-Aug20 Transport Actuals'!$C$37,'Data-Transport'!$D$4:$D$10000,'Mar20-Aug20 Transport Actuals'!$F$37,'Data-Transport'!$E$4:$E$10000,'Mar20-Aug20 Transport Actuals'!$H$37,'Data-Transport'!$F$4:$F$10000,'Mar20-Aug20 Transport Actuals'!I$6)</f>
        <v>0</v>
      </c>
      <c r="J37" s="196">
        <f>SUMIFS('Data-Transport'!$W$4:$W$10000,'Data-Transport'!$A$4:$A$10000,'Mar20-Aug20 Transport Actuals'!J$4,'Data-Transport'!$B$4:$B$10000,'Mar20-Aug20 Transport Actuals'!$C$37,'Data-Transport'!$D$4:$D$10000,'Mar20-Aug20 Transport Actuals'!$F$37,'Data-Transport'!$E$4:$E$10000,'Mar20-Aug20 Transport Actuals'!$H$37,'Data-Transport'!$F$4:$F$10000,'Mar20-Aug20 Transport Actuals'!J$6)</f>
        <v>0</v>
      </c>
      <c r="K37" s="196">
        <f>SUMIFS('Data-Transport'!$W$4:$W$10000,'Data-Transport'!$A$4:$A$10000,'Mar20-Aug20 Transport Actuals'!K$4,'Data-Transport'!$B$4:$B$10000,'Mar20-Aug20 Transport Actuals'!$C$37,'Data-Transport'!$D$4:$D$10000,'Mar20-Aug20 Transport Actuals'!$F$37,'Data-Transport'!$E$4:$E$10000,'Mar20-Aug20 Transport Actuals'!$H$37,'Data-Transport'!$F$4:$F$10000,'Mar20-Aug20 Transport Actuals'!K$6)</f>
        <v>0</v>
      </c>
      <c r="L37" s="196">
        <f>SUMIFS('Data-Transport'!$W$4:$W$10000,'Data-Transport'!$A$4:$A$10000,'Mar20-Aug20 Transport Actuals'!L$4,'Data-Transport'!$B$4:$B$10000,'Mar20-Aug20 Transport Actuals'!$C$37,'Data-Transport'!$D$4:$D$10000,'Mar20-Aug20 Transport Actuals'!$F$37,'Data-Transport'!$E$4:$E$10000,'Mar20-Aug20 Transport Actuals'!$H$37,'Data-Transport'!$F$4:$F$10000,'Mar20-Aug20 Transport Actuals'!L$6)</f>
        <v>0</v>
      </c>
      <c r="M37" s="196">
        <f>SUMIFS('Data-Transport'!$W$4:$W$10000,'Data-Transport'!$A$4:$A$10000,'Mar20-Aug20 Transport Actuals'!M$4,'Data-Transport'!$B$4:$B$10000,'Mar20-Aug20 Transport Actuals'!$C$37,'Data-Transport'!$D$4:$D$10000,'Mar20-Aug20 Transport Actuals'!$F$37,'Data-Transport'!$E$4:$E$10000,'Mar20-Aug20 Transport Actuals'!$H$37,'Data-Transport'!$F$4:$F$10000,'Mar20-Aug20 Transport Actuals'!M$6)</f>
        <v>0</v>
      </c>
      <c r="N37" s="196">
        <f>SUMIFS('Data-Transport'!$W$4:$W$10000,'Data-Transport'!$A$4:$A$10000,'Mar20-Aug20 Transport Actuals'!N$4,'Data-Transport'!$B$4:$B$10000,'Mar20-Aug20 Transport Actuals'!$C$37,'Data-Transport'!$D$4:$D$10000,'Mar20-Aug20 Transport Actuals'!$F$37,'Data-Transport'!$E$4:$E$10000,'Mar20-Aug20 Transport Actuals'!$H$37,'Data-Transport'!$F$4:$F$10000,'Mar20-Aug20 Transport Actuals'!N$6)</f>
        <v>0</v>
      </c>
      <c r="O37" s="196">
        <f>SUMIFS('Data-Transport'!$W$4:$W$10000,'Data-Transport'!$A$4:$A$10000,'Mar20-Aug20 Transport Actuals'!O$4,'Data-Transport'!$B$4:$B$10000,'Mar20-Aug20 Transport Actuals'!$C$37,'Data-Transport'!$D$4:$D$10000,'Mar20-Aug20 Transport Actuals'!$F$37,'Data-Transport'!$E$4:$E$10000,'Mar20-Aug20 Transport Actuals'!$H$37,'Data-Transport'!$F$4:$F$10000,'Mar20-Aug20 Transport Actuals'!O$6)</f>
        <v>0</v>
      </c>
      <c r="P37" s="288">
        <f t="shared" ref="P37:P40" si="9">SUM(I37:N37)</f>
        <v>0</v>
      </c>
      <c r="Q37" s="213"/>
      <c r="R37" s="213" t="s">
        <v>329</v>
      </c>
      <c r="S37" s="213"/>
    </row>
    <row r="38" spans="3:19" x14ac:dyDescent="0.25">
      <c r="C38" s="159" t="s">
        <v>49</v>
      </c>
      <c r="D38" s="159" t="str">
        <f t="shared" si="8"/>
        <v>895</v>
      </c>
      <c r="E38" s="158" t="str">
        <f>VLOOKUP($C38,'Retail Rates'!$B$7:$P$40,2,FALSE)</f>
        <v>FT-C-PM</v>
      </c>
      <c r="F38" s="160" t="s">
        <v>318</v>
      </c>
      <c r="G38" s="160" t="s">
        <v>257</v>
      </c>
      <c r="H38" s="156" t="s">
        <v>330</v>
      </c>
      <c r="I38" s="196">
        <f>SUMIFS('Data-Transport'!$X$4:$X$10000,'Data-Transport'!$A$4:$A$10000,'Mar20-Aug20 Transport Actuals'!I$4,'Data-Transport'!$B$4:$B$10000,'Mar20-Aug20 Transport Actuals'!$C$38,'Data-Transport'!$D$4:$D$10000,'Mar20-Aug20 Transport Actuals'!$F$38,'Data-Transport'!$E$4:$E$10000,'Mar20-Aug20 Transport Actuals'!$H$38,'Data-Transport'!$F$4:$F$10000,'Mar20-Aug20 Transport Actuals'!I$6)</f>
        <v>0</v>
      </c>
      <c r="J38" s="196">
        <f>SUMIFS('Data-Transport'!$X$4:$X$10000,'Data-Transport'!$A$4:$A$10000,'Mar20-Aug20 Transport Actuals'!J$4,'Data-Transport'!$B$4:$B$10000,'Mar20-Aug20 Transport Actuals'!$C$38,'Data-Transport'!$D$4:$D$10000,'Mar20-Aug20 Transport Actuals'!$F$38,'Data-Transport'!$E$4:$E$10000,'Mar20-Aug20 Transport Actuals'!$H$38,'Data-Transport'!$F$4:$F$10000,'Mar20-Aug20 Transport Actuals'!J$6)</f>
        <v>0</v>
      </c>
      <c r="K38" s="196">
        <f>SUMIFS('Data-Transport'!$X$4:$X$10000,'Data-Transport'!$A$4:$A$10000,'Mar20-Aug20 Transport Actuals'!K$4,'Data-Transport'!$B$4:$B$10000,'Mar20-Aug20 Transport Actuals'!$C$38,'Data-Transport'!$D$4:$D$10000,'Mar20-Aug20 Transport Actuals'!$F$38,'Data-Transport'!$E$4:$E$10000,'Mar20-Aug20 Transport Actuals'!$H$38,'Data-Transport'!$F$4:$F$10000,'Mar20-Aug20 Transport Actuals'!K$6)</f>
        <v>0</v>
      </c>
      <c r="L38" s="196">
        <f>SUMIFS('Data-Transport'!$X$4:$X$10000,'Data-Transport'!$A$4:$A$10000,'Mar20-Aug20 Transport Actuals'!L$4,'Data-Transport'!$B$4:$B$10000,'Mar20-Aug20 Transport Actuals'!$C$38,'Data-Transport'!$D$4:$D$10000,'Mar20-Aug20 Transport Actuals'!$F$38,'Data-Transport'!$E$4:$E$10000,'Mar20-Aug20 Transport Actuals'!$H$38,'Data-Transport'!$F$4:$F$10000,'Mar20-Aug20 Transport Actuals'!L$6)</f>
        <v>0</v>
      </c>
      <c r="M38" s="196">
        <f>SUMIFS('Data-Transport'!$X$4:$X$10000,'Data-Transport'!$A$4:$A$10000,'Mar20-Aug20 Transport Actuals'!M$4,'Data-Transport'!$B$4:$B$10000,'Mar20-Aug20 Transport Actuals'!$C$38,'Data-Transport'!$D$4:$D$10000,'Mar20-Aug20 Transport Actuals'!$F$38,'Data-Transport'!$E$4:$E$10000,'Mar20-Aug20 Transport Actuals'!$H$38,'Data-Transport'!$F$4:$F$10000,'Mar20-Aug20 Transport Actuals'!M$6)</f>
        <v>0</v>
      </c>
      <c r="N38" s="196">
        <f>SUMIFS('Data-Transport'!$X$4:$X$10000,'Data-Transport'!$A$4:$A$10000,'Mar20-Aug20 Transport Actuals'!N$4,'Data-Transport'!$B$4:$B$10000,'Mar20-Aug20 Transport Actuals'!$C$38,'Data-Transport'!$D$4:$D$10000,'Mar20-Aug20 Transport Actuals'!$F$38,'Data-Transport'!$E$4:$E$10000,'Mar20-Aug20 Transport Actuals'!$H$38,'Data-Transport'!$F$4:$F$10000,'Mar20-Aug20 Transport Actuals'!N$6)</f>
        <v>0</v>
      </c>
      <c r="O38" s="196">
        <f>SUMIFS('Data-Transport'!$X$4:$X$10000,'Data-Transport'!$A$4:$A$10000,'Mar20-Aug20 Transport Actuals'!O$4,'Data-Transport'!$B$4:$B$10000,'Mar20-Aug20 Transport Actuals'!$C$38,'Data-Transport'!$D$4:$D$10000,'Mar20-Aug20 Transport Actuals'!$F$38,'Data-Transport'!$E$4:$E$10000,'Mar20-Aug20 Transport Actuals'!$H$38,'Data-Transport'!$F$4:$F$10000,'Mar20-Aug20 Transport Actuals'!O$6)</f>
        <v>0</v>
      </c>
      <c r="P38" s="288">
        <f t="shared" si="9"/>
        <v>0</v>
      </c>
      <c r="Q38" s="213"/>
      <c r="R38" s="213" t="s">
        <v>1038</v>
      </c>
      <c r="S38" s="213"/>
    </row>
    <row r="39" spans="3:19" x14ac:dyDescent="0.25">
      <c r="C39" s="159" t="s">
        <v>49</v>
      </c>
      <c r="D39" s="159" t="str">
        <f t="shared" si="8"/>
        <v>895</v>
      </c>
      <c r="E39" s="158" t="str">
        <f>VLOOKUP($C39,'Retail Rates'!$B$7:$P$40,2,FALSE)</f>
        <v>FT-C-PM</v>
      </c>
      <c r="F39" s="160" t="s">
        <v>318</v>
      </c>
      <c r="G39" s="160" t="s">
        <v>334</v>
      </c>
      <c r="H39" s="156" t="s">
        <v>326</v>
      </c>
      <c r="I39" s="196">
        <f>SUMIFS('Data-Transport'!$V$4:$V$10000,'Data-Transport'!$A$4:$A$10000,'Mar20-Aug20 Transport Actuals'!I$4,'Data-Transport'!$B$4:$B$10000,'Mar20-Aug20 Transport Actuals'!$C$2,'Data-Transport'!$D$4:$D$10000,'Mar20-Aug20 Transport Actuals'!$F$39,'Data-Transport'!$E$4:$E$10000,'Mar20-Aug20 Transport Actuals'!$H$39,'Data-Transport'!$F$4:$F$10000,'Mar20-Aug20 Transport Actuals'!I$6)</f>
        <v>0</v>
      </c>
      <c r="J39" s="196">
        <f>SUMIFS('Data-Transport'!$V$4:$V$10000,'Data-Transport'!$A$4:$A$10000,'Mar20-Aug20 Transport Actuals'!J$4,'Data-Transport'!$B$4:$B$10000,'Mar20-Aug20 Transport Actuals'!$C$2,'Data-Transport'!$D$4:$D$10000,'Mar20-Aug20 Transport Actuals'!$F$39,'Data-Transport'!$E$4:$E$10000,'Mar20-Aug20 Transport Actuals'!$H$39,'Data-Transport'!$F$4:$F$10000,'Mar20-Aug20 Transport Actuals'!J$6)</f>
        <v>0</v>
      </c>
      <c r="K39" s="196">
        <f>SUMIFS('Data-Transport'!$V$4:$V$10000,'Data-Transport'!$A$4:$A$10000,'Mar20-Aug20 Transport Actuals'!K$4,'Data-Transport'!$B$4:$B$10000,'Mar20-Aug20 Transport Actuals'!$C$2,'Data-Transport'!$D$4:$D$10000,'Mar20-Aug20 Transport Actuals'!$F$39,'Data-Transport'!$E$4:$E$10000,'Mar20-Aug20 Transport Actuals'!$H$39,'Data-Transport'!$F$4:$F$10000,'Mar20-Aug20 Transport Actuals'!K$6)</f>
        <v>0</v>
      </c>
      <c r="L39" s="196">
        <f>SUMIFS('Data-Transport'!$V$4:$V$10000,'Data-Transport'!$A$4:$A$10000,'Mar20-Aug20 Transport Actuals'!L$4,'Data-Transport'!$B$4:$B$10000,'Mar20-Aug20 Transport Actuals'!$C$2,'Data-Transport'!$D$4:$D$10000,'Mar20-Aug20 Transport Actuals'!$F$39,'Data-Transport'!$E$4:$E$10000,'Mar20-Aug20 Transport Actuals'!$H$39,'Data-Transport'!$F$4:$F$10000,'Mar20-Aug20 Transport Actuals'!L$6)</f>
        <v>0</v>
      </c>
      <c r="M39" s="196">
        <f>SUMIFS('Data-Transport'!$V$4:$V$10000,'Data-Transport'!$A$4:$A$10000,'Mar20-Aug20 Transport Actuals'!M$4,'Data-Transport'!$B$4:$B$10000,'Mar20-Aug20 Transport Actuals'!$C$2,'Data-Transport'!$D$4:$D$10000,'Mar20-Aug20 Transport Actuals'!$F$39,'Data-Transport'!$E$4:$E$10000,'Mar20-Aug20 Transport Actuals'!$H$39,'Data-Transport'!$F$4:$F$10000,'Mar20-Aug20 Transport Actuals'!M$6)</f>
        <v>0</v>
      </c>
      <c r="N39" s="196">
        <f>SUMIFS('Data-Transport'!$V$4:$V$10000,'Data-Transport'!$A$4:$A$10000,'Mar20-Aug20 Transport Actuals'!N$4,'Data-Transport'!$B$4:$B$10000,'Mar20-Aug20 Transport Actuals'!$C$2,'Data-Transport'!$D$4:$D$10000,'Mar20-Aug20 Transport Actuals'!$F$39,'Data-Transport'!$E$4:$E$10000,'Mar20-Aug20 Transport Actuals'!$H$39,'Data-Transport'!$F$4:$F$10000,'Mar20-Aug20 Transport Actuals'!N$6)</f>
        <v>0</v>
      </c>
      <c r="O39" s="196">
        <f>SUMIFS('Data-Transport'!$V$4:$V$10000,'Data-Transport'!$A$4:$A$10000,'Mar20-Aug20 Transport Actuals'!O$4,'Data-Transport'!$B$4:$B$10000,'Mar20-Aug20 Transport Actuals'!$C$2,'Data-Transport'!$D$4:$D$10000,'Mar20-Aug20 Transport Actuals'!$F$39,'Data-Transport'!$E$4:$E$10000,'Mar20-Aug20 Transport Actuals'!$H$39,'Data-Transport'!$F$4:$F$10000,'Mar20-Aug20 Transport Actuals'!O$6)</f>
        <v>0</v>
      </c>
      <c r="P39" s="288">
        <f t="shared" si="9"/>
        <v>0</v>
      </c>
      <c r="Q39" s="213"/>
      <c r="R39" s="213" t="s">
        <v>326</v>
      </c>
      <c r="S39" s="213"/>
    </row>
    <row r="40" spans="3:19" x14ac:dyDescent="0.25">
      <c r="C40" s="159" t="s">
        <v>49</v>
      </c>
      <c r="D40" s="159" t="str">
        <f t="shared" si="8"/>
        <v>895</v>
      </c>
      <c r="E40" s="158" t="str">
        <f>VLOOKUP($C40,'Retail Rates'!$B$7:$P$40,2,FALSE)</f>
        <v>FT-C-PM</v>
      </c>
      <c r="F40" s="160" t="s">
        <v>318</v>
      </c>
      <c r="G40" s="160" t="s">
        <v>440</v>
      </c>
      <c r="H40" s="158"/>
      <c r="I40" s="204">
        <f>SUM(I36:I39)</f>
        <v>0</v>
      </c>
      <c r="J40" s="204">
        <f t="shared" ref="J40:O40" si="10">SUM(J36:J39)</f>
        <v>0</v>
      </c>
      <c r="K40" s="204">
        <f t="shared" si="10"/>
        <v>0</v>
      </c>
      <c r="L40" s="204">
        <f t="shared" si="10"/>
        <v>0</v>
      </c>
      <c r="M40" s="204">
        <f t="shared" si="10"/>
        <v>0</v>
      </c>
      <c r="N40" s="204">
        <f t="shared" si="10"/>
        <v>0</v>
      </c>
      <c r="O40" s="204">
        <f t="shared" si="10"/>
        <v>0</v>
      </c>
      <c r="P40" s="288">
        <f t="shared" si="9"/>
        <v>0</v>
      </c>
      <c r="Q40" s="213"/>
      <c r="R40" s="213"/>
      <c r="S40" s="213"/>
    </row>
    <row r="41" spans="3:19" x14ac:dyDescent="0.25">
      <c r="C41" s="159"/>
      <c r="D41" s="159"/>
      <c r="E41" s="158"/>
      <c r="F41" s="160"/>
      <c r="G41" s="160"/>
      <c r="H41" s="158"/>
      <c r="I41" s="158"/>
      <c r="J41" s="158"/>
      <c r="K41" s="158"/>
      <c r="L41" s="158"/>
      <c r="M41" s="158"/>
      <c r="N41" s="158"/>
      <c r="O41" s="158"/>
      <c r="P41" s="198"/>
      <c r="Q41" s="213"/>
      <c r="R41" s="213"/>
      <c r="S41" s="213"/>
    </row>
    <row r="42" spans="3:19" x14ac:dyDescent="0.25">
      <c r="C42" s="159"/>
      <c r="D42" s="159"/>
      <c r="E42" s="158"/>
      <c r="F42" s="160"/>
      <c r="G42" s="160" t="s">
        <v>441</v>
      </c>
      <c r="H42" s="158"/>
      <c r="I42" s="204">
        <f>I29+I40</f>
        <v>21210.17</v>
      </c>
      <c r="J42" s="204">
        <f t="shared" ref="J42:O42" si="11">J29+J40</f>
        <v>20971.13</v>
      </c>
      <c r="K42" s="204">
        <f t="shared" si="11"/>
        <v>20872.949999999997</v>
      </c>
      <c r="L42" s="204">
        <f t="shared" si="11"/>
        <v>20870.649999999998</v>
      </c>
      <c r="M42" s="204">
        <f t="shared" si="11"/>
        <v>20580.560000000001</v>
      </c>
      <c r="N42" s="204">
        <f t="shared" si="11"/>
        <v>20530.870000000003</v>
      </c>
      <c r="O42" s="204">
        <f t="shared" si="11"/>
        <v>20602.36</v>
      </c>
      <c r="P42" s="288">
        <f>SUM(I42:N42)</f>
        <v>125036.32999999999</v>
      </c>
      <c r="Q42" s="213"/>
      <c r="R42" s="213"/>
      <c r="S42" s="213"/>
    </row>
    <row r="43" spans="3:19" x14ac:dyDescent="0.25">
      <c r="C43" s="159"/>
      <c r="D43" s="159"/>
      <c r="E43" s="158"/>
      <c r="F43" s="160"/>
      <c r="G43" s="160"/>
      <c r="H43" s="158"/>
      <c r="I43" s="158"/>
      <c r="J43" s="158"/>
      <c r="K43" s="158"/>
      <c r="L43" s="158"/>
      <c r="M43" s="158"/>
      <c r="N43" s="158"/>
      <c r="O43" s="158"/>
      <c r="P43" s="158"/>
      <c r="Q43" s="213"/>
      <c r="R43" s="213"/>
      <c r="S43" s="213"/>
    </row>
    <row r="44" spans="3:19" x14ac:dyDescent="0.25">
      <c r="C44" s="159"/>
      <c r="D44" s="159"/>
      <c r="E44" s="158"/>
      <c r="F44" s="160" t="s">
        <v>261</v>
      </c>
      <c r="G44" s="160" t="s">
        <v>442</v>
      </c>
      <c r="H44" s="158"/>
      <c r="I44" s="198">
        <f>SUMIFS('Bruise Report-Tariff'!$C$5:$C$64,'Bruise Report-Tariff'!$A$5:$A$64,'Mar20-Aug20 Transport Actuals'!I$4,'Bruise Report-Tariff'!$B$5:$B$64,'Mar20-Aug20 Transport Actuals'!$F$44)</f>
        <v>21210.19</v>
      </c>
      <c r="J44" s="198">
        <f>SUMIFS('Bruise Report-Tariff'!$C$5:$C$64,'Bruise Report-Tariff'!$A$5:$A$64,'Mar20-Aug20 Transport Actuals'!J$4,'Bruise Report-Tariff'!$B$5:$B$64,'Mar20-Aug20 Transport Actuals'!$F$44)</f>
        <v>20971.14</v>
      </c>
      <c r="K44" s="198">
        <f>SUMIFS('Bruise Report-Tariff'!$C$5:$C$64,'Bruise Report-Tariff'!$A$5:$A$64,'Mar20-Aug20 Transport Actuals'!K$4,'Bruise Report-Tariff'!$B$5:$B$64,'Mar20-Aug20 Transport Actuals'!$F$44)</f>
        <v>20872.96</v>
      </c>
      <c r="L44" s="198">
        <f>SUMIFS('Bruise Report-Tariff'!$C$5:$C$64,'Bruise Report-Tariff'!$A$5:$A$64,'Mar20-Aug20 Transport Actuals'!L$4,'Bruise Report-Tariff'!$B$5:$B$64,'Mar20-Aug20 Transport Actuals'!$F$44)</f>
        <v>20870.649999999998</v>
      </c>
      <c r="M44" s="198">
        <f>SUMIFS('Bruise Report-Tariff'!$C$5:$C$64,'Bruise Report-Tariff'!$A$5:$A$64,'Mar20-Aug20 Transport Actuals'!M$4,'Bruise Report-Tariff'!$B$5:$B$64,'Mar20-Aug20 Transport Actuals'!$F$44)</f>
        <v>20580.559999999998</v>
      </c>
      <c r="N44" s="198">
        <f>SUMIFS('Bruise Report-Tariff'!$C$5:$C$64,'Bruise Report-Tariff'!$A$5:$A$64,'Mar20-Aug20 Transport Actuals'!N$4,'Bruise Report-Tariff'!$B$5:$B$64,'Mar20-Aug20 Transport Actuals'!$F$44)</f>
        <v>20530.88</v>
      </c>
      <c r="O44" s="198">
        <f>SUMIFS('Bruise Report-Tariff'!$C$5:$C$64,'Bruise Report-Tariff'!$A$5:$A$64,'Mar20-Aug20 Transport Actuals'!O$4,'Bruise Report-Tariff'!$B$5:$B$64,'Mar20-Aug20 Transport Actuals'!$F$44)</f>
        <v>0</v>
      </c>
      <c r="P44" s="288">
        <f>SUM(I44:N44)</f>
        <v>125036.38</v>
      </c>
      <c r="Q44" s="213"/>
      <c r="R44" s="213"/>
      <c r="S44" s="213"/>
    </row>
    <row r="45" spans="3:19" x14ac:dyDescent="0.25">
      <c r="C45" s="159"/>
      <c r="D45" s="159"/>
      <c r="E45" s="158"/>
      <c r="F45" s="160"/>
      <c r="G45" s="160"/>
      <c r="H45" s="158"/>
      <c r="I45" s="158"/>
      <c r="J45" s="158"/>
      <c r="K45" s="158"/>
      <c r="L45" s="158"/>
      <c r="M45" s="158"/>
      <c r="N45" s="158"/>
      <c r="O45" s="158"/>
      <c r="P45" s="158"/>
      <c r="Q45" s="213"/>
      <c r="R45" s="213"/>
      <c r="S45" s="213"/>
    </row>
    <row r="46" spans="3:19" x14ac:dyDescent="0.25">
      <c r="C46" s="159"/>
      <c r="D46" s="159"/>
      <c r="E46" s="158"/>
      <c r="F46" s="160"/>
      <c r="G46" s="160" t="s">
        <v>152</v>
      </c>
      <c r="H46" s="158"/>
      <c r="I46" s="204">
        <f>I42-I44</f>
        <v>-2.0000000000436557E-2</v>
      </c>
      <c r="J46" s="204">
        <f t="shared" ref="J46:O46" si="12">J42-J44</f>
        <v>-9.9999999983992893E-3</v>
      </c>
      <c r="K46" s="204">
        <f t="shared" si="12"/>
        <v>-1.0000000002037268E-2</v>
      </c>
      <c r="L46" s="204">
        <f t="shared" si="12"/>
        <v>0</v>
      </c>
      <c r="M46" s="204">
        <f t="shared" si="12"/>
        <v>0</v>
      </c>
      <c r="N46" s="204">
        <f t="shared" si="12"/>
        <v>-9.9999999983992893E-3</v>
      </c>
      <c r="O46" s="204">
        <f t="shared" si="12"/>
        <v>20602.36</v>
      </c>
      <c r="P46" s="288">
        <f>SUM(I46:N46)</f>
        <v>-4.9999999999272404E-2</v>
      </c>
      <c r="Q46" s="213"/>
      <c r="R46" s="213"/>
      <c r="S46" s="213"/>
    </row>
    <row r="47" spans="3:19" x14ac:dyDescent="0.25">
      <c r="C47" s="199"/>
      <c r="D47" s="159"/>
      <c r="E47" s="158"/>
      <c r="F47" s="160"/>
      <c r="G47" s="160"/>
      <c r="H47" s="160"/>
      <c r="I47" s="158"/>
      <c r="J47" s="158"/>
      <c r="K47" s="158"/>
      <c r="L47" s="158"/>
      <c r="M47" s="158"/>
      <c r="N47" s="158"/>
      <c r="O47" s="158"/>
      <c r="P47" s="158"/>
      <c r="Q47" s="213"/>
      <c r="R47" s="213"/>
      <c r="S47" s="213"/>
    </row>
    <row r="48" spans="3:19" x14ac:dyDescent="0.25">
      <c r="C48" s="199"/>
      <c r="D48" s="159"/>
      <c r="E48" s="158"/>
      <c r="F48" s="160"/>
      <c r="G48" s="160"/>
      <c r="H48" s="160"/>
      <c r="I48" s="158"/>
      <c r="J48" s="158"/>
      <c r="K48" s="158"/>
      <c r="L48" s="158"/>
      <c r="M48" s="158"/>
      <c r="N48" s="158"/>
      <c r="O48" s="158"/>
      <c r="P48" s="158"/>
      <c r="Q48" s="213"/>
      <c r="R48" s="213"/>
      <c r="S48" s="213"/>
    </row>
    <row r="49" spans="3:19" x14ac:dyDescent="0.25">
      <c r="C49" s="158"/>
      <c r="D49" s="158"/>
      <c r="E49" s="158"/>
      <c r="F49" s="158"/>
      <c r="G49" s="166" t="s">
        <v>240</v>
      </c>
      <c r="H49" s="166"/>
      <c r="I49" s="158"/>
      <c r="J49" s="158"/>
      <c r="K49" s="158"/>
      <c r="L49" s="158"/>
      <c r="M49" s="158"/>
      <c r="N49" s="158"/>
      <c r="O49" s="158"/>
      <c r="P49" s="158"/>
      <c r="Q49" s="213"/>
      <c r="R49" s="213"/>
      <c r="S49" s="213"/>
    </row>
    <row r="50" spans="3:19" x14ac:dyDescent="0.25">
      <c r="C50" s="159" t="s">
        <v>36</v>
      </c>
      <c r="D50" s="159" t="str">
        <f>MID(C50,6,3)</f>
        <v>896</v>
      </c>
      <c r="E50" s="158" t="str">
        <f>VLOOKUP($C50,'Retail Rates'!$B$7:$P$40,2,FALSE)</f>
        <v>FT-I</v>
      </c>
      <c r="F50" s="160" t="s">
        <v>320</v>
      </c>
      <c r="G50" s="161" t="s">
        <v>157</v>
      </c>
      <c r="H50" s="162"/>
      <c r="I50" s="158">
        <f t="shared" ref="I50:O50" si="13">+I57/I52</f>
        <v>48</v>
      </c>
      <c r="J50" s="158">
        <v>49</v>
      </c>
      <c r="K50" s="158">
        <f t="shared" si="13"/>
        <v>49</v>
      </c>
      <c r="L50" s="158">
        <f t="shared" si="13"/>
        <v>47</v>
      </c>
      <c r="M50" s="158">
        <f t="shared" si="13"/>
        <v>48</v>
      </c>
      <c r="N50" s="158">
        <f t="shared" si="13"/>
        <v>48</v>
      </c>
      <c r="O50" s="158">
        <f t="shared" si="13"/>
        <v>48</v>
      </c>
      <c r="P50" s="288">
        <f>SUM(I50:N50)</f>
        <v>289</v>
      </c>
      <c r="Q50" s="213" t="s">
        <v>1048</v>
      </c>
      <c r="R50" s="213" t="s">
        <v>1036</v>
      </c>
      <c r="S50" s="213" t="s">
        <v>1043</v>
      </c>
    </row>
    <row r="51" spans="3:19" x14ac:dyDescent="0.25">
      <c r="C51" s="159" t="s">
        <v>36</v>
      </c>
      <c r="D51" s="159" t="str">
        <f t="shared" ref="D51:D66" si="14">MID(C51,6,3)</f>
        <v>896</v>
      </c>
      <c r="E51" s="158" t="str">
        <f>VLOOKUP($C51,'Retail Rates'!$B$7:$P$40,2,FALSE)</f>
        <v>FT-I</v>
      </c>
      <c r="F51" s="160" t="s">
        <v>320</v>
      </c>
      <c r="G51" s="160" t="s">
        <v>158</v>
      </c>
      <c r="H51" s="156" t="s">
        <v>265</v>
      </c>
      <c r="I51" s="210">
        <f>SUMIFS('Data-Transport'!$H$4:$H$10000,'Data-Transport'!$A$4:$A$10000,'Mar20-Aug20 Transport Actuals'!I$4,'Data-Transport'!$B$4:$B$10000,'Mar20-Aug20 Transport Actuals'!$C$51,'Data-Transport'!$D$4:$D$10000,'Mar20-Aug20 Transport Actuals'!$F$51,'Data-Transport'!$E$4:$E$10000,'Mar20-Aug20 Transport Actuals'!$H$51,'Data-Transport'!$F$4:$F$10000,'Mar20-Aug20 Transport Actuals'!I$6)/10</f>
        <v>1248498.5</v>
      </c>
      <c r="J51" s="210">
        <f>SUMIFS('Data-Transport'!$H$4:$H$10000,'Data-Transport'!$A$4:$A$10000,'Mar20-Aug20 Transport Actuals'!J$4,'Data-Transport'!$B$4:$B$10000,'Mar20-Aug20 Transport Actuals'!$C$51,'Data-Transport'!$D$4:$D$10000,'Mar20-Aug20 Transport Actuals'!$F$51,'Data-Transport'!$E$4:$E$10000,'Mar20-Aug20 Transport Actuals'!$H$51,'Data-Transport'!$F$4:$F$10000,'Mar20-Aug20 Transport Actuals'!J$6)/10</f>
        <v>970566.7</v>
      </c>
      <c r="K51" s="210">
        <f>SUMIFS('Data-Transport'!$H$4:$H$10000,'Data-Transport'!$A$4:$A$10000,'Mar20-Aug20 Transport Actuals'!K$4,'Data-Transport'!$B$4:$B$10000,'Mar20-Aug20 Transport Actuals'!$C$51,'Data-Transport'!$D$4:$D$10000,'Mar20-Aug20 Transport Actuals'!$F$51,'Data-Transport'!$E$4:$E$10000,'Mar20-Aug20 Transport Actuals'!$H$51,'Data-Transport'!$F$4:$F$10000,'Mar20-Aug20 Transport Actuals'!K$6)/10</f>
        <v>650727.19999999995</v>
      </c>
      <c r="L51" s="210">
        <f>SUMIFS('Data-Transport'!$H$4:$H$10000,'Data-Transport'!$A$4:$A$10000,'Mar20-Aug20 Transport Actuals'!L$4,'Data-Transport'!$B$4:$B$10000,'Mar20-Aug20 Transport Actuals'!$C$51,'Data-Transport'!$D$4:$D$10000,'Mar20-Aug20 Transport Actuals'!$F$51,'Data-Transport'!$E$4:$E$10000,'Mar20-Aug20 Transport Actuals'!$H$51,'Data-Transport'!$F$4:$F$10000,'Mar20-Aug20 Transport Actuals'!L$6)/10</f>
        <v>663513.19999999995</v>
      </c>
      <c r="M51" s="210">
        <f>SUMIFS('Data-Transport'!$H$4:$H$10000,'Data-Transport'!$A$4:$A$10000,'Mar20-Aug20 Transport Actuals'!M$4,'Data-Transport'!$B$4:$B$10000,'Mar20-Aug20 Transport Actuals'!$C$51,'Data-Transport'!$D$4:$D$10000,'Mar20-Aug20 Transport Actuals'!$F$51,'Data-Transport'!$E$4:$E$10000,'Mar20-Aug20 Transport Actuals'!$H$51,'Data-Transport'!$F$4:$F$10000,'Mar20-Aug20 Transport Actuals'!M$6)/10</f>
        <v>673858.4</v>
      </c>
      <c r="N51" s="210">
        <f>SUMIFS('Data-Transport'!$H$4:$H$10000,'Data-Transport'!$A$4:$A$10000,'Mar20-Aug20 Transport Actuals'!N$4,'Data-Transport'!$B$4:$B$10000,'Mar20-Aug20 Transport Actuals'!$C$51,'Data-Transport'!$D$4:$D$10000,'Mar20-Aug20 Transport Actuals'!$F$51,'Data-Transport'!$E$4:$E$10000,'Mar20-Aug20 Transport Actuals'!$H$51,'Data-Transport'!$F$4:$F$10000,'Mar20-Aug20 Transport Actuals'!N$6)/10</f>
        <v>623213</v>
      </c>
      <c r="O51" s="210">
        <f>SUMIFS('Data-Transport'!$H$4:$H$10000,'Data-Transport'!$A$4:$A$10000,'Mar20-Aug20 Transport Actuals'!O$4,'Data-Transport'!$B$4:$B$10000,'Mar20-Aug20 Transport Actuals'!$Q$51,'Data-Transport'!$D$4:$D$10000,'Mar20-Aug20 Transport Actuals'!$F$51,'Data-Transport'!$E$4:$E$10000,'Mar20-Aug20 Transport Actuals'!$R$51,'Data-Transport'!$F$4:$F$10000,'Mar20-Aug20 Transport Actuals'!O$6)/10+SUMIFS('Data-Transport'!$H$4:$H$10000,'Data-Transport'!$A$4:$A$10000,'Mar20-Aug20 Transport Actuals'!O$4,'Data-Transport'!$B$4:$B$10000,'Mar20-Aug20 Transport Actuals'!$S$51,'Data-Transport'!$D$4:$D$10000,'Mar20-Aug20 Transport Actuals'!$F$51,'Data-Transport'!$E$4:$E$10000,'Mar20-Aug20 Transport Actuals'!$R$51,'Data-Transport'!$F$4:$F$10000,'Mar20-Aug20 Transport Actuals'!O$6)/10</f>
        <v>659342</v>
      </c>
      <c r="P51" s="288">
        <f>SUM(I51:N51)</f>
        <v>4830377.0000000009</v>
      </c>
      <c r="Q51" s="213" t="s">
        <v>1048</v>
      </c>
      <c r="R51" s="213" t="s">
        <v>1036</v>
      </c>
      <c r="S51" s="213" t="s">
        <v>1043</v>
      </c>
    </row>
    <row r="52" spans="3:19" x14ac:dyDescent="0.25">
      <c r="C52" s="159" t="s">
        <v>36</v>
      </c>
      <c r="D52" s="159" t="str">
        <f t="shared" si="14"/>
        <v>896</v>
      </c>
      <c r="E52" s="158" t="str">
        <f>VLOOKUP($C52,'Retail Rates'!$B$7:$P$40,2,FALSE)</f>
        <v>FT-I</v>
      </c>
      <c r="F52" s="160" t="s">
        <v>320</v>
      </c>
      <c r="G52" s="160" t="s">
        <v>159</v>
      </c>
      <c r="H52" s="160"/>
      <c r="I52" s="158">
        <f>VLOOKUP($C52,'Retail Rates'!$B$7:$P$40,6,FALSE)</f>
        <v>550</v>
      </c>
      <c r="J52" s="158">
        <f>VLOOKUP($C52,'Retail Rates'!$B$7:$P$40,6,FALSE)</f>
        <v>550</v>
      </c>
      <c r="K52" s="158">
        <f>VLOOKUP($C52,'Retail Rates'!$B$7:$P$40,6,FALSE)</f>
        <v>550</v>
      </c>
      <c r="L52" s="158">
        <f>VLOOKUP($C52,'Retail Rates'!$B$7:$P$40,6,FALSE)</f>
        <v>550</v>
      </c>
      <c r="M52" s="158">
        <f>VLOOKUP($C52,'Retail Rates'!$B$7:$P$40,6,FALSE)</f>
        <v>550</v>
      </c>
      <c r="N52" s="158">
        <f>VLOOKUP($C52,'Retail Rates'!$B$7:$P$40,6,FALSE)</f>
        <v>550</v>
      </c>
      <c r="O52" s="158">
        <f>VLOOKUP($C52,'Retail Rates'!$B$7:$P$40,6,FALSE)</f>
        <v>550</v>
      </c>
      <c r="P52" s="289"/>
      <c r="Q52" s="213"/>
      <c r="R52" s="213"/>
      <c r="S52" s="213"/>
    </row>
    <row r="53" spans="3:19" x14ac:dyDescent="0.25">
      <c r="C53" s="159" t="s">
        <v>36</v>
      </c>
      <c r="D53" s="159" t="str">
        <f t="shared" si="14"/>
        <v>896</v>
      </c>
      <c r="E53" s="158" t="str">
        <f>VLOOKUP($C53,'Retail Rates'!$B$7:$P$40,2,FALSE)</f>
        <v>FT-I</v>
      </c>
      <c r="F53" s="160" t="s">
        <v>320</v>
      </c>
      <c r="G53" s="160" t="s">
        <v>331</v>
      </c>
      <c r="H53" s="160"/>
      <c r="I53" s="158">
        <f>VLOOKUP($C53,'Retail Rates'!$B$7:$P$40,5,FALSE)</f>
        <v>750</v>
      </c>
      <c r="J53" s="158">
        <f>VLOOKUP($C53,'Retail Rates'!$B$7:$P$40,5,FALSE)</f>
        <v>750</v>
      </c>
      <c r="K53" s="158">
        <f>VLOOKUP($C53,'Retail Rates'!$B$7:$P$40,5,FALSE)</f>
        <v>750</v>
      </c>
      <c r="L53" s="158">
        <f>VLOOKUP($C53,'Retail Rates'!$B$7:$P$40,5,FALSE)</f>
        <v>750</v>
      </c>
      <c r="M53" s="158">
        <f>VLOOKUP($C53,'Retail Rates'!$B$7:$P$40,5,FALSE)</f>
        <v>750</v>
      </c>
      <c r="N53" s="158">
        <f>VLOOKUP($C53,'Retail Rates'!$B$7:$P$40,5,FALSE)</f>
        <v>750</v>
      </c>
      <c r="O53" s="158">
        <f>VLOOKUP($C53,'Retail Rates'!$B$7:$P$40,5,FALSE)</f>
        <v>750</v>
      </c>
      <c r="P53" s="289"/>
      <c r="Q53" s="213"/>
      <c r="R53" s="213"/>
      <c r="S53" s="213"/>
    </row>
    <row r="54" spans="3:19" x14ac:dyDescent="0.25">
      <c r="C54" s="159" t="s">
        <v>36</v>
      </c>
      <c r="D54" s="159" t="str">
        <f t="shared" si="14"/>
        <v>896</v>
      </c>
      <c r="E54" s="158" t="str">
        <f>VLOOKUP($C54,'Retail Rates'!$B$7:$P$40,2,FALSE)</f>
        <v>FT-I</v>
      </c>
      <c r="F54" s="160" t="s">
        <v>320</v>
      </c>
      <c r="G54" s="160" t="s">
        <v>160</v>
      </c>
      <c r="H54" s="160"/>
      <c r="I54" s="194">
        <f>VLOOKUP($C54,'Retail Rates'!$B$7:$P$40,10,FALSE)</f>
        <v>3.7999999999999999E-2</v>
      </c>
      <c r="J54" s="158">
        <f>VLOOKUP($C54,'Retail Rates'!$B$7:$P$40,10,FALSE)</f>
        <v>3.7999999999999999E-2</v>
      </c>
      <c r="K54" s="158">
        <f>VLOOKUP($C54,'Retail Rates'!$B$7:$P$40,10,FALSE)</f>
        <v>3.7999999999999999E-2</v>
      </c>
      <c r="L54" s="158">
        <f>VLOOKUP($C54,'Retail Rates'!$B$7:$P$40,10,FALSE)</f>
        <v>3.7999999999999999E-2</v>
      </c>
      <c r="M54" s="158">
        <f>VLOOKUP($C54,'Retail Rates'!$B$7:$P$40,10,FALSE)</f>
        <v>3.7999999999999999E-2</v>
      </c>
      <c r="N54" s="158">
        <f>VLOOKUP($C54,'Retail Rates'!$B$7:$P$40,10,FALSE)</f>
        <v>3.7999999999999999E-2</v>
      </c>
      <c r="O54" s="158">
        <f>VLOOKUP($C54,'Retail Rates'!$B$7:$P$40,10,FALSE)</f>
        <v>3.7999999999999999E-2</v>
      </c>
      <c r="P54" s="289"/>
      <c r="Q54" s="213"/>
      <c r="R54" s="213"/>
      <c r="S54" s="213"/>
    </row>
    <row r="55" spans="3:19" x14ac:dyDescent="0.25">
      <c r="C55" s="159" t="s">
        <v>36</v>
      </c>
      <c r="D55" s="159" t="str">
        <f t="shared" si="14"/>
        <v>896</v>
      </c>
      <c r="E55" s="158" t="str">
        <f>VLOOKUP($C55,'Retail Rates'!$B$7:$P$40,2,FALSE)</f>
        <v>FT-I</v>
      </c>
      <c r="F55" s="160" t="s">
        <v>320</v>
      </c>
      <c r="G55" s="163" t="s">
        <v>168</v>
      </c>
      <c r="H55" s="163"/>
      <c r="I55" s="194">
        <v>4.8899999999999997</v>
      </c>
      <c r="J55" s="194">
        <v>4.8899999999999997</v>
      </c>
      <c r="K55" s="194">
        <v>4.8899999999999997</v>
      </c>
      <c r="L55" s="194">
        <v>4.8899999999999997</v>
      </c>
      <c r="M55" s="194">
        <v>4.8899999999999997</v>
      </c>
      <c r="N55" s="194">
        <v>4.8899999999999997</v>
      </c>
      <c r="O55" s="194">
        <v>4.8899999999999997</v>
      </c>
      <c r="P55" s="289"/>
      <c r="Q55" s="213"/>
      <c r="R55" s="213"/>
      <c r="S55" s="213"/>
    </row>
    <row r="56" spans="3:19" x14ac:dyDescent="0.25">
      <c r="C56" s="159" t="s">
        <v>36</v>
      </c>
      <c r="D56" s="159" t="str">
        <f t="shared" si="14"/>
        <v>896</v>
      </c>
      <c r="E56" s="158" t="str">
        <f>VLOOKUP($C56,'Retail Rates'!$B$7:$P$40,2,FALSE)</f>
        <v>FT-I</v>
      </c>
      <c r="F56" s="160" t="s">
        <v>320</v>
      </c>
      <c r="G56" s="164" t="s">
        <v>162</v>
      </c>
      <c r="H56" s="164"/>
      <c r="I56" s="213"/>
      <c r="J56" s="213"/>
      <c r="K56" s="213"/>
      <c r="L56" s="213"/>
      <c r="M56" s="213"/>
      <c r="N56" s="213"/>
      <c r="O56" s="213"/>
      <c r="P56" s="290"/>
      <c r="Q56" s="213"/>
      <c r="R56" s="213"/>
      <c r="S56" s="213"/>
    </row>
    <row r="57" spans="3:19" x14ac:dyDescent="0.25">
      <c r="C57" s="159" t="s">
        <v>36</v>
      </c>
      <c r="D57" s="159" t="str">
        <f t="shared" si="14"/>
        <v>896</v>
      </c>
      <c r="E57" s="158" t="str">
        <f>VLOOKUP($C57,'Retail Rates'!$B$7:$P$40,2,FALSE)</f>
        <v>FT-I</v>
      </c>
      <c r="F57" s="160" t="s">
        <v>320</v>
      </c>
      <c r="G57" s="160" t="s">
        <v>163</v>
      </c>
      <c r="H57" s="156" t="s">
        <v>268</v>
      </c>
      <c r="I57" s="196">
        <f>SUMIFS('Data-Transport'!$K$4:$K$10000,'Data-Transport'!$A$4:$A$10000,'Mar20-Aug20 Transport Actuals'!I$4,'Data-Transport'!$B$4:$B$10000,'Mar20-Aug20 Transport Actuals'!$C$57,'Data-Transport'!$D$4:$D$10000,'Mar20-Aug20 Transport Actuals'!$F$57,'Data-Transport'!$E$4:$E$10000,'Mar20-Aug20 Transport Actuals'!$H$57,'Data-Transport'!$F$4:$F$10000,'Mar20-Aug20 Transport Actuals'!I$6)</f>
        <v>26400</v>
      </c>
      <c r="J57" s="196">
        <f>SUMIFS('Data-Transport'!$K$4:$K$10000,'Data-Transport'!$A$4:$A$10000,'Mar20-Aug20 Transport Actuals'!J$4,'Data-Transport'!$B$4:$B$10000,'Mar20-Aug20 Transport Actuals'!$C$57,'Data-Transport'!$D$4:$D$10000,'Mar20-Aug20 Transport Actuals'!$F$57,'Data-Transport'!$E$4:$E$10000,'Mar20-Aug20 Transport Actuals'!$H$57,'Data-Transport'!$F$4:$F$10000,'Mar20-Aug20 Transport Actuals'!J$6)</f>
        <v>26510</v>
      </c>
      <c r="K57" s="196">
        <f>SUMIFS('Data-Transport'!$K$4:$K$10000,'Data-Transport'!$A$4:$A$10000,'Mar20-Aug20 Transport Actuals'!K$4,'Data-Transport'!$B$4:$B$10000,'Mar20-Aug20 Transport Actuals'!$C$57,'Data-Transport'!$D$4:$D$10000,'Mar20-Aug20 Transport Actuals'!$F$57,'Data-Transport'!$E$4:$E$10000,'Mar20-Aug20 Transport Actuals'!$H$57,'Data-Transport'!$F$4:$F$10000,'Mar20-Aug20 Transport Actuals'!K$6)</f>
        <v>26950</v>
      </c>
      <c r="L57" s="196">
        <f>SUMIFS('Data-Transport'!$K$4:$K$10000,'Data-Transport'!$A$4:$A$10000,'Mar20-Aug20 Transport Actuals'!L$4,'Data-Transport'!$B$4:$B$10000,'Mar20-Aug20 Transport Actuals'!$C$57,'Data-Transport'!$D$4:$D$10000,'Mar20-Aug20 Transport Actuals'!$F$57,'Data-Transport'!$E$4:$E$10000,'Mar20-Aug20 Transport Actuals'!$H$57,'Data-Transport'!$F$4:$F$10000,'Mar20-Aug20 Transport Actuals'!L$6)</f>
        <v>25850</v>
      </c>
      <c r="M57" s="196">
        <f>SUMIFS('Data-Transport'!$K$4:$K$10000,'Data-Transport'!$A$4:$A$10000,'Mar20-Aug20 Transport Actuals'!M$4,'Data-Transport'!$B$4:$B$10000,'Mar20-Aug20 Transport Actuals'!$C$57,'Data-Transport'!$D$4:$D$10000,'Mar20-Aug20 Transport Actuals'!$F$57,'Data-Transport'!$E$4:$E$10000,'Mar20-Aug20 Transport Actuals'!$H$57,'Data-Transport'!$F$4:$F$10000,'Mar20-Aug20 Transport Actuals'!M$6)</f>
        <v>26400</v>
      </c>
      <c r="N57" s="196">
        <f>SUMIFS('Data-Transport'!$K$4:$K$10000,'Data-Transport'!$A$4:$A$10000,'Mar20-Aug20 Transport Actuals'!N$4,'Data-Transport'!$B$4:$B$10000,'Mar20-Aug20 Transport Actuals'!$C$57,'Data-Transport'!$D$4:$D$10000,'Mar20-Aug20 Transport Actuals'!$F$57,'Data-Transport'!$E$4:$E$10000,'Mar20-Aug20 Transport Actuals'!$H$57,'Data-Transport'!$F$4:$F$10000,'Mar20-Aug20 Transport Actuals'!N$6)</f>
        <v>26400</v>
      </c>
      <c r="O57" s="196">
        <f>SUMIFS('Data-Transport'!$K$4:$K$10000,'Data-Transport'!$A$4:$A$10000,'Mar20-Aug20 Transport Actuals'!O$4,'Data-Transport'!$B$4:$B$10000,'Mar20-Aug20 Transport Actuals'!$Q$57,'Data-Transport'!$D$4:$D$10000,'Mar20-Aug20 Transport Actuals'!$F$57,'Data-Transport'!$E$4:$E$10000,'Mar20-Aug20 Transport Actuals'!$R$57,'Data-Transport'!$F$4:$F$10000,'Mar20-Aug20 Transport Actuals'!O$6)+SUMIFS('Data-Transport'!$K$4:$K$10000,'Data-Transport'!$A$4:$A$10000,'Mar20-Aug20 Transport Actuals'!O$4,'Data-Transport'!$B$4:$B$10000,'Mar20-Aug20 Transport Actuals'!$S$57,'Data-Transport'!$D$4:$D$10000,'Mar20-Aug20 Transport Actuals'!$F$57,'Data-Transport'!$E$4:$E$10000,'Mar20-Aug20 Transport Actuals'!$R$57,'Data-Transport'!$F$4:$F$10000,'Mar20-Aug20 Transport Actuals'!O$6)</f>
        <v>26400</v>
      </c>
      <c r="P57" s="288">
        <f>SUM(I57:N57)</f>
        <v>158510</v>
      </c>
      <c r="Q57" s="213" t="s">
        <v>1048</v>
      </c>
      <c r="R57" s="213" t="s">
        <v>268</v>
      </c>
      <c r="S57" s="213" t="s">
        <v>1043</v>
      </c>
    </row>
    <row r="58" spans="3:19" x14ac:dyDescent="0.25">
      <c r="C58" s="159" t="s">
        <v>36</v>
      </c>
      <c r="D58" s="159" t="str">
        <f t="shared" si="14"/>
        <v>896</v>
      </c>
      <c r="E58" s="158" t="str">
        <f>VLOOKUP($C58,'Retail Rates'!$B$7:$P$40,2,FALSE)</f>
        <v>FT-I</v>
      </c>
      <c r="F58" s="160" t="s">
        <v>320</v>
      </c>
      <c r="G58" s="160" t="s">
        <v>331</v>
      </c>
      <c r="H58" s="156" t="s">
        <v>272</v>
      </c>
      <c r="I58" s="196">
        <f>SUMIFS('Data-Transport'!$K$4:$K$10000,'Data-Transport'!$A$4:$A$10000,'Mar20-Aug20 Transport Actuals'!I$4,'Data-Transport'!$B$4:$B$10000,'Mar20-Aug20 Transport Actuals'!$C$58,'Data-Transport'!$D$4:$D$10000,'Mar20-Aug20 Transport Actuals'!$F$58,'Data-Transport'!$E$4:$E$10000,'Mar20-Aug20 Transport Actuals'!$H$58,'Data-Transport'!$F$4:$F$10000,'Mar20-Aug20 Transport Actuals'!I$6)</f>
        <v>36000</v>
      </c>
      <c r="J58" s="196">
        <f>SUMIFS('Data-Transport'!$K$4:$K$10000,'Data-Transport'!$A$4:$A$10000,'Mar20-Aug20 Transport Actuals'!J$4,'Data-Transport'!$B$4:$B$10000,'Mar20-Aug20 Transport Actuals'!$C$58,'Data-Transport'!$D$4:$D$10000,'Mar20-Aug20 Transport Actuals'!$F$58,'Data-Transport'!$E$4:$E$10000,'Mar20-Aug20 Transport Actuals'!$H$58,'Data-Transport'!$F$4:$F$10000,'Mar20-Aug20 Transport Actuals'!J$6)</f>
        <v>36150</v>
      </c>
      <c r="K58" s="196">
        <f>SUMIFS('Data-Transport'!$K$4:$K$10000,'Data-Transport'!$A$4:$A$10000,'Mar20-Aug20 Transport Actuals'!K$4,'Data-Transport'!$B$4:$B$10000,'Mar20-Aug20 Transport Actuals'!$C$58,'Data-Transport'!$D$4:$D$10000,'Mar20-Aug20 Transport Actuals'!$F$58,'Data-Transport'!$E$4:$E$10000,'Mar20-Aug20 Transport Actuals'!$H$58,'Data-Transport'!$F$4:$F$10000,'Mar20-Aug20 Transport Actuals'!K$6)</f>
        <v>36750</v>
      </c>
      <c r="L58" s="196">
        <f>SUMIFS('Data-Transport'!$K$4:$K$10000,'Data-Transport'!$A$4:$A$10000,'Mar20-Aug20 Transport Actuals'!L$4,'Data-Transport'!$B$4:$B$10000,'Mar20-Aug20 Transport Actuals'!$C$58,'Data-Transport'!$D$4:$D$10000,'Mar20-Aug20 Transport Actuals'!$F$58,'Data-Transport'!$E$4:$E$10000,'Mar20-Aug20 Transport Actuals'!$H$58,'Data-Transport'!$F$4:$F$10000,'Mar20-Aug20 Transport Actuals'!L$6)</f>
        <v>35250</v>
      </c>
      <c r="M58" s="196">
        <f>SUMIFS('Data-Transport'!$K$4:$K$10000,'Data-Transport'!$A$4:$A$10000,'Mar20-Aug20 Transport Actuals'!M$4,'Data-Transport'!$B$4:$B$10000,'Mar20-Aug20 Transport Actuals'!$C$58,'Data-Transport'!$D$4:$D$10000,'Mar20-Aug20 Transport Actuals'!$F$58,'Data-Transport'!$E$4:$E$10000,'Mar20-Aug20 Transport Actuals'!$H$58,'Data-Transport'!$F$4:$F$10000,'Mar20-Aug20 Transport Actuals'!M$6)</f>
        <v>36000</v>
      </c>
      <c r="N58" s="196">
        <f>SUMIFS('Data-Transport'!$K$4:$K$10000,'Data-Transport'!$A$4:$A$10000,'Mar20-Aug20 Transport Actuals'!N$4,'Data-Transport'!$B$4:$B$10000,'Mar20-Aug20 Transport Actuals'!$C$58,'Data-Transport'!$D$4:$D$10000,'Mar20-Aug20 Transport Actuals'!$F$58,'Data-Transport'!$E$4:$E$10000,'Mar20-Aug20 Transport Actuals'!$H$58,'Data-Transport'!$F$4:$F$10000,'Mar20-Aug20 Transport Actuals'!N$6)</f>
        <v>36000</v>
      </c>
      <c r="O58" s="196">
        <f>SUMIFS('Data-Transport'!$K$4:$K$10000,'Data-Transport'!$A$4:$A$10000,'Mar20-Aug20 Transport Actuals'!O$4,'Data-Transport'!$B$4:$B$10000,'Mar20-Aug20 Transport Actuals'!$Q$58,'Data-Transport'!$D$4:$D$10000,'Mar20-Aug20 Transport Actuals'!$F$58,'Data-Transport'!$E$4:$E$10000,'Mar20-Aug20 Transport Actuals'!$R$58,'Data-Transport'!$F$4:$F$10000,'Mar20-Aug20 Transport Actuals'!O$6)+SUMIFS('Data-Transport'!$K$4:$K$10000,'Data-Transport'!$A$4:$A$10000,'Mar20-Aug20 Transport Actuals'!O$4,'Data-Transport'!$B$4:$B$10000,'Mar20-Aug20 Transport Actuals'!$S$58,'Data-Transport'!$D$4:$D$10000,'Mar20-Aug20 Transport Actuals'!$F$58,'Data-Transport'!$E$4:$E$10000,'Mar20-Aug20 Transport Actuals'!$R$58,'Data-Transport'!$F$4:$F$10000,'Mar20-Aug20 Transport Actuals'!O$6)</f>
        <v>36000</v>
      </c>
      <c r="P58" s="288">
        <f t="shared" ref="P58:P69" si="15">SUM(I58:N58)</f>
        <v>216150</v>
      </c>
      <c r="Q58" s="213" t="s">
        <v>1048</v>
      </c>
      <c r="R58" s="213" t="s">
        <v>272</v>
      </c>
      <c r="S58" s="213" t="s">
        <v>1043</v>
      </c>
    </row>
    <row r="59" spans="3:19" x14ac:dyDescent="0.25">
      <c r="C59" s="159" t="s">
        <v>36</v>
      </c>
      <c r="D59" s="159" t="str">
        <f t="shared" si="14"/>
        <v>896</v>
      </c>
      <c r="E59" s="158" t="str">
        <f>VLOOKUP($C59,'Retail Rates'!$B$7:$P$40,2,FALSE)</f>
        <v>FT-I</v>
      </c>
      <c r="F59" s="160" t="s">
        <v>320</v>
      </c>
      <c r="G59" s="160" t="s">
        <v>168</v>
      </c>
      <c r="H59" s="156" t="s">
        <v>914</v>
      </c>
      <c r="I59" s="196">
        <f>SUMIFS('Data-Transport'!$L$4:$L$10000,'Data-Transport'!$A$4:$A$10000,'Mar20-Aug20 Transport Actuals'!I$4,'Data-Transport'!$B$4:$B$10000,'Mar20-Aug20 Transport Actuals'!$C$59,'Data-Transport'!$D$4:$D$10000,'Mar20-Aug20 Transport Actuals'!$F$59,'Data-Transport'!$E$4:$E$10000,'Mar20-Aug20 Transport Actuals'!$H$59,'Data-Transport'!$F$4:$F$10000,'Mar20-Aug20 Transport Actuals'!I$6)</f>
        <v>319985.51</v>
      </c>
      <c r="J59" s="196">
        <f>SUMIFS('Data-Transport'!$L$4:$L$10000,'Data-Transport'!$A$4:$A$10000,'Mar20-Aug20 Transport Actuals'!J$4,'Data-Transport'!$B$4:$B$10000,'Mar20-Aug20 Transport Actuals'!$C$59,'Data-Transport'!$D$4:$D$10000,'Mar20-Aug20 Transport Actuals'!$F$59,'Data-Transport'!$E$4:$E$10000,'Mar20-Aug20 Transport Actuals'!$H$59,'Data-Transport'!$F$4:$F$10000,'Mar20-Aug20 Transport Actuals'!J$6)</f>
        <v>321259.24</v>
      </c>
      <c r="K59" s="196">
        <f>SUMIFS('Data-Transport'!$L$4:$L$10000,'Data-Transport'!$A$4:$A$10000,'Mar20-Aug20 Transport Actuals'!K$4,'Data-Transport'!$B$4:$B$10000,'Mar20-Aug20 Transport Actuals'!$C$59,'Data-Transport'!$D$4:$D$10000,'Mar20-Aug20 Transport Actuals'!$F$59,'Data-Transport'!$E$4:$E$10000,'Mar20-Aug20 Transport Actuals'!$H$59,'Data-Transport'!$F$4:$F$10000,'Mar20-Aug20 Transport Actuals'!K$6)</f>
        <v>321784.11</v>
      </c>
      <c r="L59" s="196">
        <f>SUMIFS('Data-Transport'!$L$4:$L$10000,'Data-Transport'!$A$4:$A$10000,'Mar20-Aug20 Transport Actuals'!L$4,'Data-Transport'!$B$4:$B$10000,'Mar20-Aug20 Transport Actuals'!$C$59,'Data-Transport'!$D$4:$D$10000,'Mar20-Aug20 Transport Actuals'!$F$59,'Data-Transport'!$E$4:$E$10000,'Mar20-Aug20 Transport Actuals'!$H$59,'Data-Transport'!$F$4:$F$10000,'Mar20-Aug20 Transport Actuals'!L$6)</f>
        <v>313720.92</v>
      </c>
      <c r="M59" s="196">
        <f>SUMIFS('Data-Transport'!$L$4:$L$10000,'Data-Transport'!$A$4:$A$10000,'Mar20-Aug20 Transport Actuals'!M$4,'Data-Transport'!$B$4:$B$10000,'Mar20-Aug20 Transport Actuals'!$C$59,'Data-Transport'!$D$4:$D$10000,'Mar20-Aug20 Transport Actuals'!$F$59,'Data-Transport'!$E$4:$E$10000,'Mar20-Aug20 Transport Actuals'!$H$59,'Data-Transport'!$F$4:$F$10000,'Mar20-Aug20 Transport Actuals'!M$6)</f>
        <v>319800.65999999997</v>
      </c>
      <c r="N59" s="196">
        <f>SUMIFS('Data-Transport'!$L$4:$L$10000,'Data-Transport'!$A$4:$A$10000,'Mar20-Aug20 Transport Actuals'!N$4,'Data-Transport'!$B$4:$B$10000,'Mar20-Aug20 Transport Actuals'!$C$59,'Data-Transport'!$D$4:$D$10000,'Mar20-Aug20 Transport Actuals'!$F$59,'Data-Transport'!$E$4:$E$10000,'Mar20-Aug20 Transport Actuals'!$H$59,'Data-Transport'!$F$4:$F$10000,'Mar20-Aug20 Transport Actuals'!N$6)</f>
        <v>319998.7</v>
      </c>
      <c r="O59" s="196">
        <f>SUMIFS('Data-Transport'!$L$4:$L$10000,'Data-Transport'!$A$4:$A$10000,'Mar20-Aug20 Transport Actuals'!O$4,'Data-Transport'!$B$4:$B$10000,'Mar20-Aug20 Transport Actuals'!$Q$59,'Data-Transport'!$D$4:$D$10000,'Mar20-Aug20 Transport Actuals'!$F$59,'Data-Transport'!$E$4:$E$10000,'Mar20-Aug20 Transport Actuals'!$R$59,'Data-Transport'!$F$4:$F$10000,'Mar20-Aug20 Transport Actuals'!O$6)+SUMIFS('Data-Transport'!$L$4:$L$10000,'Data-Transport'!$A$4:$A$10000,'Mar20-Aug20 Transport Actuals'!O$4,'Data-Transport'!$B$4:$B$10000,'Mar20-Aug20 Transport Actuals'!$S$59,'Data-Transport'!$D$4:$D$10000,'Mar20-Aug20 Transport Actuals'!$F$59,'Data-Transport'!$E$4:$E$10000,'Mar20-Aug20 Transport Actuals'!$R$59,'Data-Transport'!$F$4:$F$10000,'Mar20-Aug20 Transport Actuals'!O$6)</f>
        <v>319969.84999999998</v>
      </c>
      <c r="P59" s="288">
        <f t="shared" si="15"/>
        <v>1916549.14</v>
      </c>
      <c r="Q59" s="213" t="s">
        <v>1048</v>
      </c>
      <c r="R59" s="213" t="s">
        <v>914</v>
      </c>
      <c r="S59" s="213" t="s">
        <v>1043</v>
      </c>
    </row>
    <row r="60" spans="3:19" x14ac:dyDescent="0.25">
      <c r="C60" s="159" t="s">
        <v>36</v>
      </c>
      <c r="D60" s="159" t="str">
        <f t="shared" si="14"/>
        <v>896</v>
      </c>
      <c r="E60" s="158" t="str">
        <f>VLOOKUP($C60,'Retail Rates'!$B$7:$P$40,2,FALSE)</f>
        <v>FT-I</v>
      </c>
      <c r="F60" s="160" t="s">
        <v>320</v>
      </c>
      <c r="G60" s="160" t="s">
        <v>164</v>
      </c>
      <c r="H60" s="160"/>
      <c r="I60" s="197">
        <f t="shared" ref="I60:O60" si="16">ROUND(I51*I54,2)</f>
        <v>47442.94</v>
      </c>
      <c r="J60" s="197">
        <f t="shared" si="16"/>
        <v>36881.53</v>
      </c>
      <c r="K60" s="197">
        <f t="shared" si="16"/>
        <v>24727.63</v>
      </c>
      <c r="L60" s="197">
        <f t="shared" si="16"/>
        <v>25213.5</v>
      </c>
      <c r="M60" s="197">
        <f t="shared" si="16"/>
        <v>25606.62</v>
      </c>
      <c r="N60" s="197">
        <f t="shared" si="16"/>
        <v>23682.09</v>
      </c>
      <c r="O60" s="197">
        <f t="shared" si="16"/>
        <v>25055</v>
      </c>
      <c r="P60" s="288">
        <f t="shared" si="15"/>
        <v>183554.31</v>
      </c>
      <c r="Q60" s="213"/>
      <c r="R60" s="213"/>
      <c r="S60" s="213"/>
    </row>
    <row r="61" spans="3:19" x14ac:dyDescent="0.25">
      <c r="C61" s="159" t="s">
        <v>36</v>
      </c>
      <c r="D61" s="159" t="str">
        <f t="shared" si="14"/>
        <v>896</v>
      </c>
      <c r="E61" s="158" t="str">
        <f>VLOOKUP($C61,'Retail Rates'!$B$7:$P$40,2,FALSE)</f>
        <v>FT-I</v>
      </c>
      <c r="F61" s="160" t="s">
        <v>320</v>
      </c>
      <c r="G61" s="160" t="s">
        <v>165</v>
      </c>
      <c r="H61" s="160"/>
      <c r="I61" s="198">
        <f>SUM(I57:I60)</f>
        <v>429828.45</v>
      </c>
      <c r="J61" s="198">
        <f t="shared" ref="J61:O61" si="17">SUM(J57:J60)</f>
        <v>420800.77</v>
      </c>
      <c r="K61" s="198">
        <f t="shared" si="17"/>
        <v>410211.74</v>
      </c>
      <c r="L61" s="198">
        <f t="shared" si="17"/>
        <v>400034.42</v>
      </c>
      <c r="M61" s="198">
        <f t="shared" si="17"/>
        <v>407807.27999999997</v>
      </c>
      <c r="N61" s="198">
        <f t="shared" si="17"/>
        <v>406080.79000000004</v>
      </c>
      <c r="O61" s="198">
        <f t="shared" si="17"/>
        <v>407424.85</v>
      </c>
      <c r="P61" s="288">
        <f t="shared" si="15"/>
        <v>2474763.4500000002</v>
      </c>
      <c r="Q61" s="213"/>
      <c r="R61" s="213"/>
      <c r="S61" s="213"/>
    </row>
    <row r="62" spans="3:19" x14ac:dyDescent="0.25">
      <c r="C62" s="159" t="s">
        <v>36</v>
      </c>
      <c r="D62" s="159" t="str">
        <f t="shared" si="14"/>
        <v>896</v>
      </c>
      <c r="E62" s="158" t="s">
        <v>60</v>
      </c>
      <c r="F62" s="160" t="s">
        <v>320</v>
      </c>
      <c r="G62" s="160" t="s">
        <v>166</v>
      </c>
      <c r="H62" s="156" t="s">
        <v>109</v>
      </c>
      <c r="I62" s="196">
        <f>SUMIFS('Data-Transport'!$Q$4:$Q$10000,'Data-Transport'!$A$4:$A$10000,'Mar20-Aug20 Transport Actuals'!I$4,'Data-Transport'!$B$4:$B$10000,'Mar20-Aug20 Transport Actuals'!$C$62,'Data-Transport'!$D$4:$D$10000,'Mar20-Aug20 Transport Actuals'!$F$62,'Data-Transport'!$E$4:$E$10000,'Mar20-Aug20 Transport Actuals'!$H$62,'Data-Transport'!$F$4:$F$10000,'Mar20-Aug20 Transport Actuals'!I$6)</f>
        <v>0</v>
      </c>
      <c r="J62" s="196">
        <f>SUMIFS('Data-Transport'!$Q$4:$Q$10000,'Data-Transport'!$A$4:$A$10000,'Mar20-Aug20 Transport Actuals'!J$4,'Data-Transport'!$B$4:$B$10000,'Mar20-Aug20 Transport Actuals'!$C$62,'Data-Transport'!$D$4:$D$10000,'Mar20-Aug20 Transport Actuals'!$F$62,'Data-Transport'!$E$4:$E$10000,'Mar20-Aug20 Transport Actuals'!$H$62,'Data-Transport'!$F$4:$F$10000,'Mar20-Aug20 Transport Actuals'!J$6)</f>
        <v>0</v>
      </c>
      <c r="K62" s="196">
        <f>SUMIFS('Data-Transport'!$Q$4:$Q$10000,'Data-Transport'!$A$4:$A$10000,'Mar20-Aug20 Transport Actuals'!K$4,'Data-Transport'!$B$4:$B$10000,'Mar20-Aug20 Transport Actuals'!$C$62,'Data-Transport'!$D$4:$D$10000,'Mar20-Aug20 Transport Actuals'!$F$62,'Data-Transport'!$E$4:$E$10000,'Mar20-Aug20 Transport Actuals'!$H$62,'Data-Transport'!$F$4:$F$10000,'Mar20-Aug20 Transport Actuals'!K$6)</f>
        <v>0</v>
      </c>
      <c r="L62" s="196">
        <f>SUMIFS('Data-Transport'!$Q$4:$Q$10000,'Data-Transport'!$A$4:$A$10000,'Mar20-Aug20 Transport Actuals'!L$4,'Data-Transport'!$B$4:$B$10000,'Mar20-Aug20 Transport Actuals'!$C$62,'Data-Transport'!$D$4:$D$10000,'Mar20-Aug20 Transport Actuals'!$F$62,'Data-Transport'!$E$4:$E$10000,'Mar20-Aug20 Transport Actuals'!$H$62,'Data-Transport'!$F$4:$F$10000,'Mar20-Aug20 Transport Actuals'!L$6)</f>
        <v>0</v>
      </c>
      <c r="M62" s="196">
        <f>SUMIFS('Data-Transport'!$Q$4:$Q$10000,'Data-Transport'!$A$4:$A$10000,'Mar20-Aug20 Transport Actuals'!M$4,'Data-Transport'!$B$4:$B$10000,'Mar20-Aug20 Transport Actuals'!$C$62,'Data-Transport'!$D$4:$D$10000,'Mar20-Aug20 Transport Actuals'!$F$62,'Data-Transport'!$E$4:$E$10000,'Mar20-Aug20 Transport Actuals'!$H$62,'Data-Transport'!$F$4:$F$10000,'Mar20-Aug20 Transport Actuals'!M$6)</f>
        <v>0</v>
      </c>
      <c r="N62" s="196">
        <f>SUMIFS('Data-Transport'!$Q$4:$Q$10000,'Data-Transport'!$A$4:$A$10000,'Mar20-Aug20 Transport Actuals'!N$4,'Data-Transport'!$B$4:$B$10000,'Mar20-Aug20 Transport Actuals'!$C$62,'Data-Transport'!$D$4:$D$10000,'Mar20-Aug20 Transport Actuals'!$F$62,'Data-Transport'!$E$4:$E$10000,'Mar20-Aug20 Transport Actuals'!$H$62,'Data-Transport'!$F$4:$F$10000,'Mar20-Aug20 Transport Actuals'!N$6)</f>
        <v>0</v>
      </c>
      <c r="O62" s="196">
        <f>SUMIFS('Data-Transport'!$Q$4:$Q$10000,'Data-Transport'!$A$4:$A$10000,'Mar20-Aug20 Transport Actuals'!O$4,'Data-Transport'!$B$4:$B$10000,'Mar20-Aug20 Transport Actuals'!$Q$62,'Data-Transport'!$D$4:$D$10000,'Mar20-Aug20 Transport Actuals'!$F$62,'Data-Transport'!$E$4:$E$10000,'Mar20-Aug20 Transport Actuals'!$R$62,'Data-Transport'!$F$4:$F$10000,'Mar20-Aug20 Transport Actuals'!O$6)+SUMIFS('Data-Transport'!$Q$4:$Q$10000,'Data-Transport'!$A$4:$A$10000,'Mar20-Aug20 Transport Actuals'!O$4,'Data-Transport'!$B$4:$B$10000,'Mar20-Aug20 Transport Actuals'!$S$62,'Data-Transport'!$D$4:$D$10000,'Mar20-Aug20 Transport Actuals'!$F$62,'Data-Transport'!$E$4:$E$10000,'Mar20-Aug20 Transport Actuals'!$R$62,'Data-Transport'!$F$4:$F$10000,'Mar20-Aug20 Transport Actuals'!O$6)</f>
        <v>0</v>
      </c>
      <c r="P62" s="288">
        <f t="shared" si="15"/>
        <v>0</v>
      </c>
      <c r="Q62" s="213" t="s">
        <v>1048</v>
      </c>
      <c r="R62" s="213" t="s">
        <v>1035</v>
      </c>
      <c r="S62" s="213" t="s">
        <v>1043</v>
      </c>
    </row>
    <row r="63" spans="3:19" x14ac:dyDescent="0.25">
      <c r="C63" s="159" t="s">
        <v>36</v>
      </c>
      <c r="D63" s="159" t="str">
        <f t="shared" si="14"/>
        <v>896</v>
      </c>
      <c r="E63" s="158" t="str">
        <f>VLOOKUP($C63,'Retail Rates'!$B$7:$P$40,2,FALSE)</f>
        <v>FT-I</v>
      </c>
      <c r="F63" s="160" t="s">
        <v>320</v>
      </c>
      <c r="G63" s="160" t="s">
        <v>256</v>
      </c>
      <c r="H63" s="156" t="s">
        <v>329</v>
      </c>
      <c r="I63" s="196">
        <f>SUMIFS('Data-Transport'!$W$4:$W$10000,'Data-Transport'!$A$4:$A$10000,'Mar20-Aug20 Transport Actuals'!I$4,'Data-Transport'!$B$4:$B$10000,'Mar20-Aug20 Transport Actuals'!$C$63,'Data-Transport'!$D$4:$D$10000,'Mar20-Aug20 Transport Actuals'!$F$63,'Data-Transport'!$E$4:$E$10000,'Mar20-Aug20 Transport Actuals'!$H$63,'Data-Transport'!$F$4:$F$10000,'Mar20-Aug20 Transport Actuals'!I$6)</f>
        <v>692.87</v>
      </c>
      <c r="J63" s="196">
        <f>SUMIFS('Data-Transport'!$W$4:$W$10000,'Data-Transport'!$A$4:$A$10000,'Mar20-Aug20 Transport Actuals'!J$4,'Data-Transport'!$B$4:$B$10000,'Mar20-Aug20 Transport Actuals'!$C$63,'Data-Transport'!$D$4:$D$10000,'Mar20-Aug20 Transport Actuals'!$F$63,'Data-Transport'!$E$4:$E$10000,'Mar20-Aug20 Transport Actuals'!$H$63,'Data-Transport'!$F$4:$F$10000,'Mar20-Aug20 Transport Actuals'!J$6)</f>
        <v>691.03</v>
      </c>
      <c r="K63" s="196">
        <f>SUMIFS('Data-Transport'!$W$4:$W$10000,'Data-Transport'!$A$4:$A$10000,'Mar20-Aug20 Transport Actuals'!K$4,'Data-Transport'!$B$4:$B$10000,'Mar20-Aug20 Transport Actuals'!$C$63,'Data-Transport'!$D$4:$D$10000,'Mar20-Aug20 Transport Actuals'!$F$63,'Data-Transport'!$E$4:$E$10000,'Mar20-Aug20 Transport Actuals'!$H$63,'Data-Transport'!$F$4:$F$10000,'Mar20-Aug20 Transport Actuals'!K$6)</f>
        <v>772.37</v>
      </c>
      <c r="L63" s="196">
        <f>SUMIFS('Data-Transport'!$W$4:$W$10000,'Data-Transport'!$A$4:$A$10000,'Mar20-Aug20 Transport Actuals'!L$4,'Data-Transport'!$B$4:$B$10000,'Mar20-Aug20 Transport Actuals'!$C$63,'Data-Transport'!$D$4:$D$10000,'Mar20-Aug20 Transport Actuals'!$F$63,'Data-Transport'!$E$4:$E$10000,'Mar20-Aug20 Transport Actuals'!$H$63,'Data-Transport'!$F$4:$F$10000,'Mar20-Aug20 Transport Actuals'!L$6)</f>
        <v>342.45</v>
      </c>
      <c r="M63" s="196">
        <f>SUMIFS('Data-Transport'!$W$4:$W$10000,'Data-Transport'!$A$4:$A$10000,'Mar20-Aug20 Transport Actuals'!M$4,'Data-Transport'!$B$4:$B$10000,'Mar20-Aug20 Transport Actuals'!$C$63,'Data-Transport'!$D$4:$D$10000,'Mar20-Aug20 Transport Actuals'!$F$63,'Data-Transport'!$E$4:$E$10000,'Mar20-Aug20 Transport Actuals'!$H$63,'Data-Transport'!$F$4:$F$10000,'Mar20-Aug20 Transport Actuals'!M$6)</f>
        <v>369.68</v>
      </c>
      <c r="N63" s="196">
        <f>SUMIFS('Data-Transport'!$W$4:$W$10000,'Data-Transport'!$A$4:$A$10000,'Mar20-Aug20 Transport Actuals'!N$4,'Data-Transport'!$B$4:$B$10000,'Mar20-Aug20 Transport Actuals'!$C$63,'Data-Transport'!$D$4:$D$10000,'Mar20-Aug20 Transport Actuals'!$F$63,'Data-Transport'!$E$4:$E$10000,'Mar20-Aug20 Transport Actuals'!$H$63,'Data-Transport'!$F$4:$F$10000,'Mar20-Aug20 Transport Actuals'!N$6)</f>
        <v>344.6</v>
      </c>
      <c r="O63" s="196">
        <f>SUMIFS('Data-Transport'!$W$4:$W$10000,'Data-Transport'!$A$4:$A$10000,'Mar20-Aug20 Transport Actuals'!O$4,'Data-Transport'!$B$4:$B$10000,'Mar20-Aug20 Transport Actuals'!$Q$63,'Data-Transport'!$D$4:$D$10000,'Mar20-Aug20 Transport Actuals'!$F$63,'Data-Transport'!$E$4:$E$10000,'Mar20-Aug20 Transport Actuals'!$R$63,'Data-Transport'!$F$4:$F$10000,'Mar20-Aug20 Transport Actuals'!O$6)+SUMIFS('Data-Transport'!$W$4:$W$10000,'Data-Transport'!$A$4:$A$10000,'Mar20-Aug20 Transport Actuals'!O$4,'Data-Transport'!$B$4:$B$10000,'Mar20-Aug20 Transport Actuals'!$S$63,'Data-Transport'!$D$4:$D$10000,'Mar20-Aug20 Transport Actuals'!$F$63,'Data-Transport'!$E$4:$E$10000,'Mar20-Aug20 Transport Actuals'!$R$63,'Data-Transport'!$F$4:$F$10000,'Mar20-Aug20 Transport Actuals'!O$6)</f>
        <v>314.61</v>
      </c>
      <c r="P63" s="288">
        <f t="shared" si="15"/>
        <v>3212.9999999999995</v>
      </c>
      <c r="Q63" s="213" t="s">
        <v>1048</v>
      </c>
      <c r="R63" s="213" t="s">
        <v>329</v>
      </c>
      <c r="S63" s="213" t="s">
        <v>1043</v>
      </c>
    </row>
    <row r="64" spans="3:19" x14ac:dyDescent="0.25">
      <c r="C64" s="159" t="s">
        <v>36</v>
      </c>
      <c r="D64" s="159" t="str">
        <f t="shared" si="14"/>
        <v>896</v>
      </c>
      <c r="E64" s="158" t="str">
        <f>VLOOKUP($C64,'Retail Rates'!$B$7:$P$40,2,FALSE)</f>
        <v>FT-I</v>
      </c>
      <c r="F64" s="160" t="s">
        <v>320</v>
      </c>
      <c r="G64" s="160" t="s">
        <v>257</v>
      </c>
      <c r="H64" s="156" t="s">
        <v>330</v>
      </c>
      <c r="I64" s="196">
        <f>SUMIFS('Data-Transport'!$X$4:$X$10000,'Data-Transport'!$A$4:$A$10000,'Mar20-Aug20 Transport Actuals'!I$4,'Data-Transport'!$B$4:$B$10000,'Mar20-Aug20 Transport Actuals'!$C$64,'Data-Transport'!$D$4:$D$10000,'Mar20-Aug20 Transport Actuals'!$F$64,'Data-Transport'!$E$4:$E$10000,'Mar20-Aug20 Transport Actuals'!$H$64,'Data-Transport'!$F$4:$F$10000,'Mar20-Aug20 Transport Actuals'!I$6)</f>
        <v>1617.98</v>
      </c>
      <c r="J64" s="196">
        <f>SUMIFS('Data-Transport'!$X$4:$X$10000,'Data-Transport'!$A$4:$A$10000,'Mar20-Aug20 Transport Actuals'!J$4,'Data-Transport'!$B$4:$B$10000,'Mar20-Aug20 Transport Actuals'!$C$64,'Data-Transport'!$D$4:$D$10000,'Mar20-Aug20 Transport Actuals'!$F$64,'Data-Transport'!$E$4:$E$10000,'Mar20-Aug20 Transport Actuals'!$H$64,'Data-Transport'!$F$4:$F$10000,'Mar20-Aug20 Transport Actuals'!J$6)</f>
        <v>1613.7</v>
      </c>
      <c r="K64" s="196">
        <f>SUMIFS('Data-Transport'!$X$4:$X$10000,'Data-Transport'!$A$4:$A$10000,'Mar20-Aug20 Transport Actuals'!K$4,'Data-Transport'!$B$4:$B$10000,'Mar20-Aug20 Transport Actuals'!$C$64,'Data-Transport'!$D$4:$D$10000,'Mar20-Aug20 Transport Actuals'!$F$64,'Data-Transport'!$E$4:$E$10000,'Mar20-Aug20 Transport Actuals'!$H$64,'Data-Transport'!$F$4:$F$10000,'Mar20-Aug20 Transport Actuals'!K$6)</f>
        <v>1803.61</v>
      </c>
      <c r="L64" s="196">
        <f>SUMIFS('Data-Transport'!$X$4:$X$10000,'Data-Transport'!$A$4:$A$10000,'Mar20-Aug20 Transport Actuals'!L$4,'Data-Transport'!$B$4:$B$10000,'Mar20-Aug20 Transport Actuals'!$C$64,'Data-Transport'!$D$4:$D$10000,'Mar20-Aug20 Transport Actuals'!$F$64,'Data-Transport'!$E$4:$E$10000,'Mar20-Aug20 Transport Actuals'!$H$64,'Data-Transport'!$F$4:$F$10000,'Mar20-Aug20 Transport Actuals'!L$6)</f>
        <v>799.69</v>
      </c>
      <c r="M64" s="196">
        <f>SUMIFS('Data-Transport'!$X$4:$X$10000,'Data-Transport'!$A$4:$A$10000,'Mar20-Aug20 Transport Actuals'!M$4,'Data-Transport'!$B$4:$B$10000,'Mar20-Aug20 Transport Actuals'!$C$64,'Data-Transport'!$D$4:$D$10000,'Mar20-Aug20 Transport Actuals'!$F$64,'Data-Transport'!$E$4:$E$10000,'Mar20-Aug20 Transport Actuals'!$H$64,'Data-Transport'!$F$4:$F$10000,'Mar20-Aug20 Transport Actuals'!M$6)</f>
        <v>863.3</v>
      </c>
      <c r="N64" s="196">
        <f>SUMIFS('Data-Transport'!$X$4:$X$10000,'Data-Transport'!$A$4:$A$10000,'Mar20-Aug20 Transport Actuals'!N$4,'Data-Transport'!$B$4:$B$10000,'Mar20-Aug20 Transport Actuals'!$C$64,'Data-Transport'!$D$4:$D$10000,'Mar20-Aug20 Transport Actuals'!$F$64,'Data-Transport'!$E$4:$E$10000,'Mar20-Aug20 Transport Actuals'!$H$64,'Data-Transport'!$F$4:$F$10000,'Mar20-Aug20 Transport Actuals'!N$6)</f>
        <v>804.69</v>
      </c>
      <c r="O64" s="196">
        <f>SUMIFS('Data-Transport'!$X$4:$X$10000,'Data-Transport'!$A$4:$A$10000,'Mar20-Aug20 Transport Actuals'!O$4,'Data-Transport'!$B$4:$B$10000,'Mar20-Aug20 Transport Actuals'!$Q$64,'Data-Transport'!$D$4:$D$10000,'Mar20-Aug20 Transport Actuals'!$F$64,'Data-Transport'!$E$4:$E$10000,'Mar20-Aug20 Transport Actuals'!$R$64,'Data-Transport'!$F$4:$F$10000,'Mar20-Aug20 Transport Actuals'!O$6)+SUMIFS('Data-Transport'!$X$4:$X$10000,'Data-Transport'!$A$4:$A$10000,'Mar20-Aug20 Transport Actuals'!O$4,'Data-Transport'!$B$4:$B$10000,'Mar20-Aug20 Transport Actuals'!$S$64,'Data-Transport'!$D$4:$D$10000,'Mar20-Aug20 Transport Actuals'!$F$64,'Data-Transport'!$E$4:$E$10000,'Mar20-Aug20 Transport Actuals'!$R$64,'Data-Transport'!$F$4:$F$10000,'Mar20-Aug20 Transport Actuals'!O$6)</f>
        <v>734.63</v>
      </c>
      <c r="P64" s="288">
        <f t="shared" si="15"/>
        <v>7502.9699999999993</v>
      </c>
      <c r="Q64" s="213" t="s">
        <v>1048</v>
      </c>
      <c r="R64" s="213" t="s">
        <v>1038</v>
      </c>
      <c r="S64" s="213" t="s">
        <v>1043</v>
      </c>
    </row>
    <row r="65" spans="3:19" x14ac:dyDescent="0.25">
      <c r="C65" s="159" t="s">
        <v>36</v>
      </c>
      <c r="D65" s="159" t="str">
        <f t="shared" si="14"/>
        <v>896</v>
      </c>
      <c r="E65" s="158" t="str">
        <f>VLOOKUP($C65,'Retail Rates'!$B$7:$P$40,2,FALSE)</f>
        <v>FT-I</v>
      </c>
      <c r="F65" s="160" t="s">
        <v>320</v>
      </c>
      <c r="G65" s="160" t="s">
        <v>340</v>
      </c>
      <c r="H65" s="156" t="s">
        <v>325</v>
      </c>
      <c r="I65" s="196">
        <f>SUMIFS('Data-Transport'!$N$4:$N$10000,'Data-Transport'!$A$4:$A$10000,'Mar20-Aug20 Transport Actuals'!I$4,'Data-Transport'!$B$4:$B$10000,'Mar20-Aug20 Transport Actuals'!$C$65,'Data-Transport'!$D$4:$D$10000,'Mar20-Aug20 Transport Actuals'!$F$65,'Data-Transport'!$E$4:$E$10000,'Mar20-Aug20 Transport Actuals'!$H$65,'Data-Transport'!$F$4:$F$10000,'Mar20-Aug20 Transport Actuals'!I$6)</f>
        <v>44.28</v>
      </c>
      <c r="J65" s="196">
        <f>SUMIFS('Data-Transport'!$N$4:$N$10000,'Data-Transport'!$A$4:$A$10000,'Mar20-Aug20 Transport Actuals'!J$4,'Data-Transport'!$B$4:$B$10000,'Mar20-Aug20 Transport Actuals'!$C$65,'Data-Transport'!$D$4:$D$10000,'Mar20-Aug20 Transport Actuals'!$F$65,'Data-Transport'!$E$4:$E$10000,'Mar20-Aug20 Transport Actuals'!$H$65,'Data-Transport'!$F$4:$F$10000,'Mar20-Aug20 Transport Actuals'!J$6)</f>
        <v>77.47</v>
      </c>
      <c r="K65" s="196">
        <f>SUMIFS('Data-Transport'!$N$4:$N$10000,'Data-Transport'!$A$4:$A$10000,'Mar20-Aug20 Transport Actuals'!K$4,'Data-Transport'!$B$4:$B$10000,'Mar20-Aug20 Transport Actuals'!$C$65,'Data-Transport'!$D$4:$D$10000,'Mar20-Aug20 Transport Actuals'!$F$65,'Data-Transport'!$E$4:$E$10000,'Mar20-Aug20 Transport Actuals'!$H$65,'Data-Transport'!$F$4:$F$10000,'Mar20-Aug20 Transport Actuals'!K$6)</f>
        <v>132.34</v>
      </c>
      <c r="L65" s="196">
        <f>SUMIFS('Data-Transport'!$N$4:$N$10000,'Data-Transport'!$A$4:$A$10000,'Mar20-Aug20 Transport Actuals'!L$4,'Data-Transport'!$B$4:$B$10000,'Mar20-Aug20 Transport Actuals'!$C$65,'Data-Transport'!$D$4:$D$10000,'Mar20-Aug20 Transport Actuals'!$F$65,'Data-Transport'!$E$4:$E$10000,'Mar20-Aug20 Transport Actuals'!$H$65,'Data-Transport'!$F$4:$F$10000,'Mar20-Aug20 Transport Actuals'!L$6)</f>
        <v>147.5</v>
      </c>
      <c r="M65" s="196">
        <f>SUMIFS('Data-Transport'!$N$4:$N$10000,'Data-Transport'!$A$4:$A$10000,'Mar20-Aug20 Transport Actuals'!M$4,'Data-Transport'!$B$4:$B$10000,'Mar20-Aug20 Transport Actuals'!$C$65,'Data-Transport'!$D$4:$D$10000,'Mar20-Aug20 Transport Actuals'!$F$65,'Data-Transport'!$E$4:$E$10000,'Mar20-Aug20 Transport Actuals'!$H$65,'Data-Transport'!$F$4:$F$10000,'Mar20-Aug20 Transport Actuals'!M$6)</f>
        <v>110.4</v>
      </c>
      <c r="N65" s="196">
        <f>SUMIFS('Data-Transport'!$N$4:$N$10000,'Data-Transport'!$A$4:$A$10000,'Mar20-Aug20 Transport Actuals'!N$4,'Data-Transport'!$B$4:$B$10000,'Mar20-Aug20 Transport Actuals'!$C$65,'Data-Transport'!$D$4:$D$10000,'Mar20-Aug20 Transport Actuals'!$F$65,'Data-Transport'!$E$4:$E$10000,'Mar20-Aug20 Transport Actuals'!$H$65,'Data-Transport'!$F$4:$F$10000,'Mar20-Aug20 Transport Actuals'!N$6)</f>
        <v>161.11000000000001</v>
      </c>
      <c r="O65" s="196">
        <f>SUMIFS('Data-Transport'!$N$4:$N$10000,'Data-Transport'!$A$4:$A$10000,'Mar20-Aug20 Transport Actuals'!O$4,'Data-Transport'!$B$4:$B$10000,'Mar20-Aug20 Transport Actuals'!$Q$65,'Data-Transport'!$D$4:$D$10000,'Mar20-Aug20 Transport Actuals'!$F$65,'Data-Transport'!$E$4:$E$10000,'Mar20-Aug20 Transport Actuals'!$R$65,'Data-Transport'!$F$4:$F$10000,'Mar20-Aug20 Transport Actuals'!O$6)+SUMIFS('Data-Transport'!$N$4:$N$10000,'Data-Transport'!$A$4:$A$10000,'Mar20-Aug20 Transport Actuals'!O$4,'Data-Transport'!$B$4:$B$10000,'Mar20-Aug20 Transport Actuals'!$S$65,'Data-Transport'!$D$4:$D$10000,'Mar20-Aug20 Transport Actuals'!$F$65,'Data-Transport'!$E$4:$E$10000,'Mar20-Aug20 Transport Actuals'!$R$65,'Data-Transport'!$F$4:$F$10000,'Mar20-Aug20 Transport Actuals'!O$6)</f>
        <v>218.38</v>
      </c>
      <c r="P65" s="288">
        <f t="shared" si="15"/>
        <v>673.1</v>
      </c>
      <c r="Q65" s="213" t="s">
        <v>1048</v>
      </c>
      <c r="R65" s="213" t="s">
        <v>325</v>
      </c>
      <c r="S65" s="213" t="s">
        <v>1043</v>
      </c>
    </row>
    <row r="66" spans="3:19" x14ac:dyDescent="0.25">
      <c r="C66" s="159" t="s">
        <v>36</v>
      </c>
      <c r="D66" s="159" t="str">
        <f t="shared" si="14"/>
        <v>896</v>
      </c>
      <c r="E66" s="158" t="str">
        <f>VLOOKUP($C66,'Retail Rates'!$B$7:$P$40,2,FALSE)</f>
        <v>FT-I</v>
      </c>
      <c r="F66" s="160" t="s">
        <v>320</v>
      </c>
      <c r="G66" s="160" t="s">
        <v>334</v>
      </c>
      <c r="H66" s="156" t="s">
        <v>326</v>
      </c>
      <c r="I66" s="196">
        <f>SUMIFS('Data-Transport'!$V$4:$V$10000,'Data-Transport'!$A$4:$A$10000,'Mar20-Aug20 Transport Actuals'!I$4,'Data-Transport'!$B$4:$B$10000,'Mar20-Aug20 Transport Actuals'!$C$66,'Data-Transport'!$D$4:$D$10000,'Mar20-Aug20 Transport Actuals'!$F$66,'Data-Transport'!$E$4:$E$10000,'Mar20-Aug20 Transport Actuals'!$H$66,'Data-Transport'!$F$4:$F$10000,'Mar20-Aug20 Transport Actuals'!I$6)</f>
        <v>196.15</v>
      </c>
      <c r="J66" s="196">
        <f>SUMIFS('Data-Transport'!$V$4:$V$10000,'Data-Transport'!$A$4:$A$10000,'Mar20-Aug20 Transport Actuals'!J$4,'Data-Transport'!$B$4:$B$10000,'Mar20-Aug20 Transport Actuals'!$C$66,'Data-Transport'!$D$4:$D$10000,'Mar20-Aug20 Transport Actuals'!$F$66,'Data-Transport'!$E$4:$E$10000,'Mar20-Aug20 Transport Actuals'!$H$66,'Data-Transport'!$F$4:$F$10000,'Mar20-Aug20 Transport Actuals'!J$6)</f>
        <v>0</v>
      </c>
      <c r="K66" s="196">
        <f>SUMIFS('Data-Transport'!$V$4:$V$10000,'Data-Transport'!$A$4:$A$10000,'Mar20-Aug20 Transport Actuals'!K$4,'Data-Transport'!$B$4:$B$10000,'Mar20-Aug20 Transport Actuals'!$C$66,'Data-Transport'!$D$4:$D$10000,'Mar20-Aug20 Transport Actuals'!$F$66,'Data-Transport'!$E$4:$E$10000,'Mar20-Aug20 Transport Actuals'!$H$66,'Data-Transport'!$F$4:$F$10000,'Mar20-Aug20 Transport Actuals'!K$6)</f>
        <v>0</v>
      </c>
      <c r="L66" s="196">
        <f>SUMIFS('Data-Transport'!$V$4:$V$10000,'Data-Transport'!$A$4:$A$10000,'Mar20-Aug20 Transport Actuals'!L$4,'Data-Transport'!$B$4:$B$10000,'Mar20-Aug20 Transport Actuals'!$C$66,'Data-Transport'!$D$4:$D$10000,'Mar20-Aug20 Transport Actuals'!$F$66,'Data-Transport'!$E$4:$E$10000,'Mar20-Aug20 Transport Actuals'!$H$66,'Data-Transport'!$F$4:$F$10000,'Mar20-Aug20 Transport Actuals'!L$6)</f>
        <v>0</v>
      </c>
      <c r="M66" s="196">
        <f>SUMIFS('Data-Transport'!$V$4:$V$10000,'Data-Transport'!$A$4:$A$10000,'Mar20-Aug20 Transport Actuals'!M$4,'Data-Transport'!$B$4:$B$10000,'Mar20-Aug20 Transport Actuals'!$C$66,'Data-Transport'!$D$4:$D$10000,'Mar20-Aug20 Transport Actuals'!$F$66,'Data-Transport'!$E$4:$E$10000,'Mar20-Aug20 Transport Actuals'!$H$66,'Data-Transport'!$F$4:$F$10000,'Mar20-Aug20 Transport Actuals'!M$6)</f>
        <v>0</v>
      </c>
      <c r="N66" s="196">
        <f>SUMIFS('Data-Transport'!$V$4:$V$10000,'Data-Transport'!$A$4:$A$10000,'Mar20-Aug20 Transport Actuals'!N$4,'Data-Transport'!$B$4:$B$10000,'Mar20-Aug20 Transport Actuals'!$C$66,'Data-Transport'!$D$4:$D$10000,'Mar20-Aug20 Transport Actuals'!$F$66,'Data-Transport'!$E$4:$E$10000,'Mar20-Aug20 Transport Actuals'!$H$66,'Data-Transport'!$F$4:$F$10000,'Mar20-Aug20 Transport Actuals'!N$6)</f>
        <v>0</v>
      </c>
      <c r="O66" s="196">
        <f>SUMIFS('Data-Transport'!$V$4:$V$10000,'Data-Transport'!$A$4:$A$10000,'Mar20-Aug20 Transport Actuals'!O$4,'Data-Transport'!$B$4:$B$10000,'Mar20-Aug20 Transport Actuals'!$S$66,'Data-Transport'!$D$4:$D$10000,'Mar20-Aug20 Transport Actuals'!$F$66,'Data-Transport'!$E$4:$E$10000,'Mar20-Aug20 Transport Actuals'!$H$66,'Data-Transport'!$F$4:$F$10000,'Mar20-Aug20 Transport Actuals'!O$6)+SUMIFS('Data-Transport'!$V$4:$V$10000,'Data-Transport'!$A$4:$A$10000,'Mar20-Aug20 Transport Actuals'!O$4,'Data-Transport'!$B$4:$B$10000,'Mar20-Aug20 Transport Actuals'!$S$66,'Data-Transport'!$D$4:$D$10000,'Mar20-Aug20 Transport Actuals'!$F$66,'Data-Transport'!$E$4:$E$10000,'Mar20-Aug20 Transport Actuals'!$H$66,'Data-Transport'!$F$4:$F$10000,'Mar20-Aug20 Transport Actuals'!O$6)</f>
        <v>0</v>
      </c>
      <c r="P66" s="288">
        <f t="shared" si="15"/>
        <v>196.15</v>
      </c>
      <c r="Q66" s="213" t="s">
        <v>1048</v>
      </c>
      <c r="R66" s="213" t="s">
        <v>326</v>
      </c>
      <c r="S66" s="213" t="s">
        <v>1043</v>
      </c>
    </row>
    <row r="67" spans="3:19" x14ac:dyDescent="0.25">
      <c r="C67" s="159" t="s">
        <v>36</v>
      </c>
      <c r="D67" s="159" t="str">
        <f>MID(C67,6,3)</f>
        <v>896</v>
      </c>
      <c r="E67" s="158" t="str">
        <f>VLOOKUP($C67,'Retail Rates'!$B$7:$P$40,2,FALSE)</f>
        <v>FT-I</v>
      </c>
      <c r="F67" s="160" t="s">
        <v>320</v>
      </c>
      <c r="G67" s="160" t="s">
        <v>370</v>
      </c>
      <c r="H67" s="156" t="s">
        <v>357</v>
      </c>
      <c r="I67" s="196">
        <f>SUMIFS('Data-Transport'!$S$4:$S$10000,'Data-Transport'!$A$4:$A$10000,'Mar20-Aug20 Transport Actuals'!I$4,'Data-Transport'!$B$4:$B$10000,'Mar20-Aug20 Transport Actuals'!$C$67,'Data-Transport'!$D$4:$D$10000,'Mar20-Aug20 Transport Actuals'!$F$67,'Data-Transport'!$E$4:$E$10000,'Mar20-Aug20 Transport Actuals'!$H$67,'Data-Transport'!$F$4:$F$10000,'Mar20-Aug20 Transport Actuals'!I$6)</f>
        <v>0</v>
      </c>
      <c r="J67" s="196">
        <f>SUMIFS('Data-Transport'!$S$4:$S$10000,'Data-Transport'!$A$4:$A$10000,'Mar20-Aug20 Transport Actuals'!J$4,'Data-Transport'!$B$4:$B$10000,'Mar20-Aug20 Transport Actuals'!$C$67,'Data-Transport'!$D$4:$D$10000,'Mar20-Aug20 Transport Actuals'!$F$67,'Data-Transport'!$E$4:$E$10000,'Mar20-Aug20 Transport Actuals'!$H$67,'Data-Transport'!$F$4:$F$10000,'Mar20-Aug20 Transport Actuals'!J$6)</f>
        <v>0</v>
      </c>
      <c r="K67" s="196">
        <f>SUMIFS('Data-Transport'!$S$4:$S$10000,'Data-Transport'!$A$4:$A$10000,'Mar20-Aug20 Transport Actuals'!K$4,'Data-Transport'!$B$4:$B$10000,'Mar20-Aug20 Transport Actuals'!$C$67,'Data-Transport'!$D$4:$D$10000,'Mar20-Aug20 Transport Actuals'!$F$67,'Data-Transport'!$E$4:$E$10000,'Mar20-Aug20 Transport Actuals'!$H$67,'Data-Transport'!$F$4:$F$10000,'Mar20-Aug20 Transport Actuals'!K$6)</f>
        <v>0</v>
      </c>
      <c r="L67" s="196">
        <f>SUMIFS('Data-Transport'!$S$4:$S$10000,'Data-Transport'!$A$4:$A$10000,'Mar20-Aug20 Transport Actuals'!L$4,'Data-Transport'!$B$4:$B$10000,'Mar20-Aug20 Transport Actuals'!$C$67,'Data-Transport'!$D$4:$D$10000,'Mar20-Aug20 Transport Actuals'!$F$67,'Data-Transport'!$E$4:$E$10000,'Mar20-Aug20 Transport Actuals'!$H$67,'Data-Transport'!$F$4:$F$10000,'Mar20-Aug20 Transport Actuals'!L$6)</f>
        <v>0</v>
      </c>
      <c r="M67" s="196">
        <f>SUMIFS('Data-Transport'!$S$4:$S$10000,'Data-Transport'!$A$4:$A$10000,'Mar20-Aug20 Transport Actuals'!M$4,'Data-Transport'!$B$4:$B$10000,'Mar20-Aug20 Transport Actuals'!$C$67,'Data-Transport'!$D$4:$D$10000,'Mar20-Aug20 Transport Actuals'!$F$67,'Data-Transport'!$E$4:$E$10000,'Mar20-Aug20 Transport Actuals'!$H$67,'Data-Transport'!$F$4:$F$10000,'Mar20-Aug20 Transport Actuals'!M$6)</f>
        <v>0</v>
      </c>
      <c r="N67" s="196">
        <f>SUMIFS('Data-Transport'!$S$4:$S$10000,'Data-Transport'!$A$4:$A$10000,'Mar20-Aug20 Transport Actuals'!N$4,'Data-Transport'!$B$4:$B$10000,'Mar20-Aug20 Transport Actuals'!$C$67,'Data-Transport'!$D$4:$D$10000,'Mar20-Aug20 Transport Actuals'!$F$67,'Data-Transport'!$E$4:$E$10000,'Mar20-Aug20 Transport Actuals'!$H$67,'Data-Transport'!$F$4:$F$10000,'Mar20-Aug20 Transport Actuals'!N$6)</f>
        <v>0</v>
      </c>
      <c r="O67" s="196">
        <f>SUMIFS('Data-Transport'!$S$4:$S$10000,'Data-Transport'!$A$4:$A$10000,'Mar20-Aug20 Transport Actuals'!O$4,'Data-Transport'!$B$4:$B$10000,'Mar20-Aug20 Transport Actuals'!$S$67,'Data-Transport'!$D$4:$D$10000,'Mar20-Aug20 Transport Actuals'!$F$67,'Data-Transport'!$E$4:$E$10000,'Mar20-Aug20 Transport Actuals'!$H$67,'Data-Transport'!$F$4:$F$10000,'Mar20-Aug20 Transport Actuals'!O$6)+SUMIFS('Data-Transport'!$S$4:$S$10000,'Data-Transport'!$A$4:$A$10000,'Mar20-Aug20 Transport Actuals'!O$4,'Data-Transport'!$B$4:$B$10000,'Mar20-Aug20 Transport Actuals'!$S$67,'Data-Transport'!$D$4:$D$10000,'Mar20-Aug20 Transport Actuals'!$F$67,'Data-Transport'!$E$4:$E$10000,'Mar20-Aug20 Transport Actuals'!$H$67,'Data-Transport'!$F$4:$F$10000,'Mar20-Aug20 Transport Actuals'!O$6)</f>
        <v>0</v>
      </c>
      <c r="P67" s="288">
        <f t="shared" si="15"/>
        <v>0</v>
      </c>
      <c r="Q67" s="213" t="s">
        <v>1048</v>
      </c>
      <c r="R67" s="213" t="s">
        <v>357</v>
      </c>
      <c r="S67" s="213" t="s">
        <v>1043</v>
      </c>
    </row>
    <row r="68" spans="3:19" x14ac:dyDescent="0.25">
      <c r="C68" s="159" t="s">
        <v>36</v>
      </c>
      <c r="D68" s="159" t="str">
        <f>MID(C68,6,3)</f>
        <v>896</v>
      </c>
      <c r="E68" s="158" t="str">
        <f>VLOOKUP($C68,'Retail Rates'!$B$7:$P$40,2,FALSE)</f>
        <v>FT-I</v>
      </c>
      <c r="F68" s="160" t="s">
        <v>320</v>
      </c>
      <c r="G68" s="160" t="s">
        <v>324</v>
      </c>
      <c r="H68" s="156" t="s">
        <v>621</v>
      </c>
      <c r="I68" s="196">
        <f>SUMIFS('Data-Transport'!$AA$4:$AA$10000,'Data-Transport'!$A$4:$A$10000,'Mar20-Aug20 Transport Actuals'!I$4,'Data-Transport'!$B$4:$B$10000,'Mar20-Aug20 Transport Actuals'!$C$68,'Data-Transport'!$D$4:$D$10000,'Mar20-Aug20 Transport Actuals'!$F$68,'Data-Transport'!$E$4:$E$10000,'Mar20-Aug20 Transport Actuals'!$H$68,'Data-Transport'!$F$4:$F$10000,'Mar20-Aug20 Transport Actuals'!I$6)</f>
        <v>5992.79</v>
      </c>
      <c r="J68" s="196">
        <f>SUMIFS('Data-Transport'!$AA$4:$AA$10000,'Data-Transport'!$A$4:$A$10000,'Mar20-Aug20 Transport Actuals'!J$4,'Data-Transport'!$B$4:$B$10000,'Mar20-Aug20 Transport Actuals'!$C$68,'Data-Transport'!$D$4:$D$10000,'Mar20-Aug20 Transport Actuals'!$F$68,'Data-Transport'!$E$4:$E$10000,'Mar20-Aug20 Transport Actuals'!$H$68,'Data-Transport'!$F$4:$F$10000,'Mar20-Aug20 Transport Actuals'!J$6)</f>
        <v>4658.74</v>
      </c>
      <c r="K68" s="196">
        <f>SUMIFS('Data-Transport'!$AA$4:$AA$10000,'Data-Transport'!$A$4:$A$10000,'Mar20-Aug20 Transport Actuals'!K$4,'Data-Transport'!$B$4:$B$10000,'Mar20-Aug20 Transport Actuals'!$C$68,'Data-Transport'!$D$4:$D$10000,'Mar20-Aug20 Transport Actuals'!$F$68,'Data-Transport'!$E$4:$E$10000,'Mar20-Aug20 Transport Actuals'!$H$68,'Data-Transport'!$F$4:$F$10000,'Mar20-Aug20 Transport Actuals'!K$6)</f>
        <v>3123.5</v>
      </c>
      <c r="L68" s="196">
        <f>SUMIFS('Data-Transport'!$AA$4:$AA$10000,'Data-Transport'!$A$4:$A$10000,'Mar20-Aug20 Transport Actuals'!L$4,'Data-Transport'!$B$4:$B$10000,'Mar20-Aug20 Transport Actuals'!$C$68,'Data-Transport'!$D$4:$D$10000,'Mar20-Aug20 Transport Actuals'!$F$68,'Data-Transport'!$E$4:$E$10000,'Mar20-Aug20 Transport Actuals'!$H$68,'Data-Transport'!$F$4:$F$10000,'Mar20-Aug20 Transport Actuals'!L$6)</f>
        <v>6534.31</v>
      </c>
      <c r="M68" s="196">
        <f>SUMIFS('Data-Transport'!$AA$4:$AA$10000,'Data-Transport'!$A$4:$A$10000,'Mar20-Aug20 Transport Actuals'!M$4,'Data-Transport'!$B$4:$B$10000,'Mar20-Aug20 Transport Actuals'!$C$68,'Data-Transport'!$D$4:$D$10000,'Mar20-Aug20 Transport Actuals'!$F$68,'Data-Transport'!$E$4:$E$10000,'Mar20-Aug20 Transport Actuals'!$H$68,'Data-Transport'!$F$4:$F$10000,'Mar20-Aug20 Transport Actuals'!M$6)</f>
        <v>6603.79</v>
      </c>
      <c r="N68" s="196">
        <f>SUMIFS('Data-Transport'!$AA$4:$AA$10000,'Data-Transport'!$A$4:$A$10000,'Mar20-Aug20 Transport Actuals'!N$4,'Data-Transport'!$B$4:$B$10000,'Mar20-Aug20 Transport Actuals'!$C$68,'Data-Transport'!$D$4:$D$10000,'Mar20-Aug20 Transport Actuals'!$F$68,'Data-Transport'!$E$4:$E$10000,'Mar20-Aug20 Transport Actuals'!$H$68,'Data-Transport'!$F$4:$F$10000,'Mar20-Aug20 Transport Actuals'!N$6)</f>
        <v>6107.5</v>
      </c>
      <c r="O68" s="196">
        <f>SUMIFS('Data-Transport'!$AA$4:$AA$10000,'Data-Transport'!$A$4:$A$10000,'Mar20-Aug20 Transport Actuals'!O$4,'Data-Transport'!$B$4:$B$10000,'Mar20-Aug20 Transport Actuals'!$Q$68,'Data-Transport'!$D$4:$D$10000,'Mar20-Aug20 Transport Actuals'!$F$68,'Data-Transport'!$E$4:$E$10000,'Mar20-Aug20 Transport Actuals'!$R$68,'Data-Transport'!$F$4:$F$10000,'Mar20-Aug20 Transport Actuals'!O$6)+SUMIFS('Data-Transport'!$AA$4:$AA$10000,'Data-Transport'!$A$4:$A$10000,'Mar20-Aug20 Transport Actuals'!O$4,'Data-Transport'!$B$4:$B$10000,'Mar20-Aug20 Transport Actuals'!$S$68,'Data-Transport'!$D$4:$D$10000,'Mar20-Aug20 Transport Actuals'!$F$68,'Data-Transport'!$E$4:$E$10000,'Mar20-Aug20 Transport Actuals'!$R$68,'Data-Transport'!$F$4:$F$10000,'Mar20-Aug20 Transport Actuals'!O$6)</f>
        <v>6461.5499999999993</v>
      </c>
      <c r="P68" s="288">
        <f t="shared" si="15"/>
        <v>33020.630000000005</v>
      </c>
      <c r="Q68" s="213" t="s">
        <v>1048</v>
      </c>
      <c r="R68" s="213" t="s">
        <v>1037</v>
      </c>
      <c r="S68" s="213" t="s">
        <v>1043</v>
      </c>
    </row>
    <row r="69" spans="3:19" x14ac:dyDescent="0.25">
      <c r="C69" s="159"/>
      <c r="D69" s="159"/>
      <c r="E69" s="158"/>
      <c r="F69" s="160"/>
      <c r="G69" s="160" t="s">
        <v>347</v>
      </c>
      <c r="H69" s="160"/>
      <c r="I69" s="198">
        <f t="shared" ref="I69:O69" si="18">SUM(I61:I68)</f>
        <v>438372.52</v>
      </c>
      <c r="J69" s="198">
        <f t="shared" si="18"/>
        <v>427841.71</v>
      </c>
      <c r="K69" s="198">
        <f t="shared" si="18"/>
        <v>416043.56</v>
      </c>
      <c r="L69" s="198">
        <f t="shared" si="18"/>
        <v>407858.37</v>
      </c>
      <c r="M69" s="198">
        <f t="shared" si="18"/>
        <v>415754.44999999995</v>
      </c>
      <c r="N69" s="198">
        <f t="shared" si="18"/>
        <v>413498.69</v>
      </c>
      <c r="O69" s="198">
        <f t="shared" si="18"/>
        <v>415154.01999999996</v>
      </c>
      <c r="P69" s="288">
        <f t="shared" si="15"/>
        <v>2519369.3000000003</v>
      </c>
      <c r="Q69" s="213"/>
      <c r="R69" s="213"/>
      <c r="S69" s="213"/>
    </row>
    <row r="70" spans="3:19" x14ac:dyDescent="0.25">
      <c r="C70" s="159"/>
      <c r="D70" s="159"/>
      <c r="E70" s="158"/>
      <c r="F70" s="160"/>
      <c r="G70" s="160"/>
      <c r="H70" s="160"/>
      <c r="I70" s="158"/>
      <c r="J70" s="158"/>
      <c r="K70" s="158"/>
      <c r="L70" s="158"/>
      <c r="M70" s="158"/>
      <c r="N70" s="158"/>
      <c r="O70" s="158"/>
      <c r="P70" s="289"/>
      <c r="Q70" s="213"/>
      <c r="R70" s="213"/>
      <c r="S70" s="213"/>
    </row>
    <row r="71" spans="3:19" x14ac:dyDescent="0.25">
      <c r="C71" s="159"/>
      <c r="D71" s="159"/>
      <c r="E71" s="158"/>
      <c r="F71" s="158"/>
      <c r="G71" s="166"/>
      <c r="H71" s="158"/>
      <c r="I71" s="158"/>
      <c r="J71" s="158"/>
      <c r="K71" s="158"/>
      <c r="L71" s="158"/>
      <c r="M71" s="158"/>
      <c r="N71" s="158">
        <v>476.67</v>
      </c>
      <c r="O71" s="158">
        <v>650</v>
      </c>
      <c r="P71" s="158"/>
      <c r="Q71" s="213"/>
      <c r="R71" s="213"/>
      <c r="S71" s="213"/>
    </row>
    <row r="72" spans="3:19" x14ac:dyDescent="0.25">
      <c r="C72" s="158"/>
      <c r="D72" s="158"/>
      <c r="E72" s="158"/>
      <c r="F72" s="158"/>
      <c r="G72" s="166" t="s">
        <v>240</v>
      </c>
      <c r="H72" s="166"/>
      <c r="I72" s="158"/>
      <c r="J72" s="158"/>
      <c r="K72" s="158"/>
      <c r="L72" s="158"/>
      <c r="M72" s="158"/>
      <c r="N72" s="158"/>
      <c r="O72" s="158"/>
      <c r="P72" s="158"/>
      <c r="Q72" s="213"/>
      <c r="R72" s="213"/>
      <c r="S72" s="213"/>
    </row>
    <row r="73" spans="3:19" x14ac:dyDescent="0.25">
      <c r="C73" s="159" t="s">
        <v>447</v>
      </c>
      <c r="D73" s="159" t="str">
        <f>MID(C73,6,3)</f>
        <v>896</v>
      </c>
      <c r="E73" s="158" t="str">
        <f>VLOOKUP($C73,'Retail Rates'!$B$7:$P$40,2,FALSE)</f>
        <v>FT-I-DSM</v>
      </c>
      <c r="F73" s="160" t="s">
        <v>320</v>
      </c>
      <c r="G73" s="161" t="s">
        <v>157</v>
      </c>
      <c r="H73" s="162"/>
      <c r="I73" s="158">
        <f t="shared" ref="I73:O73" si="19">+I80/I75</f>
        <v>15</v>
      </c>
      <c r="J73" s="158">
        <f t="shared" si="19"/>
        <v>15</v>
      </c>
      <c r="K73" s="158">
        <f t="shared" si="19"/>
        <v>15</v>
      </c>
      <c r="L73" s="158">
        <f t="shared" si="19"/>
        <v>15</v>
      </c>
      <c r="M73" s="158">
        <f>+M80/M75</f>
        <v>15</v>
      </c>
      <c r="N73" s="158">
        <v>16</v>
      </c>
      <c r="O73" s="158">
        <f t="shared" si="19"/>
        <v>15</v>
      </c>
      <c r="P73" s="288">
        <f>SUM(I73:N73)</f>
        <v>91</v>
      </c>
      <c r="Q73" s="213"/>
      <c r="R73" s="213"/>
      <c r="S73" s="213"/>
    </row>
    <row r="74" spans="3:19" x14ac:dyDescent="0.25">
      <c r="C74" s="159" t="s">
        <v>447</v>
      </c>
      <c r="D74" s="159" t="str">
        <f t="shared" ref="D74:D89" si="20">MID(C74,6,3)</f>
        <v>896</v>
      </c>
      <c r="E74" s="158" t="str">
        <f>VLOOKUP($C74,'Retail Rates'!$B$7:$P$40,2,FALSE)</f>
        <v>FT-I-DSM</v>
      </c>
      <c r="F74" s="160" t="s">
        <v>320</v>
      </c>
      <c r="G74" s="160" t="s">
        <v>158</v>
      </c>
      <c r="H74" s="156" t="s">
        <v>265</v>
      </c>
      <c r="I74" s="210">
        <f>SUMIFS('Data-Transport'!$H$4:$H$10000,'Data-Transport'!$A$4:$A$10000,'Mar20-Aug20 Transport Actuals'!I$4,'Data-Transport'!$B$4:$B$10000,'Mar20-Aug20 Transport Actuals'!$C$74,'Data-Transport'!$D$4:$D$10000,'Mar20-Aug20 Transport Actuals'!$F$74,'Data-Transport'!$E$4:$E$10000,'Mar20-Aug20 Transport Actuals'!$H$74,'Data-Transport'!$F$4:$F$10000,'Mar20-Aug20 Transport Actuals'!I$6)/10</f>
        <v>101440.4</v>
      </c>
      <c r="J74" s="210">
        <f>SUMIFS('Data-Transport'!$H$4:$H$10000,'Data-Transport'!$A$4:$A$10000,'Mar20-Aug20 Transport Actuals'!J$4,'Data-Transport'!$B$4:$B$10000,'Mar20-Aug20 Transport Actuals'!$C$74,'Data-Transport'!$D$4:$D$10000,'Mar20-Aug20 Transport Actuals'!$F$74,'Data-Transport'!$E$4:$E$10000,'Mar20-Aug20 Transport Actuals'!$H$74,'Data-Transport'!$F$4:$F$10000,'Mar20-Aug20 Transport Actuals'!J$6)/10</f>
        <v>93743.5</v>
      </c>
      <c r="K74" s="210">
        <f>SUMIFS('Data-Transport'!$H$4:$H$10000,'Data-Transport'!$A$4:$A$10000,'Mar20-Aug20 Transport Actuals'!K$4,'Data-Transport'!$B$4:$B$10000,'Mar20-Aug20 Transport Actuals'!$C$74,'Data-Transport'!$D$4:$D$10000,'Mar20-Aug20 Transport Actuals'!$F$74,'Data-Transport'!$E$4:$E$10000,'Mar20-Aug20 Transport Actuals'!$H$74,'Data-Transport'!$F$4:$F$10000,'Mar20-Aug20 Transport Actuals'!K$6)/10</f>
        <v>71552.899999999994</v>
      </c>
      <c r="L74" s="210">
        <f>SUMIFS('Data-Transport'!$H$4:$H$10000,'Data-Transport'!$A$4:$A$10000,'Mar20-Aug20 Transport Actuals'!L$4,'Data-Transport'!$B$4:$B$10000,'Mar20-Aug20 Transport Actuals'!$C$74,'Data-Transport'!$D$4:$D$10000,'Mar20-Aug20 Transport Actuals'!$F$74,'Data-Transport'!$E$4:$E$10000,'Mar20-Aug20 Transport Actuals'!$H$74,'Data-Transport'!$F$4:$F$10000,'Mar20-Aug20 Transport Actuals'!L$6)/10</f>
        <v>77042.8</v>
      </c>
      <c r="M74" s="210">
        <f>SUMIFS('Data-Transport'!$H$4:$H$10000,'Data-Transport'!$A$4:$A$10000,'Mar20-Aug20 Transport Actuals'!M$4,'Data-Transport'!$B$4:$B$10000,'Mar20-Aug20 Transport Actuals'!$C$74,'Data-Transport'!$D$4:$D$10000,'Mar20-Aug20 Transport Actuals'!$F$74,'Data-Transport'!$E$4:$E$10000,'Mar20-Aug20 Transport Actuals'!$H$74,'Data-Transport'!$F$4:$F$10000,'Mar20-Aug20 Transport Actuals'!M$6)/10</f>
        <v>68748.5</v>
      </c>
      <c r="N74" s="210">
        <f>SUMIFS('Data-Transport'!$H$4:$H$10000,'Data-Transport'!$A$4:$A$10000,'Mar20-Aug20 Transport Actuals'!N$4,'Data-Transport'!$B$4:$B$10000,'Mar20-Aug20 Transport Actuals'!$C$74,'Data-Transport'!$D$4:$D$10000,'Mar20-Aug20 Transport Actuals'!$F$74,'Data-Transport'!$E$4:$E$10000,'Mar20-Aug20 Transport Actuals'!$H$74,'Data-Transport'!$F$4:$F$10000,'Mar20-Aug20 Transport Actuals'!N$6)/10</f>
        <v>70281.7</v>
      </c>
      <c r="O74" s="210">
        <f>SUMIFS('Data-Transport'!$H$4:$H$10000,'Data-Transport'!$A$4:$A$10000,'Mar20-Aug20 Transport Actuals'!O$4,'Data-Transport'!$B$4:$B$10000,'Mar20-Aug20 Transport Actuals'!$Q$74,'Data-Transport'!$D$4:$D$10000,'Mar20-Aug20 Transport Actuals'!$F$74,'Data-Transport'!$E$4:$E$10000,'Mar20-Aug20 Transport Actuals'!$R$74,'Data-Transport'!$F$4:$F$10000,'Mar20-Aug20 Transport Actuals'!O$6)/10</f>
        <v>77506.100000000006</v>
      </c>
      <c r="P74" s="288">
        <f>SUM(I74:N74)</f>
        <v>482809.8</v>
      </c>
      <c r="Q74" s="213" t="s">
        <v>1041</v>
      </c>
      <c r="R74" s="213" t="s">
        <v>1036</v>
      </c>
      <c r="S74" s="213"/>
    </row>
    <row r="75" spans="3:19" x14ac:dyDescent="0.25">
      <c r="C75" s="159" t="s">
        <v>447</v>
      </c>
      <c r="D75" s="159" t="str">
        <f t="shared" si="20"/>
        <v>896</v>
      </c>
      <c r="E75" s="158" t="str">
        <f>VLOOKUP($C75,'Retail Rates'!$B$7:$P$40,2,FALSE)</f>
        <v>FT-I-DSM</v>
      </c>
      <c r="F75" s="160" t="s">
        <v>320</v>
      </c>
      <c r="G75" s="160" t="s">
        <v>159</v>
      </c>
      <c r="H75" s="160"/>
      <c r="I75" s="158">
        <f>VLOOKUP($C75,'Retail Rates'!$B$7:$P$40,6,FALSE)</f>
        <v>550</v>
      </c>
      <c r="J75" s="158">
        <f>VLOOKUP($C75,'Retail Rates'!$B$7:$P$40,6,FALSE)</f>
        <v>550</v>
      </c>
      <c r="K75" s="158">
        <f>VLOOKUP($C75,'Retail Rates'!$B$7:$P$40,6,FALSE)</f>
        <v>550</v>
      </c>
      <c r="L75" s="158">
        <f>VLOOKUP($C75,'Retail Rates'!$B$7:$P$40,6,FALSE)</f>
        <v>550</v>
      </c>
      <c r="M75" s="158">
        <f>VLOOKUP($C75,'Retail Rates'!$B$7:$P$40,6,FALSE)</f>
        <v>550</v>
      </c>
      <c r="N75" s="158">
        <f>VLOOKUP($C75,'Retail Rates'!$B$7:$P$40,6,FALSE)</f>
        <v>550</v>
      </c>
      <c r="O75" s="158">
        <f>VLOOKUP($C75,'Retail Rates'!$B$7:$P$40,6,FALSE)</f>
        <v>550</v>
      </c>
      <c r="P75" s="289"/>
      <c r="Q75" s="213"/>
      <c r="R75" s="213"/>
      <c r="S75" s="213"/>
    </row>
    <row r="76" spans="3:19" x14ac:dyDescent="0.25">
      <c r="C76" s="159" t="s">
        <v>447</v>
      </c>
      <c r="D76" s="159" t="str">
        <f t="shared" si="20"/>
        <v>896</v>
      </c>
      <c r="E76" s="158" t="str">
        <f>VLOOKUP($C76,'Retail Rates'!$B$7:$P$40,2,FALSE)</f>
        <v>FT-I-DSM</v>
      </c>
      <c r="F76" s="160" t="s">
        <v>320</v>
      </c>
      <c r="G76" s="160" t="s">
        <v>331</v>
      </c>
      <c r="H76" s="160"/>
      <c r="I76" s="158">
        <v>750</v>
      </c>
      <c r="J76" s="158">
        <v>750</v>
      </c>
      <c r="K76" s="158">
        <v>750</v>
      </c>
      <c r="L76" s="158">
        <v>750</v>
      </c>
      <c r="M76" s="158">
        <v>750</v>
      </c>
      <c r="N76" s="158">
        <v>750</v>
      </c>
      <c r="O76" s="158">
        <v>750</v>
      </c>
      <c r="P76" s="289"/>
      <c r="Q76" s="213"/>
      <c r="R76" s="213"/>
      <c r="S76" s="213"/>
    </row>
    <row r="77" spans="3:19" x14ac:dyDescent="0.25">
      <c r="C77" s="159" t="s">
        <v>447</v>
      </c>
      <c r="D77" s="159" t="str">
        <f t="shared" si="20"/>
        <v>896</v>
      </c>
      <c r="E77" s="158" t="str">
        <f>VLOOKUP($C77,'Retail Rates'!$B$7:$P$40,2,FALSE)</f>
        <v>FT-I-DSM</v>
      </c>
      <c r="F77" s="160" t="s">
        <v>320</v>
      </c>
      <c r="G77" s="160" t="s">
        <v>160</v>
      </c>
      <c r="H77" s="160"/>
      <c r="I77" s="194">
        <f>VLOOKUP($C77,'Retail Rates'!$B$7:$P$40,10,FALSE)</f>
        <v>3.7999999999999999E-2</v>
      </c>
      <c r="J77" s="158">
        <f>VLOOKUP($C77,'Retail Rates'!$B$7:$P$40,10,FALSE)</f>
        <v>3.7999999999999999E-2</v>
      </c>
      <c r="K77" s="158">
        <f>VLOOKUP($C77,'Retail Rates'!$B$7:$P$40,10,FALSE)</f>
        <v>3.7999999999999999E-2</v>
      </c>
      <c r="L77" s="158">
        <f>VLOOKUP($C77,'Retail Rates'!$B$7:$P$40,10,FALSE)</f>
        <v>3.7999999999999999E-2</v>
      </c>
      <c r="M77" s="158">
        <f>VLOOKUP($C77,'Retail Rates'!$B$7:$P$40,10,FALSE)</f>
        <v>3.7999999999999999E-2</v>
      </c>
      <c r="N77" s="158">
        <f>VLOOKUP($C77,'Retail Rates'!$B$7:$P$40,10,FALSE)</f>
        <v>3.7999999999999999E-2</v>
      </c>
      <c r="O77" s="158">
        <f>VLOOKUP($C77,'Retail Rates'!$B$7:$P$40,10,FALSE)</f>
        <v>3.7999999999999999E-2</v>
      </c>
      <c r="P77" s="289"/>
      <c r="Q77" s="213"/>
      <c r="R77" s="213"/>
      <c r="S77" s="213"/>
    </row>
    <row r="78" spans="3:19" x14ac:dyDescent="0.25">
      <c r="C78" s="159" t="s">
        <v>447</v>
      </c>
      <c r="D78" s="159" t="str">
        <f t="shared" si="20"/>
        <v>896</v>
      </c>
      <c r="E78" s="158" t="str">
        <f>VLOOKUP($C78,'Retail Rates'!$B$7:$P$40,2,FALSE)</f>
        <v>FT-I-DSM</v>
      </c>
      <c r="F78" s="160" t="s">
        <v>320</v>
      </c>
      <c r="G78" s="160" t="s">
        <v>168</v>
      </c>
      <c r="H78" s="160"/>
      <c r="I78" s="194">
        <v>4.8899999999999997</v>
      </c>
      <c r="J78" s="194">
        <v>4.8899999999999997</v>
      </c>
      <c r="K78" s="194">
        <v>4.8899999999999997</v>
      </c>
      <c r="L78" s="194">
        <v>4.8899999999999997</v>
      </c>
      <c r="M78" s="194">
        <v>4.8899999999999997</v>
      </c>
      <c r="N78" s="194">
        <v>4.8899999999999997</v>
      </c>
      <c r="O78" s="194">
        <v>4.8899999999999997</v>
      </c>
      <c r="P78" s="289"/>
      <c r="Q78" s="213"/>
      <c r="R78" s="213"/>
      <c r="S78" s="213"/>
    </row>
    <row r="79" spans="3:19" x14ac:dyDescent="0.25">
      <c r="C79" s="159" t="s">
        <v>447</v>
      </c>
      <c r="D79" s="159" t="str">
        <f t="shared" si="20"/>
        <v>896</v>
      </c>
      <c r="E79" s="158" t="str">
        <f>VLOOKUP($C79,'Retail Rates'!$B$7:$P$40,2,FALSE)</f>
        <v>FT-I-DSM</v>
      </c>
      <c r="F79" s="160" t="s">
        <v>320</v>
      </c>
      <c r="G79" s="164" t="s">
        <v>162</v>
      </c>
      <c r="H79" s="164"/>
      <c r="I79" s="213"/>
      <c r="J79" s="213"/>
      <c r="K79" s="213"/>
      <c r="L79" s="213"/>
      <c r="M79" s="213"/>
      <c r="N79" s="213"/>
      <c r="O79" s="213"/>
      <c r="P79" s="290"/>
      <c r="Q79" s="213"/>
      <c r="R79" s="213"/>
      <c r="S79" s="213"/>
    </row>
    <row r="80" spans="3:19" x14ac:dyDescent="0.25">
      <c r="C80" s="159" t="s">
        <v>447</v>
      </c>
      <c r="D80" s="159" t="str">
        <f t="shared" si="20"/>
        <v>896</v>
      </c>
      <c r="E80" s="158" t="str">
        <f>VLOOKUP($C80,'Retail Rates'!$B$7:$P$40,2,FALSE)</f>
        <v>FT-I-DSM</v>
      </c>
      <c r="F80" s="160" t="s">
        <v>320</v>
      </c>
      <c r="G80" s="160" t="s">
        <v>163</v>
      </c>
      <c r="H80" s="156" t="s">
        <v>268</v>
      </c>
      <c r="I80" s="196">
        <f>SUMIFS('Data-Transport'!$K$4:$K$10000,'Data-Transport'!$A$4:$A$10000,'Mar20-Aug20 Transport Actuals'!I$4,'Data-Transport'!$B$4:$B$10000,'Mar20-Aug20 Transport Actuals'!$C$80,'Data-Transport'!$D$4:$D$10000,'Mar20-Aug20 Transport Actuals'!$F$80,'Data-Transport'!$E$4:$E$10000,'Mar20-Aug20 Transport Actuals'!$H$80,'Data-Transport'!$F$4:$F$10000,'Mar20-Aug20 Transport Actuals'!I$6)</f>
        <v>8250</v>
      </c>
      <c r="J80" s="196">
        <f>SUMIFS('Data-Transport'!$K$4:$K$10000,'Data-Transport'!$A$4:$A$10000,'Mar20-Aug20 Transport Actuals'!J$4,'Data-Transport'!$B$4:$B$10000,'Mar20-Aug20 Transport Actuals'!$C$80,'Data-Transport'!$D$4:$D$10000,'Mar20-Aug20 Transport Actuals'!$F$80,'Data-Transport'!$E$4:$E$10000,'Mar20-Aug20 Transport Actuals'!$H$80,'Data-Transport'!$F$4:$F$10000,'Mar20-Aug20 Transport Actuals'!J$6)</f>
        <v>8250</v>
      </c>
      <c r="K80" s="196">
        <f>SUMIFS('Data-Transport'!$K$4:$K$10000,'Data-Transport'!$A$4:$A$10000,'Mar20-Aug20 Transport Actuals'!K$4,'Data-Transport'!$B$4:$B$10000,'Mar20-Aug20 Transport Actuals'!$C$80,'Data-Transport'!$D$4:$D$10000,'Mar20-Aug20 Transport Actuals'!$F$80,'Data-Transport'!$E$4:$E$10000,'Mar20-Aug20 Transport Actuals'!$H$80,'Data-Transport'!$F$4:$F$10000,'Mar20-Aug20 Transport Actuals'!K$6)</f>
        <v>8250</v>
      </c>
      <c r="L80" s="196">
        <f>SUMIFS('Data-Transport'!$K$4:$K$10000,'Data-Transport'!$A$4:$A$10000,'Mar20-Aug20 Transport Actuals'!L$4,'Data-Transport'!$B$4:$B$10000,'Mar20-Aug20 Transport Actuals'!$C$80,'Data-Transport'!$D$4:$D$10000,'Mar20-Aug20 Transport Actuals'!$F$80,'Data-Transport'!$E$4:$E$10000,'Mar20-Aug20 Transport Actuals'!$H$80,'Data-Transport'!$F$4:$F$10000,'Mar20-Aug20 Transport Actuals'!L$6)</f>
        <v>8250</v>
      </c>
      <c r="M80" s="196">
        <f>SUMIFS('Data-Transport'!$K$4:$K$10000,'Data-Transport'!$A$4:$A$10000,'Mar20-Aug20 Transport Actuals'!M$4,'Data-Transport'!$B$4:$B$10000,'Mar20-Aug20 Transport Actuals'!$C$80,'Data-Transport'!$D$4:$D$10000,'Mar20-Aug20 Transport Actuals'!$F$80,'Data-Transport'!$E$4:$E$10000,'Mar20-Aug20 Transport Actuals'!$H$80,'Data-Transport'!$F$4:$F$10000,'Mar20-Aug20 Transport Actuals'!M$6)</f>
        <v>8250</v>
      </c>
      <c r="N80" s="196">
        <f>SUMIFS('Data-Transport'!$K$4:$K$10000,'Data-Transport'!$A$4:$A$10000,'Mar20-Aug20 Transport Actuals'!N$4,'Data-Transport'!$B$4:$B$10000,'Mar20-Aug20 Transport Actuals'!$C$80,'Data-Transport'!$D$4:$D$10000,'Mar20-Aug20 Transport Actuals'!$F$80,'Data-Transport'!$E$4:$E$10000,'Mar20-Aug20 Transport Actuals'!$H$80,'Data-Transport'!$F$4:$F$10000,'Mar20-Aug20 Transport Actuals'!N$6)</f>
        <v>8323.33</v>
      </c>
      <c r="O80" s="196">
        <f>SUMIFS('Data-Transport'!$K$4:$K$10000,'Data-Transport'!$A$4:$A$10000,'Mar20-Aug20 Transport Actuals'!O$4,'Data-Transport'!$B$4:$B$10000,'Mar20-Aug20 Transport Actuals'!$Q$80,'Data-Transport'!$D$4:$D$10000,'Mar20-Aug20 Transport Actuals'!$F$80,'Data-Transport'!$E$4:$E$10000,'Mar20-Aug20 Transport Actuals'!$R$80,'Data-Transport'!$F$4:$F$10000,'Mar20-Aug20 Transport Actuals'!O$6)</f>
        <v>8250</v>
      </c>
      <c r="P80" s="288">
        <f>SUM(I80:N80)</f>
        <v>49573.33</v>
      </c>
      <c r="Q80" s="213" t="s">
        <v>1041</v>
      </c>
      <c r="R80" s="213" t="s">
        <v>268</v>
      </c>
      <c r="S80" s="213"/>
    </row>
    <row r="81" spans="3:19" x14ac:dyDescent="0.25">
      <c r="C81" s="159" t="s">
        <v>447</v>
      </c>
      <c r="D81" s="159" t="str">
        <f t="shared" si="20"/>
        <v>896</v>
      </c>
      <c r="E81" s="158" t="str">
        <f>VLOOKUP($C81,'Retail Rates'!$B$7:$P$40,2,FALSE)</f>
        <v>FT-I-DSM</v>
      </c>
      <c r="F81" s="160" t="s">
        <v>320</v>
      </c>
      <c r="G81" s="160" t="s">
        <v>331</v>
      </c>
      <c r="H81" s="156" t="s">
        <v>272</v>
      </c>
      <c r="I81" s="196">
        <f>SUMIFS('Data-Transport'!$K$4:$K$10000,'Data-Transport'!$A$4:$A$10000,'Mar20-Aug20 Transport Actuals'!I$4,'Data-Transport'!$B$4:$B$10000,'Mar20-Aug20 Transport Actuals'!$C$81,'Data-Transport'!$D$4:$D$10000,'Mar20-Aug20 Transport Actuals'!$F$81,'Data-Transport'!$E$4:$E$10000,'Mar20-Aug20 Transport Actuals'!$H$81,'Data-Transport'!$F$4:$F$10000,'Mar20-Aug20 Transport Actuals'!I$6)</f>
        <v>11250</v>
      </c>
      <c r="J81" s="196">
        <f>SUMIFS('Data-Transport'!$K$4:$K$10000,'Data-Transport'!$A$4:$A$10000,'Mar20-Aug20 Transport Actuals'!J$4,'Data-Transport'!$B$4:$B$10000,'Mar20-Aug20 Transport Actuals'!$C$81,'Data-Transport'!$D$4:$D$10000,'Mar20-Aug20 Transport Actuals'!$F$81,'Data-Transport'!$E$4:$E$10000,'Mar20-Aug20 Transport Actuals'!$H$81,'Data-Transport'!$F$4:$F$10000,'Mar20-Aug20 Transport Actuals'!J$6)</f>
        <v>11250</v>
      </c>
      <c r="K81" s="196">
        <f>SUMIFS('Data-Transport'!$K$4:$K$10000,'Data-Transport'!$A$4:$A$10000,'Mar20-Aug20 Transport Actuals'!K$4,'Data-Transport'!$B$4:$B$10000,'Mar20-Aug20 Transport Actuals'!$C$81,'Data-Transport'!$D$4:$D$10000,'Mar20-Aug20 Transport Actuals'!$F$81,'Data-Transport'!$E$4:$E$10000,'Mar20-Aug20 Transport Actuals'!$H$81,'Data-Transport'!$F$4:$F$10000,'Mar20-Aug20 Transport Actuals'!K$6)</f>
        <v>11250</v>
      </c>
      <c r="L81" s="196">
        <f>SUMIFS('Data-Transport'!$K$4:$K$10000,'Data-Transport'!$A$4:$A$10000,'Mar20-Aug20 Transport Actuals'!L$4,'Data-Transport'!$B$4:$B$10000,'Mar20-Aug20 Transport Actuals'!$C$81,'Data-Transport'!$D$4:$D$10000,'Mar20-Aug20 Transport Actuals'!$F$81,'Data-Transport'!$E$4:$E$10000,'Mar20-Aug20 Transport Actuals'!$H$81,'Data-Transport'!$F$4:$F$10000,'Mar20-Aug20 Transport Actuals'!L$6)</f>
        <v>11250</v>
      </c>
      <c r="M81" s="196">
        <f>SUMIFS('Data-Transport'!$K$4:$K$10000,'Data-Transport'!$A$4:$A$10000,'Mar20-Aug20 Transport Actuals'!M$4,'Data-Transport'!$B$4:$B$10000,'Mar20-Aug20 Transport Actuals'!$C$81,'Data-Transport'!$D$4:$D$10000,'Mar20-Aug20 Transport Actuals'!$F$81,'Data-Transport'!$E$4:$E$10000,'Mar20-Aug20 Transport Actuals'!$H$81,'Data-Transport'!$F$4:$F$10000,'Mar20-Aug20 Transport Actuals'!M$6)</f>
        <v>11250</v>
      </c>
      <c r="N81" s="196">
        <f>SUMIFS('Data-Transport'!$K$4:$K$10000,'Data-Transport'!$A$4:$A$10000,'Mar20-Aug20 Transport Actuals'!N$4,'Data-Transport'!$B$4:$B$10000,'Mar20-Aug20 Transport Actuals'!$C$81,'Data-Transport'!$D$4:$D$10000,'Mar20-Aug20 Transport Actuals'!$F$81,'Data-Transport'!$E$4:$E$10000,'Mar20-Aug20 Transport Actuals'!$H$81,'Data-Transport'!$F$4:$F$10000,'Mar20-Aug20 Transport Actuals'!N$6)</f>
        <v>11350</v>
      </c>
      <c r="O81" s="196">
        <f>SUMIFS('Data-Transport'!$K$4:$K$10000,'Data-Transport'!$A$4:$A$10000,'Mar20-Aug20 Transport Actuals'!O$4,'Data-Transport'!$B$4:$B$10000,'Mar20-Aug20 Transport Actuals'!$Q$81,'Data-Transport'!$D$4:$D$10000,'Mar20-Aug20 Transport Actuals'!$F$81,'Data-Transport'!$E$4:$E$10000,'Mar20-Aug20 Transport Actuals'!$R$81,'Data-Transport'!$F$4:$F$10000,'Mar20-Aug20 Transport Actuals'!O$6)</f>
        <v>11250</v>
      </c>
      <c r="P81" s="288">
        <f t="shared" ref="P81:P91" si="21">SUM(I81:N81)</f>
        <v>67600</v>
      </c>
      <c r="Q81" s="213" t="s">
        <v>1041</v>
      </c>
      <c r="R81" s="213" t="s">
        <v>272</v>
      </c>
      <c r="S81" s="213"/>
    </row>
    <row r="82" spans="3:19" x14ac:dyDescent="0.25">
      <c r="C82" s="159" t="s">
        <v>447</v>
      </c>
      <c r="D82" s="159" t="str">
        <f t="shared" si="20"/>
        <v>896</v>
      </c>
      <c r="E82" s="158" t="str">
        <f>VLOOKUP($C82,'Retail Rates'!$B$7:$P$40,2,FALSE)</f>
        <v>FT-I-DSM</v>
      </c>
      <c r="F82" s="160" t="s">
        <v>320</v>
      </c>
      <c r="G82" s="160" t="s">
        <v>168</v>
      </c>
      <c r="H82" s="156" t="s">
        <v>914</v>
      </c>
      <c r="I82" s="196">
        <f>SUMIFS('Data-Transport'!$L$4:$L$10000,'Data-Transport'!$A$4:$A$10000,'Mar20-Aug20 Transport Actuals'!I$4,'Data-Transport'!$B$4:$B$10000,'Mar20-Aug20 Transport Actuals'!$C$82,'Data-Transport'!$D$4:$D$10000,'Mar20-Aug20 Transport Actuals'!$F$82,'Data-Transport'!$E$4:$E$10000,'Mar20-Aug20 Transport Actuals'!$H$82,'Data-Transport'!$F$4:$F$10000,'Mar20-Aug20 Transport Actuals'!I$6)</f>
        <v>25767.360000000001</v>
      </c>
      <c r="J82" s="196">
        <f>SUMIFS('Data-Transport'!$L$4:$L$10000,'Data-Transport'!$A$4:$A$10000,'Mar20-Aug20 Transport Actuals'!J$4,'Data-Transport'!$B$4:$B$10000,'Mar20-Aug20 Transport Actuals'!$C$82,'Data-Transport'!$D$4:$D$10000,'Mar20-Aug20 Transport Actuals'!$F$82,'Data-Transport'!$E$4:$E$10000,'Mar20-Aug20 Transport Actuals'!$H$82,'Data-Transport'!$F$4:$F$10000,'Mar20-Aug20 Transport Actuals'!J$6)</f>
        <v>25772.25</v>
      </c>
      <c r="K82" s="196">
        <f>SUMIFS('Data-Transport'!$L$4:$L$10000,'Data-Transport'!$A$4:$A$10000,'Mar20-Aug20 Transport Actuals'!K$4,'Data-Transport'!$B$4:$B$10000,'Mar20-Aug20 Transport Actuals'!$C$82,'Data-Transport'!$D$4:$D$10000,'Mar20-Aug20 Transport Actuals'!$F$82,'Data-Transport'!$E$4:$E$10000,'Mar20-Aug20 Transport Actuals'!$H$82,'Data-Transport'!$F$4:$F$10000,'Mar20-Aug20 Transport Actuals'!K$6)</f>
        <v>25772.25</v>
      </c>
      <c r="L82" s="196">
        <f>SUMIFS('Data-Transport'!$L$4:$L$10000,'Data-Transport'!$A$4:$A$10000,'Mar20-Aug20 Transport Actuals'!L$4,'Data-Transport'!$B$4:$B$10000,'Mar20-Aug20 Transport Actuals'!$C$82,'Data-Transport'!$D$4:$D$10000,'Mar20-Aug20 Transport Actuals'!$F$82,'Data-Transport'!$E$4:$E$10000,'Mar20-Aug20 Transport Actuals'!$H$82,'Data-Transport'!$F$4:$F$10000,'Mar20-Aug20 Transport Actuals'!L$6)</f>
        <v>26853.43</v>
      </c>
      <c r="M82" s="196">
        <f>SUMIFS('Data-Transport'!$L$4:$L$10000,'Data-Transport'!$A$4:$A$10000,'Mar20-Aug20 Transport Actuals'!M$4,'Data-Transport'!$B$4:$B$10000,'Mar20-Aug20 Transport Actuals'!$C$82,'Data-Transport'!$D$4:$D$10000,'Mar20-Aug20 Transport Actuals'!$F$82,'Data-Transport'!$E$4:$E$10000,'Mar20-Aug20 Transport Actuals'!$H$82,'Data-Transport'!$F$4:$F$10000,'Mar20-Aug20 Transport Actuals'!M$6)</f>
        <v>26171.279999999999</v>
      </c>
      <c r="N82" s="196">
        <f>SUMIFS('Data-Transport'!$L$4:$L$10000,'Data-Transport'!$A$4:$A$10000,'Mar20-Aug20 Transport Actuals'!N$4,'Data-Transport'!$B$4:$B$10000,'Mar20-Aug20 Transport Actuals'!$C$82,'Data-Transport'!$D$4:$D$10000,'Mar20-Aug20 Transport Actuals'!$F$82,'Data-Transport'!$E$4:$E$10000,'Mar20-Aug20 Transport Actuals'!$H$82,'Data-Transport'!$F$4:$F$10000,'Mar20-Aug20 Transport Actuals'!N$6)</f>
        <v>26269.08</v>
      </c>
      <c r="O82" s="196">
        <f>SUMIFS('Data-Transport'!$L$4:$L$10000,'Data-Transport'!$A$4:$A$10000,'Mar20-Aug20 Transport Actuals'!O$4,'Data-Transport'!$B$4:$B$10000,'Mar20-Aug20 Transport Actuals'!$Q$82,'Data-Transport'!$D$4:$D$10000,'Mar20-Aug20 Transport Actuals'!$F$82,'Data-Transport'!$E$4:$E$10000,'Mar20-Aug20 Transport Actuals'!$R$82,'Data-Transport'!$F$4:$F$10000,'Mar20-Aug20 Transport Actuals'!O$6)</f>
        <v>25900.86</v>
      </c>
      <c r="P82" s="288">
        <f t="shared" si="21"/>
        <v>156605.65000000002</v>
      </c>
      <c r="Q82" s="213" t="s">
        <v>1041</v>
      </c>
      <c r="R82" s="213" t="s">
        <v>914</v>
      </c>
      <c r="S82" s="213"/>
    </row>
    <row r="83" spans="3:19" x14ac:dyDescent="0.25">
      <c r="C83" s="159" t="s">
        <v>447</v>
      </c>
      <c r="D83" s="159" t="str">
        <f t="shared" si="20"/>
        <v>896</v>
      </c>
      <c r="E83" s="158" t="str">
        <f>VLOOKUP($C83,'Retail Rates'!$B$7:$P$40,2,FALSE)</f>
        <v>FT-I-DSM</v>
      </c>
      <c r="F83" s="160" t="s">
        <v>320</v>
      </c>
      <c r="G83" s="160" t="s">
        <v>164</v>
      </c>
      <c r="H83" s="160"/>
      <c r="I83" s="197">
        <f t="shared" ref="I83:O83" si="22">ROUND(I74*I77,2)</f>
        <v>3854.74</v>
      </c>
      <c r="J83" s="197">
        <f t="shared" si="22"/>
        <v>3562.25</v>
      </c>
      <c r="K83" s="197">
        <f t="shared" si="22"/>
        <v>2719.01</v>
      </c>
      <c r="L83" s="197">
        <f t="shared" si="22"/>
        <v>2927.63</v>
      </c>
      <c r="M83" s="197">
        <f t="shared" si="22"/>
        <v>2612.44</v>
      </c>
      <c r="N83" s="197">
        <f t="shared" si="22"/>
        <v>2670.7</v>
      </c>
      <c r="O83" s="197">
        <f t="shared" si="22"/>
        <v>2945.23</v>
      </c>
      <c r="P83" s="288">
        <f t="shared" si="21"/>
        <v>18346.77</v>
      </c>
      <c r="Q83" s="213"/>
      <c r="R83" s="213"/>
      <c r="S83" s="213"/>
    </row>
    <row r="84" spans="3:19" x14ac:dyDescent="0.25">
      <c r="C84" s="159" t="s">
        <v>447</v>
      </c>
      <c r="D84" s="159" t="str">
        <f t="shared" si="20"/>
        <v>896</v>
      </c>
      <c r="E84" s="158" t="str">
        <f>VLOOKUP($C84,'Retail Rates'!$B$7:$P$40,2,FALSE)</f>
        <v>FT-I-DSM</v>
      </c>
      <c r="F84" s="160" t="s">
        <v>320</v>
      </c>
      <c r="G84" s="160" t="s">
        <v>165</v>
      </c>
      <c r="H84" s="160"/>
      <c r="I84" s="198">
        <f>SUM(I80:I83)</f>
        <v>49122.1</v>
      </c>
      <c r="J84" s="198">
        <f t="shared" ref="J84:O84" si="23">SUM(J80:J83)</f>
        <v>48834.5</v>
      </c>
      <c r="K84" s="198">
        <f t="shared" si="23"/>
        <v>47991.26</v>
      </c>
      <c r="L84" s="198">
        <f t="shared" si="23"/>
        <v>49281.06</v>
      </c>
      <c r="M84" s="198">
        <f t="shared" si="23"/>
        <v>48283.72</v>
      </c>
      <c r="N84" s="198">
        <f t="shared" si="23"/>
        <v>48613.11</v>
      </c>
      <c r="O84" s="198">
        <f t="shared" si="23"/>
        <v>48346.090000000004</v>
      </c>
      <c r="P84" s="288">
        <f t="shared" si="21"/>
        <v>292125.75</v>
      </c>
      <c r="Q84" s="213"/>
      <c r="R84" s="213"/>
      <c r="S84" s="213"/>
    </row>
    <row r="85" spans="3:19" x14ac:dyDescent="0.25">
      <c r="C85" s="159" t="s">
        <v>447</v>
      </c>
      <c r="D85" s="159" t="str">
        <f t="shared" si="20"/>
        <v>896</v>
      </c>
      <c r="E85" s="158" t="str">
        <f>VLOOKUP($C85,'Retail Rates'!$B$7:$P$40,2,FALSE)</f>
        <v>FT-I-DSM</v>
      </c>
      <c r="F85" s="160" t="s">
        <v>320</v>
      </c>
      <c r="G85" s="160" t="s">
        <v>166</v>
      </c>
      <c r="H85" s="156" t="s">
        <v>109</v>
      </c>
      <c r="I85" s="196">
        <f>SUMIFS('Data-Transport'!$Q$4:$Q$10000,'Data-Transport'!$A$4:$A$10000,'Mar20-Aug20 Transport Actuals'!I$4,'Data-Transport'!$B$4:$B$10000,'Mar20-Aug20 Transport Actuals'!$C$85,'Data-Transport'!$D$4:$D$10000,'Mar20-Aug20 Transport Actuals'!$F$85,'Data-Transport'!$E$4:$E$10000,'Mar20-Aug20 Transport Actuals'!$H$85,'Data-Transport'!$F$4:$F$10000,'Mar20-Aug20 Transport Actuals'!I$6)</f>
        <v>182.58</v>
      </c>
      <c r="J85" s="196">
        <f>SUMIFS('Data-Transport'!$Q$4:$Q$10000,'Data-Transport'!$A$4:$A$10000,'Mar20-Aug20 Transport Actuals'!J$4,'Data-Transport'!$B$4:$B$10000,'Mar20-Aug20 Transport Actuals'!$C$85,'Data-Transport'!$D$4:$D$10000,'Mar20-Aug20 Transport Actuals'!$F$85,'Data-Transport'!$E$4:$E$10000,'Mar20-Aug20 Transport Actuals'!$H$85,'Data-Transport'!$F$4:$F$10000,'Mar20-Aug20 Transport Actuals'!J$6)</f>
        <v>168.73</v>
      </c>
      <c r="K85" s="196">
        <f>SUMIFS('Data-Transport'!$Q$4:$Q$10000,'Data-Transport'!$A$4:$A$10000,'Mar20-Aug20 Transport Actuals'!K$4,'Data-Transport'!$B$4:$B$10000,'Mar20-Aug20 Transport Actuals'!$C$85,'Data-Transport'!$D$4:$D$10000,'Mar20-Aug20 Transport Actuals'!$F$85,'Data-Transport'!$E$4:$E$10000,'Mar20-Aug20 Transport Actuals'!$H$85,'Data-Transport'!$F$4:$F$10000,'Mar20-Aug20 Transport Actuals'!K$6)</f>
        <v>343.47</v>
      </c>
      <c r="L85" s="196">
        <f>SUMIFS('Data-Transport'!$Q$4:$Q$10000,'Data-Transport'!$A$4:$A$10000,'Mar20-Aug20 Transport Actuals'!L$4,'Data-Transport'!$B$4:$B$10000,'Mar20-Aug20 Transport Actuals'!$C$85,'Data-Transport'!$D$4:$D$10000,'Mar20-Aug20 Transport Actuals'!$F$85,'Data-Transport'!$E$4:$E$10000,'Mar20-Aug20 Transport Actuals'!$H$85,'Data-Transport'!$F$4:$F$10000,'Mar20-Aug20 Transport Actuals'!L$6)</f>
        <v>366.29</v>
      </c>
      <c r="M85" s="196">
        <f>SUMIFS('Data-Transport'!$Q$4:$Q$10000,'Data-Transport'!$A$4:$A$10000,'Mar20-Aug20 Transport Actuals'!M$4,'Data-Transport'!$B$4:$B$10000,'Mar20-Aug20 Transport Actuals'!$C$85,'Data-Transport'!$D$4:$D$10000,'Mar20-Aug20 Transport Actuals'!$F$85,'Data-Transport'!$E$4:$E$10000,'Mar20-Aug20 Transport Actuals'!$H$85,'Data-Transport'!$F$4:$F$10000,'Mar20-Aug20 Transport Actuals'!M$6)</f>
        <v>329.98</v>
      </c>
      <c r="N85" s="196">
        <f>SUMIFS('Data-Transport'!$Q$4:$Q$10000,'Data-Transport'!$A$4:$A$10000,'Mar20-Aug20 Transport Actuals'!N$4,'Data-Transport'!$B$4:$B$10000,'Mar20-Aug20 Transport Actuals'!$C$85,'Data-Transport'!$D$4:$D$10000,'Mar20-Aug20 Transport Actuals'!$F$85,'Data-Transport'!$E$4:$E$10000,'Mar20-Aug20 Transport Actuals'!$H$85,'Data-Transport'!$F$4:$F$10000,'Mar20-Aug20 Transport Actuals'!N$6)</f>
        <v>337.33</v>
      </c>
      <c r="O85" s="196">
        <f>SUMIFS('Data-Transport'!$Q$4:$Q$10000,'Data-Transport'!$A$4:$A$10000,'Mar20-Aug20 Transport Actuals'!O$4,'Data-Transport'!$B$4:$B$10000,'Mar20-Aug20 Transport Actuals'!$Q$85,'Data-Transport'!$D$4:$D$10000,'Mar20-Aug20 Transport Actuals'!$F$85,'Data-Transport'!$E$4:$E$10000,'Mar20-Aug20 Transport Actuals'!$R$85,'Data-Transport'!$F$4:$F$10000,'Mar20-Aug20 Transport Actuals'!O$6)</f>
        <v>372.03</v>
      </c>
      <c r="P85" s="288">
        <f t="shared" si="21"/>
        <v>1728.3799999999999</v>
      </c>
      <c r="Q85" s="213" t="s">
        <v>1041</v>
      </c>
      <c r="R85" s="213" t="s">
        <v>1035</v>
      </c>
      <c r="S85" s="213"/>
    </row>
    <row r="86" spans="3:19" x14ac:dyDescent="0.25">
      <c r="C86" s="159" t="s">
        <v>447</v>
      </c>
      <c r="D86" s="159" t="str">
        <f t="shared" si="20"/>
        <v>896</v>
      </c>
      <c r="E86" s="158" t="str">
        <f>VLOOKUP($C86,'Retail Rates'!$B$7:$P$40,2,FALSE)</f>
        <v>FT-I-DSM</v>
      </c>
      <c r="F86" s="160" t="s">
        <v>320</v>
      </c>
      <c r="G86" s="160" t="s">
        <v>256</v>
      </c>
      <c r="H86" s="156" t="s">
        <v>329</v>
      </c>
      <c r="I86" s="196">
        <f>SUMIFS('Data-Transport'!$W$4:$W$10000,'Data-Transport'!$A$4:$A$10000,'Mar20-Aug20 Transport Actuals'!I$4,'Data-Transport'!$B$4:$B$10000,'Mar20-Aug20 Transport Actuals'!$C$85,'Data-Transport'!$D$4:$D$10000,'Mar20-Aug20 Transport Actuals'!$F$86,'Data-Transport'!$E$4:$E$10000,'Mar20-Aug20 Transport Actuals'!$H$86,'Data-Transport'!$F$4:$F$10000,'Mar20-Aug20 Transport Actuals'!I$6)</f>
        <v>0</v>
      </c>
      <c r="J86" s="196">
        <f>SUMIFS('Data-Transport'!$W$4:$W$10000,'Data-Transport'!$A$4:$A$10000,'Mar20-Aug20 Transport Actuals'!J$4,'Data-Transport'!$B$4:$B$10000,'Mar20-Aug20 Transport Actuals'!$C$85,'Data-Transport'!$D$4:$D$10000,'Mar20-Aug20 Transport Actuals'!$F$86,'Data-Transport'!$E$4:$E$10000,'Mar20-Aug20 Transport Actuals'!$H$86,'Data-Transport'!$F$4:$F$10000,'Mar20-Aug20 Transport Actuals'!J$6)</f>
        <v>0</v>
      </c>
      <c r="K86" s="196">
        <f>SUMIFS('Data-Transport'!$W$4:$W$10000,'Data-Transport'!$A$4:$A$10000,'Mar20-Aug20 Transport Actuals'!K$4,'Data-Transport'!$B$4:$B$10000,'Mar20-Aug20 Transport Actuals'!$C$85,'Data-Transport'!$D$4:$D$10000,'Mar20-Aug20 Transport Actuals'!$F$86,'Data-Transport'!$E$4:$E$10000,'Mar20-Aug20 Transport Actuals'!$H$86,'Data-Transport'!$F$4:$F$10000,'Mar20-Aug20 Transport Actuals'!K$6)</f>
        <v>0</v>
      </c>
      <c r="L86" s="196">
        <f>SUMIFS('Data-Transport'!$W$4:$W$10000,'Data-Transport'!$A$4:$A$10000,'Mar20-Aug20 Transport Actuals'!L$4,'Data-Transport'!$B$4:$B$10000,'Mar20-Aug20 Transport Actuals'!$C$85,'Data-Transport'!$D$4:$D$10000,'Mar20-Aug20 Transport Actuals'!$F$86,'Data-Transport'!$E$4:$E$10000,'Mar20-Aug20 Transport Actuals'!$H$86,'Data-Transport'!$F$4:$F$10000,'Mar20-Aug20 Transport Actuals'!L$6)</f>
        <v>0</v>
      </c>
      <c r="M86" s="196">
        <f>SUMIFS('Data-Transport'!$W$4:$W$10000,'Data-Transport'!$A$4:$A$10000,'Mar20-Aug20 Transport Actuals'!M$4,'Data-Transport'!$B$4:$B$10000,'Mar20-Aug20 Transport Actuals'!$C$85,'Data-Transport'!$D$4:$D$10000,'Mar20-Aug20 Transport Actuals'!$F$86,'Data-Transport'!$E$4:$E$10000,'Mar20-Aug20 Transport Actuals'!$H$86,'Data-Transport'!$F$4:$F$10000,'Mar20-Aug20 Transport Actuals'!M$6)</f>
        <v>0</v>
      </c>
      <c r="N86" s="196">
        <f>SUMIFS('Data-Transport'!$W$4:$W$10000,'Data-Transport'!$A$4:$A$10000,'Mar20-Aug20 Transport Actuals'!N$4,'Data-Transport'!$B$4:$B$10000,'Mar20-Aug20 Transport Actuals'!$C$85,'Data-Transport'!$D$4:$D$10000,'Mar20-Aug20 Transport Actuals'!$F$86,'Data-Transport'!$E$4:$E$10000,'Mar20-Aug20 Transport Actuals'!$H$86,'Data-Transport'!$F$4:$F$10000,'Mar20-Aug20 Transport Actuals'!N$6)</f>
        <v>0</v>
      </c>
      <c r="O86" s="196">
        <f>SUMIFS('Data-Transport'!$W$4:$W$10000,'Data-Transport'!$A$4:$A$10000,'Mar20-Aug20 Transport Actuals'!O$4,'Data-Transport'!$B$4:$B$10000,'Mar20-Aug20 Transport Actuals'!$Q$85,'Data-Transport'!$D$4:$D$10000,'Mar20-Aug20 Transport Actuals'!$F$86,'Data-Transport'!$E$4:$E$10000,'Mar20-Aug20 Transport Actuals'!$R$86,'Data-Transport'!$F$4:$F$10000,'Mar20-Aug20 Transport Actuals'!O$6)</f>
        <v>0</v>
      </c>
      <c r="P86" s="288">
        <f t="shared" si="21"/>
        <v>0</v>
      </c>
      <c r="Q86" s="213" t="s">
        <v>1041</v>
      </c>
      <c r="R86" s="213" t="s">
        <v>329</v>
      </c>
      <c r="S86" s="213"/>
    </row>
    <row r="87" spans="3:19" x14ac:dyDescent="0.25">
      <c r="C87" s="159" t="s">
        <v>447</v>
      </c>
      <c r="D87" s="159" t="str">
        <f t="shared" si="20"/>
        <v>896</v>
      </c>
      <c r="E87" s="158" t="str">
        <f>VLOOKUP($C87,'Retail Rates'!$B$7:$P$40,2,FALSE)</f>
        <v>FT-I-DSM</v>
      </c>
      <c r="F87" s="160" t="s">
        <v>320</v>
      </c>
      <c r="G87" s="160" t="s">
        <v>257</v>
      </c>
      <c r="H87" s="156" t="s">
        <v>330</v>
      </c>
      <c r="I87" s="196">
        <f>SUMIFS('Data-Transport'!$X$4:$X$10000,'Data-Transport'!$A$4:$A$10000,'Mar20-Aug20 Transport Actuals'!I$4,'Data-Transport'!$B$4:$B$10000,'Mar20-Aug20 Transport Actuals'!$C$87,'Data-Transport'!$D$4:$D$10000,'Mar20-Aug20 Transport Actuals'!$F$87,'Data-Transport'!$E$4:$E$10000,'Mar20-Aug20 Transport Actuals'!$H$87,'Data-Transport'!$F$4:$F$10000,'Mar20-Aug20 Transport Actuals'!I$6)</f>
        <v>0</v>
      </c>
      <c r="J87" s="196">
        <f>SUMIFS('Data-Transport'!$X$4:$X$10000,'Data-Transport'!$A$4:$A$10000,'Mar20-Aug20 Transport Actuals'!J$4,'Data-Transport'!$B$4:$B$10000,'Mar20-Aug20 Transport Actuals'!$C$87,'Data-Transport'!$D$4:$D$10000,'Mar20-Aug20 Transport Actuals'!$F$87,'Data-Transport'!$E$4:$E$10000,'Mar20-Aug20 Transport Actuals'!$H$87,'Data-Transport'!$F$4:$F$10000,'Mar20-Aug20 Transport Actuals'!J$6)</f>
        <v>0</v>
      </c>
      <c r="K87" s="196">
        <f>SUMIFS('Data-Transport'!$X$4:$X$10000,'Data-Transport'!$A$4:$A$10000,'Mar20-Aug20 Transport Actuals'!K$4,'Data-Transport'!$B$4:$B$10000,'Mar20-Aug20 Transport Actuals'!$C$87,'Data-Transport'!$D$4:$D$10000,'Mar20-Aug20 Transport Actuals'!$F$87,'Data-Transport'!$E$4:$E$10000,'Mar20-Aug20 Transport Actuals'!$H$87,'Data-Transport'!$F$4:$F$10000,'Mar20-Aug20 Transport Actuals'!K$6)</f>
        <v>0</v>
      </c>
      <c r="L87" s="196">
        <f>SUMIFS('Data-Transport'!$X$4:$X$10000,'Data-Transport'!$A$4:$A$10000,'Mar20-Aug20 Transport Actuals'!L$4,'Data-Transport'!$B$4:$B$10000,'Mar20-Aug20 Transport Actuals'!$C$87,'Data-Transport'!$D$4:$D$10000,'Mar20-Aug20 Transport Actuals'!$F$87,'Data-Transport'!$E$4:$E$10000,'Mar20-Aug20 Transport Actuals'!$H$87,'Data-Transport'!$F$4:$F$10000,'Mar20-Aug20 Transport Actuals'!L$6)</f>
        <v>0</v>
      </c>
      <c r="M87" s="196">
        <f>SUMIFS('Data-Transport'!$X$4:$X$10000,'Data-Transport'!$A$4:$A$10000,'Mar20-Aug20 Transport Actuals'!M$4,'Data-Transport'!$B$4:$B$10000,'Mar20-Aug20 Transport Actuals'!$C$87,'Data-Transport'!$D$4:$D$10000,'Mar20-Aug20 Transport Actuals'!$F$87,'Data-Transport'!$E$4:$E$10000,'Mar20-Aug20 Transport Actuals'!$H$87,'Data-Transport'!$F$4:$F$10000,'Mar20-Aug20 Transport Actuals'!M$6)</f>
        <v>0</v>
      </c>
      <c r="N87" s="196">
        <f>SUMIFS('Data-Transport'!$X$4:$X$10000,'Data-Transport'!$A$4:$A$10000,'Mar20-Aug20 Transport Actuals'!N$4,'Data-Transport'!$B$4:$B$10000,'Mar20-Aug20 Transport Actuals'!$C$87,'Data-Transport'!$D$4:$D$10000,'Mar20-Aug20 Transport Actuals'!$F$87,'Data-Transport'!$E$4:$E$10000,'Mar20-Aug20 Transport Actuals'!$H$87,'Data-Transport'!$F$4:$F$10000,'Mar20-Aug20 Transport Actuals'!N$6)</f>
        <v>0</v>
      </c>
      <c r="O87" s="196">
        <f>SUMIFS('Data-Transport'!$X$4:$X$10000,'Data-Transport'!$A$4:$A$10000,'Mar20-Aug20 Transport Actuals'!O$4,'Data-Transport'!$B$4:$B$10000,'Mar20-Aug20 Transport Actuals'!$Q$87,'Data-Transport'!$D$4:$D$10000,'Mar20-Aug20 Transport Actuals'!$F$87,'Data-Transport'!$E$4:$E$10000,'Mar20-Aug20 Transport Actuals'!$R$87,'Data-Transport'!$F$4:$F$10000,'Mar20-Aug20 Transport Actuals'!O$6)</f>
        <v>0</v>
      </c>
      <c r="P87" s="288">
        <f t="shared" si="21"/>
        <v>0</v>
      </c>
      <c r="Q87" s="213" t="s">
        <v>1041</v>
      </c>
      <c r="R87" s="213" t="s">
        <v>1038</v>
      </c>
      <c r="S87" s="213"/>
    </row>
    <row r="88" spans="3:19" x14ac:dyDescent="0.25">
      <c r="C88" s="159" t="s">
        <v>447</v>
      </c>
      <c r="D88" s="159" t="str">
        <f t="shared" si="20"/>
        <v>896</v>
      </c>
      <c r="E88" s="158" t="str">
        <f>VLOOKUP($C88,'Retail Rates'!$B$7:$P$40,2,FALSE)</f>
        <v>FT-I-DSM</v>
      </c>
      <c r="F88" s="160" t="s">
        <v>320</v>
      </c>
      <c r="G88" s="160" t="s">
        <v>340</v>
      </c>
      <c r="H88" s="156" t="s">
        <v>325</v>
      </c>
      <c r="I88" s="196">
        <f>SUMIFS('Data-Transport'!$N$4:$N$10000,'Data-Transport'!$A$4:$A$10000,'Mar20-Aug20 Transport Actuals'!I$4,'Data-Transport'!$B$4:$B$10000,'Mar20-Aug20 Transport Actuals'!$C$87,'Data-Transport'!$D$4:$D$10000,'Mar20-Aug20 Transport Actuals'!$F$88,'Data-Transport'!$E$4:$E$10000,'Mar20-Aug20 Transport Actuals'!$H$88,'Data-Transport'!$F$4:$F$10000,'Mar20-Aug20 Transport Actuals'!I$6)</f>
        <v>11.01</v>
      </c>
      <c r="J88" s="196">
        <f>SUMIFS('Data-Transport'!$N$4:$N$10000,'Data-Transport'!$A$4:$A$10000,'Mar20-Aug20 Transport Actuals'!J$4,'Data-Transport'!$B$4:$B$10000,'Mar20-Aug20 Transport Actuals'!$C$87,'Data-Transport'!$D$4:$D$10000,'Mar20-Aug20 Transport Actuals'!$F$88,'Data-Transport'!$E$4:$E$10000,'Mar20-Aug20 Transport Actuals'!$H$88,'Data-Transport'!$F$4:$F$10000,'Mar20-Aug20 Transport Actuals'!J$6)</f>
        <v>41.58</v>
      </c>
      <c r="K88" s="196">
        <f>SUMIFS('Data-Transport'!$N$4:$N$10000,'Data-Transport'!$A$4:$A$10000,'Mar20-Aug20 Transport Actuals'!K$4,'Data-Transport'!$B$4:$B$10000,'Mar20-Aug20 Transport Actuals'!$C$87,'Data-Transport'!$D$4:$D$10000,'Mar20-Aug20 Transport Actuals'!$F$88,'Data-Transport'!$E$4:$E$10000,'Mar20-Aug20 Transport Actuals'!$H$88,'Data-Transport'!$F$4:$F$10000,'Mar20-Aug20 Transport Actuals'!K$6)</f>
        <v>62.36</v>
      </c>
      <c r="L88" s="196">
        <f>SUMIFS('Data-Transport'!$N$4:$N$10000,'Data-Transport'!$A$4:$A$10000,'Mar20-Aug20 Transport Actuals'!L$4,'Data-Transport'!$B$4:$B$10000,'Mar20-Aug20 Transport Actuals'!$C$87,'Data-Transport'!$D$4:$D$10000,'Mar20-Aug20 Transport Actuals'!$F$88,'Data-Transport'!$E$4:$E$10000,'Mar20-Aug20 Transport Actuals'!$H$88,'Data-Transport'!$F$4:$F$10000,'Mar20-Aug20 Transport Actuals'!L$6)</f>
        <v>75.849999999999994</v>
      </c>
      <c r="M88" s="196">
        <f>SUMIFS('Data-Transport'!$N$4:$N$10000,'Data-Transport'!$A$4:$A$10000,'Mar20-Aug20 Transport Actuals'!M$4,'Data-Transport'!$B$4:$B$10000,'Mar20-Aug20 Transport Actuals'!$C$87,'Data-Transport'!$D$4:$D$10000,'Mar20-Aug20 Transport Actuals'!$F$88,'Data-Transport'!$E$4:$E$10000,'Mar20-Aug20 Transport Actuals'!$H$88,'Data-Transport'!$F$4:$F$10000,'Mar20-Aug20 Transport Actuals'!M$6)</f>
        <v>96.98</v>
      </c>
      <c r="N88" s="196">
        <f>SUMIFS('Data-Transport'!$N$4:$N$10000,'Data-Transport'!$A$4:$A$10000,'Mar20-Aug20 Transport Actuals'!N$4,'Data-Transport'!$B$4:$B$10000,'Mar20-Aug20 Transport Actuals'!$C$87,'Data-Transport'!$D$4:$D$10000,'Mar20-Aug20 Transport Actuals'!$F$88,'Data-Transport'!$E$4:$E$10000,'Mar20-Aug20 Transport Actuals'!$H$88,'Data-Transport'!$F$4:$F$10000,'Mar20-Aug20 Transport Actuals'!N$6)</f>
        <v>108.33</v>
      </c>
      <c r="O88" s="196">
        <f>SUMIFS('Data-Transport'!$N$4:$N$10000,'Data-Transport'!$A$4:$A$10000,'Mar20-Aug20 Transport Actuals'!O$4,'Data-Transport'!$B$4:$B$10000,'Mar20-Aug20 Transport Actuals'!$Q$87,'Data-Transport'!$D$4:$D$10000,'Mar20-Aug20 Transport Actuals'!$F$88,'Data-Transport'!$E$4:$E$10000,'Mar20-Aug20 Transport Actuals'!$R$88,'Data-Transport'!$F$4:$F$10000,'Mar20-Aug20 Transport Actuals'!O$6)</f>
        <v>64.91</v>
      </c>
      <c r="P88" s="288">
        <f t="shared" si="21"/>
        <v>396.10999999999996</v>
      </c>
      <c r="Q88" s="213" t="s">
        <v>1041</v>
      </c>
      <c r="R88" s="213" t="s">
        <v>325</v>
      </c>
      <c r="S88" s="213"/>
    </row>
    <row r="89" spans="3:19" x14ac:dyDescent="0.25">
      <c r="C89" s="159" t="s">
        <v>447</v>
      </c>
      <c r="D89" s="159" t="str">
        <f t="shared" si="20"/>
        <v>896</v>
      </c>
      <c r="E89" s="158" t="str">
        <f>VLOOKUP($C89,'Retail Rates'!$B$7:$P$40,2,FALSE)</f>
        <v>FT-I-DSM</v>
      </c>
      <c r="F89" s="160" t="s">
        <v>320</v>
      </c>
      <c r="G89" s="160" t="s">
        <v>334</v>
      </c>
      <c r="H89" s="156" t="s">
        <v>326</v>
      </c>
      <c r="I89" s="196">
        <f>SUMIFS('Data-Transport'!$V$4:$V$10000,'Data-Transport'!$A$4:$A$10000,'Mar20-Aug20 Transport Actuals'!I$4,'Data-Transport'!$B$4:$B$10000,'Mar20-Aug20 Transport Actuals'!$C$89,'Data-Transport'!$D$4:$D$10000,'Mar20-Aug20 Transport Actuals'!$F$89,'Data-Transport'!$E$4:$E$10000,'Mar20-Aug20 Transport Actuals'!$H$89,'Data-Transport'!$F$4:$F$10000,'Mar20-Aug20 Transport Actuals'!I$6)</f>
        <v>0</v>
      </c>
      <c r="J89" s="196">
        <f>SUMIFS('Data-Transport'!$V$4:$V$10000,'Data-Transport'!$A$4:$A$10000,'Mar20-Aug20 Transport Actuals'!J$4,'Data-Transport'!$B$4:$B$10000,'Mar20-Aug20 Transport Actuals'!$C$89,'Data-Transport'!$D$4:$D$10000,'Mar20-Aug20 Transport Actuals'!$F$89,'Data-Transport'!$E$4:$E$10000,'Mar20-Aug20 Transport Actuals'!$H$89,'Data-Transport'!$F$4:$F$10000,'Mar20-Aug20 Transport Actuals'!J$6)</f>
        <v>0</v>
      </c>
      <c r="K89" s="196">
        <f>SUMIFS('Data-Transport'!$V$4:$V$10000,'Data-Transport'!$A$4:$A$10000,'Mar20-Aug20 Transport Actuals'!K$4,'Data-Transport'!$B$4:$B$10000,'Mar20-Aug20 Transport Actuals'!$C$89,'Data-Transport'!$D$4:$D$10000,'Mar20-Aug20 Transport Actuals'!$F$89,'Data-Transport'!$E$4:$E$10000,'Mar20-Aug20 Transport Actuals'!$H$89,'Data-Transport'!$F$4:$F$10000,'Mar20-Aug20 Transport Actuals'!K$6)</f>
        <v>0</v>
      </c>
      <c r="L89" s="196">
        <f>SUMIFS('Data-Transport'!$V$4:$V$10000,'Data-Transport'!$A$4:$A$10000,'Mar20-Aug20 Transport Actuals'!L$4,'Data-Transport'!$B$4:$B$10000,'Mar20-Aug20 Transport Actuals'!$C$89,'Data-Transport'!$D$4:$D$10000,'Mar20-Aug20 Transport Actuals'!$F$89,'Data-Transport'!$E$4:$E$10000,'Mar20-Aug20 Transport Actuals'!$H$89,'Data-Transport'!$F$4:$F$10000,'Mar20-Aug20 Transport Actuals'!L$6)</f>
        <v>0</v>
      </c>
      <c r="M89" s="196">
        <f>SUMIFS('Data-Transport'!$V$4:$V$10000,'Data-Transport'!$A$4:$A$10000,'Mar20-Aug20 Transport Actuals'!M$4,'Data-Transport'!$B$4:$B$10000,'Mar20-Aug20 Transport Actuals'!$C$89,'Data-Transport'!$D$4:$D$10000,'Mar20-Aug20 Transport Actuals'!$F$89,'Data-Transport'!$E$4:$E$10000,'Mar20-Aug20 Transport Actuals'!$H$89,'Data-Transport'!$F$4:$F$10000,'Mar20-Aug20 Transport Actuals'!M$6)</f>
        <v>0</v>
      </c>
      <c r="N89" s="196">
        <f>SUMIFS('Data-Transport'!$V$4:$V$10000,'Data-Transport'!$A$4:$A$10000,'Mar20-Aug20 Transport Actuals'!N$4,'Data-Transport'!$B$4:$B$10000,'Mar20-Aug20 Transport Actuals'!$C$89,'Data-Transport'!$D$4:$D$10000,'Mar20-Aug20 Transport Actuals'!$F$89,'Data-Transport'!$E$4:$E$10000,'Mar20-Aug20 Transport Actuals'!$H$89,'Data-Transport'!$F$4:$F$10000,'Mar20-Aug20 Transport Actuals'!N$6)</f>
        <v>0</v>
      </c>
      <c r="O89" s="196">
        <f>SUMIFS('Data-Transport'!$V$4:$V$10000,'Data-Transport'!$A$4:$A$10000,'Mar20-Aug20 Transport Actuals'!O$4,'Data-Transport'!$B$4:$B$10000,'Mar20-Aug20 Transport Actuals'!$Q$89,'Data-Transport'!$D$4:$D$10000,'Mar20-Aug20 Transport Actuals'!$F$89,'Data-Transport'!$E$4:$E$10000,'Mar20-Aug20 Transport Actuals'!$R$89,'Data-Transport'!$F$4:$F$10000,'Mar20-Aug20 Transport Actuals'!O$6)</f>
        <v>0</v>
      </c>
      <c r="P89" s="288">
        <f t="shared" si="21"/>
        <v>0</v>
      </c>
      <c r="Q89" s="213" t="s">
        <v>1041</v>
      </c>
      <c r="R89" s="213" t="s">
        <v>326</v>
      </c>
      <c r="S89" s="213"/>
    </row>
    <row r="90" spans="3:19" x14ac:dyDescent="0.25">
      <c r="C90" s="159" t="s">
        <v>447</v>
      </c>
      <c r="D90" s="159" t="str">
        <f>MID(C90,6,3)</f>
        <v>896</v>
      </c>
      <c r="E90" s="158" t="str">
        <f>VLOOKUP($C90,'Retail Rates'!$B$7:$P$40,2,FALSE)</f>
        <v>FT-I-DSM</v>
      </c>
      <c r="F90" s="160" t="s">
        <v>320</v>
      </c>
      <c r="G90" s="160" t="s">
        <v>370</v>
      </c>
      <c r="H90" s="156" t="s">
        <v>357</v>
      </c>
      <c r="I90" s="196">
        <f>SUMIFS('Data-Transport'!$S$4:$S$10000,'Data-Transport'!$A$4:$A$10000,'Mar20-Aug20 Transport Actuals'!I$4,'Data-Transport'!$B$4:$B$10000,'Mar20-Aug20 Transport Actuals'!$C$88,'Data-Transport'!$D$4:$D$10000,'Mar20-Aug20 Transport Actuals'!$F$89,'Data-Transport'!$E$4:$E$10000,'Mar20-Aug20 Transport Actuals'!$H$90,'Data-Transport'!$F$4:$F$10000,'Mar20-Aug20 Transport Actuals'!I$6)</f>
        <v>-12.52</v>
      </c>
      <c r="J90" s="196">
        <f>SUMIFS('Data-Transport'!$S$4:$S$10000,'Data-Transport'!$A$4:$A$10000,'Mar20-Aug20 Transport Actuals'!J$4,'Data-Transport'!$B$4:$B$10000,'Mar20-Aug20 Transport Actuals'!$C$88,'Data-Transport'!$D$4:$D$10000,'Mar20-Aug20 Transport Actuals'!$F$89,'Data-Transport'!$E$4:$E$10000,'Mar20-Aug20 Transport Actuals'!$H$90,'Data-Transport'!$F$4:$F$10000,'Mar20-Aug20 Transport Actuals'!J$6)</f>
        <v>-12.58</v>
      </c>
      <c r="K90" s="196">
        <f>SUMIFS('Data-Transport'!$S$4:$S$10000,'Data-Transport'!$A$4:$A$10000,'Mar20-Aug20 Transport Actuals'!K$4,'Data-Transport'!$B$4:$B$10000,'Mar20-Aug20 Transport Actuals'!$C$88,'Data-Transport'!$D$4:$D$10000,'Mar20-Aug20 Transport Actuals'!$F$89,'Data-Transport'!$E$4:$E$10000,'Mar20-Aug20 Transport Actuals'!$H$90,'Data-Transport'!$F$4:$F$10000,'Mar20-Aug20 Transport Actuals'!K$6)</f>
        <v>-12.25</v>
      </c>
      <c r="L90" s="196">
        <f>SUMIFS('Data-Transport'!$S$4:$S$10000,'Data-Transport'!$A$4:$A$10000,'Mar20-Aug20 Transport Actuals'!L$4,'Data-Transport'!$B$4:$B$10000,'Mar20-Aug20 Transport Actuals'!$C$88,'Data-Transport'!$D$4:$D$10000,'Mar20-Aug20 Transport Actuals'!$F$89,'Data-Transport'!$E$4:$E$10000,'Mar20-Aug20 Transport Actuals'!$H$90,'Data-Transport'!$F$4:$F$10000,'Mar20-Aug20 Transport Actuals'!L$6)</f>
        <v>0</v>
      </c>
      <c r="M90" s="196">
        <f>SUMIFS('Data-Transport'!$S$4:$S$10000,'Data-Transport'!$A$4:$A$10000,'Mar20-Aug20 Transport Actuals'!M$4,'Data-Transport'!$B$4:$B$10000,'Mar20-Aug20 Transport Actuals'!$C$88,'Data-Transport'!$D$4:$D$10000,'Mar20-Aug20 Transport Actuals'!$F$89,'Data-Transport'!$E$4:$E$10000,'Mar20-Aug20 Transport Actuals'!$H$90,'Data-Transport'!$F$4:$F$10000,'Mar20-Aug20 Transport Actuals'!M$6)</f>
        <v>0</v>
      </c>
      <c r="N90" s="196">
        <f>SUMIFS('Data-Transport'!$S$4:$S$10000,'Data-Transport'!$A$4:$A$10000,'Mar20-Aug20 Transport Actuals'!N$4,'Data-Transport'!$B$4:$B$10000,'Mar20-Aug20 Transport Actuals'!$C$88,'Data-Transport'!$D$4:$D$10000,'Mar20-Aug20 Transport Actuals'!$F$89,'Data-Transport'!$E$4:$E$10000,'Mar20-Aug20 Transport Actuals'!$H$90,'Data-Transport'!$F$4:$F$10000,'Mar20-Aug20 Transport Actuals'!N$6)</f>
        <v>0</v>
      </c>
      <c r="O90" s="196">
        <f>SUMIFS('Data-Transport'!$S$4:$S$10000,'Data-Transport'!$A$4:$A$10000,'Mar20-Aug20 Transport Actuals'!O$4,'Data-Transport'!$B$4:$B$10000,'Mar20-Aug20 Transport Actuals'!$Q$88,'Data-Transport'!$D$4:$D$10000,'Mar20-Aug20 Transport Actuals'!$F$89,'Data-Transport'!$E$4:$E$10000,'Mar20-Aug20 Transport Actuals'!$R$90,'Data-Transport'!$F$4:$F$10000,'Mar20-Aug20 Transport Actuals'!O$6)</f>
        <v>0</v>
      </c>
      <c r="P90" s="288">
        <f t="shared" si="21"/>
        <v>-37.35</v>
      </c>
      <c r="Q90" s="213" t="s">
        <v>1041</v>
      </c>
      <c r="R90" s="213" t="s">
        <v>357</v>
      </c>
      <c r="S90" s="213"/>
    </row>
    <row r="91" spans="3:19" x14ac:dyDescent="0.25">
      <c r="C91" s="159" t="s">
        <v>447</v>
      </c>
      <c r="D91" s="159" t="str">
        <f>MID(C91,6,3)</f>
        <v>896</v>
      </c>
      <c r="E91" s="158" t="str">
        <f>VLOOKUP($C91,'Retail Rates'!$B$7:$P$40,2,FALSE)</f>
        <v>FT-I-DSM</v>
      </c>
      <c r="F91" s="160" t="s">
        <v>320</v>
      </c>
      <c r="G91" s="160" t="s">
        <v>324</v>
      </c>
      <c r="H91" s="156" t="s">
        <v>621</v>
      </c>
      <c r="I91" s="196">
        <f>SUMIFS('Data-Transport'!$AA$4:$AA$10000,'Data-Transport'!$A$4:$A$10000,'Mar20-Aug20 Transport Actuals'!I$4,'Data-Transport'!$B$4:$B$10000,'Mar20-Aug20 Transport Actuals'!$C$91,'Data-Transport'!$D$4:$D$10000,'Mar20-Aug20 Transport Actuals'!$F$91,'Data-Transport'!$E$4:$E$10000,'Mar20-Aug20 Transport Actuals'!$H$91,'Data-Transport'!$F$4:$F$10000,'Mar20-Aug20 Transport Actuals'!I$6)-I418</f>
        <v>486.77032000000003</v>
      </c>
      <c r="J91" s="196">
        <f>SUMIFS('Data-Transport'!$AA$4:$AA$10000,'Data-Transport'!$A$4:$A$10000,'Mar20-Aug20 Transport Actuals'!J$4,'Data-Transport'!$B$4:$B$10000,'Mar20-Aug20 Transport Actuals'!$C$91,'Data-Transport'!$D$4:$D$10000,'Mar20-Aug20 Transport Actuals'!$F$91,'Data-Transport'!$E$4:$E$10000,'Mar20-Aug20 Transport Actuals'!$H$91,'Data-Transport'!$F$4:$F$10000,'Mar20-Aug20 Transport Actuals'!J$6)-J418</f>
        <v>449.92879999999997</v>
      </c>
      <c r="K91" s="196">
        <f>SUMIFS('Data-Transport'!$AA$4:$AA$10000,'Data-Transport'!$A$4:$A$10000,'Mar20-Aug20 Transport Actuals'!K$4,'Data-Transport'!$B$4:$B$10000,'Mar20-Aug20 Transport Actuals'!$C$91,'Data-Transport'!$D$4:$D$10000,'Mar20-Aug20 Transport Actuals'!$F$91,'Data-Transport'!$E$4:$E$10000,'Mar20-Aug20 Transport Actuals'!$H$91,'Data-Transport'!$F$4:$F$10000,'Mar20-Aug20 Transport Actuals'!K$6)-K418</f>
        <v>330.33506000000006</v>
      </c>
      <c r="L91" s="196">
        <f>SUMIFS('Data-Transport'!$AA$4:$AA$10000,'Data-Transport'!$A$4:$A$10000,'Mar20-Aug20 Transport Actuals'!L$4,'Data-Transport'!$B$4:$B$10000,'Mar20-Aug20 Transport Actuals'!$C$91,'Data-Transport'!$D$4:$D$10000,'Mar20-Aug20 Transport Actuals'!$F$91,'Data-Transport'!$E$4:$E$10000,'Mar20-Aug20 Transport Actuals'!$H$91,'Data-Transport'!$F$4:$F$10000,'Mar20-Aug20 Transport Actuals'!L$6)-L418</f>
        <v>734.49</v>
      </c>
      <c r="M91" s="196">
        <f>SUMIFS('Data-Transport'!$AA$4:$AA$10000,'Data-Transport'!$A$4:$A$10000,'Mar20-Aug20 Transport Actuals'!M$4,'Data-Transport'!$B$4:$B$10000,'Mar20-Aug20 Transport Actuals'!$C$91,'Data-Transport'!$D$4:$D$10000,'Mar20-Aug20 Transport Actuals'!$F$91,'Data-Transport'!$E$4:$E$10000,'Mar20-Aug20 Transport Actuals'!$H$91,'Data-Transport'!$F$4:$F$10000,'Mar20-Aug20 Transport Actuals'!M$6)-M418</f>
        <v>673.74</v>
      </c>
      <c r="N91" s="196">
        <f>SUMIFS('Data-Transport'!$AA$4:$AA$10000,'Data-Transport'!$A$4:$A$10000,'Mar20-Aug20 Transport Actuals'!N$4,'Data-Transport'!$B$4:$B$10000,'Mar20-Aug20 Transport Actuals'!$C$91,'Data-Transport'!$D$4:$D$10000,'Mar20-Aug20 Transport Actuals'!$F$91,'Data-Transport'!$E$4:$E$10000,'Mar20-Aug20 Transport Actuals'!$H$91,'Data-Transport'!$F$4:$F$10000,'Mar20-Aug20 Transport Actuals'!N$6)-N418</f>
        <v>688.76</v>
      </c>
      <c r="O91" s="196">
        <f>SUMIFS('Data-Transport'!$AA$4:$AA$10000,'Data-Transport'!$A$4:$A$10000,'Mar20-Aug20 Transport Actuals'!O$4,'Data-Transport'!$B$4:$B$10000,'Mar20-Aug20 Transport Actuals'!$Q$91,'Data-Transport'!$D$4:$D$10000,'Mar20-Aug20 Transport Actuals'!$F$91,'Data-Transport'!$E$4:$E$10000,'Mar20-Aug20 Transport Actuals'!$R$91,'Data-Transport'!$F$4:$F$10000,'Mar20-Aug20 Transport Actuals'!O$6)-O418</f>
        <v>759.55</v>
      </c>
      <c r="P91" s="288">
        <f t="shared" si="21"/>
        <v>3364.0241800000003</v>
      </c>
      <c r="Q91" s="213" t="s">
        <v>1041</v>
      </c>
      <c r="R91" s="213" t="s">
        <v>1037</v>
      </c>
      <c r="S91" s="213"/>
    </row>
    <row r="92" spans="3:19" x14ac:dyDescent="0.25">
      <c r="C92" s="159"/>
      <c r="D92" s="159"/>
      <c r="E92" s="158"/>
      <c r="F92" s="160"/>
      <c r="G92" s="160" t="s">
        <v>347</v>
      </c>
      <c r="H92" s="160"/>
      <c r="I92" s="198">
        <f t="shared" ref="I92:O92" si="24">SUM(I84:I91)</f>
        <v>49789.940320000009</v>
      </c>
      <c r="J92" s="198">
        <f t="shared" si="24"/>
        <v>49482.158800000005</v>
      </c>
      <c r="K92" s="198">
        <f t="shared" si="24"/>
        <v>48715.175060000001</v>
      </c>
      <c r="L92" s="198">
        <f t="shared" si="24"/>
        <v>50457.689999999995</v>
      </c>
      <c r="M92" s="198">
        <f t="shared" si="24"/>
        <v>49384.420000000006</v>
      </c>
      <c r="N92" s="198">
        <f t="shared" si="24"/>
        <v>49747.530000000006</v>
      </c>
      <c r="O92" s="198">
        <f t="shared" si="24"/>
        <v>49542.580000000009</v>
      </c>
      <c r="P92" s="288">
        <f t="shared" ref="P92" si="25">SUM(J92:O92)</f>
        <v>297329.55386000004</v>
      </c>
      <c r="Q92" s="213"/>
      <c r="R92" s="213"/>
      <c r="S92" s="213"/>
    </row>
    <row r="93" spans="3:19" x14ac:dyDescent="0.25">
      <c r="C93" s="159"/>
      <c r="D93" s="159"/>
      <c r="E93" s="158"/>
      <c r="F93" s="160"/>
      <c r="G93" s="160"/>
      <c r="H93" s="160"/>
      <c r="I93" s="158"/>
      <c r="J93" s="158"/>
      <c r="K93" s="158"/>
      <c r="L93" s="158"/>
      <c r="M93" s="158"/>
      <c r="N93" s="158"/>
      <c r="O93" s="158"/>
      <c r="P93" s="289"/>
      <c r="Q93" s="213"/>
      <c r="R93" s="213"/>
      <c r="S93" s="213"/>
    </row>
    <row r="94" spans="3:19" x14ac:dyDescent="0.25">
      <c r="C94" s="159"/>
      <c r="D94" s="159"/>
      <c r="E94" s="158"/>
      <c r="F94" s="158"/>
      <c r="G94" s="166"/>
      <c r="H94" s="158"/>
      <c r="I94" s="158"/>
      <c r="J94" s="158"/>
      <c r="K94" s="158"/>
      <c r="L94" s="158"/>
      <c r="M94" s="158"/>
      <c r="N94" s="158"/>
      <c r="O94" s="158"/>
      <c r="P94" s="158"/>
      <c r="Q94" s="213"/>
      <c r="R94" s="213"/>
      <c r="S94" s="213"/>
    </row>
    <row r="95" spans="3:19" x14ac:dyDescent="0.25">
      <c r="C95" s="159" t="s">
        <v>38</v>
      </c>
      <c r="D95" s="159" t="str">
        <f>MID(C95,6,3)</f>
        <v>896</v>
      </c>
      <c r="E95" s="158" t="s">
        <v>61</v>
      </c>
      <c r="F95" s="160" t="s">
        <v>320</v>
      </c>
      <c r="G95" s="160" t="s">
        <v>157</v>
      </c>
      <c r="H95" s="158"/>
      <c r="I95" s="158">
        <f>+I99/I96</f>
        <v>71</v>
      </c>
      <c r="J95" s="158">
        <f t="shared" ref="J95:O95" si="26">+J99/J96</f>
        <v>71</v>
      </c>
      <c r="K95" s="158">
        <f t="shared" si="26"/>
        <v>71</v>
      </c>
      <c r="L95" s="158">
        <f t="shared" si="26"/>
        <v>71</v>
      </c>
      <c r="M95" s="158">
        <f t="shared" si="26"/>
        <v>71</v>
      </c>
      <c r="N95" s="158">
        <f t="shared" si="26"/>
        <v>71</v>
      </c>
      <c r="O95" s="158">
        <f t="shared" si="26"/>
        <v>71</v>
      </c>
      <c r="P95" s="288">
        <f>SUM(I95:N95)</f>
        <v>426</v>
      </c>
      <c r="Q95" s="213"/>
      <c r="R95" s="213"/>
      <c r="S95" s="213"/>
    </row>
    <row r="96" spans="3:19" x14ac:dyDescent="0.25">
      <c r="C96" s="159" t="s">
        <v>38</v>
      </c>
      <c r="D96" s="159" t="str">
        <f>MID(C96,6,3)</f>
        <v>896</v>
      </c>
      <c r="E96" s="158" t="s">
        <v>61</v>
      </c>
      <c r="F96" s="160" t="s">
        <v>320</v>
      </c>
      <c r="G96" s="160" t="s">
        <v>159</v>
      </c>
      <c r="H96" s="158"/>
      <c r="I96" s="158">
        <f>VLOOKUP($C96,'Retail Rates'!$B$7:$P$40,7,FALSE)</f>
        <v>75</v>
      </c>
      <c r="J96" s="158">
        <f>VLOOKUP($C96,'Retail Rates'!$B$7:$P$40,7,FALSE)</f>
        <v>75</v>
      </c>
      <c r="K96" s="158">
        <f>VLOOKUP($C96,'Retail Rates'!$B$7:$P$40,7,FALSE)</f>
        <v>75</v>
      </c>
      <c r="L96" s="158">
        <f>VLOOKUP($C96,'Retail Rates'!$B$7:$P$40,7,FALSE)</f>
        <v>75</v>
      </c>
      <c r="M96" s="158">
        <f>VLOOKUP($C96,'Retail Rates'!$B$7:$P$40,7,FALSE)</f>
        <v>75</v>
      </c>
      <c r="N96" s="158">
        <f>VLOOKUP($C96,'Retail Rates'!$B$7:$P$40,7,FALSE)</f>
        <v>75</v>
      </c>
      <c r="O96" s="158">
        <f>VLOOKUP($C96,'Retail Rates'!$B$7:$P$40,7,FALSE)</f>
        <v>75</v>
      </c>
      <c r="P96" s="288">
        <f>SUM(I96:N96)</f>
        <v>450</v>
      </c>
      <c r="Q96" s="213"/>
      <c r="R96" s="213"/>
      <c r="S96" s="213"/>
    </row>
    <row r="97" spans="3:19" x14ac:dyDescent="0.25">
      <c r="C97" s="159" t="s">
        <v>38</v>
      </c>
      <c r="D97" s="159" t="str">
        <f t="shared" ref="D97:D103" si="27">MID(C97,6,3)</f>
        <v>896</v>
      </c>
      <c r="E97" s="158" t="s">
        <v>61</v>
      </c>
      <c r="F97" s="160" t="s">
        <v>320</v>
      </c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213"/>
      <c r="R97" s="213"/>
      <c r="S97" s="213"/>
    </row>
    <row r="98" spans="3:19" x14ac:dyDescent="0.25">
      <c r="C98" s="159" t="s">
        <v>38</v>
      </c>
      <c r="D98" s="159" t="str">
        <f t="shared" si="27"/>
        <v>896</v>
      </c>
      <c r="E98" s="158" t="s">
        <v>61</v>
      </c>
      <c r="F98" s="160" t="s">
        <v>320</v>
      </c>
      <c r="G98" s="164" t="s">
        <v>162</v>
      </c>
      <c r="H98" s="158"/>
      <c r="I98" s="158"/>
      <c r="J98" s="158"/>
      <c r="K98" s="158"/>
      <c r="L98" s="158"/>
      <c r="M98" s="158"/>
      <c r="N98" s="158"/>
      <c r="O98" s="158"/>
      <c r="P98" s="158"/>
      <c r="Q98" s="213"/>
      <c r="R98" s="213"/>
      <c r="S98" s="213"/>
    </row>
    <row r="99" spans="3:19" x14ac:dyDescent="0.25">
      <c r="C99" s="159" t="s">
        <v>38</v>
      </c>
      <c r="D99" s="159" t="str">
        <f t="shared" si="27"/>
        <v>896</v>
      </c>
      <c r="E99" s="158" t="s">
        <v>61</v>
      </c>
      <c r="F99" s="160" t="s">
        <v>320</v>
      </c>
      <c r="G99" s="160" t="s">
        <v>163</v>
      </c>
      <c r="H99" s="156" t="s">
        <v>268</v>
      </c>
      <c r="I99" s="196">
        <f>SUMIFS('Data-Transport'!$K$4:$K$10000,'Data-Transport'!$A$4:$A$10000,'Mar20-Aug20 Transport Actuals'!I$4,'Data-Transport'!$B$4:$B$10000,'Mar20-Aug20 Transport Actuals'!$C$99,'Data-Transport'!$D$4:$D$10000,'Mar20-Aug20 Transport Actuals'!$F$99,'Data-Transport'!$E$4:$E$10000,'Mar20-Aug20 Transport Actuals'!$H$99,'Data-Transport'!$F$4:$F$10000,'Mar20-Aug20 Transport Actuals'!I$6)</f>
        <v>5325</v>
      </c>
      <c r="J99" s="196">
        <f>SUMIFS('Data-Transport'!$K$4:$K$10000,'Data-Transport'!$A$4:$A$10000,'Mar20-Aug20 Transport Actuals'!J$4,'Data-Transport'!$B$4:$B$10000,'Mar20-Aug20 Transport Actuals'!$C$99,'Data-Transport'!$D$4:$D$10000,'Mar20-Aug20 Transport Actuals'!$F$99,'Data-Transport'!$E$4:$E$10000,'Mar20-Aug20 Transport Actuals'!$H$99,'Data-Transport'!$F$4:$F$10000,'Mar20-Aug20 Transport Actuals'!J$6)</f>
        <v>5325</v>
      </c>
      <c r="K99" s="196">
        <f>SUMIFS('Data-Transport'!$K$4:$K$10000,'Data-Transport'!$A$4:$A$10000,'Mar20-Aug20 Transport Actuals'!K$4,'Data-Transport'!$B$4:$B$10000,'Mar20-Aug20 Transport Actuals'!$C$99,'Data-Transport'!$D$4:$D$10000,'Mar20-Aug20 Transport Actuals'!$F$99,'Data-Transport'!$E$4:$E$10000,'Mar20-Aug20 Transport Actuals'!$H$99,'Data-Transport'!$F$4:$F$10000,'Mar20-Aug20 Transport Actuals'!K$6)</f>
        <v>5325</v>
      </c>
      <c r="L99" s="196">
        <f>SUMIFS('Data-Transport'!$K$4:$K$10000,'Data-Transport'!$A$4:$A$10000,'Mar20-Aug20 Transport Actuals'!L$4,'Data-Transport'!$B$4:$B$10000,'Mar20-Aug20 Transport Actuals'!$C$99,'Data-Transport'!$D$4:$D$10000,'Mar20-Aug20 Transport Actuals'!$F$99,'Data-Transport'!$E$4:$E$10000,'Mar20-Aug20 Transport Actuals'!$H$99,'Data-Transport'!$F$4:$F$10000,'Mar20-Aug20 Transport Actuals'!L$6)</f>
        <v>5325</v>
      </c>
      <c r="M99" s="196">
        <f>SUMIFS('Data-Transport'!$K$4:$K$10000,'Data-Transport'!$A$4:$A$10000,'Mar20-Aug20 Transport Actuals'!M$4,'Data-Transport'!$B$4:$B$10000,'Mar20-Aug20 Transport Actuals'!$C$99,'Data-Transport'!$D$4:$D$10000,'Mar20-Aug20 Transport Actuals'!$F$99,'Data-Transport'!$E$4:$E$10000,'Mar20-Aug20 Transport Actuals'!$H$99,'Data-Transport'!$F$4:$F$10000,'Mar20-Aug20 Transport Actuals'!M$6)</f>
        <v>5325</v>
      </c>
      <c r="N99" s="196">
        <f>SUMIFS('Data-Transport'!$K$4:$K$10000,'Data-Transport'!$A$4:$A$10000,'Mar20-Aug20 Transport Actuals'!N$4,'Data-Transport'!$B$4:$B$10000,'Mar20-Aug20 Transport Actuals'!$C$99,'Data-Transport'!$D$4:$D$10000,'Mar20-Aug20 Transport Actuals'!$F$99,'Data-Transport'!$E$4:$E$10000,'Mar20-Aug20 Transport Actuals'!$H$99,'Data-Transport'!$F$4:$F$10000,'Mar20-Aug20 Transport Actuals'!N$6)</f>
        <v>5325</v>
      </c>
      <c r="O99" s="196">
        <f>SUMIFS('Data-Transport'!$K$4:$K$10000,'Data-Transport'!$A$4:$A$10000,'Mar20-Aug20 Transport Actuals'!O$4,'Data-Transport'!$B$4:$B$10000,'Mar20-Aug20 Transport Actuals'!$Q$99,'Data-Transport'!$D$4:$D$10000,'Mar20-Aug20 Transport Actuals'!$F$99,'Data-Transport'!$E$4:$E$10000,'Mar20-Aug20 Transport Actuals'!$R$99,'Data-Transport'!$F$4:$F$10000,'Mar20-Aug20 Transport Actuals'!O$6)</f>
        <v>5325</v>
      </c>
      <c r="P99" s="288">
        <f>SUM(I99:N99)</f>
        <v>31950</v>
      </c>
      <c r="Q99" s="213" t="s">
        <v>1057</v>
      </c>
      <c r="R99" s="213" t="s">
        <v>268</v>
      </c>
      <c r="S99" s="213"/>
    </row>
    <row r="100" spans="3:19" x14ac:dyDescent="0.25">
      <c r="C100" s="159" t="s">
        <v>38</v>
      </c>
      <c r="D100" s="159" t="str">
        <f t="shared" si="27"/>
        <v>896</v>
      </c>
      <c r="E100" s="158" t="s">
        <v>61</v>
      </c>
      <c r="F100" s="160" t="s">
        <v>320</v>
      </c>
      <c r="G100" s="160" t="s">
        <v>256</v>
      </c>
      <c r="H100" s="156" t="s">
        <v>329</v>
      </c>
      <c r="I100" s="196">
        <f>SUMIFS('Data-Transport'!$W$4:$W$10000,'Data-Transport'!$A$4:$A$10000,'Mar20-Aug20 Transport Actuals'!I$4,'Data-Transport'!$B$4:$B$10000,'Mar20-Aug20 Transport Actuals'!$C$100,'Data-Transport'!$D$4:$D$10000,'Mar20-Aug20 Transport Actuals'!$F$100,'Data-Transport'!$E$4:$E$10000,'Mar20-Aug20 Transport Actuals'!$H$100,'Data-Transport'!$F$4:$F$10000,'Mar20-Aug20 Transport Actuals'!I$6)</f>
        <v>7106.24</v>
      </c>
      <c r="J100" s="196">
        <f>SUMIFS('Data-Transport'!$W$4:$W$10000,'Data-Transport'!$A$4:$A$10000,'Mar20-Aug20 Transport Actuals'!J$4,'Data-Transport'!$B$4:$B$10000,'Mar20-Aug20 Transport Actuals'!$C$100,'Data-Transport'!$D$4:$D$10000,'Mar20-Aug20 Transport Actuals'!$F$100,'Data-Transport'!$E$4:$E$10000,'Mar20-Aug20 Transport Actuals'!$H$100,'Data-Transport'!$F$4:$F$10000,'Mar20-Aug20 Transport Actuals'!J$6)</f>
        <v>9994.2800000000007</v>
      </c>
      <c r="K100" s="196">
        <f>SUMIFS('Data-Transport'!$W$4:$W$10000,'Data-Transport'!$A$4:$A$10000,'Mar20-Aug20 Transport Actuals'!K$4,'Data-Transport'!$B$4:$B$10000,'Mar20-Aug20 Transport Actuals'!$C$100,'Data-Transport'!$D$4:$D$10000,'Mar20-Aug20 Transport Actuals'!$F$100,'Data-Transport'!$E$4:$E$10000,'Mar20-Aug20 Transport Actuals'!$H$100,'Data-Transport'!$F$4:$F$10000,'Mar20-Aug20 Transport Actuals'!K$6)</f>
        <v>6125.63</v>
      </c>
      <c r="L100" s="196">
        <f>SUMIFS('Data-Transport'!$W$4:$W$10000,'Data-Transport'!$A$4:$A$10000,'Mar20-Aug20 Transport Actuals'!L$4,'Data-Transport'!$B$4:$B$10000,'Mar20-Aug20 Transport Actuals'!$C$100,'Data-Transport'!$D$4:$D$10000,'Mar20-Aug20 Transport Actuals'!$F$100,'Data-Transport'!$E$4:$E$10000,'Mar20-Aug20 Transport Actuals'!$H$100,'Data-Transport'!$F$4:$F$10000,'Mar20-Aug20 Transport Actuals'!L$6)</f>
        <v>8329.68</v>
      </c>
      <c r="M100" s="196">
        <f>SUMIFS('Data-Transport'!$W$4:$W$10000,'Data-Transport'!$A$4:$A$10000,'Mar20-Aug20 Transport Actuals'!M$4,'Data-Transport'!$B$4:$B$10000,'Mar20-Aug20 Transport Actuals'!$C$100,'Data-Transport'!$D$4:$D$10000,'Mar20-Aug20 Transport Actuals'!$F$100,'Data-Transport'!$E$4:$E$10000,'Mar20-Aug20 Transport Actuals'!$H$100,'Data-Transport'!$F$4:$F$10000,'Mar20-Aug20 Transport Actuals'!M$6)</f>
        <v>6755.3</v>
      </c>
      <c r="N100" s="196">
        <f>SUMIFS('Data-Transport'!$W$4:$W$10000,'Data-Transport'!$A$4:$A$10000,'Mar20-Aug20 Transport Actuals'!N$4,'Data-Transport'!$B$4:$B$10000,'Mar20-Aug20 Transport Actuals'!$C$100,'Data-Transport'!$D$4:$D$10000,'Mar20-Aug20 Transport Actuals'!$F$100,'Data-Transport'!$E$4:$E$10000,'Mar20-Aug20 Transport Actuals'!$H$100,'Data-Transport'!$F$4:$F$10000,'Mar20-Aug20 Transport Actuals'!N$6)</f>
        <v>4977.3500000000004</v>
      </c>
      <c r="O100" s="196">
        <f>SUMIFS('Data-Transport'!$W$4:$W$10000,'Data-Transport'!$A$4:$A$10000,'Mar20-Aug20 Transport Actuals'!O$4,'Data-Transport'!$B$4:$B$10000,'Mar20-Aug20 Transport Actuals'!$Q$100,'Data-Transport'!$D$4:$D$10000,'Mar20-Aug20 Transport Actuals'!$F$100,'Data-Transport'!$E$4:$E$10000,'Mar20-Aug20 Transport Actuals'!$R$100,'Data-Transport'!$F$4:$F$10000,'Mar20-Aug20 Transport Actuals'!O$6)</f>
        <v>2439.92</v>
      </c>
      <c r="P100" s="288">
        <f t="shared" ref="P100:P109" si="28">SUM(I100:N100)</f>
        <v>43288.480000000003</v>
      </c>
      <c r="Q100" s="213" t="s">
        <v>1057</v>
      </c>
      <c r="R100" s="213" t="s">
        <v>329</v>
      </c>
      <c r="S100" s="213"/>
    </row>
    <row r="101" spans="3:19" x14ac:dyDescent="0.25">
      <c r="C101" s="159" t="s">
        <v>38</v>
      </c>
      <c r="D101" s="159" t="str">
        <f t="shared" si="27"/>
        <v>896</v>
      </c>
      <c r="E101" s="158" t="s">
        <v>61</v>
      </c>
      <c r="F101" s="160" t="s">
        <v>320</v>
      </c>
      <c r="G101" s="160" t="s">
        <v>257</v>
      </c>
      <c r="H101" s="156" t="s">
        <v>330</v>
      </c>
      <c r="I101" s="196">
        <f>SUMIFS('Data-Transport'!$X$4:$X$10000,'Data-Transport'!$A$4:$A$10000,'Mar20-Aug20 Transport Actuals'!I$4,'Data-Transport'!$B$4:$B$10000,'Mar20-Aug20 Transport Actuals'!$C$101,'Data-Transport'!$D$4:$D$10000,'Mar20-Aug20 Transport Actuals'!$F$101,'Data-Transport'!$E$4:$E$10000,'Mar20-Aug20 Transport Actuals'!$H$101,'Data-Transport'!$F$4:$F$10000,'Mar20-Aug20 Transport Actuals'!I$6)</f>
        <v>16594.330000000002</v>
      </c>
      <c r="J101" s="196">
        <f>SUMIFS('Data-Transport'!$X$4:$X$10000,'Data-Transport'!$A$4:$A$10000,'Mar20-Aug20 Transport Actuals'!J$4,'Data-Transport'!$B$4:$B$10000,'Mar20-Aug20 Transport Actuals'!$C$101,'Data-Transport'!$D$4:$D$10000,'Mar20-Aug20 Transport Actuals'!$F$101,'Data-Transport'!$E$4:$E$10000,'Mar20-Aug20 Transport Actuals'!$H$101,'Data-Transport'!$F$4:$F$10000,'Mar20-Aug20 Transport Actuals'!J$6)</f>
        <v>23338.41</v>
      </c>
      <c r="K101" s="196">
        <f>SUMIFS('Data-Transport'!$X$4:$X$10000,'Data-Transport'!$A$4:$A$10000,'Mar20-Aug20 Transport Actuals'!K$4,'Data-Transport'!$B$4:$B$10000,'Mar20-Aug20 Transport Actuals'!$C$101,'Data-Transport'!$D$4:$D$10000,'Mar20-Aug20 Transport Actuals'!$F$101,'Data-Transport'!$E$4:$E$10000,'Mar20-Aug20 Transport Actuals'!$H$101,'Data-Transport'!$F$4:$F$10000,'Mar20-Aug20 Transport Actuals'!K$6)</f>
        <v>14304.43</v>
      </c>
      <c r="L101" s="196">
        <f>SUMIFS('Data-Transport'!$X$4:$X$10000,'Data-Transport'!$A$4:$A$10000,'Mar20-Aug20 Transport Actuals'!L$4,'Data-Transport'!$B$4:$B$10000,'Mar20-Aug20 Transport Actuals'!$C$101,'Data-Transport'!$D$4:$D$10000,'Mar20-Aug20 Transport Actuals'!$F$101,'Data-Transport'!$E$4:$E$10000,'Mar20-Aug20 Transport Actuals'!$H$101,'Data-Transport'!$F$4:$F$10000,'Mar20-Aug20 Transport Actuals'!L$6)</f>
        <v>19451.32</v>
      </c>
      <c r="M101" s="196">
        <f>SUMIFS('Data-Transport'!$X$4:$X$10000,'Data-Transport'!$A$4:$A$10000,'Mar20-Aug20 Transport Actuals'!M$4,'Data-Transport'!$B$4:$B$10000,'Mar20-Aug20 Transport Actuals'!$C$101,'Data-Transport'!$D$4:$D$10000,'Mar20-Aug20 Transport Actuals'!$F$101,'Data-Transport'!$E$4:$E$10000,'Mar20-Aug20 Transport Actuals'!$H$101,'Data-Transport'!$F$4:$F$10000,'Mar20-Aug20 Transport Actuals'!M$6)</f>
        <v>15774.83</v>
      </c>
      <c r="N101" s="196">
        <f>SUMIFS('Data-Transport'!$X$4:$X$10000,'Data-Transport'!$A$4:$A$10000,'Mar20-Aug20 Transport Actuals'!N$4,'Data-Transport'!$B$4:$B$10000,'Mar20-Aug20 Transport Actuals'!$C$101,'Data-Transport'!$D$4:$D$10000,'Mar20-Aug20 Transport Actuals'!$F$101,'Data-Transport'!$E$4:$E$10000,'Mar20-Aug20 Transport Actuals'!$H$101,'Data-Transport'!$F$4:$F$10000,'Mar20-Aug20 Transport Actuals'!N$6)</f>
        <v>11622.99</v>
      </c>
      <c r="O101" s="196">
        <f>SUMIFS('Data-Transport'!$X$4:$X$10000,'Data-Transport'!$A$4:$A$10000,'Mar20-Aug20 Transport Actuals'!O$4,'Data-Transport'!$B$4:$B$10000,'Mar20-Aug20 Transport Actuals'!$Q$101,'Data-Transport'!$D$4:$D$10000,'Mar20-Aug20 Transport Actuals'!$F$101,'Data-Transport'!$E$4:$E$10000,'Mar20-Aug20 Transport Actuals'!$R$101,'Data-Transport'!$F$4:$F$10000,'Mar20-Aug20 Transport Actuals'!O$6)</f>
        <v>5697.73</v>
      </c>
      <c r="P101" s="288">
        <f t="shared" si="28"/>
        <v>101086.31000000001</v>
      </c>
      <c r="Q101" s="213" t="s">
        <v>1057</v>
      </c>
      <c r="R101" s="213" t="s">
        <v>1038</v>
      </c>
      <c r="S101" s="213"/>
    </row>
    <row r="102" spans="3:19" x14ac:dyDescent="0.25">
      <c r="C102" s="159" t="s">
        <v>38</v>
      </c>
      <c r="D102" s="159" t="str">
        <f t="shared" si="27"/>
        <v>896</v>
      </c>
      <c r="E102" s="158" t="s">
        <v>61</v>
      </c>
      <c r="F102" s="160" t="s">
        <v>320</v>
      </c>
      <c r="G102" s="160" t="s">
        <v>334</v>
      </c>
      <c r="H102" s="156" t="s">
        <v>326</v>
      </c>
      <c r="I102" s="196">
        <f>SUMIFS('Data-Transport'!$V$4:$V$10000,'Data-Transport'!$A$4:$A$10000,'Mar20-Aug20 Transport Actuals'!I$4,'Data-Transport'!$B$4:$B$10000,'Mar20-Aug20 Transport Actuals'!$C$102,'Data-Transport'!$D$4:$D$10000,'Mar20-Aug20 Transport Actuals'!$F$102,'Data-Transport'!$E$4:$E$10000,'Mar20-Aug20 Transport Actuals'!$H$102,'Data-Transport'!$F$4:$F$10000,'Mar20-Aug20 Transport Actuals'!I$6)</f>
        <v>7931.78</v>
      </c>
      <c r="J102" s="196">
        <f>SUMIFS('Data-Transport'!$V$4:$V$10000,'Data-Transport'!$A$4:$A$10000,'Mar20-Aug20 Transport Actuals'!J$4,'Data-Transport'!$B$4:$B$10000,'Mar20-Aug20 Transport Actuals'!$C$102,'Data-Transport'!$D$4:$D$10000,'Mar20-Aug20 Transport Actuals'!$F$102,'Data-Transport'!$E$4:$E$10000,'Mar20-Aug20 Transport Actuals'!$H$102,'Data-Transport'!$F$4:$F$10000,'Mar20-Aug20 Transport Actuals'!J$6)</f>
        <v>0</v>
      </c>
      <c r="K102" s="196">
        <f>SUMIFS('Data-Transport'!$V$4:$V$10000,'Data-Transport'!$A$4:$A$10000,'Mar20-Aug20 Transport Actuals'!K$4,'Data-Transport'!$B$4:$B$10000,'Mar20-Aug20 Transport Actuals'!$C$102,'Data-Transport'!$D$4:$D$10000,'Mar20-Aug20 Transport Actuals'!$F$102,'Data-Transport'!$E$4:$E$10000,'Mar20-Aug20 Transport Actuals'!$H$102,'Data-Transport'!$F$4:$F$10000,'Mar20-Aug20 Transport Actuals'!K$6)</f>
        <v>0</v>
      </c>
      <c r="L102" s="196">
        <f>SUMIFS('Data-Transport'!$V$4:$V$10000,'Data-Transport'!$A$4:$A$10000,'Mar20-Aug20 Transport Actuals'!L$4,'Data-Transport'!$B$4:$B$10000,'Mar20-Aug20 Transport Actuals'!$C$102,'Data-Transport'!$D$4:$D$10000,'Mar20-Aug20 Transport Actuals'!$F$102,'Data-Transport'!$E$4:$E$10000,'Mar20-Aug20 Transport Actuals'!$H$102,'Data-Transport'!$F$4:$F$10000,'Mar20-Aug20 Transport Actuals'!L$6)</f>
        <v>0</v>
      </c>
      <c r="M102" s="196">
        <f>SUMIFS('Data-Transport'!$V$4:$V$10000,'Data-Transport'!$A$4:$A$10000,'Mar20-Aug20 Transport Actuals'!M$4,'Data-Transport'!$B$4:$B$10000,'Mar20-Aug20 Transport Actuals'!$C$102,'Data-Transport'!$D$4:$D$10000,'Mar20-Aug20 Transport Actuals'!$F$102,'Data-Transport'!$E$4:$E$10000,'Mar20-Aug20 Transport Actuals'!$H$102,'Data-Transport'!$F$4:$F$10000,'Mar20-Aug20 Transport Actuals'!M$6)</f>
        <v>0</v>
      </c>
      <c r="N102" s="196">
        <f>SUMIFS('Data-Transport'!$V$4:$V$10000,'Data-Transport'!$A$4:$A$10000,'Mar20-Aug20 Transport Actuals'!N$4,'Data-Transport'!$B$4:$B$10000,'Mar20-Aug20 Transport Actuals'!$C$102,'Data-Transport'!$D$4:$D$10000,'Mar20-Aug20 Transport Actuals'!$F$102,'Data-Transport'!$E$4:$E$10000,'Mar20-Aug20 Transport Actuals'!$H$102,'Data-Transport'!$F$4:$F$10000,'Mar20-Aug20 Transport Actuals'!N$6)</f>
        <v>0</v>
      </c>
      <c r="O102" s="196">
        <f>SUMIFS('Data-Transport'!$V$4:$V$10000,'Data-Transport'!$A$4:$A$10000,'Mar20-Aug20 Transport Actuals'!O$4,'Data-Transport'!$B$4:$B$10000,'Mar20-Aug20 Transport Actuals'!$Q$102,'Data-Transport'!$D$4:$D$10000,'Mar20-Aug20 Transport Actuals'!$F$102,'Data-Transport'!$E$4:$E$10000,'Mar20-Aug20 Transport Actuals'!$R$102,'Data-Transport'!$F$4:$F$10000,'Mar20-Aug20 Transport Actuals'!O$6)</f>
        <v>0</v>
      </c>
      <c r="P102" s="288">
        <f t="shared" si="28"/>
        <v>7931.78</v>
      </c>
      <c r="Q102" s="213" t="s">
        <v>1057</v>
      </c>
      <c r="R102" s="213" t="s">
        <v>326</v>
      </c>
      <c r="S102" s="213"/>
    </row>
    <row r="103" spans="3:19" x14ac:dyDescent="0.25">
      <c r="C103" s="159" t="s">
        <v>38</v>
      </c>
      <c r="D103" s="159" t="str">
        <f t="shared" si="27"/>
        <v>896</v>
      </c>
      <c r="E103" s="158" t="s">
        <v>61</v>
      </c>
      <c r="F103" s="160" t="s">
        <v>320</v>
      </c>
      <c r="G103" s="160" t="s">
        <v>388</v>
      </c>
      <c r="H103" s="158"/>
      <c r="I103" s="204">
        <f>SUM(I99:I102)</f>
        <v>36957.35</v>
      </c>
      <c r="J103" s="204">
        <f t="shared" ref="J103:O103" si="29">SUM(J99:J102)</f>
        <v>38657.69</v>
      </c>
      <c r="K103" s="204">
        <f t="shared" si="29"/>
        <v>25755.06</v>
      </c>
      <c r="L103" s="204">
        <f t="shared" si="29"/>
        <v>33106</v>
      </c>
      <c r="M103" s="204">
        <f t="shared" si="29"/>
        <v>27855.129999999997</v>
      </c>
      <c r="N103" s="204">
        <f>SUM(N99:N102)</f>
        <v>21925.34</v>
      </c>
      <c r="O103" s="204">
        <f t="shared" si="29"/>
        <v>13462.65</v>
      </c>
      <c r="P103" s="288">
        <f>SUM(I103:N103)</f>
        <v>184256.57</v>
      </c>
      <c r="Q103" s="213"/>
      <c r="R103" s="213"/>
      <c r="S103" s="213"/>
    </row>
    <row r="104" spans="3:19" x14ac:dyDescent="0.25">
      <c r="C104" s="159"/>
      <c r="D104" s="159"/>
      <c r="E104" s="158"/>
      <c r="F104" s="160"/>
      <c r="G104" s="160"/>
      <c r="H104" s="158"/>
      <c r="I104" s="158"/>
      <c r="J104" s="158"/>
      <c r="K104" s="158"/>
      <c r="L104" s="158"/>
      <c r="M104" s="158"/>
      <c r="N104" s="158"/>
      <c r="O104" s="158"/>
      <c r="P104" s="288">
        <f t="shared" si="28"/>
        <v>0</v>
      </c>
      <c r="Q104" s="213"/>
      <c r="R104" s="213"/>
      <c r="S104" s="213"/>
    </row>
    <row r="105" spans="3:19" x14ac:dyDescent="0.25">
      <c r="C105" s="159"/>
      <c r="D105" s="159"/>
      <c r="E105" s="158"/>
      <c r="F105" s="160"/>
      <c r="G105" s="160" t="s">
        <v>389</v>
      </c>
      <c r="H105" s="158"/>
      <c r="I105" s="204">
        <f>I69+I92+I103</f>
        <v>525119.81032000005</v>
      </c>
      <c r="J105" s="204">
        <f t="shared" ref="J105:O105" si="30">J69+J92+J103</f>
        <v>515981.55880000006</v>
      </c>
      <c r="K105" s="204">
        <f t="shared" si="30"/>
        <v>490513.79505999997</v>
      </c>
      <c r="L105" s="204">
        <f t="shared" si="30"/>
        <v>491422.06</v>
      </c>
      <c r="M105" s="204">
        <f t="shared" si="30"/>
        <v>492993.99999999994</v>
      </c>
      <c r="N105" s="204">
        <f t="shared" si="30"/>
        <v>485171.56000000006</v>
      </c>
      <c r="O105" s="204">
        <f t="shared" si="30"/>
        <v>478159.25</v>
      </c>
      <c r="P105" s="288">
        <f t="shared" si="28"/>
        <v>3001202.78418</v>
      </c>
      <c r="Q105" s="213"/>
      <c r="R105" s="213"/>
      <c r="S105" s="213"/>
    </row>
    <row r="106" spans="3:19" x14ac:dyDescent="0.25">
      <c r="C106" s="159"/>
      <c r="D106" s="159"/>
      <c r="E106" s="158"/>
      <c r="F106" s="160"/>
      <c r="G106" s="160"/>
      <c r="H106" s="158"/>
      <c r="I106" s="158"/>
      <c r="J106" s="158"/>
      <c r="K106" s="158"/>
      <c r="L106" s="158"/>
      <c r="M106" s="158"/>
      <c r="N106" s="158"/>
      <c r="O106" s="158"/>
      <c r="P106" s="288">
        <f t="shared" si="28"/>
        <v>0</v>
      </c>
      <c r="Q106" s="213"/>
      <c r="R106" s="213"/>
      <c r="S106" s="213"/>
    </row>
    <row r="107" spans="3:19" x14ac:dyDescent="0.25">
      <c r="C107" s="159"/>
      <c r="D107" s="159"/>
      <c r="E107" s="158"/>
      <c r="F107" s="160" t="s">
        <v>262</v>
      </c>
      <c r="G107" s="160" t="s">
        <v>390</v>
      </c>
      <c r="H107" s="158"/>
      <c r="I107" s="198">
        <f>SUMIFS('Bruise Report-Tariff'!$C$5:$C$64,'Bruise Report-Tariff'!$A$5:$A$64,'Mar20-Aug20 Transport Actuals'!I$4,'Bruise Report-Tariff'!$B$5:$B$64,'Mar20-Aug20 Transport Actuals'!$F$107)</f>
        <v>525119.97999999986</v>
      </c>
      <c r="J107" s="198">
        <f>SUMIFS('Bruise Report-Tariff'!$C$5:$C$64,'Bruise Report-Tariff'!$A$5:$A$64,'Mar20-Aug20 Transport Actuals'!J$4,'Bruise Report-Tariff'!$B$5:$B$64,'Mar20-Aug20 Transport Actuals'!$F$107)</f>
        <v>515955.22999999992</v>
      </c>
      <c r="K107" s="198">
        <f>SUMIFS('Bruise Report-Tariff'!$C$5:$C$64,'Bruise Report-Tariff'!$A$5:$A$64,'Mar20-Aug20 Transport Actuals'!K$4,'Bruise Report-Tariff'!$B$5:$B$64,'Mar20-Aug20 Transport Actuals'!$F$107)</f>
        <v>485684.43999999983</v>
      </c>
      <c r="L107" s="198">
        <f>SUMIFS('Bruise Report-Tariff'!$C$5:$C$64,'Bruise Report-Tariff'!$A$5:$A$64,'Mar20-Aug20 Transport Actuals'!L$4,'Bruise Report-Tariff'!$B$5:$B$64,'Mar20-Aug20 Transport Actuals'!$F$107)</f>
        <v>496290.9000000002</v>
      </c>
      <c r="M107" s="198">
        <f>SUMIFS('Bruise Report-Tariff'!$C$5:$C$64,'Bruise Report-Tariff'!$A$5:$A$64,'Mar20-Aug20 Transport Actuals'!M$4,'Bruise Report-Tariff'!$B$5:$B$64,'Mar20-Aug20 Transport Actuals'!$F$107)</f>
        <v>492994.01000000018</v>
      </c>
      <c r="N107" s="198">
        <f>SUMIFS('Bruise Report-Tariff'!$C$5:$C$64,'Bruise Report-Tariff'!$A$5:$A$64,'Mar20-Aug20 Transport Actuals'!N$4,'Bruise Report-Tariff'!$B$5:$B$64,'Mar20-Aug20 Transport Actuals'!$F$107)</f>
        <v>485171.54</v>
      </c>
      <c r="O107" s="198">
        <f>SUMIFS('Bruise Report-Tariff'!$C$5:$C$64,'Bruise Report-Tariff'!$A$5:$A$64,'Mar20-Aug20 Transport Actuals'!O$4,'Bruise Report-Tariff'!$B$5:$B$64,'Mar20-Aug20 Transport Actuals'!$F$107)</f>
        <v>0</v>
      </c>
      <c r="P107" s="288">
        <f t="shared" si="28"/>
        <v>3001216.0999999996</v>
      </c>
      <c r="Q107" s="213"/>
      <c r="R107" s="213"/>
      <c r="S107" s="213"/>
    </row>
    <row r="108" spans="3:19" x14ac:dyDescent="0.25">
      <c r="C108" s="159"/>
      <c r="D108" s="159"/>
      <c r="E108" s="158"/>
      <c r="F108" s="160"/>
      <c r="G108" s="160"/>
      <c r="H108" s="158"/>
      <c r="I108" s="158"/>
      <c r="J108" s="158"/>
      <c r="K108" s="158"/>
      <c r="L108" s="158"/>
      <c r="M108" s="158"/>
      <c r="N108" s="158"/>
      <c r="O108" s="158"/>
      <c r="P108" s="288">
        <f t="shared" si="28"/>
        <v>0</v>
      </c>
      <c r="Q108" s="213"/>
      <c r="R108" s="213"/>
      <c r="S108" s="213"/>
    </row>
    <row r="109" spans="3:19" x14ac:dyDescent="0.25">
      <c r="C109" s="159"/>
      <c r="D109" s="159"/>
      <c r="E109" s="158"/>
      <c r="F109" s="160"/>
      <c r="G109" s="160" t="s">
        <v>152</v>
      </c>
      <c r="H109" s="158"/>
      <c r="I109" s="204">
        <f>I105-I107</f>
        <v>-0.16967999981716275</v>
      </c>
      <c r="J109" s="204">
        <f>J105-J107</f>
        <v>26.328800000133924</v>
      </c>
      <c r="K109" s="204">
        <f t="shared" ref="K109:O109" si="31">K105-K107</f>
        <v>4829.3550600001472</v>
      </c>
      <c r="L109" s="204">
        <f t="shared" si="31"/>
        <v>-4868.8400000002002</v>
      </c>
      <c r="M109" s="204">
        <f t="shared" si="31"/>
        <v>-1.0000000242143869E-2</v>
      </c>
      <c r="N109" s="204">
        <f t="shared" si="31"/>
        <v>2.0000000076834112E-2</v>
      </c>
      <c r="O109" s="204">
        <f t="shared" si="31"/>
        <v>478159.25</v>
      </c>
      <c r="P109" s="288">
        <f t="shared" si="28"/>
        <v>-13.315819999901578</v>
      </c>
      <c r="Q109" s="213"/>
      <c r="R109" s="213"/>
      <c r="S109" s="213"/>
    </row>
    <row r="110" spans="3:19" x14ac:dyDescent="0.25">
      <c r="C110" s="159"/>
      <c r="D110" s="159"/>
      <c r="E110" s="158"/>
      <c r="F110" s="158"/>
      <c r="G110" s="166"/>
      <c r="H110" s="158"/>
      <c r="I110" s="158"/>
      <c r="J110" s="495"/>
      <c r="K110" s="495"/>
      <c r="L110" s="158"/>
      <c r="M110" s="204"/>
      <c r="N110" s="158"/>
      <c r="O110" s="158"/>
      <c r="P110" s="158"/>
      <c r="Q110" s="213"/>
      <c r="R110" s="213"/>
      <c r="S110" s="213"/>
    </row>
    <row r="111" spans="3:19" x14ac:dyDescent="0.25">
      <c r="C111" s="159"/>
      <c r="D111" s="159"/>
      <c r="E111" s="158"/>
      <c r="F111" s="160"/>
      <c r="G111" s="160"/>
      <c r="H111" s="158"/>
      <c r="I111" s="158"/>
      <c r="J111" s="158"/>
      <c r="K111" s="158"/>
      <c r="L111" s="158"/>
      <c r="M111" s="158"/>
      <c r="N111" s="158"/>
      <c r="O111" s="158"/>
      <c r="P111" s="158"/>
      <c r="Q111" s="213"/>
      <c r="R111" s="213"/>
      <c r="S111" s="213"/>
    </row>
    <row r="112" spans="3:19" x14ac:dyDescent="0.25">
      <c r="C112" s="159"/>
      <c r="D112" s="159"/>
      <c r="E112" s="158"/>
      <c r="F112" s="160"/>
      <c r="G112" s="160"/>
      <c r="H112" s="158"/>
      <c r="I112" s="158"/>
      <c r="J112" s="158"/>
      <c r="K112" s="158"/>
      <c r="L112" s="158"/>
      <c r="M112" s="158"/>
      <c r="N112" s="158"/>
      <c r="O112" s="158"/>
      <c r="P112" s="158"/>
      <c r="Q112" s="213"/>
      <c r="R112" s="213"/>
      <c r="S112" s="213"/>
    </row>
    <row r="113" spans="3:20" x14ac:dyDescent="0.25"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213"/>
      <c r="R113" s="213"/>
      <c r="S113" s="213"/>
    </row>
    <row r="114" spans="3:20" x14ac:dyDescent="0.25">
      <c r="C114" s="158"/>
      <c r="D114" s="158"/>
      <c r="E114" s="158"/>
      <c r="F114" s="158"/>
      <c r="G114" s="318" t="s">
        <v>346</v>
      </c>
      <c r="H114" s="158"/>
      <c r="I114" s="158"/>
      <c r="J114" s="158"/>
      <c r="K114" s="158"/>
      <c r="L114" s="158"/>
      <c r="M114" s="158"/>
      <c r="N114" s="158"/>
      <c r="O114" s="158"/>
      <c r="P114" s="158"/>
      <c r="Q114" s="213"/>
      <c r="R114" s="213"/>
      <c r="S114" s="213"/>
    </row>
    <row r="115" spans="3:20" x14ac:dyDescent="0.25">
      <c r="C115" s="159" t="s">
        <v>34</v>
      </c>
      <c r="D115" s="159" t="str">
        <f>MID(C115,6,3)</f>
        <v>895</v>
      </c>
      <c r="E115" s="158" t="str">
        <f>VLOOKUP($C115,'Retail Rates'!$B$7:$P$40,2,FALSE)</f>
        <v>FT-C</v>
      </c>
      <c r="F115" s="160" t="s">
        <v>319</v>
      </c>
      <c r="G115" s="161" t="s">
        <v>157</v>
      </c>
      <c r="H115" s="162"/>
      <c r="I115" s="473">
        <f t="shared" ref="I115:O115" si="32">+I122/I117</f>
        <v>2</v>
      </c>
      <c r="J115" s="473">
        <f t="shared" si="32"/>
        <v>2</v>
      </c>
      <c r="K115" s="473">
        <f t="shared" si="32"/>
        <v>2</v>
      </c>
      <c r="L115" s="473">
        <f t="shared" si="32"/>
        <v>2</v>
      </c>
      <c r="M115" s="473">
        <f t="shared" si="32"/>
        <v>2</v>
      </c>
      <c r="N115" s="473">
        <f t="shared" si="32"/>
        <v>2</v>
      </c>
      <c r="O115" s="473">
        <f t="shared" si="32"/>
        <v>2</v>
      </c>
      <c r="P115" s="288">
        <f>SUM(I115:N115)</f>
        <v>12</v>
      </c>
      <c r="Q115" s="213"/>
      <c r="R115" s="213"/>
      <c r="S115" s="213"/>
    </row>
    <row r="116" spans="3:20" x14ac:dyDescent="0.25">
      <c r="C116" s="159" t="s">
        <v>34</v>
      </c>
      <c r="D116" s="159" t="str">
        <f t="shared" ref="D116:D131" si="33">MID(C116,6,3)</f>
        <v>895</v>
      </c>
      <c r="E116" s="158" t="str">
        <f>E115</f>
        <v>FT-C</v>
      </c>
      <c r="F116" s="160" t="s">
        <v>319</v>
      </c>
      <c r="G116" s="160" t="s">
        <v>158</v>
      </c>
      <c r="H116" s="156" t="s">
        <v>265</v>
      </c>
      <c r="I116" s="842">
        <f>SUMIFS('Data-Transport'!$H$4:$H$10000,'Data-Transport'!$A$4:$A$10000,'Mar20-Aug20 Transport Actuals'!I$4,'Data-Transport'!$B$4:$B$10000,'Mar20-Aug20 Transport Actuals'!$C$116,'Data-Transport'!$D$4:$D$10000,'Mar20-Aug20 Transport Actuals'!$F$116,'Data-Transport'!$E$4:$E$10000,'Mar20-Aug20 Transport Actuals'!$H$116,'Data-Transport'!$F$4:$F$10000,'Mar20-Aug20 Transport Actuals'!I$6)/10</f>
        <v>16148.7</v>
      </c>
      <c r="J116" s="458">
        <f>SUMIFS('Data-Transport'!$H$4:$H$10000,'Data-Transport'!$A$4:$A$10000,'Mar20-Aug20 Transport Actuals'!J$4,'Data-Transport'!$B$4:$B$10000,'Mar20-Aug20 Transport Actuals'!$C$116,'Data-Transport'!$D$4:$D$10000,'Mar20-Aug20 Transport Actuals'!$F$116,'Data-Transport'!$E$4:$E$10000,'Mar20-Aug20 Transport Actuals'!$H$116,'Data-Transport'!$F$4:$F$10000,'Mar20-Aug20 Transport Actuals'!J$6)/10</f>
        <v>14468.1</v>
      </c>
      <c r="K116" s="458">
        <f>SUMIFS('Data-Transport'!$H$4:$H$10000,'Data-Transport'!$A$4:$A$10000,'Mar20-Aug20 Transport Actuals'!K$4,'Data-Transport'!$B$4:$B$10000,'Mar20-Aug20 Transport Actuals'!$C$116,'Data-Transport'!$D$4:$D$10000,'Mar20-Aug20 Transport Actuals'!$F$116,'Data-Transport'!$E$4:$E$10000,'Mar20-Aug20 Transport Actuals'!$H$116,'Data-Transport'!$F$4:$F$10000,'Mar20-Aug20 Transport Actuals'!K$6)/10</f>
        <v>10639.7</v>
      </c>
      <c r="L116" s="458">
        <f>SUMIFS('Data-Transport'!$H$4:$H$10000,'Data-Transport'!$A$4:$A$10000,'Mar20-Aug20 Transport Actuals'!L$4,'Data-Transport'!$B$4:$B$10000,'Mar20-Aug20 Transport Actuals'!$C$116,'Data-Transport'!$D$4:$D$10000,'Mar20-Aug20 Transport Actuals'!$F$116,'Data-Transport'!$E$4:$E$10000,'Mar20-Aug20 Transport Actuals'!$H$116,'Data-Transport'!$F$4:$F$10000,'Mar20-Aug20 Transport Actuals'!L$6)/10</f>
        <v>10028.700000000001</v>
      </c>
      <c r="M116" s="458">
        <f>SUMIFS('Data-Transport'!$H$4:$H$10000,'Data-Transport'!$A$4:$A$10000,'Mar20-Aug20 Transport Actuals'!M$4,'Data-Transport'!$B$4:$B$10000,'Mar20-Aug20 Transport Actuals'!$C$116,'Data-Transport'!$D$4:$D$10000,'Mar20-Aug20 Transport Actuals'!$F$116,'Data-Transport'!$E$4:$E$10000,'Mar20-Aug20 Transport Actuals'!$H$116,'Data-Transport'!$F$4:$F$10000,'Mar20-Aug20 Transport Actuals'!M$6)/10</f>
        <v>7169.2</v>
      </c>
      <c r="N116" s="458">
        <f>SUMIFS('Data-Transport'!$H$4:$H$10000,'Data-Transport'!$A$4:$A$10000,'Mar20-Aug20 Transport Actuals'!N$4,'Data-Transport'!$B$4:$B$10000,'Mar20-Aug20 Transport Actuals'!$C$116,'Data-Transport'!$D$4:$D$10000,'Mar20-Aug20 Transport Actuals'!$F$116,'Data-Transport'!$E$4:$E$10000,'Mar20-Aug20 Transport Actuals'!$H$116,'Data-Transport'!$F$4:$F$10000,'Mar20-Aug20 Transport Actuals'!N$6)/10</f>
        <v>7742.2</v>
      </c>
      <c r="O116" s="867">
        <f>SUMIFS('Data-Transport'!$H$4:$H$10000,'Data-Transport'!$A$4:$A$10000,'Mar20-Aug20 Transport Actuals'!O$4,'Data-Transport'!$B$4:$B$10000,'Mar20-Aug20 Transport Actuals'!$Q$116,'Data-Transport'!$D$4:$D$10000,'Mar20-Aug20 Transport Actuals'!$F$116,'Data-Transport'!$E$4:$E$10000,'Mar20-Aug20 Transport Actuals'!$R$116,'Data-Transport'!$F$4:$F$10000,'Mar20-Aug20 Transport Actuals'!O$6)/10+SUMIFS('Data-Transport'!$H$4:$H$10000,'Data-Transport'!$A$4:$A$10000,'Mar20-Aug20 Transport Actuals'!O$4,'Data-Transport'!$B$4:$B$10000,'Mar20-Aug20 Transport Actuals'!$S$116,'Data-Transport'!$D$4:$D$10000,'Mar20-Aug20 Transport Actuals'!$F$116,'Data-Transport'!$E$4:$E$10000,'Mar20-Aug20 Transport Actuals'!$R$116,'Data-Transport'!$F$4:$F$10000,'Mar20-Aug20 Transport Actuals'!O$6)/10</f>
        <v>7451.2000000000007</v>
      </c>
      <c r="P116" s="288">
        <f>SUM(I116:N116)</f>
        <v>66196.599999999991</v>
      </c>
      <c r="Q116" s="213" t="s">
        <v>1031</v>
      </c>
      <c r="R116" s="213" t="s">
        <v>1036</v>
      </c>
      <c r="S116" s="213" t="s">
        <v>1039</v>
      </c>
      <c r="T116" s="46"/>
    </row>
    <row r="117" spans="3:20" x14ac:dyDescent="0.25">
      <c r="C117" s="159" t="s">
        <v>34</v>
      </c>
      <c r="D117" s="159" t="str">
        <f t="shared" si="33"/>
        <v>895</v>
      </c>
      <c r="E117" s="158" t="str">
        <f>VLOOKUP($C117,'Retail Rates'!$B$7:$P$40,2,FALSE)</f>
        <v>FT-C</v>
      </c>
      <c r="F117" s="160" t="s">
        <v>319</v>
      </c>
      <c r="G117" s="160" t="s">
        <v>159</v>
      </c>
      <c r="H117" s="160"/>
      <c r="I117" s="473">
        <f>VLOOKUP($C117,'Retail Rates'!$B$7:$P$40,6,FALSE)</f>
        <v>550</v>
      </c>
      <c r="J117" s="473">
        <f>VLOOKUP($C117,'Retail Rates'!$B$7:$P$40,6,FALSE)</f>
        <v>550</v>
      </c>
      <c r="K117" s="473">
        <f>VLOOKUP($C117,'Retail Rates'!$B$7:$P$40,6,FALSE)</f>
        <v>550</v>
      </c>
      <c r="L117" s="473">
        <f>VLOOKUP($C117,'Retail Rates'!$B$7:$P$40,6,FALSE)</f>
        <v>550</v>
      </c>
      <c r="M117" s="473">
        <f>VLOOKUP($C117,'Retail Rates'!$B$7:$P$40,6,FALSE)</f>
        <v>550</v>
      </c>
      <c r="N117" s="473">
        <f>VLOOKUP($C117,'Retail Rates'!$B$7:$P$40,6,FALSE)</f>
        <v>550</v>
      </c>
      <c r="O117" s="473">
        <f>VLOOKUP($C117,'Retail Rates'!$B$7:$P$40,6,FALSE)</f>
        <v>550</v>
      </c>
      <c r="P117" s="158"/>
      <c r="Q117" s="213"/>
      <c r="R117" s="213"/>
      <c r="S117" s="213"/>
    </row>
    <row r="118" spans="3:20" x14ac:dyDescent="0.25">
      <c r="C118" s="159" t="s">
        <v>34</v>
      </c>
      <c r="D118" s="159" t="str">
        <f t="shared" si="33"/>
        <v>895</v>
      </c>
      <c r="E118" s="158" t="str">
        <f>VLOOKUP($C118,'Retail Rates'!$B$7:$P$40,2,FALSE)</f>
        <v>FT-C</v>
      </c>
      <c r="F118" s="160" t="s">
        <v>319</v>
      </c>
      <c r="G118" s="160" t="s">
        <v>331</v>
      </c>
      <c r="H118" s="160"/>
      <c r="I118" s="473">
        <v>750</v>
      </c>
      <c r="J118" s="473">
        <v>750</v>
      </c>
      <c r="K118" s="473">
        <v>750</v>
      </c>
      <c r="L118" s="473">
        <v>750</v>
      </c>
      <c r="M118" s="473">
        <v>750</v>
      </c>
      <c r="N118" s="473">
        <v>750</v>
      </c>
      <c r="O118" s="473">
        <v>750</v>
      </c>
      <c r="P118" s="158"/>
      <c r="Q118" s="213"/>
      <c r="R118" s="213"/>
      <c r="S118" s="213"/>
    </row>
    <row r="119" spans="3:20" x14ac:dyDescent="0.25">
      <c r="C119" s="159" t="s">
        <v>34</v>
      </c>
      <c r="D119" s="159" t="str">
        <f t="shared" si="33"/>
        <v>895</v>
      </c>
      <c r="E119" s="158" t="str">
        <f>VLOOKUP($C119,'Retail Rates'!$B$7:$P$40,2,FALSE)</f>
        <v>FT-C</v>
      </c>
      <c r="F119" s="160" t="s">
        <v>319</v>
      </c>
      <c r="G119" s="160" t="s">
        <v>160</v>
      </c>
      <c r="H119" s="160"/>
      <c r="I119" s="843">
        <f>VLOOKUP($C119,'Retail Rates'!$B$7:$P$40,10,FALSE)</f>
        <v>3.7999999999999999E-2</v>
      </c>
      <c r="J119" s="473">
        <f>VLOOKUP($C119,'Retail Rates'!$B$7:$P$40,10,FALSE)</f>
        <v>3.7999999999999999E-2</v>
      </c>
      <c r="K119" s="473">
        <f>VLOOKUP($C119,'Retail Rates'!$B$7:$P$40,10,FALSE)</f>
        <v>3.7999999999999999E-2</v>
      </c>
      <c r="L119" s="473">
        <f>VLOOKUP($C119,'Retail Rates'!$B$7:$P$40,10,FALSE)</f>
        <v>3.7999999999999999E-2</v>
      </c>
      <c r="M119" s="473">
        <f>VLOOKUP($C119,'Retail Rates'!$B$7:$P$40,10,FALSE)</f>
        <v>3.7999999999999999E-2</v>
      </c>
      <c r="N119" s="473">
        <f>VLOOKUP($C119,'Retail Rates'!$B$7:$P$40,10,FALSE)</f>
        <v>3.7999999999999999E-2</v>
      </c>
      <c r="O119" s="473">
        <f>VLOOKUP($C119,'Retail Rates'!$B$7:$P$40,10,FALSE)</f>
        <v>3.7999999999999999E-2</v>
      </c>
      <c r="P119" s="158"/>
      <c r="Q119" s="213"/>
      <c r="R119" s="213"/>
      <c r="S119" s="213"/>
    </row>
    <row r="120" spans="3:20" x14ac:dyDescent="0.25">
      <c r="C120" s="159" t="s">
        <v>34</v>
      </c>
      <c r="D120" s="159" t="str">
        <f t="shared" si="33"/>
        <v>895</v>
      </c>
      <c r="E120" s="158" t="str">
        <f>VLOOKUP($C120,'Retail Rates'!$B$7:$P$40,2,FALSE)</f>
        <v>FT-C</v>
      </c>
      <c r="F120" s="160" t="s">
        <v>319</v>
      </c>
      <c r="G120" s="160" t="s">
        <v>168</v>
      </c>
      <c r="H120" s="160"/>
      <c r="I120" s="843">
        <v>4.8899999999999997</v>
      </c>
      <c r="J120" s="843">
        <v>4.8899999999999997</v>
      </c>
      <c r="K120" s="843">
        <v>4.8899999999999997</v>
      </c>
      <c r="L120" s="843">
        <v>4.8899999999999997</v>
      </c>
      <c r="M120" s="843">
        <v>4.8899999999999997</v>
      </c>
      <c r="N120" s="843">
        <v>4.8899999999999997</v>
      </c>
      <c r="O120" s="843">
        <v>4.8899999999999997</v>
      </c>
      <c r="P120" s="158"/>
      <c r="Q120" s="213"/>
      <c r="R120" s="213"/>
      <c r="S120" s="213"/>
    </row>
    <row r="121" spans="3:20" x14ac:dyDescent="0.25">
      <c r="C121" s="199" t="s">
        <v>34</v>
      </c>
      <c r="D121" s="159" t="str">
        <f t="shared" si="33"/>
        <v>895</v>
      </c>
      <c r="E121" s="158" t="str">
        <f>VLOOKUP($C121,'Retail Rates'!$B$7:$P$40,2,FALSE)</f>
        <v>FT-C</v>
      </c>
      <c r="F121" s="160" t="s">
        <v>319</v>
      </c>
      <c r="G121" s="164" t="s">
        <v>162</v>
      </c>
      <c r="H121" s="164"/>
      <c r="I121" s="159"/>
      <c r="J121" s="159"/>
      <c r="K121" s="159"/>
      <c r="L121" s="159"/>
      <c r="M121" s="159"/>
      <c r="N121" s="159"/>
      <c r="O121" s="159"/>
      <c r="P121" s="158"/>
      <c r="Q121" s="213"/>
      <c r="R121" s="213"/>
      <c r="S121" s="213"/>
    </row>
    <row r="122" spans="3:20" x14ac:dyDescent="0.25">
      <c r="C122" s="199" t="s">
        <v>34</v>
      </c>
      <c r="D122" s="159" t="str">
        <f t="shared" si="33"/>
        <v>895</v>
      </c>
      <c r="E122" s="158" t="str">
        <f>VLOOKUP($C122,'Retail Rates'!$B$7:$P$40,2,FALSE)</f>
        <v>FT-C</v>
      </c>
      <c r="F122" s="160" t="s">
        <v>319</v>
      </c>
      <c r="G122" s="160" t="s">
        <v>163</v>
      </c>
      <c r="H122" s="156" t="s">
        <v>268</v>
      </c>
      <c r="I122" s="459">
        <f>SUMIFS('Data-Transport'!$K$4:$K$10000,'Data-Transport'!$A$4:$A$10000,'Mar20-Aug20 Transport Actuals'!I$4,'Data-Transport'!$B$4:$B$10000,'Mar20-Aug20 Transport Actuals'!$C$122,'Data-Transport'!$D$4:$D$10000,'Mar20-Aug20 Transport Actuals'!$F$122,'Data-Transport'!$E$4:$E$10000,'Mar20-Aug20 Transport Actuals'!$H$122,'Data-Transport'!$F$4:$F$10000,'Mar20-Aug20 Transport Actuals'!I$6)</f>
        <v>1100</v>
      </c>
      <c r="J122" s="459">
        <f>SUMIFS('Data-Transport'!$K$4:$K$10000,'Data-Transport'!$A$4:$A$10000,'Mar20-Aug20 Transport Actuals'!J$4,'Data-Transport'!$B$4:$B$10000,'Mar20-Aug20 Transport Actuals'!$C$122,'Data-Transport'!$D$4:$D$10000,'Mar20-Aug20 Transport Actuals'!$F$122,'Data-Transport'!$E$4:$E$10000,'Mar20-Aug20 Transport Actuals'!$H$122,'Data-Transport'!$F$4:$F$10000,'Mar20-Aug20 Transport Actuals'!J$6)</f>
        <v>1100</v>
      </c>
      <c r="K122" s="459">
        <f>SUMIFS('Data-Transport'!$K$4:$K$10000,'Data-Transport'!$A$4:$A$10000,'Mar20-Aug20 Transport Actuals'!K$4,'Data-Transport'!$B$4:$B$10000,'Mar20-Aug20 Transport Actuals'!$C$122,'Data-Transport'!$D$4:$D$10000,'Mar20-Aug20 Transport Actuals'!$F$122,'Data-Transport'!$E$4:$E$10000,'Mar20-Aug20 Transport Actuals'!$H$122,'Data-Transport'!$F$4:$F$10000,'Mar20-Aug20 Transport Actuals'!K$6)</f>
        <v>1100</v>
      </c>
      <c r="L122" s="459">
        <f>SUMIFS('Data-Transport'!$K$4:$K$10000,'Data-Transport'!$A$4:$A$10000,'Mar20-Aug20 Transport Actuals'!L$4,'Data-Transport'!$B$4:$B$10000,'Mar20-Aug20 Transport Actuals'!$C$122,'Data-Transport'!$D$4:$D$10000,'Mar20-Aug20 Transport Actuals'!$F$122,'Data-Transport'!$E$4:$E$10000,'Mar20-Aug20 Transport Actuals'!$H$122,'Data-Transport'!$F$4:$F$10000,'Mar20-Aug20 Transport Actuals'!L$6)</f>
        <v>1100</v>
      </c>
      <c r="M122" s="459">
        <f>SUMIFS('Data-Transport'!$K$4:$K$10000,'Data-Transport'!$A$4:$A$10000,'Mar20-Aug20 Transport Actuals'!M$4,'Data-Transport'!$B$4:$B$10000,'Mar20-Aug20 Transport Actuals'!$C$122,'Data-Transport'!$D$4:$D$10000,'Mar20-Aug20 Transport Actuals'!$F$122,'Data-Transport'!$E$4:$E$10000,'Mar20-Aug20 Transport Actuals'!$H$122,'Data-Transport'!$F$4:$F$10000,'Mar20-Aug20 Transport Actuals'!M$6)</f>
        <v>1100</v>
      </c>
      <c r="N122" s="459">
        <f>SUMIFS('Data-Transport'!$K$4:$K$10000,'Data-Transport'!$A$4:$A$10000,'Mar20-Aug20 Transport Actuals'!N$4,'Data-Transport'!$B$4:$B$10000,'Mar20-Aug20 Transport Actuals'!$C$122,'Data-Transport'!$D$4:$D$10000,'Mar20-Aug20 Transport Actuals'!$F$122,'Data-Transport'!$E$4:$E$10000,'Mar20-Aug20 Transport Actuals'!$H$122,'Data-Transport'!$F$4:$F$10000,'Mar20-Aug20 Transport Actuals'!N$6)</f>
        <v>1100</v>
      </c>
      <c r="O122" s="459">
        <f>SUMIFS('Data-Transport'!$K$4:$K$10000,'Data-Transport'!$A$4:$A$10000,'Mar20-Aug20 Transport Actuals'!O$4,'Data-Transport'!$B$4:$B$10000,'Mar20-Aug20 Transport Actuals'!$Q$122,'Data-Transport'!$D$4:$D$10000,'Mar20-Aug20 Transport Actuals'!$F$122,'Data-Transport'!$E$4:$E$10000,'Mar20-Aug20 Transport Actuals'!$R$122,'Data-Transport'!$F$4:$F$10000,'Mar20-Aug20 Transport Actuals'!O$6)+SUMIFS('Data-Transport'!$K$4:$K$10000,'Data-Transport'!$A$4:$A$10000,'Mar20-Aug20 Transport Actuals'!O$4,'Data-Transport'!$B$4:$B$10000,'Mar20-Aug20 Transport Actuals'!$S$122,'Data-Transport'!$D$4:$D$10000,'Mar20-Aug20 Transport Actuals'!$F$122,'Data-Transport'!$E$4:$E$10000,'Mar20-Aug20 Transport Actuals'!$R$122,'Data-Transport'!$F$4:$F$10000,'Mar20-Aug20 Transport Actuals'!O$6)</f>
        <v>1100</v>
      </c>
      <c r="P122" s="288">
        <f>SUM(I122:N122)</f>
        <v>6600</v>
      </c>
      <c r="Q122" s="213" t="s">
        <v>1031</v>
      </c>
      <c r="R122" s="213" t="s">
        <v>268</v>
      </c>
      <c r="S122" s="213" t="s">
        <v>1039</v>
      </c>
    </row>
    <row r="123" spans="3:20" x14ac:dyDescent="0.25">
      <c r="C123" s="199" t="s">
        <v>34</v>
      </c>
      <c r="D123" s="159" t="str">
        <f t="shared" si="33"/>
        <v>895</v>
      </c>
      <c r="E123" s="158" t="str">
        <f>VLOOKUP($C123,'Retail Rates'!$B$7:$P$40,2,FALSE)</f>
        <v>FT-C</v>
      </c>
      <c r="F123" s="160" t="s">
        <v>319</v>
      </c>
      <c r="G123" s="160" t="s">
        <v>331</v>
      </c>
      <c r="H123" s="156" t="s">
        <v>272</v>
      </c>
      <c r="I123" s="459">
        <f>SUMIFS('Data-Transport'!$K$4:$K$10000,'Data-Transport'!$A$4:$A$10000,'Mar20-Aug20 Transport Actuals'!I$4,'Data-Transport'!$B$4:$B$10000,'Mar20-Aug20 Transport Actuals'!$C$123,'Data-Transport'!$D$4:$D$10000,'Mar20-Aug20 Transport Actuals'!$F$123,'Data-Transport'!$E$4:$E$10000,'Mar20-Aug20 Transport Actuals'!$H$123,'Data-Transport'!$F$4:$F$10000,'Mar20-Aug20 Transport Actuals'!I$6)</f>
        <v>1500</v>
      </c>
      <c r="J123" s="459">
        <f>SUMIFS('Data-Transport'!$K$4:$K$10000,'Data-Transport'!$A$4:$A$10000,'Mar20-Aug20 Transport Actuals'!J$4,'Data-Transport'!$B$4:$B$10000,'Mar20-Aug20 Transport Actuals'!$C$123,'Data-Transport'!$D$4:$D$10000,'Mar20-Aug20 Transport Actuals'!$F$123,'Data-Transport'!$E$4:$E$10000,'Mar20-Aug20 Transport Actuals'!$H$123,'Data-Transport'!$F$4:$F$10000,'Mar20-Aug20 Transport Actuals'!J$6)</f>
        <v>1500</v>
      </c>
      <c r="K123" s="459">
        <f>SUMIFS('Data-Transport'!$K$4:$K$10000,'Data-Transport'!$A$4:$A$10000,'Mar20-Aug20 Transport Actuals'!K$4,'Data-Transport'!$B$4:$B$10000,'Mar20-Aug20 Transport Actuals'!$C$123,'Data-Transport'!$D$4:$D$10000,'Mar20-Aug20 Transport Actuals'!$F$123,'Data-Transport'!$E$4:$E$10000,'Mar20-Aug20 Transport Actuals'!$H$123,'Data-Transport'!$F$4:$F$10000,'Mar20-Aug20 Transport Actuals'!K$6)</f>
        <v>1500</v>
      </c>
      <c r="L123" s="459">
        <f>SUMIFS('Data-Transport'!$K$4:$K$10000,'Data-Transport'!$A$4:$A$10000,'Mar20-Aug20 Transport Actuals'!L$4,'Data-Transport'!$B$4:$B$10000,'Mar20-Aug20 Transport Actuals'!$C$123,'Data-Transport'!$D$4:$D$10000,'Mar20-Aug20 Transport Actuals'!$F$123,'Data-Transport'!$E$4:$E$10000,'Mar20-Aug20 Transport Actuals'!$H$123,'Data-Transport'!$F$4:$F$10000,'Mar20-Aug20 Transport Actuals'!L$6)</f>
        <v>1500</v>
      </c>
      <c r="M123" s="459">
        <f>SUMIFS('Data-Transport'!$K$4:$K$10000,'Data-Transport'!$A$4:$A$10000,'Mar20-Aug20 Transport Actuals'!M$4,'Data-Transport'!$B$4:$B$10000,'Mar20-Aug20 Transport Actuals'!$C$123,'Data-Transport'!$D$4:$D$10000,'Mar20-Aug20 Transport Actuals'!$F$123,'Data-Transport'!$E$4:$E$10000,'Mar20-Aug20 Transport Actuals'!$H$123,'Data-Transport'!$F$4:$F$10000,'Mar20-Aug20 Transport Actuals'!M$6)</f>
        <v>1500</v>
      </c>
      <c r="N123" s="459">
        <f>SUMIFS('Data-Transport'!$K$4:$K$10000,'Data-Transport'!$A$4:$A$10000,'Mar20-Aug20 Transport Actuals'!N$4,'Data-Transport'!$B$4:$B$10000,'Mar20-Aug20 Transport Actuals'!$C$123,'Data-Transport'!$D$4:$D$10000,'Mar20-Aug20 Transport Actuals'!$F$123,'Data-Transport'!$E$4:$E$10000,'Mar20-Aug20 Transport Actuals'!$H$123,'Data-Transport'!$F$4:$F$10000,'Mar20-Aug20 Transport Actuals'!N$6)</f>
        <v>1500</v>
      </c>
      <c r="O123" s="459">
        <f>SUMIFS('Data-Transport'!$K$4:$K$10000,'Data-Transport'!$A$4:$A$10000,'Mar20-Aug20 Transport Actuals'!O$4,'Data-Transport'!$B$4:$B$10000,'Mar20-Aug20 Transport Actuals'!$Q$123,'Data-Transport'!$D$4:$D$10000,'Mar20-Aug20 Transport Actuals'!$F$123,'Data-Transport'!$E$4:$E$10000,'Mar20-Aug20 Transport Actuals'!$R$123,'Data-Transport'!$F$4:$F$10000,'Mar20-Aug20 Transport Actuals'!O$6)+SUMIFS('Data-Transport'!$K$4:$K$10000,'Data-Transport'!$A$4:$A$10000,'Mar20-Aug20 Transport Actuals'!O$4,'Data-Transport'!$B$4:$B$10000,'Mar20-Aug20 Transport Actuals'!$S$123,'Data-Transport'!$D$4:$D$10000,'Mar20-Aug20 Transport Actuals'!$F$123,'Data-Transport'!$E$4:$E$10000,'Mar20-Aug20 Transport Actuals'!$R$123,'Data-Transport'!$F$4:$F$10000,'Mar20-Aug20 Transport Actuals'!O$6)</f>
        <v>1500</v>
      </c>
      <c r="P123" s="288">
        <f t="shared" ref="P123:P133" si="34">SUM(I123:N123)</f>
        <v>9000</v>
      </c>
      <c r="Q123" s="213" t="s">
        <v>1031</v>
      </c>
      <c r="R123" s="213" t="s">
        <v>272</v>
      </c>
      <c r="S123" s="213" t="s">
        <v>1039</v>
      </c>
    </row>
    <row r="124" spans="3:20" x14ac:dyDescent="0.25">
      <c r="C124" s="199" t="s">
        <v>34</v>
      </c>
      <c r="D124" s="159" t="str">
        <f t="shared" si="33"/>
        <v>895</v>
      </c>
      <c r="E124" s="158" t="str">
        <f>VLOOKUP($C124,'Retail Rates'!$B$7:$P$40,2,FALSE)</f>
        <v>FT-C</v>
      </c>
      <c r="F124" s="160" t="s">
        <v>319</v>
      </c>
      <c r="G124" s="160" t="s">
        <v>168</v>
      </c>
      <c r="H124" s="156" t="s">
        <v>914</v>
      </c>
      <c r="I124" s="459">
        <f>SUMIFS('Data-Transport'!$L$4:$L$10000,'Data-Transport'!$A$4:$A$10000,'Mar20-Aug20 Transport Actuals'!I$4,'Data-Transport'!$B$4:$B$10000,'Mar20-Aug20 Transport Actuals'!$C$124,'Data-Transport'!$D$4:$D$10000,'Mar20-Aug20 Transport Actuals'!$F$124,'Data-Transport'!$E$4:$E$10000,'Mar20-Aug20 Transport Actuals'!$H$124,'Data-Transport'!$F$4:$F$10000,'Mar20-Aug20 Transport Actuals'!I$6)</f>
        <v>3486.08</v>
      </c>
      <c r="J124" s="459">
        <f>SUMIFS('Data-Transport'!$L$4:$L$10000,'Data-Transport'!$A$4:$A$10000,'Mar20-Aug20 Transport Actuals'!J$4,'Data-Transport'!$B$4:$B$10000,'Mar20-Aug20 Transport Actuals'!$C$124,'Data-Transport'!$D$4:$D$10000,'Mar20-Aug20 Transport Actuals'!$F$124,'Data-Transport'!$E$4:$E$10000,'Mar20-Aug20 Transport Actuals'!$H$124,'Data-Transport'!$F$4:$F$10000,'Mar20-Aug20 Transport Actuals'!J$6)</f>
        <v>3486.08</v>
      </c>
      <c r="K124" s="459">
        <f>SUMIFS('Data-Transport'!$L$4:$L$10000,'Data-Transport'!$A$4:$A$10000,'Mar20-Aug20 Transport Actuals'!K$4,'Data-Transport'!$B$4:$B$10000,'Mar20-Aug20 Transport Actuals'!$C$124,'Data-Transport'!$D$4:$D$10000,'Mar20-Aug20 Transport Actuals'!$F$124,'Data-Transport'!$E$4:$E$10000,'Mar20-Aug20 Transport Actuals'!$H$124,'Data-Transport'!$F$4:$F$10000,'Mar20-Aug20 Transport Actuals'!K$6)</f>
        <v>3486.08</v>
      </c>
      <c r="L124" s="459">
        <f>SUMIFS('Data-Transport'!$L$4:$L$10000,'Data-Transport'!$A$4:$A$10000,'Mar20-Aug20 Transport Actuals'!L$4,'Data-Transport'!$B$4:$B$10000,'Mar20-Aug20 Transport Actuals'!$C$124,'Data-Transport'!$D$4:$D$10000,'Mar20-Aug20 Transport Actuals'!$F$124,'Data-Transport'!$E$4:$E$10000,'Mar20-Aug20 Transport Actuals'!$H$124,'Data-Transport'!$F$4:$F$10000,'Mar20-Aug20 Transport Actuals'!L$6)</f>
        <v>3486.08</v>
      </c>
      <c r="M124" s="459">
        <f>SUMIFS('Data-Transport'!$L$4:$L$10000,'Data-Transport'!$A$4:$A$10000,'Mar20-Aug20 Transport Actuals'!M$4,'Data-Transport'!$B$4:$B$10000,'Mar20-Aug20 Transport Actuals'!$C$124,'Data-Transport'!$D$4:$D$10000,'Mar20-Aug20 Transport Actuals'!$F$124,'Data-Transport'!$E$4:$E$10000,'Mar20-Aug20 Transport Actuals'!$H$124,'Data-Transport'!$F$4:$F$10000,'Mar20-Aug20 Transport Actuals'!M$6)</f>
        <v>3486.08</v>
      </c>
      <c r="N124" s="459">
        <f>SUMIFS('Data-Transport'!$L$4:$L$10000,'Data-Transport'!$A$4:$A$10000,'Mar20-Aug20 Transport Actuals'!N$4,'Data-Transport'!$B$4:$B$10000,'Mar20-Aug20 Transport Actuals'!$C$124,'Data-Transport'!$D$4:$D$10000,'Mar20-Aug20 Transport Actuals'!$F$124,'Data-Transport'!$E$4:$E$10000,'Mar20-Aug20 Transport Actuals'!$H$124,'Data-Transport'!$F$4:$F$10000,'Mar20-Aug20 Transport Actuals'!N$6)</f>
        <v>3486.08</v>
      </c>
      <c r="O124" s="459">
        <f>SUMIFS('Data-Transport'!$L$4:$L$10000,'Data-Transport'!$A$4:$A$10000,'Mar20-Aug20 Transport Actuals'!O$4,'Data-Transport'!$B$4:$B$10000,'Mar20-Aug20 Transport Actuals'!$Q$124,'Data-Transport'!$D$4:$D$10000,'Mar20-Aug20 Transport Actuals'!$F$124,'Data-Transport'!$E$4:$E$10000,'Mar20-Aug20 Transport Actuals'!$R$124,'Data-Transport'!$F$4:$F$10000,'Mar20-Aug20 Transport Actuals'!O$6)+SUMIFS('Data-Transport'!$L$4:$L$10000,'Data-Transport'!$A$4:$A$10000,'Mar20-Aug20 Transport Actuals'!O$4,'Data-Transport'!$B$4:$B$10000,'Mar20-Aug20 Transport Actuals'!$S$124,'Data-Transport'!$D$4:$D$10000,'Mar20-Aug20 Transport Actuals'!$F$124,'Data-Transport'!$E$4:$E$10000,'Mar20-Aug20 Transport Actuals'!$R$124,'Data-Transport'!$F$4:$F$10000,'Mar20-Aug20 Transport Actuals'!O$6)</f>
        <v>3486.08</v>
      </c>
      <c r="P124" s="288">
        <f t="shared" si="34"/>
        <v>20916.480000000003</v>
      </c>
      <c r="Q124" s="213" t="s">
        <v>1031</v>
      </c>
      <c r="R124" s="213" t="s">
        <v>914</v>
      </c>
      <c r="S124" s="213" t="s">
        <v>1039</v>
      </c>
    </row>
    <row r="125" spans="3:20" x14ac:dyDescent="0.25">
      <c r="C125" s="199" t="s">
        <v>34</v>
      </c>
      <c r="D125" s="159" t="str">
        <f t="shared" si="33"/>
        <v>895</v>
      </c>
      <c r="E125" s="158" t="str">
        <f>VLOOKUP($C125,'Retail Rates'!$B$7:$P$40,2,FALSE)</f>
        <v>FT-C</v>
      </c>
      <c r="F125" s="160" t="s">
        <v>319</v>
      </c>
      <c r="G125" s="160" t="s">
        <v>164</v>
      </c>
      <c r="H125" s="160"/>
      <c r="I125" s="460">
        <f t="shared" ref="I125:O125" si="35">ROUND(I116*I119,2)</f>
        <v>613.65</v>
      </c>
      <c r="J125" s="460">
        <f t="shared" si="35"/>
        <v>549.79</v>
      </c>
      <c r="K125" s="460">
        <f t="shared" si="35"/>
        <v>404.31</v>
      </c>
      <c r="L125" s="460">
        <f t="shared" si="35"/>
        <v>381.09</v>
      </c>
      <c r="M125" s="460">
        <f t="shared" si="35"/>
        <v>272.43</v>
      </c>
      <c r="N125" s="460">
        <f t="shared" si="35"/>
        <v>294.2</v>
      </c>
      <c r="O125" s="460">
        <f t="shared" si="35"/>
        <v>283.14999999999998</v>
      </c>
      <c r="P125" s="288">
        <f t="shared" si="34"/>
        <v>2515.4699999999998</v>
      </c>
      <c r="Q125" s="213" t="s">
        <v>1031</v>
      </c>
      <c r="R125" s="213"/>
      <c r="S125" s="213"/>
    </row>
    <row r="126" spans="3:20" x14ac:dyDescent="0.25">
      <c r="C126" s="199" t="s">
        <v>34</v>
      </c>
      <c r="D126" s="159" t="str">
        <f t="shared" si="33"/>
        <v>895</v>
      </c>
      <c r="E126" s="158" t="str">
        <f>VLOOKUP($C126,'Retail Rates'!$B$7:$P$40,2,FALSE)</f>
        <v>FT-C</v>
      </c>
      <c r="F126" s="160" t="s">
        <v>319</v>
      </c>
      <c r="G126" s="160" t="s">
        <v>165</v>
      </c>
      <c r="H126" s="160"/>
      <c r="I126" s="461">
        <f>SUM(I122:I125)</f>
        <v>6699.73</v>
      </c>
      <c r="J126" s="461">
        <f t="shared" ref="J126:O126" si="36">SUM(J122:J125)</f>
        <v>6635.87</v>
      </c>
      <c r="K126" s="461">
        <f t="shared" si="36"/>
        <v>6490.39</v>
      </c>
      <c r="L126" s="461">
        <f t="shared" si="36"/>
        <v>6467.17</v>
      </c>
      <c r="M126" s="461">
        <f t="shared" si="36"/>
        <v>6358.51</v>
      </c>
      <c r="N126" s="461">
        <f t="shared" si="36"/>
        <v>6380.28</v>
      </c>
      <c r="O126" s="461">
        <f t="shared" si="36"/>
        <v>6369.23</v>
      </c>
      <c r="P126" s="288">
        <f t="shared" si="34"/>
        <v>39031.949999999997</v>
      </c>
      <c r="Q126" s="213" t="s">
        <v>1031</v>
      </c>
      <c r="R126" s="213"/>
      <c r="S126" s="213"/>
    </row>
    <row r="127" spans="3:20" x14ac:dyDescent="0.25">
      <c r="C127" s="199" t="s">
        <v>34</v>
      </c>
      <c r="D127" s="159" t="str">
        <f t="shared" si="33"/>
        <v>895</v>
      </c>
      <c r="E127" s="158" t="str">
        <f>VLOOKUP($C127,'Retail Rates'!$B$7:$P$40,2,FALSE)</f>
        <v>FT-C</v>
      </c>
      <c r="F127" s="160" t="s">
        <v>319</v>
      </c>
      <c r="G127" s="160" t="s">
        <v>166</v>
      </c>
      <c r="H127" s="156" t="s">
        <v>109</v>
      </c>
      <c r="I127" s="459">
        <f>SUMIFS('Data-Transport'!$Q$4:$Q$10000,'Data-Transport'!$A$4:$A$10000,'Mar20-Aug20 Transport Actuals'!I$4,'Data-Transport'!$B$4:$B$10000,'Mar20-Aug20 Transport Actuals'!$C$128,'Data-Transport'!$D$4:$D$10000,'Mar20-Aug20 Transport Actuals'!$F$128,'Data-Transport'!$E$4:$E$10000,'Mar20-Aug20 Transport Actuals'!$H$127,'Data-Transport'!$F$4:$F$10000,'Mar20-Aug20 Transport Actuals'!I$6)</f>
        <v>29.07</v>
      </c>
      <c r="J127" s="459">
        <f>SUMIFS('Data-Transport'!$Q$4:$Q$10000,'Data-Transport'!$A$4:$A$10000,'Mar20-Aug20 Transport Actuals'!J$4,'Data-Transport'!$B$4:$B$10000,'Mar20-Aug20 Transport Actuals'!$C$128,'Data-Transport'!$D$4:$D$10000,'Mar20-Aug20 Transport Actuals'!$F$128,'Data-Transport'!$E$4:$E$10000,'Mar20-Aug20 Transport Actuals'!$H$127,'Data-Transport'!$F$4:$F$10000,'Mar20-Aug20 Transport Actuals'!J$6)</f>
        <v>26.05</v>
      </c>
      <c r="K127" s="459">
        <f>SUMIFS('Data-Transport'!$Q$4:$Q$10000,'Data-Transport'!$A$4:$A$10000,'Mar20-Aug20 Transport Actuals'!K$4,'Data-Transport'!$B$4:$B$10000,'Mar20-Aug20 Transport Actuals'!$C$128,'Data-Transport'!$D$4:$D$10000,'Mar20-Aug20 Transport Actuals'!$F$128,'Data-Transport'!$E$4:$E$10000,'Mar20-Aug20 Transport Actuals'!$H$127,'Data-Transport'!$F$4:$F$10000,'Mar20-Aug20 Transport Actuals'!K$6)</f>
        <v>51.08</v>
      </c>
      <c r="L127" s="459">
        <f>SUMIFS('Data-Transport'!$Q$4:$Q$10000,'Data-Transport'!$A$4:$A$10000,'Mar20-Aug20 Transport Actuals'!L$4,'Data-Transport'!$B$4:$B$10000,'Mar20-Aug20 Transport Actuals'!$C$128,'Data-Transport'!$D$4:$D$10000,'Mar20-Aug20 Transport Actuals'!$F$128,'Data-Transport'!$E$4:$E$10000,'Mar20-Aug20 Transport Actuals'!$H$127,'Data-Transport'!$F$4:$F$10000,'Mar20-Aug20 Transport Actuals'!L$6)</f>
        <v>48.61</v>
      </c>
      <c r="M127" s="459">
        <f>SUMIFS('Data-Transport'!$Q$4:$Q$10000,'Data-Transport'!$A$4:$A$10000,'Mar20-Aug20 Transport Actuals'!M$4,'Data-Transport'!$B$4:$B$10000,'Mar20-Aug20 Transport Actuals'!$C$128,'Data-Transport'!$D$4:$D$10000,'Mar20-Aug20 Transport Actuals'!$F$128,'Data-Transport'!$E$4:$E$10000,'Mar20-Aug20 Transport Actuals'!$H$127,'Data-Transport'!$F$4:$F$10000,'Mar20-Aug20 Transport Actuals'!M$6)</f>
        <v>37.81</v>
      </c>
      <c r="N127" s="459">
        <f>SUMIFS('Data-Transport'!$Q$4:$Q$10000,'Data-Transport'!$A$4:$A$10000,'Mar20-Aug20 Transport Actuals'!N$4,'Data-Transport'!$B$4:$B$10000,'Mar20-Aug20 Transport Actuals'!$C$128,'Data-Transport'!$D$4:$D$10000,'Mar20-Aug20 Transport Actuals'!$F$128,'Data-Transport'!$E$4:$E$10000,'Mar20-Aug20 Transport Actuals'!$H$127,'Data-Transport'!$F$4:$F$10000,'Mar20-Aug20 Transport Actuals'!N$6)</f>
        <v>37.159999999999997</v>
      </c>
      <c r="O127" s="459">
        <f>SUMIFS('Data-Transport'!$Q$4:$Q$10000,'Data-Transport'!$A$4:$A$10000,'Mar20-Aug20 Transport Actuals'!O$4,'Data-Transport'!$B$4:$B$10000,'Mar20-Aug20 Transport Actuals'!$Q$128,'Data-Transport'!$D$4:$D$10000,'Mar20-Aug20 Transport Actuals'!$F$128,'Data-Transport'!$E$4:$E$10000,'Mar20-Aug20 Transport Actuals'!$R$127,'Data-Transport'!$F$4:$F$10000,'Mar20-Aug20 Transport Actuals'!O$6)+SUMIFS('Data-Transport'!$Q$4:$Q$10000,'Data-Transport'!$A$4:$A$10000,'Mar20-Aug20 Transport Actuals'!O$4,'Data-Transport'!$B$4:$B$10000,'Mar20-Aug20 Transport Actuals'!$S$128,'Data-Transport'!$D$4:$D$10000,'Mar20-Aug20 Transport Actuals'!$F$128,'Data-Transport'!$E$4:$E$10000,'Mar20-Aug20 Transport Actuals'!$R$127,'Data-Transport'!$F$4:$F$10000,'Mar20-Aug20 Transport Actuals'!O$6)</f>
        <v>35.769999999999996</v>
      </c>
      <c r="P127" s="288">
        <f t="shared" si="34"/>
        <v>229.78</v>
      </c>
      <c r="Q127" s="213" t="s">
        <v>1031</v>
      </c>
      <c r="R127" s="213" t="s">
        <v>1035</v>
      </c>
      <c r="S127" s="213" t="s">
        <v>1039</v>
      </c>
    </row>
    <row r="128" spans="3:20" x14ac:dyDescent="0.25">
      <c r="C128" s="199" t="s">
        <v>34</v>
      </c>
      <c r="D128" s="159" t="str">
        <f t="shared" si="33"/>
        <v>895</v>
      </c>
      <c r="E128" s="158" t="str">
        <f>VLOOKUP($C128,'Retail Rates'!$B$7:$P$40,2,FALSE)</f>
        <v>FT-C</v>
      </c>
      <c r="F128" s="160" t="s">
        <v>319</v>
      </c>
      <c r="G128" s="160" t="s">
        <v>256</v>
      </c>
      <c r="H128" s="156" t="s">
        <v>329</v>
      </c>
      <c r="I128" s="459">
        <f>SUMIFS('Data-Transport'!$W$14:$W$4704,'Data-Transport'!$A$14:$A$4704,'Mar20-Aug20 Transport Actuals'!I$4,'Data-Transport'!$B$14:$B$4704,'Mar20-Aug20 Transport Actuals'!$C$128,'Data-Transport'!$D$14:$D$4704,'Mar20-Aug20 Transport Actuals'!$F$128,'Data-Transport'!$E$14:$E$4704,'Mar20-Aug20 Transport Actuals'!$H$128,'Data-Transport'!$F$14:$F$4704,'Mar20-Aug20 Transport Actuals'!I$6)</f>
        <v>48.88</v>
      </c>
      <c r="J128" s="459">
        <f>SUMIFS('Data-Transport'!$W$14:$W$4704,'Data-Transport'!$A$14:$A$4704,'Mar20-Aug20 Transport Actuals'!J$4,'Data-Transport'!$B$14:$B$4704,'Mar20-Aug20 Transport Actuals'!$C$128,'Data-Transport'!$D$14:$D$4704,'Mar20-Aug20 Transport Actuals'!$F$128,'Data-Transport'!$E$14:$E$4704,'Mar20-Aug20 Transport Actuals'!$H$128,'Data-Transport'!$F$14:$F$4704,'Mar20-Aug20 Transport Actuals'!J$6)</f>
        <v>39.92</v>
      </c>
      <c r="K128" s="459">
        <f>SUMIFS('Data-Transport'!$W$14:$W$4704,'Data-Transport'!$A$14:$A$4704,'Mar20-Aug20 Transport Actuals'!K$4,'Data-Transport'!$B$14:$B$4704,'Mar20-Aug20 Transport Actuals'!$C$128,'Data-Transport'!$D$14:$D$4704,'Mar20-Aug20 Transport Actuals'!$F$128,'Data-Transport'!$E$14:$E$4704,'Mar20-Aug20 Transport Actuals'!$H$128,'Data-Transport'!$F$14:$F$4704,'Mar20-Aug20 Transport Actuals'!K$6)</f>
        <v>19.739999999999998</v>
      </c>
      <c r="L128" s="459">
        <f>SUMIFS('Data-Transport'!$W$14:$W$4704,'Data-Transport'!$A$14:$A$4704,'Mar20-Aug20 Transport Actuals'!L$4,'Data-Transport'!$B$14:$B$4704,'Mar20-Aug20 Transport Actuals'!$C$128,'Data-Transport'!$D$14:$D$4704,'Mar20-Aug20 Transport Actuals'!$F$128,'Data-Transport'!$E$14:$E$4704,'Mar20-Aug20 Transport Actuals'!$H$128,'Data-Transport'!$F$14:$F$4704,'Mar20-Aug20 Transport Actuals'!L$6)</f>
        <v>59.02</v>
      </c>
      <c r="M128" s="459">
        <f>SUMIFS('Data-Transport'!$W$14:$W$4704,'Data-Transport'!$A$14:$A$4704,'Mar20-Aug20 Transport Actuals'!M$4,'Data-Transport'!$B$14:$B$4704,'Mar20-Aug20 Transport Actuals'!$C$128,'Data-Transport'!$D$14:$D$4704,'Mar20-Aug20 Transport Actuals'!$F$128,'Data-Transport'!$E$14:$E$4704,'Mar20-Aug20 Transport Actuals'!$H$128,'Data-Transport'!$F$14:$F$4704,'Mar20-Aug20 Transport Actuals'!M$6)</f>
        <v>51.09</v>
      </c>
      <c r="N128" s="459">
        <f>SUMIFS('Data-Transport'!$W$14:$W$4704,'Data-Transport'!$A$14:$A$4704,'Mar20-Aug20 Transport Actuals'!N$4,'Data-Transport'!$B$14:$B$4704,'Mar20-Aug20 Transport Actuals'!$C$128,'Data-Transport'!$D$14:$D$4704,'Mar20-Aug20 Transport Actuals'!$F$128,'Data-Transport'!$E$14:$E$4704,'Mar20-Aug20 Transport Actuals'!$H$128,'Data-Transport'!$F$14:$F$4704,'Mar20-Aug20 Transport Actuals'!N$6)</f>
        <v>29.8</v>
      </c>
      <c r="O128" s="459">
        <f>SUMIFS('Data-Transport'!$W$14:$W$4704,'Data-Transport'!$A$14:$A$4704,'Mar20-Aug20 Transport Actuals'!O$4,'Data-Transport'!$B$14:$B$4704,'Mar20-Aug20 Transport Actuals'!$Q$128,'Data-Transport'!$D$14:$D$4704,'Mar20-Aug20 Transport Actuals'!$F$128,'Data-Transport'!$E$14:$E$4704,'Mar20-Aug20 Transport Actuals'!$R$128,'Data-Transport'!$F$14:$F$4704,'Mar20-Aug20 Transport Actuals'!O$6)+SUMIFS('Data-Transport'!$W$14:$W$4704,'Data-Transport'!$A$14:$A$4704,'Mar20-Aug20 Transport Actuals'!O$4,'Data-Transport'!$B$14:$B$4704,'Mar20-Aug20 Transport Actuals'!$S$128,'Data-Transport'!$D$14:$D$4704,'Mar20-Aug20 Transport Actuals'!$F$128,'Data-Transport'!$E$14:$E$4704,'Mar20-Aug20 Transport Actuals'!$R$128,'Data-Transport'!$F$14:$F$4704,'Mar20-Aug20 Transport Actuals'!O$6)</f>
        <v>14.86</v>
      </c>
      <c r="P128" s="288">
        <f t="shared" si="34"/>
        <v>248.45000000000002</v>
      </c>
      <c r="Q128" s="213" t="s">
        <v>1031</v>
      </c>
      <c r="R128" s="213" t="s">
        <v>329</v>
      </c>
      <c r="S128" s="213" t="s">
        <v>1039</v>
      </c>
    </row>
    <row r="129" spans="3:19" x14ac:dyDescent="0.25">
      <c r="C129" s="199" t="s">
        <v>34</v>
      </c>
      <c r="D129" s="159" t="str">
        <f t="shared" si="33"/>
        <v>895</v>
      </c>
      <c r="E129" s="158" t="str">
        <f>VLOOKUP($C129,'Retail Rates'!$B$7:$P$40,2,FALSE)</f>
        <v>FT-C</v>
      </c>
      <c r="F129" s="160" t="s">
        <v>319</v>
      </c>
      <c r="G129" s="160" t="s">
        <v>257</v>
      </c>
      <c r="H129" s="156" t="s">
        <v>330</v>
      </c>
      <c r="I129" s="459">
        <f>SUMIFS('Data-Transport'!$X$14:$X$4704,'Data-Transport'!$A$14:$A$4704,'Mar20-Aug20 Transport Actuals'!I$4,'Data-Transport'!$B$14:$B$4704,'Mar20-Aug20 Transport Actuals'!$C$129,'Data-Transport'!$D$14:$D$4704,'Mar20-Aug20 Transport Actuals'!$F$129,'Data-Transport'!$E$14:$E$4704,'Mar20-Aug20 Transport Actuals'!$H$129,'Data-Transport'!$F$14:$F$4704,'Mar20-Aug20 Transport Actuals'!I$6)</f>
        <v>114.14</v>
      </c>
      <c r="J129" s="459">
        <f>SUMIFS('Data-Transport'!$X$14:$X$4704,'Data-Transport'!$A$14:$A$4704,'Mar20-Aug20 Transport Actuals'!J$4,'Data-Transport'!$B$14:$B$4704,'Mar20-Aug20 Transport Actuals'!$C$129,'Data-Transport'!$D$14:$D$4704,'Mar20-Aug20 Transport Actuals'!$F$129,'Data-Transport'!$E$14:$E$4704,'Mar20-Aug20 Transport Actuals'!$H$129,'Data-Transport'!$F$14:$F$4704,'Mar20-Aug20 Transport Actuals'!J$6)</f>
        <v>93.21</v>
      </c>
      <c r="K129" s="459">
        <f>SUMIFS('Data-Transport'!$X$14:$X$4704,'Data-Transport'!$A$14:$A$4704,'Mar20-Aug20 Transport Actuals'!K$4,'Data-Transport'!$B$14:$B$4704,'Mar20-Aug20 Transport Actuals'!$C$129,'Data-Transport'!$D$14:$D$4704,'Mar20-Aug20 Transport Actuals'!$F$129,'Data-Transport'!$E$14:$E$4704,'Mar20-Aug20 Transport Actuals'!$H$129,'Data-Transport'!$F$14:$F$4704,'Mar20-Aug20 Transport Actuals'!K$6)</f>
        <v>46.1</v>
      </c>
      <c r="L129" s="459">
        <f>SUMIFS('Data-Transport'!$X$14:$X$4704,'Data-Transport'!$A$14:$A$4704,'Mar20-Aug20 Transport Actuals'!L$4,'Data-Transport'!$B$14:$B$4704,'Mar20-Aug20 Transport Actuals'!$C$129,'Data-Transport'!$D$14:$D$4704,'Mar20-Aug20 Transport Actuals'!$F$129,'Data-Transport'!$E$14:$E$4704,'Mar20-Aug20 Transport Actuals'!$H$129,'Data-Transport'!$F$14:$F$4704,'Mar20-Aug20 Transport Actuals'!L$6)</f>
        <v>137.83000000000001</v>
      </c>
      <c r="M129" s="459">
        <f>SUMIFS('Data-Transport'!$X$14:$X$4704,'Data-Transport'!$A$14:$A$4704,'Mar20-Aug20 Transport Actuals'!M$4,'Data-Transport'!$B$14:$B$4704,'Mar20-Aug20 Transport Actuals'!$C$129,'Data-Transport'!$D$14:$D$4704,'Mar20-Aug20 Transport Actuals'!$F$129,'Data-Transport'!$E$14:$E$4704,'Mar20-Aug20 Transport Actuals'!$H$129,'Data-Transport'!$F$14:$F$4704,'Mar20-Aug20 Transport Actuals'!M$6)</f>
        <v>119.3</v>
      </c>
      <c r="N129" s="459">
        <f>SUMIFS('Data-Transport'!$X$14:$X$4704,'Data-Transport'!$A$14:$A$4704,'Mar20-Aug20 Transport Actuals'!N$4,'Data-Transport'!$B$14:$B$4704,'Mar20-Aug20 Transport Actuals'!$C$129,'Data-Transport'!$D$14:$D$4704,'Mar20-Aug20 Transport Actuals'!$F$129,'Data-Transport'!$E$14:$E$4704,'Mar20-Aug20 Transport Actuals'!$H$129,'Data-Transport'!$F$14:$F$4704,'Mar20-Aug20 Transport Actuals'!N$6)</f>
        <v>69.599999999999994</v>
      </c>
      <c r="O129" s="459">
        <f>SUMIFS('Data-Transport'!$X$14:$X$4704,'Data-Transport'!$A$14:$A$4704,'Mar20-Aug20 Transport Actuals'!O$4,'Data-Transport'!$B$14:$B$4704,'Mar20-Aug20 Transport Actuals'!$Q$129,'Data-Transport'!$D$14:$D$4704,'Mar20-Aug20 Transport Actuals'!$F$129,'Data-Transport'!$E$14:$E$4704,'Mar20-Aug20 Transport Actuals'!$R$129,'Data-Transport'!$F$14:$F$4704,'Mar20-Aug20 Transport Actuals'!O$6)+SUMIFS('Data-Transport'!$X$14:$X$4704,'Data-Transport'!$A$14:$A$4704,'Mar20-Aug20 Transport Actuals'!O$4,'Data-Transport'!$B$14:$B$4704,'Mar20-Aug20 Transport Actuals'!$S$129,'Data-Transport'!$D$14:$D$4704,'Mar20-Aug20 Transport Actuals'!$F$129,'Data-Transport'!$E$14:$E$4704,'Mar20-Aug20 Transport Actuals'!$R$129,'Data-Transport'!$F$14:$F$4704,'Mar20-Aug20 Transport Actuals'!O$6)</f>
        <v>34.72</v>
      </c>
      <c r="P129" s="288">
        <f t="shared" si="34"/>
        <v>580.17999999999995</v>
      </c>
      <c r="Q129" s="213" t="s">
        <v>1031</v>
      </c>
      <c r="R129" s="213" t="s">
        <v>1038</v>
      </c>
      <c r="S129" s="213" t="s">
        <v>1039</v>
      </c>
    </row>
    <row r="130" spans="3:19" x14ac:dyDescent="0.25">
      <c r="C130" s="199" t="s">
        <v>34</v>
      </c>
      <c r="D130" s="159" t="str">
        <f t="shared" si="33"/>
        <v>895</v>
      </c>
      <c r="E130" s="158" t="str">
        <f>VLOOKUP($C130,'Retail Rates'!$B$7:$P$40,2,FALSE)</f>
        <v>FT-C</v>
      </c>
      <c r="F130" s="160" t="s">
        <v>319</v>
      </c>
      <c r="G130" s="160" t="s">
        <v>340</v>
      </c>
      <c r="H130" s="156" t="s">
        <v>325</v>
      </c>
      <c r="I130" s="459">
        <f>SUMIFS('Data-Transport'!$N$14:$N$4704,'Data-Transport'!$A$14:$A$4704,'Mar20-Aug20 Transport Actuals'!I$4,'Data-Transport'!$B$14:$B$4704,'Mar20-Aug20 Transport Actuals'!$C$130,'Data-Transport'!$D$14:$D$4704,'Mar20-Aug20 Transport Actuals'!$F$130,'Data-Transport'!$E$14:$E$4704,'Mar20-Aug20 Transport Actuals'!$H$130,'Data-Transport'!$F$14:$F$4704,'Mar20-Aug20 Transport Actuals'!I$6)</f>
        <v>3.8</v>
      </c>
      <c r="J130" s="459">
        <f>SUMIFS('Data-Transport'!$N$14:$N$4704,'Data-Transport'!$A$14:$A$4704,'Mar20-Aug20 Transport Actuals'!J$4,'Data-Transport'!$B$14:$B$4704,'Mar20-Aug20 Transport Actuals'!$C$130,'Data-Transport'!$D$14:$D$4704,'Mar20-Aug20 Transport Actuals'!$F$130,'Data-Transport'!$E$14:$E$4704,'Mar20-Aug20 Transport Actuals'!$H$130,'Data-Transport'!$F$14:$F$4704,'Mar20-Aug20 Transport Actuals'!J$6)</f>
        <v>4.47</v>
      </c>
      <c r="K130" s="459">
        <f>SUMIFS('Data-Transport'!$N$14:$N$4704,'Data-Transport'!$A$14:$A$4704,'Mar20-Aug20 Transport Actuals'!K$4,'Data-Transport'!$B$14:$B$4704,'Mar20-Aug20 Transport Actuals'!$C$130,'Data-Transport'!$D$14:$D$4704,'Mar20-Aug20 Transport Actuals'!$F$130,'Data-Transport'!$E$14:$E$4704,'Mar20-Aug20 Transport Actuals'!$H$130,'Data-Transport'!$F$14:$F$4704,'Mar20-Aug20 Transport Actuals'!K$6)</f>
        <v>12.84</v>
      </c>
      <c r="L130" s="459">
        <f>SUMIFS('Data-Transport'!$N$14:$N$4704,'Data-Transport'!$A$14:$A$4704,'Mar20-Aug20 Transport Actuals'!L$4,'Data-Transport'!$B$14:$B$4704,'Mar20-Aug20 Transport Actuals'!$C$130,'Data-Transport'!$D$14:$D$4704,'Mar20-Aug20 Transport Actuals'!$F$130,'Data-Transport'!$E$14:$E$4704,'Mar20-Aug20 Transport Actuals'!$H$130,'Data-Transport'!$F$14:$F$4704,'Mar20-Aug20 Transport Actuals'!L$6)</f>
        <v>14.23</v>
      </c>
      <c r="M130" s="459">
        <f>SUMIFS('Data-Transport'!$N$14:$N$4704,'Data-Transport'!$A$14:$A$4704,'Mar20-Aug20 Transport Actuals'!M$4,'Data-Transport'!$B$14:$B$4704,'Mar20-Aug20 Transport Actuals'!$C$130,'Data-Transport'!$D$14:$D$4704,'Mar20-Aug20 Transport Actuals'!$F$130,'Data-Transport'!$E$14:$E$4704,'Mar20-Aug20 Transport Actuals'!$H$130,'Data-Transport'!$F$14:$F$4704,'Mar20-Aug20 Transport Actuals'!M$6)</f>
        <v>10.09</v>
      </c>
      <c r="N130" s="459">
        <f>SUMIFS('Data-Transport'!$N$14:$N$4704,'Data-Transport'!$A$14:$A$4704,'Mar20-Aug20 Transport Actuals'!N$4,'Data-Transport'!$B$14:$B$4704,'Mar20-Aug20 Transport Actuals'!$C$130,'Data-Transport'!$D$14:$D$4704,'Mar20-Aug20 Transport Actuals'!$F$130,'Data-Transport'!$E$14:$E$4704,'Mar20-Aug20 Transport Actuals'!$H$130,'Data-Transport'!$F$14:$F$4704,'Mar20-Aug20 Transport Actuals'!N$6)</f>
        <v>9.51</v>
      </c>
      <c r="O130" s="459">
        <f>SUMIFS('Data-Transport'!$N$14:$N$4704,'Data-Transport'!$A$14:$A$4704,'Mar20-Aug20 Transport Actuals'!O$4,'Data-Transport'!$B$14:$B$4704,'Mar20-Aug20 Transport Actuals'!$Q$130,'Data-Transport'!$D$14:$D$4704,'Mar20-Aug20 Transport Actuals'!$F$130,'Data-Transport'!$E$14:$E$4704,'Mar20-Aug20 Transport Actuals'!$R$130,'Data-Transport'!$F$14:$F$4704,'Mar20-Aug20 Transport Actuals'!O$6)+SUMIFS('Data-Transport'!$N$14:$N$4704,'Data-Transport'!$A$14:$A$4704,'Mar20-Aug20 Transport Actuals'!O$4,'Data-Transport'!$B$14:$B$4704,'Mar20-Aug20 Transport Actuals'!$S$130,'Data-Transport'!$D$14:$D$4704,'Mar20-Aug20 Transport Actuals'!$F$130,'Data-Transport'!$E$14:$E$4704,'Mar20-Aug20 Transport Actuals'!$R$130,'Data-Transport'!$F$14:$F$4704,'Mar20-Aug20 Transport Actuals'!O$6)</f>
        <v>5.8</v>
      </c>
      <c r="P130" s="288">
        <f t="shared" si="34"/>
        <v>54.940000000000005</v>
      </c>
      <c r="Q130" s="213" t="s">
        <v>1031</v>
      </c>
      <c r="R130" s="213" t="s">
        <v>325</v>
      </c>
      <c r="S130" s="213" t="s">
        <v>1039</v>
      </c>
    </row>
    <row r="131" spans="3:19" x14ac:dyDescent="0.25">
      <c r="C131" s="199" t="s">
        <v>34</v>
      </c>
      <c r="D131" s="159" t="str">
        <f t="shared" si="33"/>
        <v>895</v>
      </c>
      <c r="E131" s="158" t="str">
        <f>VLOOKUP($C131,'Retail Rates'!$B$7:$P$40,2,FALSE)</f>
        <v>FT-C</v>
      </c>
      <c r="F131" s="160" t="s">
        <v>319</v>
      </c>
      <c r="G131" s="160" t="s">
        <v>334</v>
      </c>
      <c r="H131" s="156" t="s">
        <v>326</v>
      </c>
      <c r="I131" s="459">
        <f>SUMIFS('Data-Transport'!$V$14:$V$4704,'Data-Transport'!$A$14:$A$4704,'Mar20-Aug20 Transport Actuals'!I$4,'Data-Transport'!$B$14:$B$4704,'Mar20-Aug20 Transport Actuals'!$C$131,'Data-Transport'!$D$14:$D$4704,'Mar20-Aug20 Transport Actuals'!$F$131,'Data-Transport'!$E$14:$E$4704,'Mar20-Aug20 Transport Actuals'!$H$131,'Data-Transport'!$F$14:$F$4704,'Mar20-Aug20 Transport Actuals'!I$6)</f>
        <v>0</v>
      </c>
      <c r="J131" s="459">
        <f>SUMIFS('Data-Transport'!$V$14:$V$4704,'Data-Transport'!$A$14:$A$4704,'Mar20-Aug20 Transport Actuals'!J$4,'Data-Transport'!$B$14:$B$4704,'Mar20-Aug20 Transport Actuals'!$C$131,'Data-Transport'!$D$14:$D$4704,'Mar20-Aug20 Transport Actuals'!$F$131,'Data-Transport'!$E$14:$E$4704,'Mar20-Aug20 Transport Actuals'!$H$131,'Data-Transport'!$F$14:$F$4704,'Mar20-Aug20 Transport Actuals'!J$6)</f>
        <v>0</v>
      </c>
      <c r="K131" s="459">
        <f>SUMIFS('Data-Transport'!$V$14:$V$4704,'Data-Transport'!$A$14:$A$4704,'Mar20-Aug20 Transport Actuals'!K$4,'Data-Transport'!$B$14:$B$4704,'Mar20-Aug20 Transport Actuals'!$C$131,'Data-Transport'!$D$14:$D$4704,'Mar20-Aug20 Transport Actuals'!$F$131,'Data-Transport'!$E$14:$E$4704,'Mar20-Aug20 Transport Actuals'!$H$131,'Data-Transport'!$F$14:$F$4704,'Mar20-Aug20 Transport Actuals'!K$6)</f>
        <v>0</v>
      </c>
      <c r="L131" s="459">
        <f>SUMIFS('Data-Transport'!$V$14:$V$4704,'Data-Transport'!$A$14:$A$4704,'Mar20-Aug20 Transport Actuals'!L$4,'Data-Transport'!$B$14:$B$4704,'Mar20-Aug20 Transport Actuals'!$C$131,'Data-Transport'!$D$14:$D$4704,'Mar20-Aug20 Transport Actuals'!$F$131,'Data-Transport'!$E$14:$E$4704,'Mar20-Aug20 Transport Actuals'!$H$131,'Data-Transport'!$F$14:$F$4704,'Mar20-Aug20 Transport Actuals'!L$6)</f>
        <v>0</v>
      </c>
      <c r="M131" s="459">
        <f>SUMIFS('Data-Transport'!$V$14:$V$4704,'Data-Transport'!$A$14:$A$4704,'Mar20-Aug20 Transport Actuals'!M$4,'Data-Transport'!$B$14:$B$4704,'Mar20-Aug20 Transport Actuals'!$C$131,'Data-Transport'!$D$14:$D$4704,'Mar20-Aug20 Transport Actuals'!$F$131,'Data-Transport'!$E$14:$E$4704,'Mar20-Aug20 Transport Actuals'!$H$131,'Data-Transport'!$F$14:$F$4704,'Mar20-Aug20 Transport Actuals'!M$6)</f>
        <v>0</v>
      </c>
      <c r="N131" s="459">
        <f>SUMIFS('Data-Transport'!$V$14:$V$4704,'Data-Transport'!$A$14:$A$4704,'Mar20-Aug20 Transport Actuals'!N$4,'Data-Transport'!$B$14:$B$4704,'Mar20-Aug20 Transport Actuals'!$C$131,'Data-Transport'!$D$14:$D$4704,'Mar20-Aug20 Transport Actuals'!$F$131,'Data-Transport'!$E$14:$E$4704,'Mar20-Aug20 Transport Actuals'!$H$131,'Data-Transport'!$F$14:$F$4704,'Mar20-Aug20 Transport Actuals'!N$6)</f>
        <v>0</v>
      </c>
      <c r="O131" s="459">
        <f>SUMIFS('Data-Transport'!$V$14:$V$4704,'Data-Transport'!$A$14:$A$4704,'Mar20-Aug20 Transport Actuals'!O$4,'Data-Transport'!$B$14:$B$4704,'Mar20-Aug20 Transport Actuals'!$Q$131,'Data-Transport'!$D$14:$D$4704,'Mar20-Aug20 Transport Actuals'!$F$131,'Data-Transport'!$E$14:$E$4704,'Mar20-Aug20 Transport Actuals'!$R$131,'Data-Transport'!$F$14:$F$4704,'Mar20-Aug20 Transport Actuals'!O$6)+SUMIFS('Data-Transport'!$V$14:$V$4704,'Data-Transport'!$A$14:$A$4704,'Mar20-Aug20 Transport Actuals'!O$4,'Data-Transport'!$B$14:$B$4704,'Mar20-Aug20 Transport Actuals'!$S$131,'Data-Transport'!$D$14:$D$4704,'Mar20-Aug20 Transport Actuals'!$F$131,'Data-Transport'!$E$14:$E$4704,'Mar20-Aug20 Transport Actuals'!$R$131,'Data-Transport'!$F$14:$F$4704,'Mar20-Aug20 Transport Actuals'!O$6)</f>
        <v>0</v>
      </c>
      <c r="P131" s="288">
        <f t="shared" si="34"/>
        <v>0</v>
      </c>
      <c r="Q131" s="213" t="s">
        <v>1031</v>
      </c>
      <c r="R131" s="213" t="s">
        <v>326</v>
      </c>
      <c r="S131" s="213" t="s">
        <v>1039</v>
      </c>
    </row>
    <row r="132" spans="3:19" x14ac:dyDescent="0.25">
      <c r="C132" s="199" t="s">
        <v>34</v>
      </c>
      <c r="D132" s="159" t="str">
        <f>MID(C132,6,3)</f>
        <v>895</v>
      </c>
      <c r="E132" s="158" t="str">
        <f>VLOOKUP($C132,'Retail Rates'!$B$7:$P$40,2,FALSE)</f>
        <v>FT-C</v>
      </c>
      <c r="F132" s="160" t="s">
        <v>319</v>
      </c>
      <c r="G132" s="160" t="s">
        <v>324</v>
      </c>
      <c r="H132" s="156" t="s">
        <v>621</v>
      </c>
      <c r="I132" s="459">
        <f>SUMIFS('Data-Transport'!$AA$4:$AA$10000,'Data-Transport'!$A$4:$A$10000,'Mar20-Aug20 Transport Actuals'!I$4,'Data-Transport'!$B$4:$B$10000,'Mar20-Aug20 Transport Actuals'!$C$132,'Data-Transport'!$D$4:$D$10000,'Mar20-Aug20 Transport Actuals'!$F$132,'Data-Transport'!$E$4:$E$10000,'Mar20-Aug20 Transport Actuals'!$H$132,'Data-Transport'!$F$4:$F$10000,'Mar20-Aug20 Transport Actuals'!I$6)</f>
        <v>77.510000000000005</v>
      </c>
      <c r="J132" s="459">
        <f>SUMIFS('Data-Transport'!$AA$4:$AA$10000,'Data-Transport'!$A$4:$A$10000,'Mar20-Aug20 Transport Actuals'!J$4,'Data-Transport'!$B$4:$B$10000,'Mar20-Aug20 Transport Actuals'!$C$132,'Data-Transport'!$D$4:$D$10000,'Mar20-Aug20 Transport Actuals'!$F$132,'Data-Transport'!$E$4:$E$10000,'Mar20-Aug20 Transport Actuals'!$H$132,'Data-Transport'!$F$4:$F$10000,'Mar20-Aug20 Transport Actuals'!J$6)</f>
        <v>69.45</v>
      </c>
      <c r="K132" s="459">
        <f>SUMIFS('Data-Transport'!$AA$4:$AA$10000,'Data-Transport'!$A$4:$A$10000,'Mar20-Aug20 Transport Actuals'!K$4,'Data-Transport'!$B$4:$B$10000,'Mar20-Aug20 Transport Actuals'!$C$132,'Data-Transport'!$D$4:$D$10000,'Mar20-Aug20 Transport Actuals'!$F$132,'Data-Transport'!$E$4:$E$10000,'Mar20-Aug20 Transport Actuals'!$H$132,'Data-Transport'!$F$4:$F$10000,'Mar20-Aug20 Transport Actuals'!K$6)</f>
        <v>51.08</v>
      </c>
      <c r="L132" s="459">
        <f>SUMIFS('Data-Transport'!$AA$4:$AA$10000,'Data-Transport'!$A$4:$A$10000,'Mar20-Aug20 Transport Actuals'!L$4,'Data-Transport'!$B$4:$B$10000,'Mar20-Aug20 Transport Actuals'!$C$132,'Data-Transport'!$D$4:$D$10000,'Mar20-Aug20 Transport Actuals'!$F$132,'Data-Transport'!$E$4:$E$10000,'Mar20-Aug20 Transport Actuals'!$H$132,'Data-Transport'!$F$4:$F$10000,'Mar20-Aug20 Transport Actuals'!L$6)</f>
        <v>98.28</v>
      </c>
      <c r="M132" s="459">
        <f>SUMIFS('Data-Transport'!$AA$4:$AA$10000,'Data-Transport'!$A$4:$A$10000,'Mar20-Aug20 Transport Actuals'!M$4,'Data-Transport'!$B$4:$B$10000,'Mar20-Aug20 Transport Actuals'!$C$132,'Data-Transport'!$D$4:$D$10000,'Mar20-Aug20 Transport Actuals'!$F$132,'Data-Transport'!$E$4:$E$10000,'Mar20-Aug20 Transport Actuals'!$H$132,'Data-Transport'!$F$4:$F$10000,'Mar20-Aug20 Transport Actuals'!M$6)</f>
        <v>70.260000000000005</v>
      </c>
      <c r="N132" s="459">
        <f>SUMIFS('Data-Transport'!$AA$4:$AA$10000,'Data-Transport'!$A$4:$A$10000,'Mar20-Aug20 Transport Actuals'!N$4,'Data-Transport'!$B$4:$B$10000,'Mar20-Aug20 Transport Actuals'!$C$132,'Data-Transport'!$D$4:$D$10000,'Mar20-Aug20 Transport Actuals'!$F$132,'Data-Transport'!$E$4:$E$10000,'Mar20-Aug20 Transport Actuals'!$H$132,'Data-Transport'!$F$4:$F$10000,'Mar20-Aug20 Transport Actuals'!N$6)</f>
        <v>75.88</v>
      </c>
      <c r="O132" s="459">
        <f>SUMIFS('Data-Transport'!$AA$4:$AA$10000,'Data-Transport'!$A$4:$A$10000,'Mar20-Aug20 Transport Actuals'!O$4,'Data-Transport'!$B$4:$B$10000,'Mar20-Aug20 Transport Actuals'!$Q$132,'Data-Transport'!$D$4:$D$10000,'Mar20-Aug20 Transport Actuals'!$F$132,'Data-Transport'!$E$4:$E$10000,'Mar20-Aug20 Transport Actuals'!$R$132,'Data-Transport'!$F$4:$F$10000,'Mar20-Aug20 Transport Actuals'!O$6)+SUMIFS('Data-Transport'!$AA$4:$AA$10000,'Data-Transport'!$A$4:$A$10000,'Mar20-Aug20 Transport Actuals'!O$4,'Data-Transport'!$B$4:$B$10000,'Mar20-Aug20 Transport Actuals'!$S$132,'Data-Transport'!$D$4:$D$10000,'Mar20-Aug20 Transport Actuals'!$F$132,'Data-Transport'!$E$4:$E$10000,'Mar20-Aug20 Transport Actuals'!$R$132,'Data-Transport'!$F$4:$F$10000,'Mar20-Aug20 Transport Actuals'!O$6)</f>
        <v>73.02000000000001</v>
      </c>
      <c r="P132" s="288">
        <f t="shared" si="34"/>
        <v>442.46000000000004</v>
      </c>
      <c r="Q132" s="213" t="s">
        <v>1031</v>
      </c>
      <c r="R132" s="213" t="s">
        <v>1037</v>
      </c>
      <c r="S132" s="213" t="s">
        <v>1039</v>
      </c>
    </row>
    <row r="133" spans="3:19" x14ac:dyDescent="0.25">
      <c r="C133" s="199"/>
      <c r="D133" s="159"/>
      <c r="E133" s="158"/>
      <c r="F133" s="160"/>
      <c r="G133" s="160" t="s">
        <v>167</v>
      </c>
      <c r="H133" s="160"/>
      <c r="I133" s="461">
        <f t="shared" ref="I133:O133" si="37">SUM(I126:I132)</f>
        <v>6973.13</v>
      </c>
      <c r="J133" s="461">
        <f t="shared" si="37"/>
        <v>6868.97</v>
      </c>
      <c r="K133" s="461">
        <f t="shared" si="37"/>
        <v>6671.2300000000005</v>
      </c>
      <c r="L133" s="461">
        <f t="shared" si="37"/>
        <v>6825.1399999999994</v>
      </c>
      <c r="M133" s="461">
        <f t="shared" si="37"/>
        <v>6647.0600000000013</v>
      </c>
      <c r="N133" s="461">
        <f t="shared" si="37"/>
        <v>6602.2300000000005</v>
      </c>
      <c r="O133" s="461">
        <f t="shared" si="37"/>
        <v>6533.4000000000005</v>
      </c>
      <c r="P133" s="288">
        <f t="shared" si="34"/>
        <v>40587.760000000002</v>
      </c>
      <c r="Q133" s="213"/>
      <c r="R133" s="213"/>
      <c r="S133" s="213"/>
    </row>
    <row r="134" spans="3:19" x14ac:dyDescent="0.25">
      <c r="C134" s="199"/>
      <c r="D134" s="159"/>
      <c r="E134" s="158"/>
      <c r="F134" s="160"/>
      <c r="G134" s="160"/>
      <c r="H134" s="160"/>
      <c r="I134" s="159"/>
      <c r="J134" s="158"/>
      <c r="K134" s="158"/>
      <c r="L134" s="158"/>
      <c r="M134" s="158"/>
      <c r="N134" s="158"/>
      <c r="O134" s="158"/>
      <c r="P134" s="158"/>
      <c r="Q134" s="213"/>
      <c r="R134" s="213"/>
      <c r="S134" s="213"/>
    </row>
    <row r="135" spans="3:19" x14ac:dyDescent="0.25">
      <c r="C135" s="158"/>
      <c r="D135" s="158"/>
      <c r="E135" s="158"/>
      <c r="F135" s="158"/>
      <c r="G135" s="158"/>
      <c r="H135" s="158"/>
      <c r="I135" s="159"/>
      <c r="J135" s="158"/>
      <c r="K135" s="158"/>
      <c r="L135" s="158"/>
      <c r="M135" s="158"/>
      <c r="N135" s="158"/>
      <c r="O135" s="158"/>
      <c r="P135" s="158"/>
      <c r="Q135" s="213"/>
      <c r="R135" s="213"/>
      <c r="S135" s="213"/>
    </row>
    <row r="136" spans="3:19" x14ac:dyDescent="0.25">
      <c r="C136" s="158"/>
      <c r="D136" s="158"/>
      <c r="E136" s="158"/>
      <c r="F136" s="158"/>
      <c r="G136" s="318" t="s">
        <v>348</v>
      </c>
      <c r="H136" s="158"/>
      <c r="I136" s="159"/>
      <c r="J136" s="158"/>
      <c r="K136" s="158"/>
      <c r="L136" s="158"/>
      <c r="M136" s="158"/>
      <c r="N136" s="158"/>
      <c r="O136" s="158"/>
      <c r="P136" s="158"/>
      <c r="Q136" s="213"/>
      <c r="R136" s="213"/>
      <c r="S136" s="213"/>
    </row>
    <row r="137" spans="3:19" x14ac:dyDescent="0.25">
      <c r="C137" s="159" t="s">
        <v>36</v>
      </c>
      <c r="D137" s="159" t="str">
        <f>MID(C137,6,3)</f>
        <v>896</v>
      </c>
      <c r="E137" s="158" t="str">
        <f>VLOOKUP($C137,'Retail Rates'!$B$7:$P$40,2,FALSE)</f>
        <v>FT-I</v>
      </c>
      <c r="F137" s="160" t="s">
        <v>319</v>
      </c>
      <c r="G137" s="161" t="s">
        <v>157</v>
      </c>
      <c r="H137" s="158"/>
      <c r="I137" s="473">
        <f>+I144/I139</f>
        <v>2</v>
      </c>
      <c r="J137" s="473">
        <f t="shared" ref="J137:O137" si="38">+J144/J139</f>
        <v>2</v>
      </c>
      <c r="K137" s="473">
        <f t="shared" si="38"/>
        <v>2</v>
      </c>
      <c r="L137" s="473">
        <f t="shared" si="38"/>
        <v>2</v>
      </c>
      <c r="M137" s="473">
        <f t="shared" si="38"/>
        <v>2</v>
      </c>
      <c r="N137" s="473">
        <f t="shared" si="38"/>
        <v>2</v>
      </c>
      <c r="O137" s="473">
        <f t="shared" si="38"/>
        <v>2</v>
      </c>
      <c r="P137" s="288">
        <f>SUM(I137:N137)</f>
        <v>12</v>
      </c>
      <c r="Q137" s="213"/>
      <c r="R137" s="213"/>
      <c r="S137" s="213"/>
    </row>
    <row r="138" spans="3:19" x14ac:dyDescent="0.25">
      <c r="C138" s="159" t="s">
        <v>36</v>
      </c>
      <c r="D138" s="159" t="str">
        <f t="shared" ref="D138:D154" si="39">MID(C138,6,3)</f>
        <v>896</v>
      </c>
      <c r="E138" s="158" t="str">
        <f>VLOOKUP($C138,'Retail Rates'!$B$7:$P$40,2,FALSE)</f>
        <v>FT-I</v>
      </c>
      <c r="F138" s="160" t="s">
        <v>319</v>
      </c>
      <c r="G138" s="160" t="s">
        <v>158</v>
      </c>
      <c r="H138" s="156" t="s">
        <v>265</v>
      </c>
      <c r="I138" s="842">
        <f>SUMIFS('Data-Transport'!$H$4:$H$10000,'Data-Transport'!$A$4:$A$10000,'Mar20-Aug20 Transport Actuals'!I$4,'Data-Transport'!$B$4:$B$10000,'Mar20-Aug20 Transport Actuals'!$C$138,'Data-Transport'!$D$4:$D$10000,'Mar20-Aug20 Transport Actuals'!$F$138,'Data-Transport'!$E$4:$E$10000,'Mar20-Aug20 Transport Actuals'!$H$138,'Data-Transport'!$F$4:$F$10000,'Mar20-Aug20 Transport Actuals'!I$6)/10</f>
        <v>73910.899999999994</v>
      </c>
      <c r="J138" s="842">
        <f>SUMIFS('Data-Transport'!$H$4:$H$10000,'Data-Transport'!$A$4:$A$10000,'Mar20-Aug20 Transport Actuals'!J$4,'Data-Transport'!$B$4:$B$10000,'Mar20-Aug20 Transport Actuals'!$C$138,'Data-Transport'!$D$4:$D$10000,'Mar20-Aug20 Transport Actuals'!$F$138,'Data-Transport'!$E$4:$E$10000,'Mar20-Aug20 Transport Actuals'!$H$138,'Data-Transport'!$F$4:$F$10000,'Mar20-Aug20 Transport Actuals'!J$6)/10</f>
        <v>64563.4</v>
      </c>
      <c r="K138" s="842">
        <f>SUMIFS('Data-Transport'!$H$4:$H$10000,'Data-Transport'!$A$4:$A$10000,'Mar20-Aug20 Transport Actuals'!K$4,'Data-Transport'!$B$4:$B$10000,'Mar20-Aug20 Transport Actuals'!$C$138,'Data-Transport'!$D$4:$D$10000,'Mar20-Aug20 Transport Actuals'!$F$138,'Data-Transport'!$E$4:$E$10000,'Mar20-Aug20 Transport Actuals'!$H$138,'Data-Transport'!$F$4:$F$10000,'Mar20-Aug20 Transport Actuals'!K$6)/10</f>
        <v>67600.7</v>
      </c>
      <c r="L138" s="842">
        <f>SUMIFS('Data-Transport'!$H$4:$H$10000,'Data-Transport'!$A$4:$A$10000,'Mar20-Aug20 Transport Actuals'!L$4,'Data-Transport'!$B$4:$B$10000,'Mar20-Aug20 Transport Actuals'!$C$138,'Data-Transport'!$D$4:$D$10000,'Mar20-Aug20 Transport Actuals'!$F$138,'Data-Transport'!$E$4:$E$10000,'Mar20-Aug20 Transport Actuals'!$H$138,'Data-Transport'!$F$4:$F$10000,'Mar20-Aug20 Transport Actuals'!L$6)/10</f>
        <v>28910.3</v>
      </c>
      <c r="M138" s="842">
        <f>SUMIFS('Data-Transport'!$H$4:$H$10000,'Data-Transport'!$A$4:$A$10000,'Mar20-Aug20 Transport Actuals'!M$4,'Data-Transport'!$B$4:$B$10000,'Mar20-Aug20 Transport Actuals'!$C$138,'Data-Transport'!$D$4:$D$10000,'Mar20-Aug20 Transport Actuals'!$F$138,'Data-Transport'!$E$4:$E$10000,'Mar20-Aug20 Transport Actuals'!$H$138,'Data-Transport'!$F$4:$F$10000,'Mar20-Aug20 Transport Actuals'!M$6)/10</f>
        <v>25382.6</v>
      </c>
      <c r="N138" s="842">
        <f>SUMIFS('Data-Transport'!$H$4:$H$10000,'Data-Transport'!$A$4:$A$10000,'Mar20-Aug20 Transport Actuals'!N$4,'Data-Transport'!$B$4:$B$10000,'Mar20-Aug20 Transport Actuals'!$C$138,'Data-Transport'!$D$4:$D$10000,'Mar20-Aug20 Transport Actuals'!$F$138,'Data-Transport'!$E$4:$E$10000,'Mar20-Aug20 Transport Actuals'!$H$138,'Data-Transport'!$F$4:$F$10000,'Mar20-Aug20 Transport Actuals'!N$6)/10</f>
        <v>36858.400000000001</v>
      </c>
      <c r="O138" s="842">
        <f>SUMIFS('Data-Transport'!$H$4:$H$10000,'Data-Transport'!$A$4:$A$10000,'Mar20-Aug20 Transport Actuals'!O$4,'Data-Transport'!$B$4:$B$10000,'Mar20-Aug20 Transport Actuals'!$Q$138,'Data-Transport'!$D$4:$D$10000,'Mar20-Aug20 Transport Actuals'!$F$138,'Data-Transport'!$E$4:$E$10000,'Mar20-Aug20 Transport Actuals'!$R$138,'Data-Transport'!$F$4:$F$10000,'Mar20-Aug20 Transport Actuals'!O$6)/10</f>
        <v>48769.2</v>
      </c>
      <c r="P138" s="288">
        <f>SUM(I138:N138)</f>
        <v>297226.3</v>
      </c>
      <c r="Q138" s="213" t="s">
        <v>1048</v>
      </c>
      <c r="R138" s="213" t="s">
        <v>1036</v>
      </c>
      <c r="S138" s="213"/>
    </row>
    <row r="139" spans="3:19" x14ac:dyDescent="0.25">
      <c r="C139" s="159" t="s">
        <v>36</v>
      </c>
      <c r="D139" s="159" t="str">
        <f t="shared" si="39"/>
        <v>896</v>
      </c>
      <c r="E139" s="158" t="str">
        <f>VLOOKUP($C139,'Retail Rates'!$B$7:$P$40,2,FALSE)</f>
        <v>FT-I</v>
      </c>
      <c r="F139" s="160" t="s">
        <v>319</v>
      </c>
      <c r="G139" s="160" t="s">
        <v>159</v>
      </c>
      <c r="H139" s="160"/>
      <c r="I139" s="473">
        <f>VLOOKUP($C139,'Retail Rates'!$B$7:$P$40,6,FALSE)</f>
        <v>550</v>
      </c>
      <c r="J139" s="473">
        <f>VLOOKUP($C139,'Retail Rates'!$B$7:$P$40,6,FALSE)</f>
        <v>550</v>
      </c>
      <c r="K139" s="473">
        <f>VLOOKUP($C139,'Retail Rates'!$B$7:$P$40,6,FALSE)</f>
        <v>550</v>
      </c>
      <c r="L139" s="473">
        <f>VLOOKUP($C139,'Retail Rates'!$B$7:$P$40,6,FALSE)</f>
        <v>550</v>
      </c>
      <c r="M139" s="473">
        <f>VLOOKUP($C139,'Retail Rates'!$B$7:$P$40,6,FALSE)</f>
        <v>550</v>
      </c>
      <c r="N139" s="473">
        <f>VLOOKUP($C139,'Retail Rates'!$B$7:$P$40,6,FALSE)</f>
        <v>550</v>
      </c>
      <c r="O139" s="473">
        <f>VLOOKUP($C139,'Retail Rates'!$B$7:$P$40,6,FALSE)</f>
        <v>550</v>
      </c>
      <c r="P139" s="473"/>
      <c r="Q139" s="213"/>
      <c r="R139" s="213"/>
      <c r="S139" s="213"/>
    </row>
    <row r="140" spans="3:19" x14ac:dyDescent="0.25">
      <c r="C140" s="159" t="s">
        <v>36</v>
      </c>
      <c r="D140" s="159" t="str">
        <f t="shared" si="39"/>
        <v>896</v>
      </c>
      <c r="E140" s="158" t="str">
        <f>VLOOKUP($C140,'Retail Rates'!$B$7:$P$40,2,FALSE)</f>
        <v>FT-I</v>
      </c>
      <c r="F140" s="160" t="s">
        <v>319</v>
      </c>
      <c r="G140" s="160" t="s">
        <v>331</v>
      </c>
      <c r="H140" s="160"/>
      <c r="I140" s="473">
        <v>750</v>
      </c>
      <c r="J140" s="473">
        <v>750</v>
      </c>
      <c r="K140" s="473">
        <v>750</v>
      </c>
      <c r="L140" s="473">
        <v>750</v>
      </c>
      <c r="M140" s="473">
        <v>750</v>
      </c>
      <c r="N140" s="473">
        <v>750</v>
      </c>
      <c r="O140" s="473">
        <v>750</v>
      </c>
      <c r="P140" s="473"/>
      <c r="Q140" s="213"/>
      <c r="R140" s="213"/>
      <c r="S140" s="213"/>
    </row>
    <row r="141" spans="3:19" x14ac:dyDescent="0.25">
      <c r="C141" s="159" t="s">
        <v>36</v>
      </c>
      <c r="D141" s="159" t="str">
        <f t="shared" si="39"/>
        <v>896</v>
      </c>
      <c r="E141" s="158" t="str">
        <f>VLOOKUP($C141,'Retail Rates'!$B$7:$P$40,2,FALSE)</f>
        <v>FT-I</v>
      </c>
      <c r="F141" s="160" t="s">
        <v>319</v>
      </c>
      <c r="G141" s="160" t="s">
        <v>160</v>
      </c>
      <c r="H141" s="160"/>
      <c r="I141" s="843">
        <f>VLOOKUP($C141,'Retail Rates'!$B$7:$P$40,10,FALSE)</f>
        <v>3.7999999999999999E-2</v>
      </c>
      <c r="J141" s="843">
        <f>VLOOKUP($C141,'Retail Rates'!$B$7:$P$40,10,FALSE)</f>
        <v>3.7999999999999999E-2</v>
      </c>
      <c r="K141" s="843">
        <f>VLOOKUP($C141,'Retail Rates'!$B$7:$P$40,10,FALSE)</f>
        <v>3.7999999999999999E-2</v>
      </c>
      <c r="L141" s="843">
        <f>VLOOKUP($C141,'Retail Rates'!$B$7:$P$40,10,FALSE)</f>
        <v>3.7999999999999999E-2</v>
      </c>
      <c r="M141" s="843">
        <f>VLOOKUP($C141,'Retail Rates'!$B$7:$P$40,10,FALSE)</f>
        <v>3.7999999999999999E-2</v>
      </c>
      <c r="N141" s="843">
        <f>VLOOKUP($C141,'Retail Rates'!$B$7:$P$40,10,FALSE)</f>
        <v>3.7999999999999999E-2</v>
      </c>
      <c r="O141" s="843">
        <f>VLOOKUP($C141,'Retail Rates'!$B$7:$P$40,10,FALSE)</f>
        <v>3.7999999999999999E-2</v>
      </c>
      <c r="P141" s="843"/>
      <c r="Q141" s="213"/>
      <c r="R141" s="213"/>
      <c r="S141" s="213"/>
    </row>
    <row r="142" spans="3:19" x14ac:dyDescent="0.25">
      <c r="C142" s="159" t="s">
        <v>36</v>
      </c>
      <c r="D142" s="159" t="str">
        <f t="shared" si="39"/>
        <v>896</v>
      </c>
      <c r="E142" s="158" t="str">
        <f>VLOOKUP($C142,'Retail Rates'!$B$7:$P$40,2,FALSE)</f>
        <v>FT-I</v>
      </c>
      <c r="F142" s="160" t="s">
        <v>319</v>
      </c>
      <c r="G142" s="163" t="s">
        <v>168</v>
      </c>
      <c r="H142" s="163"/>
      <c r="I142" s="843">
        <v>4.8899999999999997</v>
      </c>
      <c r="J142" s="843">
        <v>4.8899999999999997</v>
      </c>
      <c r="K142" s="843">
        <v>4.8899999999999997</v>
      </c>
      <c r="L142" s="843">
        <v>4.8899999999999997</v>
      </c>
      <c r="M142" s="843">
        <v>4.8899999999999997</v>
      </c>
      <c r="N142" s="843">
        <v>4.8899999999999997</v>
      </c>
      <c r="O142" s="843">
        <v>4.8899999999999997</v>
      </c>
      <c r="P142" s="843"/>
      <c r="Q142" s="213"/>
      <c r="R142" s="213"/>
      <c r="S142" s="213"/>
    </row>
    <row r="143" spans="3:19" x14ac:dyDescent="0.25">
      <c r="C143" s="159" t="s">
        <v>36</v>
      </c>
      <c r="D143" s="159" t="str">
        <f t="shared" si="39"/>
        <v>896</v>
      </c>
      <c r="E143" s="158" t="str">
        <f>VLOOKUP($C143,'Retail Rates'!$B$7:$P$40,2,FALSE)</f>
        <v>FT-I</v>
      </c>
      <c r="F143" s="160" t="s">
        <v>319</v>
      </c>
      <c r="G143" s="164" t="s">
        <v>162</v>
      </c>
      <c r="H143" s="164"/>
      <c r="I143" s="159"/>
      <c r="J143" s="158"/>
      <c r="K143" s="158"/>
      <c r="L143" s="158"/>
      <c r="M143" s="158"/>
      <c r="N143" s="158"/>
      <c r="O143" s="158"/>
      <c r="P143" s="158"/>
      <c r="Q143" s="213"/>
      <c r="R143" s="213"/>
      <c r="S143" s="213"/>
    </row>
    <row r="144" spans="3:19" x14ac:dyDescent="0.25">
      <c r="C144" s="159" t="s">
        <v>36</v>
      </c>
      <c r="D144" s="159" t="str">
        <f t="shared" si="39"/>
        <v>896</v>
      </c>
      <c r="E144" s="158" t="str">
        <f>VLOOKUP($C144,'Retail Rates'!$B$7:$P$40,2,FALSE)</f>
        <v>FT-I</v>
      </c>
      <c r="F144" s="160" t="s">
        <v>319</v>
      </c>
      <c r="G144" s="160" t="s">
        <v>163</v>
      </c>
      <c r="H144" s="156" t="s">
        <v>268</v>
      </c>
      <c r="I144" s="459">
        <f>SUMIFS('Data-Transport'!$K$4:$K$10000,'Data-Transport'!$A$4:$A$10000,'Mar20-Aug20 Transport Actuals'!I$4,'Data-Transport'!$B$4:$B$10000,'Mar20-Aug20 Transport Actuals'!$C$144,'Data-Transport'!$D$4:$D$10000,'Mar20-Aug20 Transport Actuals'!$F$144,'Data-Transport'!$E$4:$E$10000,'Mar20-Aug20 Transport Actuals'!$H$144,'Data-Transport'!$F$4:$F$10000,'Mar20-Aug20 Transport Actuals'!I$6)</f>
        <v>1100</v>
      </c>
      <c r="J144" s="459">
        <f>SUMIFS('Data-Transport'!$K$4:$K$10000,'Data-Transport'!$A$4:$A$10000,'Mar20-Aug20 Transport Actuals'!J$4,'Data-Transport'!$B$4:$B$10000,'Mar20-Aug20 Transport Actuals'!$C$144,'Data-Transport'!$D$4:$D$10000,'Mar20-Aug20 Transport Actuals'!$F$144,'Data-Transport'!$E$4:$E$10000,'Mar20-Aug20 Transport Actuals'!$H$144,'Data-Transport'!$F$4:$F$10000,'Mar20-Aug20 Transport Actuals'!J$6)</f>
        <v>1100</v>
      </c>
      <c r="K144" s="459">
        <f>SUMIFS('Data-Transport'!$K$4:$K$10000,'Data-Transport'!$A$4:$A$10000,'Mar20-Aug20 Transport Actuals'!K$4,'Data-Transport'!$B$4:$B$10000,'Mar20-Aug20 Transport Actuals'!$C$144,'Data-Transport'!$D$4:$D$10000,'Mar20-Aug20 Transport Actuals'!$F$144,'Data-Transport'!$E$4:$E$10000,'Mar20-Aug20 Transport Actuals'!$H$144,'Data-Transport'!$F$4:$F$10000,'Mar20-Aug20 Transport Actuals'!K$6)</f>
        <v>1100</v>
      </c>
      <c r="L144" s="459">
        <f>SUMIFS('Data-Transport'!$K$4:$K$10000,'Data-Transport'!$A$4:$A$10000,'Mar20-Aug20 Transport Actuals'!L$4,'Data-Transport'!$B$4:$B$10000,'Mar20-Aug20 Transport Actuals'!$C$144,'Data-Transport'!$D$4:$D$10000,'Mar20-Aug20 Transport Actuals'!$F$144,'Data-Transport'!$E$4:$E$10000,'Mar20-Aug20 Transport Actuals'!$H$144,'Data-Transport'!$F$4:$F$10000,'Mar20-Aug20 Transport Actuals'!L$6)</f>
        <v>1100</v>
      </c>
      <c r="M144" s="459">
        <f>SUMIFS('Data-Transport'!$K$4:$K$10000,'Data-Transport'!$A$4:$A$10000,'Mar20-Aug20 Transport Actuals'!M$4,'Data-Transport'!$B$4:$B$10000,'Mar20-Aug20 Transport Actuals'!$C$144,'Data-Transport'!$D$4:$D$10000,'Mar20-Aug20 Transport Actuals'!$F$144,'Data-Transport'!$E$4:$E$10000,'Mar20-Aug20 Transport Actuals'!$H$144,'Data-Transport'!$F$4:$F$10000,'Mar20-Aug20 Transport Actuals'!M$6)</f>
        <v>1100</v>
      </c>
      <c r="N144" s="459">
        <f>SUMIFS('Data-Transport'!$K$4:$K$10000,'Data-Transport'!$A$4:$A$10000,'Mar20-Aug20 Transport Actuals'!N$4,'Data-Transport'!$B$4:$B$10000,'Mar20-Aug20 Transport Actuals'!$C$144,'Data-Transport'!$D$4:$D$10000,'Mar20-Aug20 Transport Actuals'!$F$144,'Data-Transport'!$E$4:$E$10000,'Mar20-Aug20 Transport Actuals'!$H$144,'Data-Transport'!$F$4:$F$10000,'Mar20-Aug20 Transport Actuals'!N$6)</f>
        <v>1100</v>
      </c>
      <c r="O144" s="459">
        <f>SUMIFS('Data-Transport'!$K$4:$K$10000,'Data-Transport'!$A$4:$A$10000,'Mar20-Aug20 Transport Actuals'!O$4,'Data-Transport'!$B$4:$B$10000,'Mar20-Aug20 Transport Actuals'!$Q$144,'Data-Transport'!$D$4:$D$10000,'Mar20-Aug20 Transport Actuals'!$F$144,'Data-Transport'!$E$4:$E$10000,'Mar20-Aug20 Transport Actuals'!$R$144,'Data-Transport'!$F$4:$F$10000,'Mar20-Aug20 Transport Actuals'!O$6)</f>
        <v>1100</v>
      </c>
      <c r="P144" s="288">
        <f>SUM(I144:N144)</f>
        <v>6600</v>
      </c>
      <c r="Q144" s="213" t="s">
        <v>1048</v>
      </c>
      <c r="R144" s="213" t="s">
        <v>268</v>
      </c>
      <c r="S144" s="213"/>
    </row>
    <row r="145" spans="3:19" x14ac:dyDescent="0.25">
      <c r="C145" s="159" t="s">
        <v>36</v>
      </c>
      <c r="D145" s="159" t="str">
        <f t="shared" si="39"/>
        <v>896</v>
      </c>
      <c r="E145" s="158" t="str">
        <f>VLOOKUP($C145,'Retail Rates'!$B$7:$P$40,2,FALSE)</f>
        <v>FT-I</v>
      </c>
      <c r="F145" s="160" t="s">
        <v>319</v>
      </c>
      <c r="G145" s="160" t="s">
        <v>331</v>
      </c>
      <c r="H145" s="156" t="s">
        <v>272</v>
      </c>
      <c r="I145" s="459">
        <f>SUMIFS('Data-Transport'!$K$4:$K$10000,'Data-Transport'!$A$4:$A$10000,'Mar20-Aug20 Transport Actuals'!I$4,'Data-Transport'!$B$4:$B$10000,'Mar20-Aug20 Transport Actuals'!$C$145,'Data-Transport'!$D$4:$D$10000,'Mar20-Aug20 Transport Actuals'!$F$145,'Data-Transport'!$E$4:$E$10000,'Mar20-Aug20 Transport Actuals'!$H$145,'Data-Transport'!$F$4:$F$10000,'Mar20-Aug20 Transport Actuals'!I$6)</f>
        <v>1500</v>
      </c>
      <c r="J145" s="459">
        <f>SUMIFS('Data-Transport'!$K$4:$K$10000,'Data-Transport'!$A$4:$A$10000,'Mar20-Aug20 Transport Actuals'!J$4,'Data-Transport'!$B$4:$B$10000,'Mar20-Aug20 Transport Actuals'!$C$145,'Data-Transport'!$D$4:$D$10000,'Mar20-Aug20 Transport Actuals'!$F$145,'Data-Transport'!$E$4:$E$10000,'Mar20-Aug20 Transport Actuals'!$H$145,'Data-Transport'!$F$4:$F$10000,'Mar20-Aug20 Transport Actuals'!J$6)</f>
        <v>1500</v>
      </c>
      <c r="K145" s="459">
        <f>SUMIFS('Data-Transport'!$K$4:$K$10000,'Data-Transport'!$A$4:$A$10000,'Mar20-Aug20 Transport Actuals'!K$4,'Data-Transport'!$B$4:$B$10000,'Mar20-Aug20 Transport Actuals'!$C$145,'Data-Transport'!$D$4:$D$10000,'Mar20-Aug20 Transport Actuals'!$F$145,'Data-Transport'!$E$4:$E$10000,'Mar20-Aug20 Transport Actuals'!$H$145,'Data-Transport'!$F$4:$F$10000,'Mar20-Aug20 Transport Actuals'!K$6)</f>
        <v>1500</v>
      </c>
      <c r="L145" s="459">
        <f>SUMIFS('Data-Transport'!$K$4:$K$10000,'Data-Transport'!$A$4:$A$10000,'Mar20-Aug20 Transport Actuals'!L$4,'Data-Transport'!$B$4:$B$10000,'Mar20-Aug20 Transport Actuals'!$C$145,'Data-Transport'!$D$4:$D$10000,'Mar20-Aug20 Transport Actuals'!$F$145,'Data-Transport'!$E$4:$E$10000,'Mar20-Aug20 Transport Actuals'!$H$145,'Data-Transport'!$F$4:$F$10000,'Mar20-Aug20 Transport Actuals'!L$6)</f>
        <v>1500</v>
      </c>
      <c r="M145" s="459">
        <f>SUMIFS('Data-Transport'!$K$4:$K$10000,'Data-Transport'!$A$4:$A$10000,'Mar20-Aug20 Transport Actuals'!M$4,'Data-Transport'!$B$4:$B$10000,'Mar20-Aug20 Transport Actuals'!$C$145,'Data-Transport'!$D$4:$D$10000,'Mar20-Aug20 Transport Actuals'!$F$145,'Data-Transport'!$E$4:$E$10000,'Mar20-Aug20 Transport Actuals'!$H$145,'Data-Transport'!$F$4:$F$10000,'Mar20-Aug20 Transport Actuals'!M$6)</f>
        <v>1500</v>
      </c>
      <c r="N145" s="459">
        <f>SUMIFS('Data-Transport'!$K$4:$K$10000,'Data-Transport'!$A$4:$A$10000,'Mar20-Aug20 Transport Actuals'!N$4,'Data-Transport'!$B$4:$B$10000,'Mar20-Aug20 Transport Actuals'!$C$145,'Data-Transport'!$D$4:$D$10000,'Mar20-Aug20 Transport Actuals'!$F$145,'Data-Transport'!$E$4:$E$10000,'Mar20-Aug20 Transport Actuals'!$H$145,'Data-Transport'!$F$4:$F$10000,'Mar20-Aug20 Transport Actuals'!N$6)</f>
        <v>1500</v>
      </c>
      <c r="O145" s="459">
        <f>SUMIFS('Data-Transport'!$K$4:$K$10000,'Data-Transport'!$A$4:$A$10000,'Mar20-Aug20 Transport Actuals'!O$4,'Data-Transport'!$B$4:$B$10000,'Mar20-Aug20 Transport Actuals'!$Q$145,'Data-Transport'!$D$4:$D$10000,'Mar20-Aug20 Transport Actuals'!$F$145,'Data-Transport'!$E$4:$E$10000,'Mar20-Aug20 Transport Actuals'!$R$145,'Data-Transport'!$F$4:$F$10000,'Mar20-Aug20 Transport Actuals'!O$6)</f>
        <v>1500</v>
      </c>
      <c r="P145" s="288">
        <f t="shared" ref="P145:P155" si="40">SUM(I145:N145)</f>
        <v>9000</v>
      </c>
      <c r="Q145" s="213" t="s">
        <v>1048</v>
      </c>
      <c r="R145" s="213" t="s">
        <v>272</v>
      </c>
      <c r="S145" s="213"/>
    </row>
    <row r="146" spans="3:19" x14ac:dyDescent="0.25">
      <c r="C146" s="159" t="s">
        <v>36</v>
      </c>
      <c r="D146" s="159" t="str">
        <f t="shared" si="39"/>
        <v>896</v>
      </c>
      <c r="E146" s="158" t="str">
        <f>VLOOKUP($C146,'Retail Rates'!$B$7:$P$40,2,FALSE)</f>
        <v>FT-I</v>
      </c>
      <c r="F146" s="160" t="s">
        <v>319</v>
      </c>
      <c r="G146" s="160" t="s">
        <v>168</v>
      </c>
      <c r="H146" s="156" t="s">
        <v>914</v>
      </c>
      <c r="I146" s="459">
        <f>SUMIFS('Data-Transport'!$L$4:$L$10000,'Data-Transport'!$A$4:$A$10000,'Mar20-Aug20 Transport Actuals'!I$4,'Data-Transport'!$B$4:$B$10000,'Mar20-Aug20 Transport Actuals'!$C$146,'Data-Transport'!$D$4:$D$10000,'Mar20-Aug20 Transport Actuals'!$F$146,'Data-Transport'!$E$4:$E$10000,'Mar20-Aug20 Transport Actuals'!$H$146,'Data-Transport'!$F$4:$F$10000,'Mar20-Aug20 Transport Actuals'!I$6)</f>
        <v>18788.36</v>
      </c>
      <c r="J146" s="459">
        <f>SUMIFS('Data-Transport'!$L$4:$L$10000,'Data-Transport'!$A$4:$A$10000,'Mar20-Aug20 Transport Actuals'!J$4,'Data-Transport'!$B$4:$B$10000,'Mar20-Aug20 Transport Actuals'!$C$146,'Data-Transport'!$D$4:$D$10000,'Mar20-Aug20 Transport Actuals'!$F$146,'Data-Transport'!$E$4:$E$10000,'Mar20-Aug20 Transport Actuals'!$H$146,'Data-Transport'!$F$4:$F$10000,'Mar20-Aug20 Transport Actuals'!J$6)</f>
        <v>18788.36</v>
      </c>
      <c r="K146" s="459">
        <f>SUMIFS('Data-Transport'!$L$4:$L$10000,'Data-Transport'!$A$4:$A$10000,'Mar20-Aug20 Transport Actuals'!K$4,'Data-Transport'!$B$4:$B$10000,'Mar20-Aug20 Transport Actuals'!$C$146,'Data-Transport'!$D$4:$D$10000,'Mar20-Aug20 Transport Actuals'!$F$146,'Data-Transport'!$E$4:$E$10000,'Mar20-Aug20 Transport Actuals'!$H$146,'Data-Transport'!$F$4:$F$10000,'Mar20-Aug20 Transport Actuals'!K$6)</f>
        <v>18788.36</v>
      </c>
      <c r="L146" s="459">
        <f>SUMIFS('Data-Transport'!$L$4:$L$10000,'Data-Transport'!$A$4:$A$10000,'Mar20-Aug20 Transport Actuals'!L$4,'Data-Transport'!$B$4:$B$10000,'Mar20-Aug20 Transport Actuals'!$C$146,'Data-Transport'!$D$4:$D$10000,'Mar20-Aug20 Transport Actuals'!$F$146,'Data-Transport'!$E$4:$E$10000,'Mar20-Aug20 Transport Actuals'!$H$146,'Data-Transport'!$F$4:$F$10000,'Mar20-Aug20 Transport Actuals'!L$6)</f>
        <v>18788.36</v>
      </c>
      <c r="M146" s="459">
        <f>SUMIFS('Data-Transport'!$L$4:$L$10000,'Data-Transport'!$A$4:$A$10000,'Mar20-Aug20 Transport Actuals'!M$4,'Data-Transport'!$B$4:$B$10000,'Mar20-Aug20 Transport Actuals'!$C$146,'Data-Transport'!$D$4:$D$10000,'Mar20-Aug20 Transport Actuals'!$F$146,'Data-Transport'!$E$4:$E$10000,'Mar20-Aug20 Transport Actuals'!$H$146,'Data-Transport'!$F$4:$F$10000,'Mar20-Aug20 Transport Actuals'!M$6)</f>
        <v>18788.36</v>
      </c>
      <c r="N146" s="459">
        <f>SUMIFS('Data-Transport'!$L$4:$L$10000,'Data-Transport'!$A$4:$A$10000,'Mar20-Aug20 Transport Actuals'!N$4,'Data-Transport'!$B$4:$B$10000,'Mar20-Aug20 Transport Actuals'!$C$146,'Data-Transport'!$D$4:$D$10000,'Mar20-Aug20 Transport Actuals'!$F$146,'Data-Transport'!$E$4:$E$10000,'Mar20-Aug20 Transport Actuals'!$H$146,'Data-Transport'!$F$4:$F$10000,'Mar20-Aug20 Transport Actuals'!N$6)</f>
        <v>18788.36</v>
      </c>
      <c r="O146" s="459">
        <f>SUMIFS('Data-Transport'!$L$4:$L$10000,'Data-Transport'!$A$4:$A$10000,'Mar20-Aug20 Transport Actuals'!O$4,'Data-Transport'!$B$4:$B$10000,'Mar20-Aug20 Transport Actuals'!$Q$146,'Data-Transport'!$D$4:$D$10000,'Mar20-Aug20 Transport Actuals'!$F$146,'Data-Transport'!$E$4:$E$10000,'Mar20-Aug20 Transport Actuals'!$R$146,'Data-Transport'!$F$4:$F$10000,'Mar20-Aug20 Transport Actuals'!O$6)</f>
        <v>18788.36</v>
      </c>
      <c r="P146" s="288">
        <f t="shared" si="40"/>
        <v>112730.16</v>
      </c>
      <c r="Q146" s="213" t="s">
        <v>1048</v>
      </c>
      <c r="R146" s="213" t="s">
        <v>914</v>
      </c>
      <c r="S146" s="213"/>
    </row>
    <row r="147" spans="3:19" x14ac:dyDescent="0.25">
      <c r="C147" s="159" t="s">
        <v>36</v>
      </c>
      <c r="D147" s="159" t="str">
        <f t="shared" si="39"/>
        <v>896</v>
      </c>
      <c r="E147" s="158" t="str">
        <f>VLOOKUP($C147,'Retail Rates'!$B$7:$P$40,2,FALSE)</f>
        <v>FT-I</v>
      </c>
      <c r="F147" s="160" t="s">
        <v>319</v>
      </c>
      <c r="G147" s="160" t="s">
        <v>164</v>
      </c>
      <c r="H147" s="160"/>
      <c r="I147" s="460">
        <f>ROUND(I138*I141,2)</f>
        <v>2808.61</v>
      </c>
      <c r="J147" s="460">
        <f t="shared" ref="J147:O147" si="41">ROUND(J138*J141,2)</f>
        <v>2453.41</v>
      </c>
      <c r="K147" s="460">
        <f t="shared" si="41"/>
        <v>2568.83</v>
      </c>
      <c r="L147" s="460">
        <f t="shared" si="41"/>
        <v>1098.5899999999999</v>
      </c>
      <c r="M147" s="460">
        <f t="shared" si="41"/>
        <v>964.54</v>
      </c>
      <c r="N147" s="460">
        <f t="shared" si="41"/>
        <v>1400.62</v>
      </c>
      <c r="O147" s="460">
        <f t="shared" si="41"/>
        <v>1853.23</v>
      </c>
      <c r="P147" s="288">
        <f t="shared" si="40"/>
        <v>11294.599999999999</v>
      </c>
      <c r="Q147" s="213" t="s">
        <v>1048</v>
      </c>
      <c r="R147" s="213"/>
      <c r="S147" s="213"/>
    </row>
    <row r="148" spans="3:19" x14ac:dyDescent="0.25">
      <c r="C148" s="159" t="s">
        <v>36</v>
      </c>
      <c r="D148" s="159" t="str">
        <f t="shared" si="39"/>
        <v>896</v>
      </c>
      <c r="E148" s="158" t="str">
        <f>VLOOKUP($C148,'Retail Rates'!$B$7:$P$40,2,FALSE)</f>
        <v>FT-I</v>
      </c>
      <c r="F148" s="160" t="s">
        <v>319</v>
      </c>
      <c r="G148" s="160" t="s">
        <v>165</v>
      </c>
      <c r="H148" s="160"/>
      <c r="I148" s="461">
        <f>SUM(I144:I147)</f>
        <v>24196.97</v>
      </c>
      <c r="J148" s="461">
        <f t="shared" ref="J148:M148" si="42">SUM(J144:J147)</f>
        <v>23841.77</v>
      </c>
      <c r="K148" s="461">
        <f t="shared" si="42"/>
        <v>23957.190000000002</v>
      </c>
      <c r="L148" s="461">
        <f t="shared" si="42"/>
        <v>22486.95</v>
      </c>
      <c r="M148" s="461">
        <f t="shared" si="42"/>
        <v>22352.9</v>
      </c>
      <c r="N148" s="461">
        <f t="shared" ref="N148" si="43">SUM(N144:N147)</f>
        <v>22788.98</v>
      </c>
      <c r="O148" s="461">
        <f t="shared" ref="O148" si="44">SUM(O144:O147)</f>
        <v>23241.59</v>
      </c>
      <c r="P148" s="288">
        <f t="shared" si="40"/>
        <v>139624.76</v>
      </c>
      <c r="Q148" s="213" t="s">
        <v>1048</v>
      </c>
      <c r="R148" s="213"/>
      <c r="S148" s="213"/>
    </row>
    <row r="149" spans="3:19" x14ac:dyDescent="0.25">
      <c r="C149" s="159" t="s">
        <v>36</v>
      </c>
      <c r="D149" s="159" t="str">
        <f t="shared" si="39"/>
        <v>896</v>
      </c>
      <c r="E149" s="158" t="str">
        <f>VLOOKUP($C149,'Retail Rates'!$B$7:$P$40,2,FALSE)</f>
        <v>FT-I</v>
      </c>
      <c r="F149" s="160" t="s">
        <v>319</v>
      </c>
      <c r="G149" s="160" t="s">
        <v>166</v>
      </c>
      <c r="H149" s="156" t="s">
        <v>109</v>
      </c>
      <c r="I149" s="459">
        <f>SUMIFS('Data-Transport'!$Q$4:$Q$10000,'Data-Transport'!$A$4:$A$10000,'Mar20-Aug20 Transport Actuals'!I$4,'Data-Transport'!$B$4:$B$10000,'Mar20-Aug20 Transport Actuals'!$C$149,'Data-Transport'!$D$4:$D$10000,'Mar20-Aug20 Transport Actuals'!$F$149,'Data-Transport'!$E$4:$E$10000,'Mar20-Aug20 Transport Actuals'!$H$149,'Data-Transport'!$F$4:$F$10000,'Mar20-Aug20 Transport Actuals'!I$6)</f>
        <v>0</v>
      </c>
      <c r="J149" s="459">
        <f>SUMIFS('Data-Transport'!$Q$4:$Q$10000,'Data-Transport'!$A$4:$A$10000,'Mar20-Aug20 Transport Actuals'!J$4,'Data-Transport'!$B$4:$B$10000,'Mar20-Aug20 Transport Actuals'!$C$149,'Data-Transport'!$D$4:$D$10000,'Mar20-Aug20 Transport Actuals'!$F$149,'Data-Transport'!$E$4:$E$10000,'Mar20-Aug20 Transport Actuals'!$H$149,'Data-Transport'!$F$4:$F$10000,'Mar20-Aug20 Transport Actuals'!J$6)</f>
        <v>0</v>
      </c>
      <c r="K149" s="459">
        <f>SUMIFS('Data-Transport'!$Q$4:$Q$10000,'Data-Transport'!$A$4:$A$10000,'Mar20-Aug20 Transport Actuals'!K$4,'Data-Transport'!$B$4:$B$10000,'Mar20-Aug20 Transport Actuals'!$C$149,'Data-Transport'!$D$4:$D$10000,'Mar20-Aug20 Transport Actuals'!$F$149,'Data-Transport'!$E$4:$E$10000,'Mar20-Aug20 Transport Actuals'!$H$149,'Data-Transport'!$F$4:$F$10000,'Mar20-Aug20 Transport Actuals'!K$6)</f>
        <v>0</v>
      </c>
      <c r="L149" s="459">
        <f>SUMIFS('Data-Transport'!$Q$4:$Q$10000,'Data-Transport'!$A$4:$A$10000,'Mar20-Aug20 Transport Actuals'!L$4,'Data-Transport'!$B$4:$B$10000,'Mar20-Aug20 Transport Actuals'!$C$149,'Data-Transport'!$D$4:$D$10000,'Mar20-Aug20 Transport Actuals'!$F$149,'Data-Transport'!$E$4:$E$10000,'Mar20-Aug20 Transport Actuals'!$H$149,'Data-Transport'!$F$4:$F$10000,'Mar20-Aug20 Transport Actuals'!L$6)</f>
        <v>0</v>
      </c>
      <c r="M149" s="459">
        <f>SUMIFS('Data-Transport'!$Q$4:$Q$10000,'Data-Transport'!$A$4:$A$10000,'Mar20-Aug20 Transport Actuals'!M$4,'Data-Transport'!$B$4:$B$10000,'Mar20-Aug20 Transport Actuals'!$C$149,'Data-Transport'!$D$4:$D$10000,'Mar20-Aug20 Transport Actuals'!$F$149,'Data-Transport'!$E$4:$E$10000,'Mar20-Aug20 Transport Actuals'!$H$149,'Data-Transport'!$F$4:$F$10000,'Mar20-Aug20 Transport Actuals'!M$6)</f>
        <v>0</v>
      </c>
      <c r="N149" s="459">
        <f>SUMIFS('Data-Transport'!$Q$4:$Q$10000,'Data-Transport'!$A$4:$A$10000,'Mar20-Aug20 Transport Actuals'!N$4,'Data-Transport'!$B$4:$B$10000,'Mar20-Aug20 Transport Actuals'!$C$149,'Data-Transport'!$D$4:$D$10000,'Mar20-Aug20 Transport Actuals'!$F$149,'Data-Transport'!$E$4:$E$10000,'Mar20-Aug20 Transport Actuals'!$H$149,'Data-Transport'!$F$4:$F$10000,'Mar20-Aug20 Transport Actuals'!N$6)</f>
        <v>0</v>
      </c>
      <c r="O149" s="459">
        <f>SUMIFS('Data-Transport'!$Q$4:$Q$10000,'Data-Transport'!$A$4:$A$10000,'Mar20-Aug20 Transport Actuals'!O$4,'Data-Transport'!$B$4:$B$10000,'Mar20-Aug20 Transport Actuals'!$Q$149,'Data-Transport'!$D$4:$D$10000,'Mar20-Aug20 Transport Actuals'!$F$149,'Data-Transport'!$E$4:$E$10000,'Mar20-Aug20 Transport Actuals'!$R$149,'Data-Transport'!$F$4:$F$10000,'Mar20-Aug20 Transport Actuals'!O$6)</f>
        <v>0</v>
      </c>
      <c r="P149" s="288">
        <f t="shared" si="40"/>
        <v>0</v>
      </c>
      <c r="Q149" s="213" t="s">
        <v>1048</v>
      </c>
      <c r="R149" s="213" t="s">
        <v>1035</v>
      </c>
      <c r="S149" s="213"/>
    </row>
    <row r="150" spans="3:19" x14ac:dyDescent="0.25">
      <c r="C150" s="159" t="s">
        <v>36</v>
      </c>
      <c r="D150" s="159" t="str">
        <f t="shared" si="39"/>
        <v>896</v>
      </c>
      <c r="E150" s="158" t="str">
        <f>VLOOKUP($C150,'Retail Rates'!$B$7:$P$40,2,FALSE)</f>
        <v>FT-I</v>
      </c>
      <c r="F150" s="160" t="s">
        <v>319</v>
      </c>
      <c r="G150" s="160" t="s">
        <v>256</v>
      </c>
      <c r="H150" s="156" t="s">
        <v>329</v>
      </c>
      <c r="I150" s="459">
        <f>SUMIFS('Data-Transport'!$W$4:$W$10000,'Data-Transport'!$A$4:$A$10000,'Mar20-Aug20 Transport Actuals'!I$4,'Data-Transport'!$B$4:$B$10000,'Mar20-Aug20 Transport Actuals'!$C$150,'Data-Transport'!$D$4:$D$10000,'Mar20-Aug20 Transport Actuals'!$F$150,'Data-Transport'!$E$4:$E$10000,'Mar20-Aug20 Transport Actuals'!$H$150,'Data-Transport'!$F$4:$F$10000,'Mar20-Aug20 Transport Actuals'!I$6)</f>
        <v>0</v>
      </c>
      <c r="J150" s="459">
        <f>SUMIFS('Data-Transport'!$W$4:$W$10000,'Data-Transport'!$A$4:$A$10000,'Mar20-Aug20 Transport Actuals'!J$4,'Data-Transport'!$B$4:$B$10000,'Mar20-Aug20 Transport Actuals'!$C$150,'Data-Transport'!$D$4:$D$10000,'Mar20-Aug20 Transport Actuals'!$F$150,'Data-Transport'!$E$4:$E$10000,'Mar20-Aug20 Transport Actuals'!$H$150,'Data-Transport'!$F$4:$F$10000,'Mar20-Aug20 Transport Actuals'!J$6)</f>
        <v>0</v>
      </c>
      <c r="K150" s="459">
        <f>SUMIFS('Data-Transport'!$W$4:$W$10000,'Data-Transport'!$A$4:$A$10000,'Mar20-Aug20 Transport Actuals'!K$4,'Data-Transport'!$B$4:$B$10000,'Mar20-Aug20 Transport Actuals'!$C$150,'Data-Transport'!$D$4:$D$10000,'Mar20-Aug20 Transport Actuals'!$F$150,'Data-Transport'!$E$4:$E$10000,'Mar20-Aug20 Transport Actuals'!$H$150,'Data-Transport'!$F$4:$F$10000,'Mar20-Aug20 Transport Actuals'!K$6)</f>
        <v>0</v>
      </c>
      <c r="L150" s="459">
        <f>SUMIFS('Data-Transport'!$W$4:$W$10000,'Data-Transport'!$A$4:$A$10000,'Mar20-Aug20 Transport Actuals'!L$4,'Data-Transport'!$B$4:$B$10000,'Mar20-Aug20 Transport Actuals'!$C$150,'Data-Transport'!$D$4:$D$10000,'Mar20-Aug20 Transport Actuals'!$F$150,'Data-Transport'!$E$4:$E$10000,'Mar20-Aug20 Transport Actuals'!$H$150,'Data-Transport'!$F$4:$F$10000,'Mar20-Aug20 Transport Actuals'!L$6)</f>
        <v>0</v>
      </c>
      <c r="M150" s="459">
        <f>SUMIFS('Data-Transport'!$W$4:$W$10000,'Data-Transport'!$A$4:$A$10000,'Mar20-Aug20 Transport Actuals'!M$4,'Data-Transport'!$B$4:$B$10000,'Mar20-Aug20 Transport Actuals'!$C$150,'Data-Transport'!$D$4:$D$10000,'Mar20-Aug20 Transport Actuals'!$F$150,'Data-Transport'!$E$4:$E$10000,'Mar20-Aug20 Transport Actuals'!$H$150,'Data-Transport'!$F$4:$F$10000,'Mar20-Aug20 Transport Actuals'!M$6)</f>
        <v>0</v>
      </c>
      <c r="N150" s="459">
        <f>SUMIFS('Data-Transport'!$W$4:$W$10000,'Data-Transport'!$A$4:$A$10000,'Mar20-Aug20 Transport Actuals'!N$4,'Data-Transport'!$B$4:$B$10000,'Mar20-Aug20 Transport Actuals'!$C$150,'Data-Transport'!$D$4:$D$10000,'Mar20-Aug20 Transport Actuals'!$F$150,'Data-Transport'!$E$4:$E$10000,'Mar20-Aug20 Transport Actuals'!$H$150,'Data-Transport'!$F$4:$F$10000,'Mar20-Aug20 Transport Actuals'!N$6)</f>
        <v>0</v>
      </c>
      <c r="O150" s="459">
        <f>SUMIFS('Data-Transport'!$W$4:$W$10000,'Data-Transport'!$A$4:$A$10000,'Mar20-Aug20 Transport Actuals'!O$4,'Data-Transport'!$B$4:$B$10000,'Mar20-Aug20 Transport Actuals'!$Q$150,'Data-Transport'!$D$4:$D$10000,'Mar20-Aug20 Transport Actuals'!$F$150,'Data-Transport'!$E$4:$E$10000,'Mar20-Aug20 Transport Actuals'!$R$150,'Data-Transport'!$F$4:$F$10000,'Mar20-Aug20 Transport Actuals'!O$6)</f>
        <v>0</v>
      </c>
      <c r="P150" s="288">
        <f t="shared" si="40"/>
        <v>0</v>
      </c>
      <c r="Q150" s="213" t="s">
        <v>1048</v>
      </c>
      <c r="R150" s="213" t="s">
        <v>329</v>
      </c>
      <c r="S150" s="213"/>
    </row>
    <row r="151" spans="3:19" x14ac:dyDescent="0.25">
      <c r="C151" s="159" t="s">
        <v>36</v>
      </c>
      <c r="D151" s="159" t="str">
        <f t="shared" si="39"/>
        <v>896</v>
      </c>
      <c r="E151" s="158" t="str">
        <f>VLOOKUP($C151,'Retail Rates'!$B$7:$P$40,2,FALSE)</f>
        <v>FT-I</v>
      </c>
      <c r="F151" s="160" t="s">
        <v>319</v>
      </c>
      <c r="G151" s="160" t="s">
        <v>257</v>
      </c>
      <c r="H151" s="156" t="s">
        <v>330</v>
      </c>
      <c r="I151" s="459">
        <f>SUMIFS('Data-Transport'!$X$4:$X$10000,'Data-Transport'!$A$4:$A$10000,'Mar20-Aug20 Transport Actuals'!I$4,'Data-Transport'!$B$4:$B$10000,'Mar20-Aug20 Transport Actuals'!$C$151,'Data-Transport'!$D$4:$D$10000,'Mar20-Aug20 Transport Actuals'!$F$151,'Data-Transport'!$E$4:$E$10000,'Mar20-Aug20 Transport Actuals'!$H$151,'Data-Transport'!$F$4:$F$10000,'Mar20-Aug20 Transport Actuals'!I$6)</f>
        <v>0</v>
      </c>
      <c r="J151" s="459">
        <f>SUMIFS('Data-Transport'!$X$4:$X$10000,'Data-Transport'!$A$4:$A$10000,'Mar20-Aug20 Transport Actuals'!J$4,'Data-Transport'!$B$4:$B$10000,'Mar20-Aug20 Transport Actuals'!$C$151,'Data-Transport'!$D$4:$D$10000,'Mar20-Aug20 Transport Actuals'!$F$151,'Data-Transport'!$E$4:$E$10000,'Mar20-Aug20 Transport Actuals'!$H$151,'Data-Transport'!$F$4:$F$10000,'Mar20-Aug20 Transport Actuals'!J$6)</f>
        <v>0</v>
      </c>
      <c r="K151" s="459">
        <f>SUMIFS('Data-Transport'!$X$4:$X$10000,'Data-Transport'!$A$4:$A$10000,'Mar20-Aug20 Transport Actuals'!K$4,'Data-Transport'!$B$4:$B$10000,'Mar20-Aug20 Transport Actuals'!$C$151,'Data-Transport'!$D$4:$D$10000,'Mar20-Aug20 Transport Actuals'!$F$151,'Data-Transport'!$E$4:$E$10000,'Mar20-Aug20 Transport Actuals'!$H$151,'Data-Transport'!$F$4:$F$10000,'Mar20-Aug20 Transport Actuals'!K$6)</f>
        <v>0</v>
      </c>
      <c r="L151" s="459">
        <f>SUMIFS('Data-Transport'!$X$4:$X$10000,'Data-Transport'!$A$4:$A$10000,'Mar20-Aug20 Transport Actuals'!L$4,'Data-Transport'!$B$4:$B$10000,'Mar20-Aug20 Transport Actuals'!$C$151,'Data-Transport'!$D$4:$D$10000,'Mar20-Aug20 Transport Actuals'!$F$151,'Data-Transport'!$E$4:$E$10000,'Mar20-Aug20 Transport Actuals'!$H$151,'Data-Transport'!$F$4:$F$10000,'Mar20-Aug20 Transport Actuals'!L$6)</f>
        <v>0</v>
      </c>
      <c r="M151" s="459">
        <f>SUMIFS('Data-Transport'!$X$4:$X$10000,'Data-Transport'!$A$4:$A$10000,'Mar20-Aug20 Transport Actuals'!M$4,'Data-Transport'!$B$4:$B$10000,'Mar20-Aug20 Transport Actuals'!$C$151,'Data-Transport'!$D$4:$D$10000,'Mar20-Aug20 Transport Actuals'!$F$151,'Data-Transport'!$E$4:$E$10000,'Mar20-Aug20 Transport Actuals'!$H$151,'Data-Transport'!$F$4:$F$10000,'Mar20-Aug20 Transport Actuals'!M$6)</f>
        <v>0</v>
      </c>
      <c r="N151" s="459">
        <f>SUMIFS('Data-Transport'!$X$4:$X$10000,'Data-Transport'!$A$4:$A$10000,'Mar20-Aug20 Transport Actuals'!N$4,'Data-Transport'!$B$4:$B$10000,'Mar20-Aug20 Transport Actuals'!$C$151,'Data-Transport'!$D$4:$D$10000,'Mar20-Aug20 Transport Actuals'!$F$151,'Data-Transport'!$E$4:$E$10000,'Mar20-Aug20 Transport Actuals'!$H$151,'Data-Transport'!$F$4:$F$10000,'Mar20-Aug20 Transport Actuals'!N$6)</f>
        <v>0</v>
      </c>
      <c r="O151" s="459">
        <f>SUMIFS('Data-Transport'!$X$4:$X$10000,'Data-Transport'!$A$4:$A$10000,'Mar20-Aug20 Transport Actuals'!O$4,'Data-Transport'!$B$4:$B$10000,'Mar20-Aug20 Transport Actuals'!$Q$151,'Data-Transport'!$D$4:$D$10000,'Mar20-Aug20 Transport Actuals'!$F$151,'Data-Transport'!$E$4:$E$10000,'Mar20-Aug20 Transport Actuals'!$R$151,'Data-Transport'!$F$4:$F$10000,'Mar20-Aug20 Transport Actuals'!O$6)</f>
        <v>0</v>
      </c>
      <c r="P151" s="288">
        <f t="shared" si="40"/>
        <v>0</v>
      </c>
      <c r="Q151" s="213" t="s">
        <v>1048</v>
      </c>
      <c r="R151" s="213" t="s">
        <v>1038</v>
      </c>
      <c r="S151" s="213"/>
    </row>
    <row r="152" spans="3:19" x14ac:dyDescent="0.25">
      <c r="C152" s="159" t="s">
        <v>36</v>
      </c>
      <c r="D152" s="159" t="str">
        <f t="shared" si="39"/>
        <v>896</v>
      </c>
      <c r="E152" s="158" t="str">
        <f>VLOOKUP($C152,'Retail Rates'!$B$7:$P$40,2,FALSE)</f>
        <v>FT-I</v>
      </c>
      <c r="F152" s="160" t="s">
        <v>319</v>
      </c>
      <c r="G152" s="160" t="s">
        <v>340</v>
      </c>
      <c r="H152" s="156" t="s">
        <v>325</v>
      </c>
      <c r="I152" s="459">
        <f>SUMIFS('Data-Transport'!$N$4:$N$10000,'Data-Transport'!$A$4:$A$10000,'Mar20-Aug20 Transport Actuals'!I$4,'Data-Transport'!$B$4:$B$10000,'Mar20-Aug20 Transport Actuals'!$C$152,'Data-Transport'!$D$4:$D$10000,'Mar20-Aug20 Transport Actuals'!$F$152,'Data-Transport'!$E$4:$E$10000,'Mar20-Aug20 Transport Actuals'!$H$152,'Data-Transport'!$F$4:$F$10000,'Mar20-Aug20 Transport Actuals'!I$6)</f>
        <v>0</v>
      </c>
      <c r="J152" s="459">
        <f>SUMIFS('Data-Transport'!$N$4:$N$10000,'Data-Transport'!$A$4:$A$10000,'Mar20-Aug20 Transport Actuals'!J$4,'Data-Transport'!$B$4:$B$10000,'Mar20-Aug20 Transport Actuals'!$C$152,'Data-Transport'!$D$4:$D$10000,'Mar20-Aug20 Transport Actuals'!$F$152,'Data-Transport'!$E$4:$E$10000,'Mar20-Aug20 Transport Actuals'!$H$152,'Data-Transport'!$F$4:$F$10000,'Mar20-Aug20 Transport Actuals'!J$6)</f>
        <v>0</v>
      </c>
      <c r="K152" s="459">
        <f>SUMIFS('Data-Transport'!$N$4:$N$10000,'Data-Transport'!$A$4:$A$10000,'Mar20-Aug20 Transport Actuals'!K$4,'Data-Transport'!$B$4:$B$10000,'Mar20-Aug20 Transport Actuals'!$C$152,'Data-Transport'!$D$4:$D$10000,'Mar20-Aug20 Transport Actuals'!$F$152,'Data-Transport'!$E$4:$E$10000,'Mar20-Aug20 Transport Actuals'!$H$152,'Data-Transport'!$F$4:$F$10000,'Mar20-Aug20 Transport Actuals'!K$6)</f>
        <v>0</v>
      </c>
      <c r="L152" s="459">
        <f>SUMIFS('Data-Transport'!$N$4:$N$10000,'Data-Transport'!$A$4:$A$10000,'Mar20-Aug20 Transport Actuals'!L$4,'Data-Transport'!$B$4:$B$10000,'Mar20-Aug20 Transport Actuals'!$C$152,'Data-Transport'!$D$4:$D$10000,'Mar20-Aug20 Transport Actuals'!$F$152,'Data-Transport'!$E$4:$E$10000,'Mar20-Aug20 Transport Actuals'!$H$152,'Data-Transport'!$F$4:$F$10000,'Mar20-Aug20 Transport Actuals'!L$6)</f>
        <v>3.54</v>
      </c>
      <c r="M152" s="459">
        <f>SUMIFS('Data-Transport'!$N$4:$N$10000,'Data-Transport'!$A$4:$A$10000,'Mar20-Aug20 Transport Actuals'!M$4,'Data-Transport'!$B$4:$B$10000,'Mar20-Aug20 Transport Actuals'!$C$152,'Data-Transport'!$D$4:$D$10000,'Mar20-Aug20 Transport Actuals'!$F$152,'Data-Transport'!$E$4:$E$10000,'Mar20-Aug20 Transport Actuals'!$H$152,'Data-Transport'!$F$4:$F$10000,'Mar20-Aug20 Transport Actuals'!M$6)</f>
        <v>4.28</v>
      </c>
      <c r="N152" s="459">
        <f>SUMIFS('Data-Transport'!$N$4:$N$10000,'Data-Transport'!$A$4:$A$10000,'Mar20-Aug20 Transport Actuals'!N$4,'Data-Transport'!$B$4:$B$10000,'Mar20-Aug20 Transport Actuals'!$C$152,'Data-Transport'!$D$4:$D$10000,'Mar20-Aug20 Transport Actuals'!$F$152,'Data-Transport'!$E$4:$E$10000,'Mar20-Aug20 Transport Actuals'!$H$152,'Data-Transport'!$F$4:$F$10000,'Mar20-Aug20 Transport Actuals'!N$6)</f>
        <v>9.18</v>
      </c>
      <c r="O152" s="459">
        <f>SUMIFS('Data-Transport'!$N$4:$N$10000,'Data-Transport'!$A$4:$A$10000,'Mar20-Aug20 Transport Actuals'!O$4,'Data-Transport'!$B$4:$B$10000,'Mar20-Aug20 Transport Actuals'!$Q$152,'Data-Transport'!$D$4:$D$10000,'Mar20-Aug20 Transport Actuals'!$F$152,'Data-Transport'!$E$4:$E$10000,'Mar20-Aug20 Transport Actuals'!$R$152,'Data-Transport'!$F$4:$F$10000,'Mar20-Aug20 Transport Actuals'!O$6)</f>
        <v>7.31</v>
      </c>
      <c r="P152" s="288">
        <f t="shared" si="40"/>
        <v>17</v>
      </c>
      <c r="Q152" s="213" t="s">
        <v>1048</v>
      </c>
      <c r="R152" s="213" t="s">
        <v>325</v>
      </c>
      <c r="S152" s="213"/>
    </row>
    <row r="153" spans="3:19" x14ac:dyDescent="0.25">
      <c r="C153" s="159" t="s">
        <v>36</v>
      </c>
      <c r="D153" s="159" t="str">
        <f t="shared" si="39"/>
        <v>896</v>
      </c>
      <c r="E153" s="158" t="str">
        <f>VLOOKUP($C153,'Retail Rates'!$B$7:$P$40,2,FALSE)</f>
        <v>FT-I</v>
      </c>
      <c r="F153" s="160" t="s">
        <v>319</v>
      </c>
      <c r="G153" s="160" t="s">
        <v>334</v>
      </c>
      <c r="H153" s="156" t="s">
        <v>326</v>
      </c>
      <c r="I153" s="459">
        <f>SUMIFS('Data-Transport'!$V$4:$V$10000,'Data-Transport'!$A$4:$A$10000,'Mar20-Aug20 Transport Actuals'!I$4,'Data-Transport'!$B$4:$B$10000,'Mar20-Aug20 Transport Actuals'!$C$153,'Data-Transport'!$D$4:$D$10000,'Mar20-Aug20 Transport Actuals'!$F$153,'Data-Transport'!$E$4:$E$10000,'Mar20-Aug20 Transport Actuals'!$H$153,'Data-Transport'!$F$4:$F$10000,'Mar20-Aug20 Transport Actuals'!I$6)</f>
        <v>0</v>
      </c>
      <c r="J153" s="459">
        <f>SUMIFS('Data-Transport'!$V$4:$V$10000,'Data-Transport'!$A$4:$A$10000,'Mar20-Aug20 Transport Actuals'!J$4,'Data-Transport'!$B$4:$B$10000,'Mar20-Aug20 Transport Actuals'!$C$153,'Data-Transport'!$D$4:$D$10000,'Mar20-Aug20 Transport Actuals'!$F$153,'Data-Transport'!$E$4:$E$10000,'Mar20-Aug20 Transport Actuals'!$H$153,'Data-Transport'!$F$4:$F$10000,'Mar20-Aug20 Transport Actuals'!J$6)</f>
        <v>0</v>
      </c>
      <c r="K153" s="459">
        <f>SUMIFS('Data-Transport'!$V$4:$V$10000,'Data-Transport'!$A$4:$A$10000,'Mar20-Aug20 Transport Actuals'!K$4,'Data-Transport'!$B$4:$B$10000,'Mar20-Aug20 Transport Actuals'!$C$153,'Data-Transport'!$D$4:$D$10000,'Mar20-Aug20 Transport Actuals'!$F$153,'Data-Transport'!$E$4:$E$10000,'Mar20-Aug20 Transport Actuals'!$H$153,'Data-Transport'!$F$4:$F$10000,'Mar20-Aug20 Transport Actuals'!K$6)</f>
        <v>0</v>
      </c>
      <c r="L153" s="459">
        <f>SUMIFS('Data-Transport'!$V$4:$V$10000,'Data-Transport'!$A$4:$A$10000,'Mar20-Aug20 Transport Actuals'!L$4,'Data-Transport'!$B$4:$B$10000,'Mar20-Aug20 Transport Actuals'!$C$153,'Data-Transport'!$D$4:$D$10000,'Mar20-Aug20 Transport Actuals'!$F$153,'Data-Transport'!$E$4:$E$10000,'Mar20-Aug20 Transport Actuals'!$H$153,'Data-Transport'!$F$4:$F$10000,'Mar20-Aug20 Transport Actuals'!L$6)</f>
        <v>0</v>
      </c>
      <c r="M153" s="459">
        <f>SUMIFS('Data-Transport'!$V$4:$V$10000,'Data-Transport'!$A$4:$A$10000,'Mar20-Aug20 Transport Actuals'!M$4,'Data-Transport'!$B$4:$B$10000,'Mar20-Aug20 Transport Actuals'!$C$153,'Data-Transport'!$D$4:$D$10000,'Mar20-Aug20 Transport Actuals'!$F$153,'Data-Transport'!$E$4:$E$10000,'Mar20-Aug20 Transport Actuals'!$H$153,'Data-Transport'!$F$4:$F$10000,'Mar20-Aug20 Transport Actuals'!M$6)</f>
        <v>0</v>
      </c>
      <c r="N153" s="459">
        <f>SUMIFS('Data-Transport'!$V$4:$V$10000,'Data-Transport'!$A$4:$A$10000,'Mar20-Aug20 Transport Actuals'!N$4,'Data-Transport'!$B$4:$B$10000,'Mar20-Aug20 Transport Actuals'!$C$153,'Data-Transport'!$D$4:$D$10000,'Mar20-Aug20 Transport Actuals'!$F$153,'Data-Transport'!$E$4:$E$10000,'Mar20-Aug20 Transport Actuals'!$H$153,'Data-Transport'!$F$4:$F$10000,'Mar20-Aug20 Transport Actuals'!N$6)</f>
        <v>0</v>
      </c>
      <c r="O153" s="459">
        <f>SUMIFS('Data-Transport'!$V$4:$V$10000,'Data-Transport'!$A$4:$A$10000,'Mar20-Aug20 Transport Actuals'!O$4,'Data-Transport'!$B$4:$B$10000,'Mar20-Aug20 Transport Actuals'!$Q$153,'Data-Transport'!$D$4:$D$10000,'Mar20-Aug20 Transport Actuals'!$F$153,'Data-Transport'!$E$4:$E$10000,'Mar20-Aug20 Transport Actuals'!$R$153,'Data-Transport'!$F$4:$F$10000,'Mar20-Aug20 Transport Actuals'!O$6)</f>
        <v>0</v>
      </c>
      <c r="P153" s="288">
        <f t="shared" si="40"/>
        <v>0</v>
      </c>
      <c r="Q153" s="213" t="s">
        <v>1048</v>
      </c>
      <c r="R153" s="213" t="s">
        <v>326</v>
      </c>
      <c r="S153" s="213"/>
    </row>
    <row r="154" spans="3:19" x14ac:dyDescent="0.25">
      <c r="C154" s="159" t="s">
        <v>36</v>
      </c>
      <c r="D154" s="159" t="str">
        <f t="shared" si="39"/>
        <v>896</v>
      </c>
      <c r="E154" s="158" t="str">
        <f>VLOOKUP($C154,'Retail Rates'!$B$7:$P$40,2,FALSE)</f>
        <v>FT-I</v>
      </c>
      <c r="F154" s="160" t="s">
        <v>319</v>
      </c>
      <c r="G154" s="160" t="s">
        <v>324</v>
      </c>
      <c r="H154" s="156" t="s">
        <v>621</v>
      </c>
      <c r="I154" s="459">
        <f>SUMIFS('Data-Transport'!$AA$4:$AA$10000,'Data-Transport'!$A$4:$A$10000,'Mar20-Aug20 Transport Actuals'!I$4,'Data-Transport'!$B$4:$B$10000,'Mar20-Aug20 Transport Actuals'!$C$154,'Data-Transport'!$D$4:$D$10000,'Mar20-Aug20 Transport Actuals'!$F$154,'Data-Transport'!$E$4:$E$10000,'Mar20-Aug20 Transport Actuals'!$H$154,'Data-Transport'!$F$4:$F$10000,'Mar20-Aug20 Transport Actuals'!I$6)</f>
        <v>354.77</v>
      </c>
      <c r="J154" s="459">
        <f>SUMIFS('Data-Transport'!$AA$4:$AA$10000,'Data-Transport'!$A$4:$A$10000,'Mar20-Aug20 Transport Actuals'!J$4,'Data-Transport'!$B$4:$B$10000,'Mar20-Aug20 Transport Actuals'!$C$154,'Data-Transport'!$D$4:$D$10000,'Mar20-Aug20 Transport Actuals'!$F$154,'Data-Transport'!$E$4:$E$10000,'Mar20-Aug20 Transport Actuals'!$H$154,'Data-Transport'!$F$4:$F$10000,'Mar20-Aug20 Transport Actuals'!J$6)</f>
        <v>309.91000000000003</v>
      </c>
      <c r="K154" s="459">
        <f>SUMIFS('Data-Transport'!$AA$4:$AA$10000,'Data-Transport'!$A$4:$A$10000,'Mar20-Aug20 Transport Actuals'!K$4,'Data-Transport'!$B$4:$B$10000,'Mar20-Aug20 Transport Actuals'!$C$154,'Data-Transport'!$D$4:$D$10000,'Mar20-Aug20 Transport Actuals'!$F$154,'Data-Transport'!$E$4:$E$10000,'Mar20-Aug20 Transport Actuals'!$H$154,'Data-Transport'!$F$4:$F$10000,'Mar20-Aug20 Transport Actuals'!K$6)</f>
        <v>324.48</v>
      </c>
      <c r="L154" s="459">
        <f>SUMIFS('Data-Transport'!$AA$4:$AA$10000,'Data-Transport'!$A$4:$A$10000,'Mar20-Aug20 Transport Actuals'!L$4,'Data-Transport'!$B$4:$B$10000,'Mar20-Aug20 Transport Actuals'!$C$154,'Data-Transport'!$D$4:$D$10000,'Mar20-Aug20 Transport Actuals'!$F$154,'Data-Transport'!$E$4:$E$10000,'Mar20-Aug20 Transport Actuals'!$H$154,'Data-Transport'!$F$4:$F$10000,'Mar20-Aug20 Transport Actuals'!L$6)</f>
        <v>283.32</v>
      </c>
      <c r="M154" s="459">
        <f>SUMIFS('Data-Transport'!$AA$4:$AA$10000,'Data-Transport'!$A$4:$A$10000,'Mar20-Aug20 Transport Actuals'!M$4,'Data-Transport'!$B$4:$B$10000,'Mar20-Aug20 Transport Actuals'!$C$154,'Data-Transport'!$D$4:$D$10000,'Mar20-Aug20 Transport Actuals'!$F$154,'Data-Transport'!$E$4:$E$10000,'Mar20-Aug20 Transport Actuals'!$H$154,'Data-Transport'!$F$4:$F$10000,'Mar20-Aug20 Transport Actuals'!M$6)</f>
        <v>248.75</v>
      </c>
      <c r="N154" s="459">
        <f>SUMIFS('Data-Transport'!$AA$4:$AA$10000,'Data-Transport'!$A$4:$A$10000,'Mar20-Aug20 Transport Actuals'!N$4,'Data-Transport'!$B$4:$B$10000,'Mar20-Aug20 Transport Actuals'!$C$154,'Data-Transport'!$D$4:$D$10000,'Mar20-Aug20 Transport Actuals'!$F$154,'Data-Transport'!$E$4:$E$10000,'Mar20-Aug20 Transport Actuals'!$H$154,'Data-Transport'!$F$4:$F$10000,'Mar20-Aug20 Transport Actuals'!N$6)</f>
        <v>361.22</v>
      </c>
      <c r="O154" s="459">
        <f>SUMIFS('Data-Transport'!$AA$4:$AA$10000,'Data-Transport'!$A$4:$A$10000,'Mar20-Aug20 Transport Actuals'!O$4,'Data-Transport'!$B$4:$B$10000,'Mar20-Aug20 Transport Actuals'!$Q$154,'Data-Transport'!$D$4:$D$10000,'Mar20-Aug20 Transport Actuals'!$F$154,'Data-Transport'!$E$4:$E$10000,'Mar20-Aug20 Transport Actuals'!$R$154,'Data-Transport'!$F$4:$F$10000,'Mar20-Aug20 Transport Actuals'!O$6)</f>
        <v>477.93</v>
      </c>
      <c r="P154" s="288">
        <f t="shared" si="40"/>
        <v>1882.45</v>
      </c>
      <c r="Q154" s="213" t="s">
        <v>1048</v>
      </c>
      <c r="R154" s="213" t="s">
        <v>1037</v>
      </c>
      <c r="S154" s="213"/>
    </row>
    <row r="155" spans="3:19" x14ac:dyDescent="0.25">
      <c r="C155" s="158"/>
      <c r="D155" s="158"/>
      <c r="E155" s="158"/>
      <c r="F155" s="158"/>
      <c r="G155" s="160" t="s">
        <v>167</v>
      </c>
      <c r="H155" s="158"/>
      <c r="I155" s="461">
        <f t="shared" ref="I155:O155" si="45">SUM(I148:I154)</f>
        <v>24551.74</v>
      </c>
      <c r="J155" s="461">
        <f t="shared" si="45"/>
        <v>24151.68</v>
      </c>
      <c r="K155" s="461">
        <f t="shared" si="45"/>
        <v>24281.670000000002</v>
      </c>
      <c r="L155" s="461">
        <f t="shared" si="45"/>
        <v>22773.81</v>
      </c>
      <c r="M155" s="461">
        <f t="shared" si="45"/>
        <v>22605.93</v>
      </c>
      <c r="N155" s="461">
        <f t="shared" si="45"/>
        <v>23159.38</v>
      </c>
      <c r="O155" s="461">
        <f t="shared" si="45"/>
        <v>23726.83</v>
      </c>
      <c r="P155" s="288">
        <f t="shared" si="40"/>
        <v>141524.21</v>
      </c>
      <c r="Q155" s="213"/>
      <c r="R155" s="213"/>
      <c r="S155" s="213"/>
    </row>
    <row r="156" spans="3:19" x14ac:dyDescent="0.25">
      <c r="C156" s="158"/>
      <c r="D156" s="158"/>
      <c r="E156" s="158"/>
      <c r="F156" s="158"/>
      <c r="G156" s="318"/>
      <c r="H156" s="158"/>
      <c r="I156" s="159"/>
      <c r="J156" s="158"/>
      <c r="K156" s="158"/>
      <c r="L156" s="158"/>
      <c r="M156" s="158"/>
      <c r="N156" s="158"/>
      <c r="O156" s="158"/>
      <c r="P156" s="158"/>
      <c r="Q156" s="213"/>
      <c r="R156" s="213"/>
      <c r="S156" s="213"/>
    </row>
    <row r="157" spans="3:19" x14ac:dyDescent="0.25">
      <c r="C157" s="159" t="s">
        <v>447</v>
      </c>
      <c r="D157" s="159" t="str">
        <f>MID(C157,6,3)</f>
        <v>896</v>
      </c>
      <c r="E157" s="158" t="str">
        <f>VLOOKUP($C157,'Retail Rates'!$B$7:$P$40,2,FALSE)</f>
        <v>FT-I-DSM</v>
      </c>
      <c r="F157" s="160" t="s">
        <v>319</v>
      </c>
      <c r="G157" s="161" t="s">
        <v>157</v>
      </c>
      <c r="H157" s="162"/>
      <c r="I157" s="473">
        <f>+I164/I159</f>
        <v>0</v>
      </c>
      <c r="J157" s="473">
        <f t="shared" ref="J157:O157" si="46">+J164/J159</f>
        <v>0</v>
      </c>
      <c r="K157" s="473">
        <f t="shared" si="46"/>
        <v>0</v>
      </c>
      <c r="L157" s="473">
        <f t="shared" si="46"/>
        <v>0</v>
      </c>
      <c r="M157" s="473">
        <f t="shared" si="46"/>
        <v>0</v>
      </c>
      <c r="N157" s="473">
        <f t="shared" si="46"/>
        <v>0</v>
      </c>
      <c r="O157" s="473">
        <f t="shared" si="46"/>
        <v>0</v>
      </c>
      <c r="P157" s="288">
        <f>SUM(I157:N157)</f>
        <v>0</v>
      </c>
      <c r="Q157" s="213"/>
      <c r="R157" s="213"/>
      <c r="S157" s="213"/>
    </row>
    <row r="158" spans="3:19" x14ac:dyDescent="0.25">
      <c r="C158" s="159" t="s">
        <v>447</v>
      </c>
      <c r="D158" s="159" t="str">
        <f t="shared" ref="D158:D173" si="47">MID(C158,6,3)</f>
        <v>896</v>
      </c>
      <c r="E158" s="158" t="str">
        <f>VLOOKUP($C158,'Retail Rates'!$B$7:$P$40,2,FALSE)</f>
        <v>FT-I-DSM</v>
      </c>
      <c r="F158" s="160" t="s">
        <v>319</v>
      </c>
      <c r="G158" s="160" t="s">
        <v>158</v>
      </c>
      <c r="H158" s="156" t="s">
        <v>265</v>
      </c>
      <c r="I158" s="842">
        <f>SUMIFS('Data-Transport'!$H$4:$H$10000,'Data-Transport'!$A$4:$A$10000,'Mar20-Aug20 Transport Actuals'!I$4,'Data-Transport'!$B$4:$B$10000,'Mar20-Aug20 Transport Actuals'!$C$158,'Data-Transport'!$D$4:$D$10000,'Mar20-Aug20 Transport Actuals'!$F$158,'Data-Transport'!$E$4:$E$10000,'Mar20-Aug20 Transport Actuals'!$H$158,'Data-Transport'!$F$4:$F$10000,'Mar20-Aug20 Transport Actuals'!I$6)/10</f>
        <v>0</v>
      </c>
      <c r="J158" s="458">
        <f>SUMIFS('Data-Transport'!$H$4:$H$10000,'Data-Transport'!$A$4:$A$10000,'Mar20-Aug20 Transport Actuals'!J$4,'Data-Transport'!$B$4:$B$10000,'Mar20-Aug20 Transport Actuals'!$C$158,'Data-Transport'!$D$4:$D$10000,'Mar20-Aug20 Transport Actuals'!$F$158,'Data-Transport'!$E$4:$E$10000,'Mar20-Aug20 Transport Actuals'!$H$158,'Data-Transport'!$F$4:$F$10000,'Mar20-Aug20 Transport Actuals'!J$6)/10</f>
        <v>0</v>
      </c>
      <c r="K158" s="458">
        <f>SUMIFS('Data-Transport'!$H$4:$H$10000,'Data-Transport'!$A$4:$A$10000,'Mar20-Aug20 Transport Actuals'!K$4,'Data-Transport'!$B$4:$B$10000,'Mar20-Aug20 Transport Actuals'!$C$158,'Data-Transport'!$D$4:$D$10000,'Mar20-Aug20 Transport Actuals'!$F$158,'Data-Transport'!$E$4:$E$10000,'Mar20-Aug20 Transport Actuals'!$H$158,'Data-Transport'!$F$4:$F$10000,'Mar20-Aug20 Transport Actuals'!K$6)/10</f>
        <v>0</v>
      </c>
      <c r="L158" s="458">
        <f>SUMIFS('Data-Transport'!$H$4:$H$10000,'Data-Transport'!$A$4:$A$10000,'Mar20-Aug20 Transport Actuals'!L$4,'Data-Transport'!$B$4:$B$10000,'Mar20-Aug20 Transport Actuals'!$C$158,'Data-Transport'!$D$4:$D$10000,'Mar20-Aug20 Transport Actuals'!$F$158,'Data-Transport'!$E$4:$E$10000,'Mar20-Aug20 Transport Actuals'!$H$158,'Data-Transport'!$F$4:$F$10000,'Mar20-Aug20 Transport Actuals'!L$6)/10</f>
        <v>0</v>
      </c>
      <c r="M158" s="458">
        <f>SUMIFS('Data-Transport'!$H$4:$H$10000,'Data-Transport'!$A$4:$A$10000,'Mar20-Aug20 Transport Actuals'!M$4,'Data-Transport'!$B$4:$B$10000,'Mar20-Aug20 Transport Actuals'!$C$158,'Data-Transport'!$D$4:$D$10000,'Mar20-Aug20 Transport Actuals'!$F$158,'Data-Transport'!$E$4:$E$10000,'Mar20-Aug20 Transport Actuals'!$H$158,'Data-Transport'!$F$4:$F$10000,'Mar20-Aug20 Transport Actuals'!M$6)/10</f>
        <v>0</v>
      </c>
      <c r="N158" s="458">
        <f>SUMIFS('Data-Transport'!$H$4:$H$10000,'Data-Transport'!$A$4:$A$10000,'Mar20-Aug20 Transport Actuals'!N$4,'Data-Transport'!$B$4:$B$10000,'Mar20-Aug20 Transport Actuals'!$C$158,'Data-Transport'!$D$4:$D$10000,'Mar20-Aug20 Transport Actuals'!$F$158,'Data-Transport'!$E$4:$E$10000,'Mar20-Aug20 Transport Actuals'!$H$158,'Data-Transport'!$F$4:$F$10000,'Mar20-Aug20 Transport Actuals'!N$6)/10</f>
        <v>0</v>
      </c>
      <c r="O158" s="458">
        <f>SUMIFS('Data-Transport'!$H$4:$H$10000,'Data-Transport'!$A$4:$A$10000,'Mar20-Aug20 Transport Actuals'!O$4,'Data-Transport'!$B$4:$B$10000,'Mar20-Aug20 Transport Actuals'!$C$158,'Data-Transport'!$D$4:$D$10000,'Mar20-Aug20 Transport Actuals'!$F$158,'Data-Transport'!$E$4:$E$10000,'Mar20-Aug20 Transport Actuals'!$H$158,'Data-Transport'!$F$4:$F$10000,'Mar20-Aug20 Transport Actuals'!O$6)/10</f>
        <v>0</v>
      </c>
      <c r="P158" s="288">
        <f>SUM(I158:N158)</f>
        <v>0</v>
      </c>
      <c r="Q158" s="213"/>
      <c r="R158" s="213"/>
      <c r="S158" s="213"/>
    </row>
    <row r="159" spans="3:19" x14ac:dyDescent="0.25">
      <c r="C159" s="159" t="s">
        <v>447</v>
      </c>
      <c r="D159" s="159" t="str">
        <f t="shared" si="47"/>
        <v>896</v>
      </c>
      <c r="E159" s="158" t="str">
        <f>VLOOKUP($C159,'Retail Rates'!$B$7:$P$40,2,FALSE)</f>
        <v>FT-I-DSM</v>
      </c>
      <c r="F159" s="160" t="s">
        <v>319</v>
      </c>
      <c r="G159" s="160" t="s">
        <v>159</v>
      </c>
      <c r="H159" s="160"/>
      <c r="I159" s="473">
        <f>VLOOKUP($C159,'Retail Rates'!$B$7:$P$40,6,FALSE)</f>
        <v>550</v>
      </c>
      <c r="J159" s="473">
        <f>VLOOKUP($C159,'Retail Rates'!$B$7:$P$40,6,FALSE)</f>
        <v>550</v>
      </c>
      <c r="K159" s="473">
        <f>VLOOKUP($C159,'Retail Rates'!$B$7:$P$40,6,FALSE)</f>
        <v>550</v>
      </c>
      <c r="L159" s="473">
        <f>VLOOKUP($C159,'Retail Rates'!$B$7:$P$40,6,FALSE)</f>
        <v>550</v>
      </c>
      <c r="M159" s="473">
        <f>VLOOKUP($C159,'Retail Rates'!$B$7:$P$40,6,FALSE)</f>
        <v>550</v>
      </c>
      <c r="N159" s="473">
        <f>VLOOKUP($C159,'Retail Rates'!$B$7:$P$40,6,FALSE)</f>
        <v>550</v>
      </c>
      <c r="O159" s="473">
        <f>VLOOKUP($C159,'Retail Rates'!$B$7:$P$40,6,FALSE)</f>
        <v>550</v>
      </c>
      <c r="P159" s="473"/>
      <c r="Q159" s="213"/>
      <c r="R159" s="213"/>
      <c r="S159" s="213"/>
    </row>
    <row r="160" spans="3:19" x14ac:dyDescent="0.25">
      <c r="C160" s="159" t="s">
        <v>447</v>
      </c>
      <c r="D160" s="159" t="str">
        <f t="shared" si="47"/>
        <v>896</v>
      </c>
      <c r="E160" s="158" t="str">
        <f>VLOOKUP($C160,'Retail Rates'!$B$7:$P$40,2,FALSE)</f>
        <v>FT-I-DSM</v>
      </c>
      <c r="F160" s="160" t="s">
        <v>319</v>
      </c>
      <c r="G160" s="160" t="s">
        <v>331</v>
      </c>
      <c r="H160" s="160"/>
      <c r="I160" s="473">
        <v>750</v>
      </c>
      <c r="J160" s="473">
        <v>750</v>
      </c>
      <c r="K160" s="473">
        <v>750</v>
      </c>
      <c r="L160" s="473">
        <v>750</v>
      </c>
      <c r="M160" s="473">
        <v>750</v>
      </c>
      <c r="N160" s="473">
        <v>750</v>
      </c>
      <c r="O160" s="473">
        <v>750</v>
      </c>
      <c r="P160" s="473"/>
      <c r="Q160" s="213"/>
      <c r="R160" s="213"/>
      <c r="S160" s="213"/>
    </row>
    <row r="161" spans="3:19" x14ac:dyDescent="0.25">
      <c r="C161" s="159" t="s">
        <v>447</v>
      </c>
      <c r="D161" s="159" t="str">
        <f t="shared" si="47"/>
        <v>896</v>
      </c>
      <c r="E161" s="158" t="str">
        <f>VLOOKUP($C161,'Retail Rates'!$B$7:$P$40,2,FALSE)</f>
        <v>FT-I-DSM</v>
      </c>
      <c r="F161" s="160" t="s">
        <v>319</v>
      </c>
      <c r="G161" s="160" t="s">
        <v>160</v>
      </c>
      <c r="H161" s="160"/>
      <c r="I161" s="843">
        <f>VLOOKUP($C161,'Retail Rates'!$B$7:$P$40,10,FALSE)</f>
        <v>3.7999999999999999E-2</v>
      </c>
      <c r="J161" s="473">
        <f>VLOOKUP($C161,'Retail Rates'!$B$7:$P$40,10,FALSE)</f>
        <v>3.7999999999999999E-2</v>
      </c>
      <c r="K161" s="473">
        <f>VLOOKUP($C161,'Retail Rates'!$B$7:$P$40,10,FALSE)</f>
        <v>3.7999999999999999E-2</v>
      </c>
      <c r="L161" s="473">
        <f>VLOOKUP($C161,'Retail Rates'!$B$7:$P$40,10,FALSE)</f>
        <v>3.7999999999999999E-2</v>
      </c>
      <c r="M161" s="473">
        <f>VLOOKUP($C161,'Retail Rates'!$B$7:$P$40,10,FALSE)</f>
        <v>3.7999999999999999E-2</v>
      </c>
      <c r="N161" s="473">
        <f>VLOOKUP($C161,'Retail Rates'!$B$7:$P$40,10,FALSE)</f>
        <v>3.7999999999999999E-2</v>
      </c>
      <c r="O161" s="473">
        <f>VLOOKUP($C161,'Retail Rates'!$B$7:$P$40,10,FALSE)</f>
        <v>3.7999999999999999E-2</v>
      </c>
      <c r="P161" s="473"/>
      <c r="Q161" s="213"/>
      <c r="R161" s="213"/>
      <c r="S161" s="213"/>
    </row>
    <row r="162" spans="3:19" x14ac:dyDescent="0.25">
      <c r="C162" s="159" t="s">
        <v>447</v>
      </c>
      <c r="D162" s="159" t="str">
        <f t="shared" si="47"/>
        <v>896</v>
      </c>
      <c r="E162" s="158" t="str">
        <f>VLOOKUP($C162,'Retail Rates'!$B$7:$P$40,2,FALSE)</f>
        <v>FT-I-DSM</v>
      </c>
      <c r="F162" s="160" t="s">
        <v>319</v>
      </c>
      <c r="G162" s="163" t="s">
        <v>168</v>
      </c>
      <c r="H162" s="163"/>
      <c r="I162" s="843">
        <v>4.8899999999999997</v>
      </c>
      <c r="J162" s="843">
        <v>4.8899999999999997</v>
      </c>
      <c r="K162" s="843">
        <v>4.8899999999999997</v>
      </c>
      <c r="L162" s="843">
        <v>4.8899999999999997</v>
      </c>
      <c r="M162" s="843">
        <v>4.8899999999999997</v>
      </c>
      <c r="N162" s="843">
        <v>4.8899999999999997</v>
      </c>
      <c r="O162" s="843">
        <v>4.8899999999999997</v>
      </c>
      <c r="P162" s="158"/>
      <c r="Q162" s="213"/>
      <c r="R162" s="213"/>
      <c r="S162" s="213"/>
    </row>
    <row r="163" spans="3:19" x14ac:dyDescent="0.25">
      <c r="C163" s="159" t="s">
        <v>447</v>
      </c>
      <c r="D163" s="159" t="str">
        <f t="shared" si="47"/>
        <v>896</v>
      </c>
      <c r="E163" s="158" t="str">
        <f>VLOOKUP($C163,'Retail Rates'!$B$7:$P$40,2,FALSE)</f>
        <v>FT-I-DSM</v>
      </c>
      <c r="F163" s="160" t="s">
        <v>319</v>
      </c>
      <c r="G163" s="164" t="s">
        <v>162</v>
      </c>
      <c r="H163" s="164"/>
      <c r="I163" s="159"/>
      <c r="J163" s="159"/>
      <c r="K163" s="159"/>
      <c r="L163" s="159"/>
      <c r="M163" s="159"/>
      <c r="N163" s="159"/>
      <c r="O163" s="159"/>
      <c r="P163" s="158"/>
      <c r="Q163" s="213"/>
      <c r="R163" s="213"/>
      <c r="S163" s="213"/>
    </row>
    <row r="164" spans="3:19" x14ac:dyDescent="0.25">
      <c r="C164" s="159" t="s">
        <v>447</v>
      </c>
      <c r="D164" s="159" t="str">
        <f t="shared" si="47"/>
        <v>896</v>
      </c>
      <c r="E164" s="158" t="str">
        <f>VLOOKUP($C164,'Retail Rates'!$B$7:$P$40,2,FALSE)</f>
        <v>FT-I-DSM</v>
      </c>
      <c r="F164" s="160" t="s">
        <v>319</v>
      </c>
      <c r="G164" s="160" t="s">
        <v>163</v>
      </c>
      <c r="H164" s="156" t="s">
        <v>268</v>
      </c>
      <c r="I164" s="459">
        <f>SUMIFS('Data-Transport'!$K$4:$K$10000,'Data-Transport'!$A$4:$A$10000,'Mar20-Aug20 Transport Actuals'!I$4,'Data-Transport'!$B$4:$B$10000,'Mar20-Aug20 Transport Actuals'!$C$164,'Data-Transport'!$D$4:$D$10000,'Mar20-Aug20 Transport Actuals'!$F$164,'Data-Transport'!$E$4:$E$10000,'Mar20-Aug20 Transport Actuals'!$H$164,'Data-Transport'!$F$4:$F$10000,'Mar20-Aug20 Transport Actuals'!I$6)</f>
        <v>0</v>
      </c>
      <c r="J164" s="459">
        <f>SUMIFS('Data-Transport'!$K$4:$K$10000,'Data-Transport'!$A$4:$A$10000,'Mar20-Aug20 Transport Actuals'!J$4,'Data-Transport'!$B$4:$B$10000,'Mar20-Aug20 Transport Actuals'!$C$164,'Data-Transport'!$D$4:$D$10000,'Mar20-Aug20 Transport Actuals'!$F$164,'Data-Transport'!$E$4:$E$10000,'Mar20-Aug20 Transport Actuals'!$H$164,'Data-Transport'!$F$4:$F$10000,'Mar20-Aug20 Transport Actuals'!J$6)</f>
        <v>0</v>
      </c>
      <c r="K164" s="459">
        <f>SUMIFS('Data-Transport'!$K$4:$K$10000,'Data-Transport'!$A$4:$A$10000,'Mar20-Aug20 Transport Actuals'!K$4,'Data-Transport'!$B$4:$B$10000,'Mar20-Aug20 Transport Actuals'!$C$164,'Data-Transport'!$D$4:$D$10000,'Mar20-Aug20 Transport Actuals'!$F$164,'Data-Transport'!$E$4:$E$10000,'Mar20-Aug20 Transport Actuals'!$H$164,'Data-Transport'!$F$4:$F$10000,'Mar20-Aug20 Transport Actuals'!K$6)</f>
        <v>0</v>
      </c>
      <c r="L164" s="459">
        <f>SUMIFS('Data-Transport'!$K$4:$K$10000,'Data-Transport'!$A$4:$A$10000,'Mar20-Aug20 Transport Actuals'!L$4,'Data-Transport'!$B$4:$B$10000,'Mar20-Aug20 Transport Actuals'!$C$164,'Data-Transport'!$D$4:$D$10000,'Mar20-Aug20 Transport Actuals'!$F$164,'Data-Transport'!$E$4:$E$10000,'Mar20-Aug20 Transport Actuals'!$H$164,'Data-Transport'!$F$4:$F$10000,'Mar20-Aug20 Transport Actuals'!L$6)</f>
        <v>0</v>
      </c>
      <c r="M164" s="459">
        <f>SUMIFS('Data-Transport'!$K$4:$K$10000,'Data-Transport'!$A$4:$A$10000,'Mar20-Aug20 Transport Actuals'!M$4,'Data-Transport'!$B$4:$B$10000,'Mar20-Aug20 Transport Actuals'!$C$164,'Data-Transport'!$D$4:$D$10000,'Mar20-Aug20 Transport Actuals'!$F$164,'Data-Transport'!$E$4:$E$10000,'Mar20-Aug20 Transport Actuals'!$H$164,'Data-Transport'!$F$4:$F$10000,'Mar20-Aug20 Transport Actuals'!M$6)</f>
        <v>0</v>
      </c>
      <c r="N164" s="459">
        <f>SUMIFS('Data-Transport'!$K$4:$K$10000,'Data-Transport'!$A$4:$A$10000,'Mar20-Aug20 Transport Actuals'!N$4,'Data-Transport'!$B$4:$B$10000,'Mar20-Aug20 Transport Actuals'!$C$164,'Data-Transport'!$D$4:$D$10000,'Mar20-Aug20 Transport Actuals'!$F$164,'Data-Transport'!$E$4:$E$10000,'Mar20-Aug20 Transport Actuals'!$H$164,'Data-Transport'!$F$4:$F$10000,'Mar20-Aug20 Transport Actuals'!N$6)</f>
        <v>0</v>
      </c>
      <c r="O164" s="459">
        <f>SUMIFS('Data-Transport'!$K$4:$K$10000,'Data-Transport'!$A$4:$A$10000,'Mar20-Aug20 Transport Actuals'!O$4,'Data-Transport'!$B$4:$B$10000,'Mar20-Aug20 Transport Actuals'!$C$164,'Data-Transport'!$D$4:$D$10000,'Mar20-Aug20 Transport Actuals'!$F$164,'Data-Transport'!$E$4:$E$10000,'Mar20-Aug20 Transport Actuals'!$H$164,'Data-Transport'!$F$4:$F$10000,'Mar20-Aug20 Transport Actuals'!O$6)</f>
        <v>0</v>
      </c>
      <c r="P164" s="288">
        <f>SUM(I164:N164)</f>
        <v>0</v>
      </c>
      <c r="Q164" s="213"/>
      <c r="R164" s="213"/>
      <c r="S164" s="213"/>
    </row>
    <row r="165" spans="3:19" x14ac:dyDescent="0.25">
      <c r="C165" s="159" t="s">
        <v>447</v>
      </c>
      <c r="D165" s="159" t="str">
        <f t="shared" si="47"/>
        <v>896</v>
      </c>
      <c r="E165" s="158" t="str">
        <f>VLOOKUP($C165,'Retail Rates'!$B$7:$P$40,2,FALSE)</f>
        <v>FT-I-DSM</v>
      </c>
      <c r="F165" s="160" t="s">
        <v>319</v>
      </c>
      <c r="G165" s="160" t="s">
        <v>331</v>
      </c>
      <c r="H165" s="156" t="s">
        <v>272</v>
      </c>
      <c r="I165" s="459">
        <f>SUMIFS('Data-Transport'!$K$4:$K$10000,'Data-Transport'!$A$4:$A$10000,'Mar20-Aug20 Transport Actuals'!I$4,'Data-Transport'!$B$4:$B$10000,'Mar20-Aug20 Transport Actuals'!$C$165,'Data-Transport'!$D$4:$D$10000,'Mar20-Aug20 Transport Actuals'!$F$165,'Data-Transport'!$E$4:$E$10000,'Mar20-Aug20 Transport Actuals'!$H$165,'Data-Transport'!$F$4:$F$10000,'Mar20-Aug20 Transport Actuals'!I$6)</f>
        <v>0</v>
      </c>
      <c r="J165" s="459"/>
      <c r="K165" s="459"/>
      <c r="L165" s="459"/>
      <c r="M165" s="459"/>
      <c r="N165" s="459"/>
      <c r="O165" s="459"/>
      <c r="P165" s="288">
        <f t="shared" ref="P165:P180" si="48">SUM(I165:N165)</f>
        <v>0</v>
      </c>
      <c r="Q165" s="213"/>
      <c r="R165" s="213"/>
      <c r="S165" s="213"/>
    </row>
    <row r="166" spans="3:19" x14ac:dyDescent="0.25">
      <c r="C166" s="159" t="s">
        <v>447</v>
      </c>
      <c r="D166" s="159" t="str">
        <f t="shared" si="47"/>
        <v>896</v>
      </c>
      <c r="E166" s="158" t="str">
        <f>VLOOKUP($C166,'Retail Rates'!$B$7:$P$40,2,FALSE)</f>
        <v>FT-I-DSM</v>
      </c>
      <c r="F166" s="160" t="s">
        <v>319</v>
      </c>
      <c r="G166" s="160" t="s">
        <v>168</v>
      </c>
      <c r="H166" s="156" t="s">
        <v>914</v>
      </c>
      <c r="I166" s="459">
        <f>SUMIFS('Data-Transport'!$L$4:$L$10000,'Data-Transport'!$A$4:$A$10000,'Mar20-Aug20 Transport Actuals'!I$4,'Data-Transport'!$B$4:$B$10000,'Mar20-Aug20 Transport Actuals'!$C$166,'Data-Transport'!$D$4:$D$10000,'Mar20-Aug20 Transport Actuals'!$F$166,'Data-Transport'!$E$4:$E$10000,'Mar20-Aug20 Transport Actuals'!$H$166,'Data-Transport'!$F$4:$F$10000,'Mar20-Aug20 Transport Actuals'!I$6)</f>
        <v>0</v>
      </c>
      <c r="J166" s="459"/>
      <c r="K166" s="459"/>
      <c r="L166" s="459"/>
      <c r="M166" s="459"/>
      <c r="N166" s="459"/>
      <c r="O166" s="459"/>
      <c r="P166" s="288">
        <f t="shared" si="48"/>
        <v>0</v>
      </c>
      <c r="Q166" s="213"/>
      <c r="R166" s="213"/>
      <c r="S166" s="213"/>
    </row>
    <row r="167" spans="3:19" x14ac:dyDescent="0.25">
      <c r="C167" s="159" t="s">
        <v>447</v>
      </c>
      <c r="D167" s="159" t="str">
        <f t="shared" si="47"/>
        <v>896</v>
      </c>
      <c r="E167" s="158" t="str">
        <f>VLOOKUP($C167,'Retail Rates'!$B$7:$P$40,2,FALSE)</f>
        <v>FT-I-DSM</v>
      </c>
      <c r="F167" s="160" t="s">
        <v>319</v>
      </c>
      <c r="G167" s="160" t="s">
        <v>164</v>
      </c>
      <c r="H167" s="160"/>
      <c r="I167" s="460">
        <f>ROUND(I158*I161,2)</f>
        <v>0</v>
      </c>
      <c r="J167" s="460">
        <f t="shared" ref="J167:O167" si="49">ROUND(J158*J161,2)</f>
        <v>0</v>
      </c>
      <c r="K167" s="460">
        <f t="shared" si="49"/>
        <v>0</v>
      </c>
      <c r="L167" s="460">
        <f t="shared" si="49"/>
        <v>0</v>
      </c>
      <c r="M167" s="460">
        <f t="shared" si="49"/>
        <v>0</v>
      </c>
      <c r="N167" s="460">
        <f t="shared" si="49"/>
        <v>0</v>
      </c>
      <c r="O167" s="460">
        <f t="shared" si="49"/>
        <v>0</v>
      </c>
      <c r="P167" s="288">
        <f t="shared" si="48"/>
        <v>0</v>
      </c>
      <c r="Q167" s="213"/>
      <c r="R167" s="213"/>
      <c r="S167" s="213"/>
    </row>
    <row r="168" spans="3:19" x14ac:dyDescent="0.25">
      <c r="C168" s="159" t="s">
        <v>447</v>
      </c>
      <c r="D168" s="159" t="str">
        <f t="shared" si="47"/>
        <v>896</v>
      </c>
      <c r="E168" s="158" t="str">
        <f>VLOOKUP($C168,'Retail Rates'!$B$7:$P$40,2,FALSE)</f>
        <v>FT-I-DSM</v>
      </c>
      <c r="F168" s="160" t="s">
        <v>319</v>
      </c>
      <c r="G168" s="160" t="s">
        <v>165</v>
      </c>
      <c r="H168" s="160"/>
      <c r="I168" s="461">
        <f>SUM(I164:I167)</f>
        <v>0</v>
      </c>
      <c r="J168" s="461">
        <f t="shared" ref="J168:O168" si="50">SUM(J164:J167)</f>
        <v>0</v>
      </c>
      <c r="K168" s="461">
        <f t="shared" si="50"/>
        <v>0</v>
      </c>
      <c r="L168" s="461">
        <f t="shared" si="50"/>
        <v>0</v>
      </c>
      <c r="M168" s="461">
        <f t="shared" si="50"/>
        <v>0</v>
      </c>
      <c r="N168" s="461">
        <f t="shared" si="50"/>
        <v>0</v>
      </c>
      <c r="O168" s="461">
        <f t="shared" si="50"/>
        <v>0</v>
      </c>
      <c r="P168" s="288">
        <f t="shared" si="48"/>
        <v>0</v>
      </c>
      <c r="Q168" s="213"/>
      <c r="R168" s="213"/>
      <c r="S168" s="213"/>
    </row>
    <row r="169" spans="3:19" x14ac:dyDescent="0.25">
      <c r="C169" s="159" t="s">
        <v>447</v>
      </c>
      <c r="D169" s="159" t="str">
        <f t="shared" si="47"/>
        <v>896</v>
      </c>
      <c r="E169" s="158" t="str">
        <f>VLOOKUP($C169,'Retail Rates'!$B$7:$P$40,2,FALSE)</f>
        <v>FT-I-DSM</v>
      </c>
      <c r="F169" s="160" t="s">
        <v>319</v>
      </c>
      <c r="G169" s="160" t="s">
        <v>166</v>
      </c>
      <c r="H169" s="156" t="s">
        <v>109</v>
      </c>
      <c r="I169" s="459">
        <f>SUMIFS('Data-Transport'!$Q$4:$Q$10000,'Data-Transport'!$A$4:$A$10000,'Mar20-Aug20 Transport Actuals'!I$4,'Data-Transport'!$B$4:$B$10000,'Mar20-Aug20 Transport Actuals'!$C$169,'Data-Transport'!$D$4:$D$10000,'Mar20-Aug20 Transport Actuals'!$F$169,'Data-Transport'!$E$4:$E$10000,'Mar20-Aug20 Transport Actuals'!$H$169,'Data-Transport'!$F$4:$F$10000,'Mar20-Aug20 Transport Actuals'!I$6)</f>
        <v>0</v>
      </c>
      <c r="J169" s="459">
        <f>SUMIFS('Data-Transport'!$Q$4:$Q$10000,'Data-Transport'!$A$4:$A$10000,'Mar20-Aug20 Transport Actuals'!J$4,'Data-Transport'!$B$4:$B$10000,'Mar20-Aug20 Transport Actuals'!$C$169,'Data-Transport'!$D$4:$D$10000,'Mar20-Aug20 Transport Actuals'!$F$169,'Data-Transport'!$E$4:$E$10000,'Mar20-Aug20 Transport Actuals'!$H$169,'Data-Transport'!$F$4:$F$10000,'Mar20-Aug20 Transport Actuals'!J$6)</f>
        <v>0</v>
      </c>
      <c r="K169" s="459">
        <f>SUMIFS('Data-Transport'!$Q$4:$Q$10000,'Data-Transport'!$A$4:$A$10000,'Mar20-Aug20 Transport Actuals'!K$4,'Data-Transport'!$B$4:$B$10000,'Mar20-Aug20 Transport Actuals'!$C$169,'Data-Transport'!$D$4:$D$10000,'Mar20-Aug20 Transport Actuals'!$F$169,'Data-Transport'!$E$4:$E$10000,'Mar20-Aug20 Transport Actuals'!$H$169,'Data-Transport'!$F$4:$F$10000,'Mar20-Aug20 Transport Actuals'!K$6)</f>
        <v>0</v>
      </c>
      <c r="L169" s="459">
        <f>SUMIFS('Data-Transport'!$Q$4:$Q$10000,'Data-Transport'!$A$4:$A$10000,'Mar20-Aug20 Transport Actuals'!L$4,'Data-Transport'!$B$4:$B$10000,'Mar20-Aug20 Transport Actuals'!$C$169,'Data-Transport'!$D$4:$D$10000,'Mar20-Aug20 Transport Actuals'!$F$169,'Data-Transport'!$E$4:$E$10000,'Mar20-Aug20 Transport Actuals'!$H$169,'Data-Transport'!$F$4:$F$10000,'Mar20-Aug20 Transport Actuals'!L$6)</f>
        <v>0</v>
      </c>
      <c r="M169" s="459">
        <f>SUMIFS('Data-Transport'!$Q$4:$Q$10000,'Data-Transport'!$A$4:$A$10000,'Mar20-Aug20 Transport Actuals'!M$4,'Data-Transport'!$B$4:$B$10000,'Mar20-Aug20 Transport Actuals'!$C$169,'Data-Transport'!$D$4:$D$10000,'Mar20-Aug20 Transport Actuals'!$F$169,'Data-Transport'!$E$4:$E$10000,'Mar20-Aug20 Transport Actuals'!$H$169,'Data-Transport'!$F$4:$F$10000,'Mar20-Aug20 Transport Actuals'!M$6)</f>
        <v>0</v>
      </c>
      <c r="N169" s="459">
        <f>SUMIFS('Data-Transport'!$Q$4:$Q$10000,'Data-Transport'!$A$4:$A$10000,'Mar20-Aug20 Transport Actuals'!N$4,'Data-Transport'!$B$4:$B$10000,'Mar20-Aug20 Transport Actuals'!$C$169,'Data-Transport'!$D$4:$D$10000,'Mar20-Aug20 Transport Actuals'!$F$169,'Data-Transport'!$E$4:$E$10000,'Mar20-Aug20 Transport Actuals'!$H$169,'Data-Transport'!$F$4:$F$10000,'Mar20-Aug20 Transport Actuals'!N$6)</f>
        <v>0</v>
      </c>
      <c r="O169" s="459">
        <f>SUMIFS('Data-Transport'!$Q$4:$Q$10000,'Data-Transport'!$A$4:$A$10000,'Mar20-Aug20 Transport Actuals'!O$4,'Data-Transport'!$B$4:$B$10000,'Mar20-Aug20 Transport Actuals'!$C$169,'Data-Transport'!$D$4:$D$10000,'Mar20-Aug20 Transport Actuals'!$F$169,'Data-Transport'!$E$4:$E$10000,'Mar20-Aug20 Transport Actuals'!$H$169,'Data-Transport'!$F$4:$F$10000,'Mar20-Aug20 Transport Actuals'!O$6)</f>
        <v>0</v>
      </c>
      <c r="P169" s="288">
        <f t="shared" si="48"/>
        <v>0</v>
      </c>
      <c r="Q169" s="213"/>
      <c r="R169" s="213"/>
      <c r="S169" s="213"/>
    </row>
    <row r="170" spans="3:19" x14ac:dyDescent="0.25">
      <c r="C170" s="159" t="s">
        <v>447</v>
      </c>
      <c r="D170" s="159" t="str">
        <f t="shared" si="47"/>
        <v>896</v>
      </c>
      <c r="E170" s="158" t="str">
        <f>VLOOKUP($C170,'Retail Rates'!$B$7:$P$40,2,FALSE)</f>
        <v>FT-I-DSM</v>
      </c>
      <c r="F170" s="160" t="s">
        <v>319</v>
      </c>
      <c r="G170" s="160" t="s">
        <v>256</v>
      </c>
      <c r="H170" s="156" t="s">
        <v>329</v>
      </c>
      <c r="I170" s="459">
        <f>SUMIFS('Data-Transport'!$W$4:$W$10000,'Data-Transport'!$A$4:$A$10000,'Mar20-Aug20 Transport Actuals'!I$4,'Data-Transport'!$B$4:$B$10000,'Mar20-Aug20 Transport Actuals'!$C$170,'Data-Transport'!$D$4:$D$10000,'Mar20-Aug20 Transport Actuals'!$F$170,'Data-Transport'!$E$4:$E$10000,'Mar20-Aug20 Transport Actuals'!$H$170,'Data-Transport'!$F$4:$F$10000,'Mar20-Aug20 Transport Actuals'!I$6)</f>
        <v>0</v>
      </c>
      <c r="J170" s="459">
        <f>SUMIFS('Data-Transport'!$W$4:$W$10000,'Data-Transport'!$A$4:$A$10000,'Mar20-Aug20 Transport Actuals'!J$4,'Data-Transport'!$B$4:$B$10000,'Mar20-Aug20 Transport Actuals'!$C$170,'Data-Transport'!$D$4:$D$10000,'Mar20-Aug20 Transport Actuals'!$F$170,'Data-Transport'!$E$4:$E$10000,'Mar20-Aug20 Transport Actuals'!$H$170,'Data-Transport'!$F$4:$F$10000,'Mar20-Aug20 Transport Actuals'!J$6)</f>
        <v>0</v>
      </c>
      <c r="K170" s="459">
        <f>SUMIFS('Data-Transport'!$W$4:$W$10000,'Data-Transport'!$A$4:$A$10000,'Mar20-Aug20 Transport Actuals'!K$4,'Data-Transport'!$B$4:$B$10000,'Mar20-Aug20 Transport Actuals'!$C$170,'Data-Transport'!$D$4:$D$10000,'Mar20-Aug20 Transport Actuals'!$F$170,'Data-Transport'!$E$4:$E$10000,'Mar20-Aug20 Transport Actuals'!$H$170,'Data-Transport'!$F$4:$F$10000,'Mar20-Aug20 Transport Actuals'!K$6)</f>
        <v>0</v>
      </c>
      <c r="L170" s="459">
        <f>SUMIFS('Data-Transport'!$W$4:$W$10000,'Data-Transport'!$A$4:$A$10000,'Mar20-Aug20 Transport Actuals'!L$4,'Data-Transport'!$B$4:$B$10000,'Mar20-Aug20 Transport Actuals'!$C$170,'Data-Transport'!$D$4:$D$10000,'Mar20-Aug20 Transport Actuals'!$F$170,'Data-Transport'!$E$4:$E$10000,'Mar20-Aug20 Transport Actuals'!$H$170,'Data-Transport'!$F$4:$F$10000,'Mar20-Aug20 Transport Actuals'!L$6)</f>
        <v>0</v>
      </c>
      <c r="M170" s="459">
        <f>SUMIFS('Data-Transport'!$W$4:$W$10000,'Data-Transport'!$A$4:$A$10000,'Mar20-Aug20 Transport Actuals'!M$4,'Data-Transport'!$B$4:$B$10000,'Mar20-Aug20 Transport Actuals'!$C$170,'Data-Transport'!$D$4:$D$10000,'Mar20-Aug20 Transport Actuals'!$F$170,'Data-Transport'!$E$4:$E$10000,'Mar20-Aug20 Transport Actuals'!$H$170,'Data-Transport'!$F$4:$F$10000,'Mar20-Aug20 Transport Actuals'!M$6)</f>
        <v>0</v>
      </c>
      <c r="N170" s="459">
        <f>SUMIFS('Data-Transport'!$W$4:$W$10000,'Data-Transport'!$A$4:$A$10000,'Mar20-Aug20 Transport Actuals'!N$4,'Data-Transport'!$B$4:$B$10000,'Mar20-Aug20 Transport Actuals'!$C$170,'Data-Transport'!$D$4:$D$10000,'Mar20-Aug20 Transport Actuals'!$F$170,'Data-Transport'!$E$4:$E$10000,'Mar20-Aug20 Transport Actuals'!$H$170,'Data-Transport'!$F$4:$F$10000,'Mar20-Aug20 Transport Actuals'!N$6)</f>
        <v>0</v>
      </c>
      <c r="O170" s="459">
        <f>SUMIFS('Data-Transport'!$W$4:$W$10000,'Data-Transport'!$A$4:$A$10000,'Mar20-Aug20 Transport Actuals'!O$4,'Data-Transport'!$B$4:$B$10000,'Mar20-Aug20 Transport Actuals'!$C$170,'Data-Transport'!$D$4:$D$10000,'Mar20-Aug20 Transport Actuals'!$F$170,'Data-Transport'!$E$4:$E$10000,'Mar20-Aug20 Transport Actuals'!$H$170,'Data-Transport'!$F$4:$F$10000,'Mar20-Aug20 Transport Actuals'!O$6)</f>
        <v>0</v>
      </c>
      <c r="P170" s="288">
        <f t="shared" si="48"/>
        <v>0</v>
      </c>
      <c r="Q170" s="213"/>
      <c r="R170" s="213"/>
      <c r="S170" s="213"/>
    </row>
    <row r="171" spans="3:19" x14ac:dyDescent="0.25">
      <c r="C171" s="159" t="s">
        <v>447</v>
      </c>
      <c r="D171" s="159" t="str">
        <f t="shared" si="47"/>
        <v>896</v>
      </c>
      <c r="E171" s="158" t="str">
        <f>VLOOKUP($C171,'Retail Rates'!$B$7:$P$40,2,FALSE)</f>
        <v>FT-I-DSM</v>
      </c>
      <c r="F171" s="160" t="s">
        <v>319</v>
      </c>
      <c r="G171" s="160" t="s">
        <v>257</v>
      </c>
      <c r="H171" s="156" t="s">
        <v>330</v>
      </c>
      <c r="I171" s="459">
        <f>SUMIFS('Data-Transport'!$X$4:$X$10000,'Data-Transport'!$A$4:$A$10000,'Mar20-Aug20 Transport Actuals'!I$4,'Data-Transport'!$B$4:$B$10000,'Mar20-Aug20 Transport Actuals'!$C$171,'Data-Transport'!$D$4:$D$10000,'Mar20-Aug20 Transport Actuals'!$F$171,'Data-Transport'!$E$4:$E$10000,'Mar20-Aug20 Transport Actuals'!$H$171,'Data-Transport'!$F$4:$F$10000,'Mar20-Aug20 Transport Actuals'!I$6)</f>
        <v>0</v>
      </c>
      <c r="J171" s="459">
        <f>SUMIFS('Data-Transport'!$X$4:$X$10000,'Data-Transport'!$A$4:$A$10000,'Mar20-Aug20 Transport Actuals'!J$4,'Data-Transport'!$B$4:$B$10000,'Mar20-Aug20 Transport Actuals'!$C$171,'Data-Transport'!$D$4:$D$10000,'Mar20-Aug20 Transport Actuals'!$F$171,'Data-Transport'!$E$4:$E$10000,'Mar20-Aug20 Transport Actuals'!$H$171,'Data-Transport'!$F$4:$F$10000,'Mar20-Aug20 Transport Actuals'!J$6)</f>
        <v>0</v>
      </c>
      <c r="K171" s="459">
        <f>SUMIFS('Data-Transport'!$X$4:$X$10000,'Data-Transport'!$A$4:$A$10000,'Mar20-Aug20 Transport Actuals'!K$4,'Data-Transport'!$B$4:$B$10000,'Mar20-Aug20 Transport Actuals'!$C$171,'Data-Transport'!$D$4:$D$10000,'Mar20-Aug20 Transport Actuals'!$F$171,'Data-Transport'!$E$4:$E$10000,'Mar20-Aug20 Transport Actuals'!$H$171,'Data-Transport'!$F$4:$F$10000,'Mar20-Aug20 Transport Actuals'!K$6)</f>
        <v>0</v>
      </c>
      <c r="L171" s="459">
        <f>SUMIFS('Data-Transport'!$X$4:$X$10000,'Data-Transport'!$A$4:$A$10000,'Mar20-Aug20 Transport Actuals'!L$4,'Data-Transport'!$B$4:$B$10000,'Mar20-Aug20 Transport Actuals'!$C$171,'Data-Transport'!$D$4:$D$10000,'Mar20-Aug20 Transport Actuals'!$F$171,'Data-Transport'!$E$4:$E$10000,'Mar20-Aug20 Transport Actuals'!$H$171,'Data-Transport'!$F$4:$F$10000,'Mar20-Aug20 Transport Actuals'!L$6)</f>
        <v>0</v>
      </c>
      <c r="M171" s="459">
        <f>SUMIFS('Data-Transport'!$X$4:$X$10000,'Data-Transport'!$A$4:$A$10000,'Mar20-Aug20 Transport Actuals'!M$4,'Data-Transport'!$B$4:$B$10000,'Mar20-Aug20 Transport Actuals'!$C$171,'Data-Transport'!$D$4:$D$10000,'Mar20-Aug20 Transport Actuals'!$F$171,'Data-Transport'!$E$4:$E$10000,'Mar20-Aug20 Transport Actuals'!$H$171,'Data-Transport'!$F$4:$F$10000,'Mar20-Aug20 Transport Actuals'!M$6)</f>
        <v>0</v>
      </c>
      <c r="N171" s="459">
        <f>SUMIFS('Data-Transport'!$X$4:$X$10000,'Data-Transport'!$A$4:$A$10000,'Mar20-Aug20 Transport Actuals'!N$4,'Data-Transport'!$B$4:$B$10000,'Mar20-Aug20 Transport Actuals'!$C$171,'Data-Transport'!$D$4:$D$10000,'Mar20-Aug20 Transport Actuals'!$F$171,'Data-Transport'!$E$4:$E$10000,'Mar20-Aug20 Transport Actuals'!$H$171,'Data-Transport'!$F$4:$F$10000,'Mar20-Aug20 Transport Actuals'!N$6)</f>
        <v>0</v>
      </c>
      <c r="O171" s="459">
        <f>SUMIFS('Data-Transport'!$X$4:$X$10000,'Data-Transport'!$A$4:$A$10000,'Mar20-Aug20 Transport Actuals'!O$4,'Data-Transport'!$B$4:$B$10000,'Mar20-Aug20 Transport Actuals'!$C$171,'Data-Transport'!$D$4:$D$10000,'Mar20-Aug20 Transport Actuals'!$F$171,'Data-Transport'!$E$4:$E$10000,'Mar20-Aug20 Transport Actuals'!$H$171,'Data-Transport'!$F$4:$F$10000,'Mar20-Aug20 Transport Actuals'!O$6)</f>
        <v>0</v>
      </c>
      <c r="P171" s="288">
        <f t="shared" si="48"/>
        <v>0</v>
      </c>
      <c r="Q171" s="213"/>
      <c r="R171" s="213"/>
      <c r="S171" s="213"/>
    </row>
    <row r="172" spans="3:19" x14ac:dyDescent="0.25">
      <c r="C172" s="159" t="s">
        <v>447</v>
      </c>
      <c r="D172" s="159" t="str">
        <f t="shared" si="47"/>
        <v>896</v>
      </c>
      <c r="E172" s="158" t="str">
        <f>VLOOKUP($C172,'Retail Rates'!$B$7:$P$40,2,FALSE)</f>
        <v>FT-I-DSM</v>
      </c>
      <c r="F172" s="160" t="s">
        <v>319</v>
      </c>
      <c r="G172" s="160" t="s">
        <v>340</v>
      </c>
      <c r="H172" s="156" t="s">
        <v>325</v>
      </c>
      <c r="I172" s="459">
        <f>SUMIFS('Data-Transport'!$N$4:$N$10000,'Data-Transport'!$A$4:$A$10000,'Mar20-Aug20 Transport Actuals'!I$4,'Data-Transport'!$B$4:$B$10000,'Mar20-Aug20 Transport Actuals'!$C$172,'Data-Transport'!$D$4:$D$10000,'Mar20-Aug20 Transport Actuals'!$F$172,'Data-Transport'!$E$4:$E$10000,'Mar20-Aug20 Transport Actuals'!$H$172,'Data-Transport'!$F$4:$F$10000,'Mar20-Aug20 Transport Actuals'!I$6)</f>
        <v>0</v>
      </c>
      <c r="J172" s="459">
        <f>SUMIFS('Data-Transport'!$N$4:$N$10000,'Data-Transport'!$A$4:$A$10000,'Mar20-Aug20 Transport Actuals'!J$4,'Data-Transport'!$B$4:$B$10000,'Mar20-Aug20 Transport Actuals'!$C$172,'Data-Transport'!$D$4:$D$10000,'Mar20-Aug20 Transport Actuals'!$F$172,'Data-Transport'!$E$4:$E$10000,'Mar20-Aug20 Transport Actuals'!$H$172,'Data-Transport'!$F$4:$F$10000,'Mar20-Aug20 Transport Actuals'!J$6)</f>
        <v>0</v>
      </c>
      <c r="K172" s="459">
        <f>SUMIFS('Data-Transport'!$N$4:$N$10000,'Data-Transport'!$A$4:$A$10000,'Mar20-Aug20 Transport Actuals'!K$4,'Data-Transport'!$B$4:$B$10000,'Mar20-Aug20 Transport Actuals'!$C$172,'Data-Transport'!$D$4:$D$10000,'Mar20-Aug20 Transport Actuals'!$F$172,'Data-Transport'!$E$4:$E$10000,'Mar20-Aug20 Transport Actuals'!$H$172,'Data-Transport'!$F$4:$F$10000,'Mar20-Aug20 Transport Actuals'!K$6)</f>
        <v>0</v>
      </c>
      <c r="L172" s="459">
        <f>SUMIFS('Data-Transport'!$N$4:$N$10000,'Data-Transport'!$A$4:$A$10000,'Mar20-Aug20 Transport Actuals'!L$4,'Data-Transport'!$B$4:$B$10000,'Mar20-Aug20 Transport Actuals'!$C$172,'Data-Transport'!$D$4:$D$10000,'Mar20-Aug20 Transport Actuals'!$F$172,'Data-Transport'!$E$4:$E$10000,'Mar20-Aug20 Transport Actuals'!$H$172,'Data-Transport'!$F$4:$F$10000,'Mar20-Aug20 Transport Actuals'!L$6)</f>
        <v>0</v>
      </c>
      <c r="M172" s="459">
        <f>SUMIFS('Data-Transport'!$N$4:$N$10000,'Data-Transport'!$A$4:$A$10000,'Mar20-Aug20 Transport Actuals'!M$4,'Data-Transport'!$B$4:$B$10000,'Mar20-Aug20 Transport Actuals'!$C$172,'Data-Transport'!$D$4:$D$10000,'Mar20-Aug20 Transport Actuals'!$F$172,'Data-Transport'!$E$4:$E$10000,'Mar20-Aug20 Transport Actuals'!$H$172,'Data-Transport'!$F$4:$F$10000,'Mar20-Aug20 Transport Actuals'!M$6)</f>
        <v>0</v>
      </c>
      <c r="N172" s="459">
        <f>SUMIFS('Data-Transport'!$N$4:$N$10000,'Data-Transport'!$A$4:$A$10000,'Mar20-Aug20 Transport Actuals'!N$4,'Data-Transport'!$B$4:$B$10000,'Mar20-Aug20 Transport Actuals'!$C$172,'Data-Transport'!$D$4:$D$10000,'Mar20-Aug20 Transport Actuals'!$F$172,'Data-Transport'!$E$4:$E$10000,'Mar20-Aug20 Transport Actuals'!$H$172,'Data-Transport'!$F$4:$F$10000,'Mar20-Aug20 Transport Actuals'!N$6)</f>
        <v>0</v>
      </c>
      <c r="O172" s="459">
        <f>SUMIFS('Data-Transport'!$N$4:$N$10000,'Data-Transport'!$A$4:$A$10000,'Mar20-Aug20 Transport Actuals'!O$4,'Data-Transport'!$B$4:$B$10000,'Mar20-Aug20 Transport Actuals'!$C$172,'Data-Transport'!$D$4:$D$10000,'Mar20-Aug20 Transport Actuals'!$F$172,'Data-Transport'!$E$4:$E$10000,'Mar20-Aug20 Transport Actuals'!$H$172,'Data-Transport'!$F$4:$F$10000,'Mar20-Aug20 Transport Actuals'!O$6)</f>
        <v>0</v>
      </c>
      <c r="P172" s="288">
        <f t="shared" si="48"/>
        <v>0</v>
      </c>
      <c r="Q172" s="213"/>
      <c r="R172" s="213"/>
      <c r="S172" s="213"/>
    </row>
    <row r="173" spans="3:19" x14ac:dyDescent="0.25">
      <c r="C173" s="159" t="s">
        <v>447</v>
      </c>
      <c r="D173" s="159" t="str">
        <f t="shared" si="47"/>
        <v>896</v>
      </c>
      <c r="E173" s="158" t="str">
        <f>VLOOKUP($C173,'Retail Rates'!$B$7:$P$40,2,FALSE)</f>
        <v>FT-I-DSM</v>
      </c>
      <c r="F173" s="160" t="s">
        <v>319</v>
      </c>
      <c r="G173" s="160" t="s">
        <v>334</v>
      </c>
      <c r="H173" s="156" t="s">
        <v>326</v>
      </c>
      <c r="I173" s="459">
        <f>SUMIFS('Data-Transport'!$V$4:$V$10000,'Data-Transport'!$A$4:$A$10000,'Mar20-Aug20 Transport Actuals'!I$4,'Data-Transport'!$B$4:$B$10000,'Mar20-Aug20 Transport Actuals'!$C$173,'Data-Transport'!$D$4:$D$10000,'Mar20-Aug20 Transport Actuals'!$F$173,'Data-Transport'!$E$4:$E$10000,'Mar20-Aug20 Transport Actuals'!$H$173,'Data-Transport'!$F$4:$F$10000,'Mar20-Aug20 Transport Actuals'!I$6)</f>
        <v>0</v>
      </c>
      <c r="J173" s="459">
        <f>SUMIFS('Data-Transport'!$V$4:$V$10000,'Data-Transport'!$A$4:$A$10000,'Mar20-Aug20 Transport Actuals'!J$4,'Data-Transport'!$B$4:$B$10000,'Mar20-Aug20 Transport Actuals'!$C$173,'Data-Transport'!$D$4:$D$10000,'Mar20-Aug20 Transport Actuals'!$F$173,'Data-Transport'!$E$4:$E$10000,'Mar20-Aug20 Transport Actuals'!$H$173,'Data-Transport'!$F$4:$F$10000,'Mar20-Aug20 Transport Actuals'!J$6)</f>
        <v>0</v>
      </c>
      <c r="K173" s="459">
        <f>SUMIFS('Data-Transport'!$V$4:$V$10000,'Data-Transport'!$A$4:$A$10000,'Mar20-Aug20 Transport Actuals'!K$4,'Data-Transport'!$B$4:$B$10000,'Mar20-Aug20 Transport Actuals'!$C$173,'Data-Transport'!$D$4:$D$10000,'Mar20-Aug20 Transport Actuals'!$F$173,'Data-Transport'!$E$4:$E$10000,'Mar20-Aug20 Transport Actuals'!$H$173,'Data-Transport'!$F$4:$F$10000,'Mar20-Aug20 Transport Actuals'!K$6)</f>
        <v>0</v>
      </c>
      <c r="L173" s="459">
        <f>SUMIFS('Data-Transport'!$V$4:$V$10000,'Data-Transport'!$A$4:$A$10000,'Mar20-Aug20 Transport Actuals'!L$4,'Data-Transport'!$B$4:$B$10000,'Mar20-Aug20 Transport Actuals'!$C$173,'Data-Transport'!$D$4:$D$10000,'Mar20-Aug20 Transport Actuals'!$F$173,'Data-Transport'!$E$4:$E$10000,'Mar20-Aug20 Transport Actuals'!$H$173,'Data-Transport'!$F$4:$F$10000,'Mar20-Aug20 Transport Actuals'!L$6)</f>
        <v>0</v>
      </c>
      <c r="M173" s="459">
        <f>SUMIFS('Data-Transport'!$V$4:$V$10000,'Data-Transport'!$A$4:$A$10000,'Mar20-Aug20 Transport Actuals'!M$4,'Data-Transport'!$B$4:$B$10000,'Mar20-Aug20 Transport Actuals'!$C$173,'Data-Transport'!$D$4:$D$10000,'Mar20-Aug20 Transport Actuals'!$F$173,'Data-Transport'!$E$4:$E$10000,'Mar20-Aug20 Transport Actuals'!$H$173,'Data-Transport'!$F$4:$F$10000,'Mar20-Aug20 Transport Actuals'!M$6)</f>
        <v>0</v>
      </c>
      <c r="N173" s="459">
        <f>SUMIFS('Data-Transport'!$V$4:$V$10000,'Data-Transport'!$A$4:$A$10000,'Mar20-Aug20 Transport Actuals'!N$4,'Data-Transport'!$B$4:$B$10000,'Mar20-Aug20 Transport Actuals'!$C$173,'Data-Transport'!$D$4:$D$10000,'Mar20-Aug20 Transport Actuals'!$F$173,'Data-Transport'!$E$4:$E$10000,'Mar20-Aug20 Transport Actuals'!$H$173,'Data-Transport'!$F$4:$F$10000,'Mar20-Aug20 Transport Actuals'!N$6)</f>
        <v>0</v>
      </c>
      <c r="O173" s="459">
        <f>SUMIFS('Data-Transport'!$V$4:$V$10000,'Data-Transport'!$A$4:$A$10000,'Mar20-Aug20 Transport Actuals'!O$4,'Data-Transport'!$B$4:$B$10000,'Mar20-Aug20 Transport Actuals'!$C$173,'Data-Transport'!$D$4:$D$10000,'Mar20-Aug20 Transport Actuals'!$F$173,'Data-Transport'!$E$4:$E$10000,'Mar20-Aug20 Transport Actuals'!$H$173,'Data-Transport'!$F$4:$F$10000,'Mar20-Aug20 Transport Actuals'!O$6)</f>
        <v>0</v>
      </c>
      <c r="P173" s="288">
        <f t="shared" si="48"/>
        <v>0</v>
      </c>
      <c r="Q173" s="213"/>
      <c r="R173" s="213"/>
      <c r="S173" s="213"/>
    </row>
    <row r="174" spans="3:19" x14ac:dyDescent="0.25">
      <c r="C174" s="159" t="s">
        <v>447</v>
      </c>
      <c r="D174" s="159" t="str">
        <f>MID(C174,6,3)</f>
        <v>896</v>
      </c>
      <c r="E174" s="158" t="str">
        <f>VLOOKUP($C174,'Retail Rates'!$B$7:$P$40,2,FALSE)</f>
        <v>FT-I-DSM</v>
      </c>
      <c r="F174" s="160" t="s">
        <v>319</v>
      </c>
      <c r="G174" s="160" t="s">
        <v>324</v>
      </c>
      <c r="H174" s="156" t="s">
        <v>621</v>
      </c>
      <c r="I174" s="459">
        <f>SUMIFS('Data-Transport'!$AA$4:$AA$10000,'Data-Transport'!$A$4:$A$10000,'Mar20-Aug20 Transport Actuals'!I$4,'Data-Transport'!$B$4:$B$10000,'Mar20-Aug20 Transport Actuals'!$C$174,'Data-Transport'!$D$4:$D$10000,'Mar20-Aug20 Transport Actuals'!$F$174,'Data-Transport'!$E$4:$E$10000,'Mar20-Aug20 Transport Actuals'!$H$174,'Data-Transport'!$F$4:$F$10000,'Mar20-Aug20 Transport Actuals'!I$6)</f>
        <v>0</v>
      </c>
      <c r="J174" s="459">
        <f>SUMIFS('Data-Transport'!$AA$4:$AA$10000,'Data-Transport'!$A$4:$A$10000,'Mar20-Aug20 Transport Actuals'!J$4,'Data-Transport'!$B$4:$B$10000,'Mar20-Aug20 Transport Actuals'!$C$174,'Data-Transport'!$D$4:$D$10000,'Mar20-Aug20 Transport Actuals'!$F$174,'Data-Transport'!$E$4:$E$10000,'Mar20-Aug20 Transport Actuals'!$H$174,'Data-Transport'!$F$4:$F$10000,'Mar20-Aug20 Transport Actuals'!J$6)</f>
        <v>0</v>
      </c>
      <c r="K174" s="459">
        <f>SUMIFS('Data-Transport'!$AA$4:$AA$10000,'Data-Transport'!$A$4:$A$10000,'Mar20-Aug20 Transport Actuals'!K$4,'Data-Transport'!$B$4:$B$10000,'Mar20-Aug20 Transport Actuals'!$C$174,'Data-Transport'!$D$4:$D$10000,'Mar20-Aug20 Transport Actuals'!$F$174,'Data-Transport'!$E$4:$E$10000,'Mar20-Aug20 Transport Actuals'!$H$174,'Data-Transport'!$F$4:$F$10000,'Mar20-Aug20 Transport Actuals'!K$6)</f>
        <v>0</v>
      </c>
      <c r="L174" s="459">
        <f>SUMIFS('Data-Transport'!$AA$4:$AA$10000,'Data-Transport'!$A$4:$A$10000,'Mar20-Aug20 Transport Actuals'!L$4,'Data-Transport'!$B$4:$B$10000,'Mar20-Aug20 Transport Actuals'!$C$174,'Data-Transport'!$D$4:$D$10000,'Mar20-Aug20 Transport Actuals'!$F$174,'Data-Transport'!$E$4:$E$10000,'Mar20-Aug20 Transport Actuals'!$H$174,'Data-Transport'!$F$4:$F$10000,'Mar20-Aug20 Transport Actuals'!L$6)</f>
        <v>0</v>
      </c>
      <c r="M174" s="459">
        <f>SUMIFS('Data-Transport'!$AA$4:$AA$10000,'Data-Transport'!$A$4:$A$10000,'Mar20-Aug20 Transport Actuals'!M$4,'Data-Transport'!$B$4:$B$10000,'Mar20-Aug20 Transport Actuals'!$C$174,'Data-Transport'!$D$4:$D$10000,'Mar20-Aug20 Transport Actuals'!$F$174,'Data-Transport'!$E$4:$E$10000,'Mar20-Aug20 Transport Actuals'!$H$174,'Data-Transport'!$F$4:$F$10000,'Mar20-Aug20 Transport Actuals'!M$6)</f>
        <v>0</v>
      </c>
      <c r="N174" s="459">
        <f>SUMIFS('Data-Transport'!$AA$4:$AA$10000,'Data-Transport'!$A$4:$A$10000,'Mar20-Aug20 Transport Actuals'!N$4,'Data-Transport'!$B$4:$B$10000,'Mar20-Aug20 Transport Actuals'!$C$174,'Data-Transport'!$D$4:$D$10000,'Mar20-Aug20 Transport Actuals'!$F$174,'Data-Transport'!$E$4:$E$10000,'Mar20-Aug20 Transport Actuals'!$H$174,'Data-Transport'!$F$4:$F$10000,'Mar20-Aug20 Transport Actuals'!N$6)</f>
        <v>0</v>
      </c>
      <c r="O174" s="459">
        <f>SUMIFS('Data-Transport'!$AA$4:$AA$10000,'Data-Transport'!$A$4:$A$10000,'Mar20-Aug20 Transport Actuals'!O$4,'Data-Transport'!$B$4:$B$10000,'Mar20-Aug20 Transport Actuals'!$C$174,'Data-Transport'!$D$4:$D$10000,'Mar20-Aug20 Transport Actuals'!$F$174,'Data-Transport'!$E$4:$E$10000,'Mar20-Aug20 Transport Actuals'!$H$174,'Data-Transport'!$F$4:$F$10000,'Mar20-Aug20 Transport Actuals'!O$6)</f>
        <v>0</v>
      </c>
      <c r="P174" s="288">
        <f t="shared" si="48"/>
        <v>0</v>
      </c>
      <c r="Q174" s="213"/>
      <c r="R174" s="213"/>
      <c r="S174" s="213"/>
    </row>
    <row r="175" spans="3:19" x14ac:dyDescent="0.25">
      <c r="C175" s="159"/>
      <c r="D175" s="159"/>
      <c r="E175" s="158"/>
      <c r="F175" s="160"/>
      <c r="G175" s="160" t="s">
        <v>167</v>
      </c>
      <c r="H175" s="160"/>
      <c r="I175" s="461">
        <f t="shared" ref="I175:O175" si="51">SUM(I168:I174)</f>
        <v>0</v>
      </c>
      <c r="J175" s="461">
        <f t="shared" si="51"/>
        <v>0</v>
      </c>
      <c r="K175" s="461">
        <f t="shared" si="51"/>
        <v>0</v>
      </c>
      <c r="L175" s="461">
        <f t="shared" si="51"/>
        <v>0</v>
      </c>
      <c r="M175" s="461">
        <f t="shared" si="51"/>
        <v>0</v>
      </c>
      <c r="N175" s="461">
        <f t="shared" si="51"/>
        <v>0</v>
      </c>
      <c r="O175" s="461">
        <f t="shared" si="51"/>
        <v>0</v>
      </c>
      <c r="P175" s="288">
        <f t="shared" si="48"/>
        <v>0</v>
      </c>
      <c r="Q175" s="213"/>
      <c r="R175" s="213"/>
      <c r="S175" s="213"/>
    </row>
    <row r="176" spans="3:19" x14ac:dyDescent="0.25">
      <c r="C176" s="158"/>
      <c r="D176" s="158"/>
      <c r="E176" s="158"/>
      <c r="F176" s="158"/>
      <c r="G176" s="158"/>
      <c r="H176" s="158"/>
      <c r="I176" s="159"/>
      <c r="J176" s="159"/>
      <c r="K176" s="159"/>
      <c r="L176" s="159"/>
      <c r="M176" s="159"/>
      <c r="N176" s="159"/>
      <c r="O176" s="159"/>
      <c r="P176" s="288">
        <f t="shared" si="48"/>
        <v>0</v>
      </c>
      <c r="Q176" s="213"/>
      <c r="R176" s="213"/>
      <c r="S176" s="213"/>
    </row>
    <row r="177" spans="3:19" x14ac:dyDescent="0.25">
      <c r="C177" s="158"/>
      <c r="D177" s="158"/>
      <c r="E177" s="158"/>
      <c r="F177" s="158"/>
      <c r="G177" s="474" t="s">
        <v>625</v>
      </c>
      <c r="H177" s="158"/>
      <c r="I177" s="475">
        <f>I133+I155+I175</f>
        <v>31524.870000000003</v>
      </c>
      <c r="J177" s="475">
        <f>J133+J155+J175</f>
        <v>31020.65</v>
      </c>
      <c r="K177" s="475">
        <f>K133+K155+K175</f>
        <v>30952.9</v>
      </c>
      <c r="L177" s="475">
        <f>L133+L155+L175</f>
        <v>29598.95</v>
      </c>
      <c r="M177" s="475">
        <f>M133+M155+M175</f>
        <v>29252.99</v>
      </c>
      <c r="N177" s="475">
        <f>N133+N175+N155</f>
        <v>29761.61</v>
      </c>
      <c r="O177" s="475">
        <f t="shared" ref="O177" si="52">O133+O175</f>
        <v>6533.4000000000005</v>
      </c>
      <c r="P177" s="288">
        <f t="shared" si="48"/>
        <v>182111.97000000003</v>
      </c>
      <c r="Q177" s="213"/>
      <c r="R177" s="213"/>
      <c r="S177" s="213"/>
    </row>
    <row r="178" spans="3:19" x14ac:dyDescent="0.25">
      <c r="C178" s="158"/>
      <c r="D178" s="158"/>
      <c r="E178" s="158"/>
      <c r="F178" s="158"/>
      <c r="G178" s="158"/>
      <c r="H178" s="158"/>
      <c r="I178" s="159"/>
      <c r="J178" s="159"/>
      <c r="K178" s="159"/>
      <c r="L178" s="159"/>
      <c r="M178" s="159"/>
      <c r="N178" s="159"/>
      <c r="O178" s="159"/>
      <c r="P178" s="288">
        <f t="shared" si="48"/>
        <v>0</v>
      </c>
      <c r="Q178" s="213"/>
      <c r="R178" s="213"/>
      <c r="S178" s="213"/>
    </row>
    <row r="179" spans="3:19" x14ac:dyDescent="0.25">
      <c r="C179" s="158"/>
      <c r="D179" s="158"/>
      <c r="E179" s="158"/>
      <c r="F179" s="158" t="s">
        <v>469</v>
      </c>
      <c r="G179" s="160" t="s">
        <v>274</v>
      </c>
      <c r="H179" s="158"/>
      <c r="I179" s="461">
        <f>SUMIFS('Bruise Report-Tariff'!$C$5:$C$64,'Bruise Report-Tariff'!$A$5:$A$64,'Mar20-Aug20 Transport Actuals'!I$4,'Bruise Report-Tariff'!$B$5:$B$64,'Mar20-Aug20 Transport Actuals'!$F$179)</f>
        <v>31524.879999999997</v>
      </c>
      <c r="J179" s="461">
        <f>SUMIFS('Bruise Report-Tariff'!$C$5:$C$64,'Bruise Report-Tariff'!$A$5:$A$64,'Mar20-Aug20 Transport Actuals'!J$4,'Bruise Report-Tariff'!$B$5:$B$64,'Mar20-Aug20 Transport Actuals'!$F$179)</f>
        <v>31020.649999999994</v>
      </c>
      <c r="K179" s="461">
        <f>SUMIFS('Bruise Report-Tariff'!$C$5:$C$64,'Bruise Report-Tariff'!$A$5:$A$64,'Mar20-Aug20 Transport Actuals'!K$4,'Bruise Report-Tariff'!$B$5:$B$64,'Mar20-Aug20 Transport Actuals'!$F$179)</f>
        <v>30952.9</v>
      </c>
      <c r="L179" s="461">
        <f>SUMIFS('Bruise Report-Tariff'!$C$5:$C$64,'Bruise Report-Tariff'!$A$5:$A$64,'Mar20-Aug20 Transport Actuals'!L$4,'Bruise Report-Tariff'!$B$5:$B$64,'Mar20-Aug20 Transport Actuals'!$F$179)</f>
        <v>29598.489999999998</v>
      </c>
      <c r="M179" s="461">
        <f>SUMIFS('Bruise Report-Tariff'!$C$5:$C$64,'Bruise Report-Tariff'!$A$5:$A$64,'Mar20-Aug20 Transport Actuals'!M$4,'Bruise Report-Tariff'!$B$5:$B$64,'Mar20-Aug20 Transport Actuals'!$F$179)</f>
        <v>29249.59</v>
      </c>
      <c r="N179" s="461">
        <f>SUMIFS('Bruise Report-Tariff'!$C$5:$C$64,'Bruise Report-Tariff'!$A$5:$A$64,'Mar20-Aug20 Transport Actuals'!N$4,'Bruise Report-Tariff'!$B$5:$B$64,'Mar20-Aug20 Transport Actuals'!$F$179)</f>
        <v>29761.61</v>
      </c>
      <c r="O179" s="461">
        <f>SUMIFS('Bruise Report-Tariff'!$C$5:$C$64,'Bruise Report-Tariff'!$A$5:$A$64,'Mar20-Aug20 Transport Actuals'!O$4,'Bruise Report-Tariff'!$B$5:$B$64,'Mar20-Aug20 Transport Actuals'!$F$179)</f>
        <v>0</v>
      </c>
      <c r="P179" s="288">
        <f t="shared" si="48"/>
        <v>182108.12</v>
      </c>
      <c r="Q179" s="213"/>
      <c r="R179" s="213"/>
      <c r="S179" s="213"/>
    </row>
    <row r="180" spans="3:19" ht="15" customHeight="1" x14ac:dyDescent="0.25">
      <c r="C180" s="158"/>
      <c r="D180" s="158"/>
      <c r="E180" s="158"/>
      <c r="F180" s="158"/>
      <c r="G180" s="158"/>
      <c r="H180" s="158"/>
      <c r="I180" s="159"/>
      <c r="J180" s="159"/>
      <c r="K180" s="159"/>
      <c r="L180" s="159"/>
      <c r="M180" s="159"/>
      <c r="N180" s="159"/>
      <c r="O180" s="159"/>
      <c r="P180" s="288">
        <f t="shared" si="48"/>
        <v>0</v>
      </c>
      <c r="Q180" s="213"/>
      <c r="R180" s="213"/>
      <c r="S180" s="213"/>
    </row>
    <row r="181" spans="3:19" x14ac:dyDescent="0.25">
      <c r="C181" s="158"/>
      <c r="D181" s="158"/>
      <c r="E181" s="158"/>
      <c r="F181" s="158"/>
      <c r="G181" s="160" t="s">
        <v>152</v>
      </c>
      <c r="H181" s="158"/>
      <c r="I181" s="461">
        <f>I177-I179</f>
        <v>-9.9999999947613105E-3</v>
      </c>
      <c r="J181" s="461">
        <f t="shared" ref="J181:O181" si="53">J177-J179</f>
        <v>0</v>
      </c>
      <c r="K181" s="461">
        <f t="shared" si="53"/>
        <v>0</v>
      </c>
      <c r="L181" s="461">
        <f t="shared" si="53"/>
        <v>0.46000000000276486</v>
      </c>
      <c r="M181" s="461">
        <f t="shared" si="53"/>
        <v>3.4000000000014552</v>
      </c>
      <c r="N181" s="461">
        <f t="shared" si="53"/>
        <v>0</v>
      </c>
      <c r="O181" s="461">
        <f t="shared" si="53"/>
        <v>6533.4000000000005</v>
      </c>
      <c r="P181" s="288">
        <f>SUM(I181:N181)</f>
        <v>3.8500000000094587</v>
      </c>
      <c r="Q181" s="213"/>
      <c r="R181" s="213"/>
      <c r="S181" s="213"/>
    </row>
    <row r="182" spans="3:19" x14ac:dyDescent="0.25">
      <c r="C182" s="158"/>
      <c r="D182" s="158"/>
      <c r="E182" s="158"/>
      <c r="F182" s="158"/>
      <c r="G182" s="158"/>
      <c r="H182" s="158"/>
      <c r="I182" s="159"/>
      <c r="J182" s="158"/>
      <c r="K182" s="158"/>
      <c r="L182" s="158"/>
      <c r="M182" s="158"/>
      <c r="N182" s="158"/>
      <c r="O182" s="158"/>
      <c r="P182" s="158"/>
      <c r="Q182" s="213"/>
      <c r="R182" s="213"/>
      <c r="S182" s="213"/>
    </row>
    <row r="183" spans="3:19" x14ac:dyDescent="0.25">
      <c r="C183" s="167"/>
      <c r="D183" s="167"/>
      <c r="E183" s="167"/>
      <c r="F183" s="167"/>
      <c r="G183" s="319" t="s">
        <v>456</v>
      </c>
      <c r="H183" s="167"/>
      <c r="I183" s="169"/>
      <c r="J183" s="167"/>
      <c r="K183" s="167"/>
      <c r="L183" s="167"/>
      <c r="M183" s="167"/>
      <c r="N183" s="167"/>
      <c r="O183" s="167"/>
      <c r="P183" s="167"/>
      <c r="Q183" s="869"/>
      <c r="R183" s="869"/>
    </row>
    <row r="184" spans="3:19" x14ac:dyDescent="0.25">
      <c r="C184" s="167"/>
      <c r="D184" s="167"/>
      <c r="E184" s="167"/>
      <c r="F184" s="167"/>
      <c r="G184" s="168" t="s">
        <v>455</v>
      </c>
      <c r="H184" s="167"/>
      <c r="I184" s="169" t="s">
        <v>361</v>
      </c>
      <c r="J184" s="167"/>
      <c r="K184" s="169" t="s">
        <v>450</v>
      </c>
      <c r="L184" s="167"/>
      <c r="M184" s="167"/>
      <c r="N184" s="167"/>
      <c r="O184" s="167"/>
      <c r="P184" s="167"/>
      <c r="Q184" s="869"/>
      <c r="R184" s="869"/>
    </row>
    <row r="185" spans="3:19" x14ac:dyDescent="0.25">
      <c r="C185" s="169" t="s">
        <v>30</v>
      </c>
      <c r="D185" s="169" t="str">
        <f>MID(C185,6,3)</f>
        <v>881</v>
      </c>
      <c r="E185" s="167" t="str">
        <f>VLOOKUP($C185,'Retail Rates'!$B$7:$P$40,2,FALSE)</f>
        <v>CGS TS-2</v>
      </c>
      <c r="F185" s="169" t="s">
        <v>318</v>
      </c>
      <c r="G185" s="170" t="s">
        <v>157</v>
      </c>
      <c r="H185" s="167"/>
      <c r="I185" s="470">
        <f>+I196/I192</f>
        <v>0</v>
      </c>
      <c r="J185" s="212">
        <f t="shared" ref="J185:O185" si="54">+J196/J192</f>
        <v>0</v>
      </c>
      <c r="K185" s="212">
        <f t="shared" si="54"/>
        <v>0</v>
      </c>
      <c r="L185" s="212">
        <f t="shared" si="54"/>
        <v>0</v>
      </c>
      <c r="M185" s="212">
        <f t="shared" si="54"/>
        <v>0</v>
      </c>
      <c r="N185" s="212">
        <f t="shared" si="54"/>
        <v>0</v>
      </c>
      <c r="O185" s="212">
        <f t="shared" si="54"/>
        <v>0</v>
      </c>
      <c r="P185" s="209">
        <f>SUM(I185:N185)</f>
        <v>0</v>
      </c>
      <c r="Q185" s="869"/>
      <c r="R185" s="869"/>
    </row>
    <row r="186" spans="3:19" x14ac:dyDescent="0.25">
      <c r="C186" s="169" t="s">
        <v>30</v>
      </c>
      <c r="D186" s="169" t="str">
        <f t="shared" ref="D186:D202" si="55">MID(C186,6,3)</f>
        <v>881</v>
      </c>
      <c r="E186" s="167" t="str">
        <f>VLOOKUP($C186,'Retail Rates'!$B$7:$P$40,2,FALSE)</f>
        <v>CGS TS-2</v>
      </c>
      <c r="F186" s="169" t="s">
        <v>318</v>
      </c>
      <c r="G186" s="170" t="s">
        <v>244</v>
      </c>
      <c r="H186" s="167"/>
      <c r="I186" s="470">
        <f t="shared" ref="I186:O186" si="56">IF(I190=0,I190,IF(I190&gt;=(I185*100),(I185*100),I190))</f>
        <v>0</v>
      </c>
      <c r="J186" s="212">
        <f t="shared" si="56"/>
        <v>0</v>
      </c>
      <c r="K186" s="212">
        <f t="shared" si="56"/>
        <v>0</v>
      </c>
      <c r="L186" s="212">
        <f t="shared" si="56"/>
        <v>0</v>
      </c>
      <c r="M186" s="212">
        <f t="shared" si="56"/>
        <v>0</v>
      </c>
      <c r="N186" s="212">
        <f t="shared" si="56"/>
        <v>0</v>
      </c>
      <c r="O186" s="212">
        <f t="shared" si="56"/>
        <v>0</v>
      </c>
      <c r="P186" s="209">
        <f t="shared" ref="P186:P190" si="57">SUM(I186:N186)</f>
        <v>0</v>
      </c>
      <c r="Q186" s="869"/>
      <c r="R186" s="869"/>
    </row>
    <row r="187" spans="3:19" x14ac:dyDescent="0.25">
      <c r="C187" s="169" t="s">
        <v>30</v>
      </c>
      <c r="D187" s="169" t="str">
        <f t="shared" si="55"/>
        <v>881</v>
      </c>
      <c r="E187" s="167" t="str">
        <f>VLOOKUP($C187,'Retail Rates'!$B$7:$P$40,2,FALSE)</f>
        <v>CGS TS-2</v>
      </c>
      <c r="F187" s="169" t="s">
        <v>318</v>
      </c>
      <c r="G187" s="170" t="s">
        <v>245</v>
      </c>
      <c r="H187" s="167"/>
      <c r="I187" s="462">
        <f t="shared" ref="I187:O187" si="58">+I190-I186</f>
        <v>0</v>
      </c>
      <c r="J187" s="207">
        <f t="shared" si="58"/>
        <v>0</v>
      </c>
      <c r="K187" s="207">
        <f t="shared" si="58"/>
        <v>0</v>
      </c>
      <c r="L187" s="207">
        <f t="shared" si="58"/>
        <v>0</v>
      </c>
      <c r="M187" s="207">
        <f t="shared" si="58"/>
        <v>0</v>
      </c>
      <c r="N187" s="207">
        <f t="shared" si="58"/>
        <v>0</v>
      </c>
      <c r="O187" s="207">
        <f t="shared" si="58"/>
        <v>0</v>
      </c>
      <c r="P187" s="209">
        <f t="shared" si="57"/>
        <v>0</v>
      </c>
      <c r="Q187" s="869"/>
      <c r="R187" s="869"/>
    </row>
    <row r="188" spans="3:19" x14ac:dyDescent="0.25">
      <c r="C188" s="169" t="s">
        <v>30</v>
      </c>
      <c r="D188" s="169" t="str">
        <f>MID(C188,6,3)</f>
        <v>881</v>
      </c>
      <c r="E188" s="167" t="str">
        <f>VLOOKUP($C188,'Retail Rates'!$B$7:$P$40,2,FALSE)</f>
        <v>CGS TS-2</v>
      </c>
      <c r="F188" s="169" t="s">
        <v>318</v>
      </c>
      <c r="G188" s="170" t="s">
        <v>362</v>
      </c>
      <c r="H188" s="167"/>
      <c r="I188" s="462">
        <v>0</v>
      </c>
      <c r="J188" s="207">
        <v>0</v>
      </c>
      <c r="K188" s="207">
        <v>0</v>
      </c>
      <c r="L188" s="207">
        <v>0</v>
      </c>
      <c r="M188" s="207">
        <v>0</v>
      </c>
      <c r="N188" s="207">
        <v>0</v>
      </c>
      <c r="O188" s="207">
        <v>0</v>
      </c>
      <c r="P188" s="209">
        <f t="shared" si="57"/>
        <v>0</v>
      </c>
      <c r="Q188" s="869"/>
      <c r="R188" s="869"/>
    </row>
    <row r="189" spans="3:19" x14ac:dyDescent="0.25">
      <c r="C189" s="169" t="s">
        <v>30</v>
      </c>
      <c r="D189" s="169" t="str">
        <f>MID(C189,6,3)</f>
        <v>881</v>
      </c>
      <c r="E189" s="167" t="str">
        <f>VLOOKUP($C189,'Retail Rates'!$B$7:$P$40,2,FALSE)</f>
        <v>CGS TS-2</v>
      </c>
      <c r="F189" s="169" t="s">
        <v>318</v>
      </c>
      <c r="G189" s="170" t="s">
        <v>363</v>
      </c>
      <c r="H189" s="167"/>
      <c r="I189" s="462">
        <f t="shared" ref="I189:O189" si="59">I190-I188</f>
        <v>0</v>
      </c>
      <c r="J189" s="207">
        <f t="shared" si="59"/>
        <v>0</v>
      </c>
      <c r="K189" s="207">
        <f t="shared" si="59"/>
        <v>0</v>
      </c>
      <c r="L189" s="207">
        <f t="shared" si="59"/>
        <v>0</v>
      </c>
      <c r="M189" s="207">
        <f t="shared" si="59"/>
        <v>0</v>
      </c>
      <c r="N189" s="207">
        <f t="shared" si="59"/>
        <v>0</v>
      </c>
      <c r="O189" s="207">
        <f t="shared" si="59"/>
        <v>0</v>
      </c>
      <c r="P189" s="209">
        <f t="shared" si="57"/>
        <v>0</v>
      </c>
      <c r="Q189" s="869"/>
      <c r="R189" s="869"/>
    </row>
    <row r="190" spans="3:19" x14ac:dyDescent="0.25">
      <c r="C190" s="169" t="s">
        <v>30</v>
      </c>
      <c r="D190" s="169" t="str">
        <f>MID(C190,6,3)</f>
        <v>881</v>
      </c>
      <c r="E190" s="167" t="str">
        <f>VLOOKUP($C190,'Retail Rates'!$B$7:$P$40,2,FALSE)</f>
        <v>CGS TS-2</v>
      </c>
      <c r="F190" s="169" t="s">
        <v>318</v>
      </c>
      <c r="G190" s="170" t="s">
        <v>246</v>
      </c>
      <c r="H190" s="156" t="s">
        <v>265</v>
      </c>
      <c r="I190" s="459">
        <f>SUMIFS('Data-Transport'!$H$14:$H$4704,'Data-Transport'!$A$6:$A$4696,'Mar20-Aug20 Transport Actuals'!I$4,'Data-Transport'!$B$14:$B$4704,'Mar20-Aug20 Transport Actuals'!$C$190,'Data-Transport'!$D$14:$D$4704,'Mar20-Aug20 Transport Actuals'!$F$190,'Data-Transport'!$E$14:$E$4704,'Mar20-Aug20 Transport Actuals'!$H$190,'Data-Transport'!$F$14:$F$4704,'Mar20-Aug20 Transport Actuals'!I$6)/10</f>
        <v>0</v>
      </c>
      <c r="J190" s="196">
        <f>SUMIFS('Data-Transport'!$H$14:$H$4704,'Data-Transport'!$A$6:$A$4696,'Mar20-Aug20 Transport Actuals'!J$4,'Data-Transport'!$B$14:$B$4704,'Mar20-Aug20 Transport Actuals'!$C$190,'Data-Transport'!$D$14:$D$4704,'Mar20-Aug20 Transport Actuals'!$F$190,'Data-Transport'!$E$14:$E$4704,'Mar20-Aug20 Transport Actuals'!$H$190,'Data-Transport'!$F$14:$F$4704,'Mar20-Aug20 Transport Actuals'!J$6)</f>
        <v>0</v>
      </c>
      <c r="K190" s="196">
        <f>SUMIFS('Data-Transport'!$H$14:$H$4704,'Data-Transport'!$A$6:$A$4696,'Mar20-Aug20 Transport Actuals'!K$4,'Data-Transport'!$B$14:$B$4704,'Mar20-Aug20 Transport Actuals'!$C$190,'Data-Transport'!$D$14:$D$4704,'Mar20-Aug20 Transport Actuals'!$F$190,'Data-Transport'!$E$14:$E$4704,'Mar20-Aug20 Transport Actuals'!$H$190,'Data-Transport'!$F$14:$F$4704,'Mar20-Aug20 Transport Actuals'!K$6)</f>
        <v>0</v>
      </c>
      <c r="L190" s="196">
        <f>SUMIFS('Data-Transport'!$H$14:$H$4704,'Data-Transport'!$A$6:$A$4696,'Mar20-Aug20 Transport Actuals'!L$4,'Data-Transport'!$B$14:$B$4704,'Mar20-Aug20 Transport Actuals'!$C$190,'Data-Transport'!$D$14:$D$4704,'Mar20-Aug20 Transport Actuals'!$F$190,'Data-Transport'!$E$14:$E$4704,'Mar20-Aug20 Transport Actuals'!$H$190,'Data-Transport'!$F$14:$F$4704,'Mar20-Aug20 Transport Actuals'!L$6)</f>
        <v>0</v>
      </c>
      <c r="M190" s="196">
        <f>SUMIFS('Data-Transport'!$H$14:$H$4704,'Data-Transport'!$A$6:$A$4696,'Mar20-Aug20 Transport Actuals'!M$4,'Data-Transport'!$B$14:$B$4704,'Mar20-Aug20 Transport Actuals'!$C$190,'Data-Transport'!$D$14:$D$4704,'Mar20-Aug20 Transport Actuals'!$F$190,'Data-Transport'!$E$14:$E$4704,'Mar20-Aug20 Transport Actuals'!$H$190,'Data-Transport'!$F$14:$F$4704,'Mar20-Aug20 Transport Actuals'!M$6)</f>
        <v>0</v>
      </c>
      <c r="N190" s="196">
        <f>SUMIFS('Data-Transport'!$H$14:$H$4704,'Data-Transport'!$A$6:$A$4696,'Mar20-Aug20 Transport Actuals'!N$4,'Data-Transport'!$B$14:$B$4704,'Mar20-Aug20 Transport Actuals'!$C$190,'Data-Transport'!$D$14:$D$4704,'Mar20-Aug20 Transport Actuals'!$F$190,'Data-Transport'!$E$14:$E$4704,'Mar20-Aug20 Transport Actuals'!$H$190,'Data-Transport'!$F$14:$F$4704,'Mar20-Aug20 Transport Actuals'!N$6)</f>
        <v>0</v>
      </c>
      <c r="O190" s="196">
        <f>SUMIFS('Data-Transport'!$H$14:$H$4704,'Data-Transport'!$A$6:$A$4696,'Mar20-Aug20 Transport Actuals'!O$4,'Data-Transport'!$B$14:$B$4704,'Mar20-Aug20 Transport Actuals'!$C$190,'Data-Transport'!$D$14:$D$4704,'Mar20-Aug20 Transport Actuals'!$F$190,'Data-Transport'!$E$14:$E$4704,'Mar20-Aug20 Transport Actuals'!$H$190,'Data-Transport'!$F$14:$F$4704,'Mar20-Aug20 Transport Actuals'!O$6)</f>
        <v>0</v>
      </c>
      <c r="P190" s="209">
        <f t="shared" si="57"/>
        <v>0</v>
      </c>
      <c r="Q190" s="869"/>
      <c r="R190" s="869"/>
    </row>
    <row r="191" spans="3:19" x14ac:dyDescent="0.25">
      <c r="C191" s="169" t="s">
        <v>30</v>
      </c>
      <c r="D191" s="169" t="str">
        <f t="shared" si="55"/>
        <v>881</v>
      </c>
      <c r="E191" s="167" t="str">
        <f>VLOOKUP($C191,'Retail Rates'!$B$7:$P$40,2,FALSE)</f>
        <v>CGS TS-2</v>
      </c>
      <c r="F191" s="169" t="s">
        <v>318</v>
      </c>
      <c r="G191" s="171"/>
      <c r="H191" s="167"/>
      <c r="I191" s="169"/>
      <c r="J191" s="167"/>
      <c r="K191" s="167"/>
      <c r="L191" s="167"/>
      <c r="M191" s="167"/>
      <c r="N191" s="167"/>
      <c r="O191" s="167"/>
      <c r="P191" s="167"/>
      <c r="Q191" s="869"/>
      <c r="R191" s="869"/>
    </row>
    <row r="192" spans="3:19" x14ac:dyDescent="0.25">
      <c r="C192" s="169" t="s">
        <v>30</v>
      </c>
      <c r="D192" s="169" t="str">
        <f t="shared" si="55"/>
        <v>881</v>
      </c>
      <c r="E192" s="167" t="str">
        <f>VLOOKUP($C192,'Retail Rates'!$B$7:$P$40,2,FALSE)</f>
        <v>CGS TS-2</v>
      </c>
      <c r="F192" s="169" t="s">
        <v>318</v>
      </c>
      <c r="G192" s="170" t="s">
        <v>159</v>
      </c>
      <c r="H192" s="167"/>
      <c r="I192" s="477">
        <f>VLOOKUP($C192,'Retail Rates'!$B$7:$P$40,6,FALSE)</f>
        <v>550</v>
      </c>
      <c r="J192" s="477">
        <f>VLOOKUP($C192,'Retail Rates'!$B$7:$P$40,6,FALSE)</f>
        <v>550</v>
      </c>
      <c r="K192" s="477">
        <f>VLOOKUP($C192,'Retail Rates'!$B$7:$P$40,6,FALSE)</f>
        <v>550</v>
      </c>
      <c r="L192" s="477">
        <f>VLOOKUP($C192,'Retail Rates'!$B$7:$P$40,6,FALSE)</f>
        <v>550</v>
      </c>
      <c r="M192" s="477">
        <f>VLOOKUP($C192,'Retail Rates'!$B$7:$P$40,6,FALSE)</f>
        <v>550</v>
      </c>
      <c r="N192" s="477">
        <f>VLOOKUP($C192,'Retail Rates'!$B$7:$P$40,6,FALSE)</f>
        <v>550</v>
      </c>
      <c r="O192" s="477">
        <f>VLOOKUP($C192,'Retail Rates'!$B$7:$P$40,6,FALSE)</f>
        <v>550</v>
      </c>
      <c r="P192" s="167"/>
      <c r="Q192" s="869"/>
      <c r="R192" s="869"/>
    </row>
    <row r="193" spans="2:233" x14ac:dyDescent="0.25">
      <c r="C193" s="169" t="s">
        <v>30</v>
      </c>
      <c r="D193" s="169" t="str">
        <f t="shared" si="55"/>
        <v>881</v>
      </c>
      <c r="E193" s="167" t="str">
        <f>VLOOKUP($C193,'Retail Rates'!$B$7:$P$40,2,FALSE)</f>
        <v>CGS TS-2</v>
      </c>
      <c r="F193" s="169" t="s">
        <v>318</v>
      </c>
      <c r="G193" s="170" t="s">
        <v>247</v>
      </c>
      <c r="H193" s="167"/>
      <c r="I193" s="477">
        <f>VLOOKUP($C193,'Retail Rates'!$B$7:$P$40,8,FALSE)</f>
        <v>0.30669999999999997</v>
      </c>
      <c r="J193" s="477">
        <f>VLOOKUP($C193,'Retail Rates'!$B$7:$P$40,8,FALSE)</f>
        <v>0.30669999999999997</v>
      </c>
      <c r="K193" s="477">
        <f>VLOOKUP($C193,'Retail Rates'!$B$7:$P$40,8,FALSE)</f>
        <v>0.30669999999999997</v>
      </c>
      <c r="L193" s="477">
        <f>VLOOKUP($C193,'Retail Rates'!$B$7:$P$40,8,FALSE)</f>
        <v>0.30669999999999997</v>
      </c>
      <c r="M193" s="477">
        <f>VLOOKUP($C193,'Retail Rates'!$B$7:$P$40,8,FALSE)</f>
        <v>0.30669999999999997</v>
      </c>
      <c r="N193" s="477">
        <f>VLOOKUP($C193,'Retail Rates'!$B$7:$P$40,8,FALSE)</f>
        <v>0.30669999999999997</v>
      </c>
      <c r="O193" s="477">
        <f>VLOOKUP($C193,'Retail Rates'!$B$7:$P$40,8,FALSE)</f>
        <v>0.30669999999999997</v>
      </c>
      <c r="P193" s="167"/>
      <c r="Q193" s="869"/>
      <c r="R193" s="869"/>
    </row>
    <row r="194" spans="2:233" x14ac:dyDescent="0.25">
      <c r="C194" s="169" t="s">
        <v>30</v>
      </c>
      <c r="D194" s="169" t="str">
        <f t="shared" si="55"/>
        <v>881</v>
      </c>
      <c r="E194" s="167" t="str">
        <f>VLOOKUP($C194,'Retail Rates'!$B$7:$P$40,2,FALSE)</f>
        <v>CGS TS-2</v>
      </c>
      <c r="F194" s="169" t="s">
        <v>318</v>
      </c>
      <c r="G194" s="170" t="s">
        <v>248</v>
      </c>
      <c r="H194" s="167"/>
      <c r="I194" s="477">
        <f>VLOOKUP($C194,'Retail Rates'!$B$7:$P$40,9,FALSE)</f>
        <v>0.25669999999999998</v>
      </c>
      <c r="J194" s="477">
        <f>VLOOKUP($C194,'Retail Rates'!$B$7:$P$40,9,FALSE)</f>
        <v>0.25669999999999998</v>
      </c>
      <c r="K194" s="477">
        <f>VLOOKUP($C194,'Retail Rates'!$B$7:$P$40,9,FALSE)</f>
        <v>0.25669999999999998</v>
      </c>
      <c r="L194" s="477">
        <f>VLOOKUP($C194,'Retail Rates'!$B$7:$P$40,9,FALSE)</f>
        <v>0.25669999999999998</v>
      </c>
      <c r="M194" s="477">
        <f>VLOOKUP($C194,'Retail Rates'!$B$7:$P$40,9,FALSE)</f>
        <v>0.25669999999999998</v>
      </c>
      <c r="N194" s="477">
        <f>VLOOKUP($C194,'Retail Rates'!$B$7:$P$40,9,FALSE)</f>
        <v>0.25669999999999998</v>
      </c>
      <c r="O194" s="477">
        <f>VLOOKUP($C194,'Retail Rates'!$B$7:$P$40,9,FALSE)</f>
        <v>0.25669999999999998</v>
      </c>
      <c r="P194" s="167"/>
      <c r="Q194" s="869"/>
      <c r="R194" s="869"/>
    </row>
    <row r="195" spans="2:233" x14ac:dyDescent="0.25">
      <c r="C195" s="169" t="s">
        <v>30</v>
      </c>
      <c r="D195" s="169" t="str">
        <f t="shared" si="55"/>
        <v>881</v>
      </c>
      <c r="E195" s="167" t="str">
        <f>VLOOKUP($C195,'Retail Rates'!$B$7:$P$40,2,FALSE)</f>
        <v>CGS TS-2</v>
      </c>
      <c r="F195" s="169" t="s">
        <v>318</v>
      </c>
      <c r="G195" s="172" t="s">
        <v>162</v>
      </c>
      <c r="H195" s="167"/>
      <c r="I195" s="169"/>
      <c r="J195" s="167"/>
      <c r="K195" s="167"/>
      <c r="L195" s="167"/>
      <c r="M195" s="167"/>
      <c r="N195" s="167"/>
      <c r="O195" s="167"/>
      <c r="P195" s="167"/>
      <c r="Q195" s="869"/>
      <c r="R195" s="869"/>
    </row>
    <row r="196" spans="2:233" x14ac:dyDescent="0.25">
      <c r="C196" s="169" t="s">
        <v>30</v>
      </c>
      <c r="D196" s="169" t="str">
        <f>MID(C196,6,3)</f>
        <v>881</v>
      </c>
      <c r="E196" s="167" t="str">
        <f>VLOOKUP($C196,'Retail Rates'!$B$7:$P$40,2,FALSE)</f>
        <v>CGS TS-2</v>
      </c>
      <c r="F196" s="169" t="s">
        <v>318</v>
      </c>
      <c r="G196" s="170" t="s">
        <v>159</v>
      </c>
      <c r="H196" s="156" t="s">
        <v>268</v>
      </c>
      <c r="I196" s="459">
        <f>SUMIFS('Data-Transport'!$I$14:$I$4704,'Data-Transport'!$A$14:$A$4704,'Mar20-Aug20 Transport Actuals'!I$4,'Data-Transport'!$B$14:$B$4704,'Mar20-Aug20 Transport Actuals'!$C$196,'Data-Transport'!$D$14:$D$4704,'Mar20-Aug20 Transport Actuals'!$F$196,'Data-Transport'!$E$14:$E$4704,'Mar20-Aug20 Transport Actuals'!$H$196,'Data-Transport'!$F$14:$F$4704,'Mar20-Aug20 Transport Actuals'!I$6)</f>
        <v>0</v>
      </c>
      <c r="J196" s="196">
        <f>SUMIFS('Data-Transport'!$I$14:$I$4704,'Data-Transport'!$A$14:$A$4704,'Mar20-Aug20 Transport Actuals'!J$4,'Data-Transport'!$B$14:$B$4704,'Mar20-Aug20 Transport Actuals'!$C$196,'Data-Transport'!$D$14:$D$4704,'Mar20-Aug20 Transport Actuals'!$F$196,'Data-Transport'!$E$14:$E$4704,'Mar20-Aug20 Transport Actuals'!$H$196,'Data-Transport'!$F$14:$F$4704,'Mar20-Aug20 Transport Actuals'!J$6)</f>
        <v>0</v>
      </c>
      <c r="K196" s="196">
        <f>SUMIFS('Data-Transport'!$I$14:$I$4704,'Data-Transport'!$A$14:$A$4704,'Mar20-Aug20 Transport Actuals'!K$4,'Data-Transport'!$B$14:$B$4704,'Mar20-Aug20 Transport Actuals'!$C$196,'Data-Transport'!$D$14:$D$4704,'Mar20-Aug20 Transport Actuals'!$F$196,'Data-Transport'!$E$14:$E$4704,'Mar20-Aug20 Transport Actuals'!$H$196,'Data-Transport'!$F$14:$F$4704,'Mar20-Aug20 Transport Actuals'!K$6)</f>
        <v>0</v>
      </c>
      <c r="L196" s="196">
        <f>SUMIFS('Data-Transport'!$I$14:$I$4704,'Data-Transport'!$A$14:$A$4704,'Mar20-Aug20 Transport Actuals'!L$4,'Data-Transport'!$B$14:$B$4704,'Mar20-Aug20 Transport Actuals'!$C$196,'Data-Transport'!$D$14:$D$4704,'Mar20-Aug20 Transport Actuals'!$F$196,'Data-Transport'!$E$14:$E$4704,'Mar20-Aug20 Transport Actuals'!$H$196,'Data-Transport'!$F$14:$F$4704,'Mar20-Aug20 Transport Actuals'!L$6)</f>
        <v>0</v>
      </c>
      <c r="M196" s="196">
        <f>SUMIFS('Data-Transport'!$I$14:$I$4704,'Data-Transport'!$A$14:$A$4704,'Mar20-Aug20 Transport Actuals'!M$4,'Data-Transport'!$B$14:$B$4704,'Mar20-Aug20 Transport Actuals'!$C$196,'Data-Transport'!$D$14:$D$4704,'Mar20-Aug20 Transport Actuals'!$F$196,'Data-Transport'!$E$14:$E$4704,'Mar20-Aug20 Transport Actuals'!$H$196,'Data-Transport'!$F$14:$F$4704,'Mar20-Aug20 Transport Actuals'!M$6)</f>
        <v>0</v>
      </c>
      <c r="N196" s="196">
        <f>SUMIFS('Data-Transport'!$I$14:$I$4704,'Data-Transport'!$A$14:$A$4704,'Mar20-Aug20 Transport Actuals'!N$4,'Data-Transport'!$B$14:$B$4704,'Mar20-Aug20 Transport Actuals'!$C$196,'Data-Transport'!$D$14:$D$4704,'Mar20-Aug20 Transport Actuals'!$F$196,'Data-Transport'!$E$14:$E$4704,'Mar20-Aug20 Transport Actuals'!$H$196,'Data-Transport'!$F$14:$F$4704,'Mar20-Aug20 Transport Actuals'!N$6)</f>
        <v>0</v>
      </c>
      <c r="O196" s="196">
        <f>SUMIFS('Data-Transport'!$I$14:$I$4704,'Data-Transport'!$A$14:$A$4704,'Mar20-Aug20 Transport Actuals'!O$4,'Data-Transport'!$B$14:$B$4704,'Mar20-Aug20 Transport Actuals'!$C$196,'Data-Transport'!$D$14:$D$4704,'Mar20-Aug20 Transport Actuals'!$F$196,'Data-Transport'!$E$14:$E$4704,'Mar20-Aug20 Transport Actuals'!$H$196,'Data-Transport'!$F$14:$F$4704,'Mar20-Aug20 Transport Actuals'!O$6)</f>
        <v>0</v>
      </c>
      <c r="P196" s="209">
        <f>SUM(I196:N196)</f>
        <v>0</v>
      </c>
      <c r="Q196" s="869"/>
      <c r="R196" s="869"/>
    </row>
    <row r="197" spans="2:233" x14ac:dyDescent="0.25">
      <c r="C197" s="169" t="s">
        <v>30</v>
      </c>
      <c r="D197" s="169" t="str">
        <f t="shared" si="55"/>
        <v>881</v>
      </c>
      <c r="E197" s="167" t="str">
        <f>VLOOKUP($C197,'Retail Rates'!$B$7:$P$40,2,FALSE)</f>
        <v>CGS TS-2</v>
      </c>
      <c r="F197" s="169" t="s">
        <v>318</v>
      </c>
      <c r="G197" s="170" t="s">
        <v>249</v>
      </c>
      <c r="H197" s="167"/>
      <c r="I197" s="470">
        <f t="shared" ref="I197:O198" si="60">ROUND(+I186*I193,2)</f>
        <v>0</v>
      </c>
      <c r="J197" s="212">
        <f t="shared" si="60"/>
        <v>0</v>
      </c>
      <c r="K197" s="212">
        <f t="shared" si="60"/>
        <v>0</v>
      </c>
      <c r="L197" s="212">
        <f t="shared" si="60"/>
        <v>0</v>
      </c>
      <c r="M197" s="212">
        <f t="shared" si="60"/>
        <v>0</v>
      </c>
      <c r="N197" s="212">
        <f t="shared" si="60"/>
        <v>0</v>
      </c>
      <c r="O197" s="212">
        <f t="shared" si="60"/>
        <v>0</v>
      </c>
      <c r="P197" s="209">
        <f t="shared" ref="P197:P204" si="61">SUM(I197:N197)</f>
        <v>0</v>
      </c>
      <c r="Q197" s="869"/>
      <c r="R197" s="869"/>
    </row>
    <row r="198" spans="2:233" x14ac:dyDescent="0.25">
      <c r="C198" s="169" t="s">
        <v>30</v>
      </c>
      <c r="D198" s="169" t="str">
        <f t="shared" si="55"/>
        <v>881</v>
      </c>
      <c r="E198" s="167" t="str">
        <f>VLOOKUP($C198,'Retail Rates'!$B$7:$P$40,2,FALSE)</f>
        <v>CGS TS-2</v>
      </c>
      <c r="F198" s="169" t="s">
        <v>318</v>
      </c>
      <c r="G198" s="170" t="s">
        <v>250</v>
      </c>
      <c r="H198" s="167"/>
      <c r="I198" s="906">
        <f t="shared" si="60"/>
        <v>0</v>
      </c>
      <c r="J198" s="907">
        <f t="shared" si="60"/>
        <v>0</v>
      </c>
      <c r="K198" s="907">
        <f t="shared" si="60"/>
        <v>0</v>
      </c>
      <c r="L198" s="907">
        <f t="shared" si="60"/>
        <v>0</v>
      </c>
      <c r="M198" s="907">
        <f t="shared" si="60"/>
        <v>0</v>
      </c>
      <c r="N198" s="907">
        <f t="shared" si="60"/>
        <v>0</v>
      </c>
      <c r="O198" s="907">
        <f t="shared" si="60"/>
        <v>0</v>
      </c>
      <c r="P198" s="209">
        <f t="shared" si="61"/>
        <v>0</v>
      </c>
      <c r="Q198" s="869"/>
      <c r="R198" s="869"/>
    </row>
    <row r="199" spans="2:233" x14ac:dyDescent="0.25">
      <c r="C199" s="169" t="s">
        <v>30</v>
      </c>
      <c r="D199" s="169" t="str">
        <f t="shared" si="55"/>
        <v>881</v>
      </c>
      <c r="E199" s="167" t="str">
        <f>VLOOKUP($C199,'Retail Rates'!$B$7:$P$40,2,FALSE)</f>
        <v>CGS TS-2</v>
      </c>
      <c r="F199" s="169" t="s">
        <v>318</v>
      </c>
      <c r="G199" s="170" t="s">
        <v>165</v>
      </c>
      <c r="H199" s="167"/>
      <c r="I199" s="470">
        <f t="shared" ref="I199:O199" si="62">SUM(I196:I198)</f>
        <v>0</v>
      </c>
      <c r="J199" s="212">
        <f t="shared" si="62"/>
        <v>0</v>
      </c>
      <c r="K199" s="212">
        <f t="shared" si="62"/>
        <v>0</v>
      </c>
      <c r="L199" s="212">
        <f t="shared" si="62"/>
        <v>0</v>
      </c>
      <c r="M199" s="212">
        <f t="shared" si="62"/>
        <v>0</v>
      </c>
      <c r="N199" s="212">
        <f t="shared" si="62"/>
        <v>0</v>
      </c>
      <c r="O199" s="212">
        <f t="shared" si="62"/>
        <v>0</v>
      </c>
      <c r="P199" s="209">
        <f t="shared" si="61"/>
        <v>0</v>
      </c>
      <c r="Q199" s="869"/>
      <c r="R199" s="869"/>
    </row>
    <row r="200" spans="2:233" x14ac:dyDescent="0.25">
      <c r="C200" s="169" t="s">
        <v>30</v>
      </c>
      <c r="D200" s="169" t="str">
        <f t="shared" si="55"/>
        <v>881</v>
      </c>
      <c r="E200" s="167" t="str">
        <f>VLOOKUP($C200,'Retail Rates'!$B$7:$P$40,2,FALSE)</f>
        <v>CGS TS-2</v>
      </c>
      <c r="F200" s="169" t="s">
        <v>318</v>
      </c>
      <c r="G200" s="170" t="s">
        <v>148</v>
      </c>
      <c r="H200" s="167"/>
      <c r="I200" s="908">
        <f>I190*'GSC-DSM-GLT Factors'!G16</f>
        <v>0</v>
      </c>
      <c r="J200" s="908">
        <f>J190*'GSC-DSM-GLT Factors'!H16</f>
        <v>0</v>
      </c>
      <c r="K200" s="908">
        <f>K190*'GSC-DSM-GLT Factors'!I16</f>
        <v>0</v>
      </c>
      <c r="L200" s="908">
        <f>L190*'GSC-DSM-GLT Factors'!J16</f>
        <v>0</v>
      </c>
      <c r="M200" s="908">
        <f>M190*'GSC-DSM-GLT Factors'!K16</f>
        <v>0</v>
      </c>
      <c r="N200" s="908">
        <f>N190*'GSC-DSM-GLT Factors'!L16</f>
        <v>0</v>
      </c>
      <c r="O200" s="908">
        <f>O190*'GSC-DSM-GLT Factors'!M16</f>
        <v>0</v>
      </c>
      <c r="P200" s="209">
        <f t="shared" si="61"/>
        <v>0</v>
      </c>
      <c r="Q200" s="869"/>
      <c r="R200" s="869"/>
    </row>
    <row r="201" spans="2:233" x14ac:dyDescent="0.25">
      <c r="C201" s="169" t="s">
        <v>30</v>
      </c>
      <c r="D201" s="169" t="str">
        <f t="shared" si="55"/>
        <v>881</v>
      </c>
      <c r="E201" s="167" t="str">
        <f>VLOOKUP($C201,'Retail Rates'!$B$7:$P$40,2,FALSE)</f>
        <v>CGS TS-2</v>
      </c>
      <c r="F201" s="169" t="s">
        <v>318</v>
      </c>
      <c r="G201" s="170" t="s">
        <v>165</v>
      </c>
      <c r="H201" s="167"/>
      <c r="I201" s="470">
        <f t="shared" ref="I201:O201" si="63">+I199+I200</f>
        <v>0</v>
      </c>
      <c r="J201" s="212">
        <f t="shared" si="63"/>
        <v>0</v>
      </c>
      <c r="K201" s="212">
        <f t="shared" si="63"/>
        <v>0</v>
      </c>
      <c r="L201" s="212">
        <f t="shared" si="63"/>
        <v>0</v>
      </c>
      <c r="M201" s="212">
        <f t="shared" si="63"/>
        <v>0</v>
      </c>
      <c r="N201" s="212">
        <f t="shared" si="63"/>
        <v>0</v>
      </c>
      <c r="O201" s="212">
        <f t="shared" si="63"/>
        <v>0</v>
      </c>
      <c r="P201" s="209">
        <f t="shared" si="61"/>
        <v>0</v>
      </c>
      <c r="Q201" s="869"/>
      <c r="R201" s="869"/>
    </row>
    <row r="202" spans="2:233" x14ac:dyDescent="0.25">
      <c r="C202" s="169" t="s">
        <v>30</v>
      </c>
      <c r="D202" s="169" t="str">
        <f t="shared" si="55"/>
        <v>881</v>
      </c>
      <c r="E202" s="167" t="str">
        <f>VLOOKUP($C202,'Retail Rates'!$B$7:$P$40,2,FALSE)</f>
        <v>CGS TS-2</v>
      </c>
      <c r="F202" s="169" t="s">
        <v>318</v>
      </c>
      <c r="G202" s="173" t="s">
        <v>161</v>
      </c>
      <c r="H202" s="156" t="s">
        <v>109</v>
      </c>
      <c r="I202" s="459">
        <f>SUMIFS('Data-Transport'!$O$14:$O$4704,'Data-Transport'!$A$14:$A$4704,'Mar20-Aug20 Transport Actuals'!I$4,'Data-Transport'!$B$14:$B$4704,'Mar20-Aug20 Transport Actuals'!$C$202,'Data-Transport'!$D$14:$D$4704,'Mar20-Aug20 Transport Actuals'!$F$202,'Data-Transport'!$E$14:$E$4704,'Mar20-Aug20 Transport Actuals'!$H$202,'Data-Transport'!$F$14:$F$4704,'Mar20-Aug20 Transport Actuals'!I$6)</f>
        <v>0</v>
      </c>
      <c r="J202" s="196">
        <f>SUMIFS('Data-Transport'!$O$14:$O$4704,'Data-Transport'!$A$14:$A$4704,'Mar20-Aug20 Transport Actuals'!J$4,'Data-Transport'!$B$14:$B$4704,'Mar20-Aug20 Transport Actuals'!$C$202,'Data-Transport'!$D$14:$D$4704,'Mar20-Aug20 Transport Actuals'!$F$202,'Data-Transport'!$E$14:$E$4704,'Mar20-Aug20 Transport Actuals'!$H$202,'Data-Transport'!$F$14:$F$4704,'Mar20-Aug20 Transport Actuals'!J$6)</f>
        <v>0</v>
      </c>
      <c r="K202" s="196">
        <f>SUMIFS('Data-Transport'!$O$14:$O$4704,'Data-Transport'!$A$14:$A$4704,'Mar20-Aug20 Transport Actuals'!K$4,'Data-Transport'!$B$14:$B$4704,'Mar20-Aug20 Transport Actuals'!$C$202,'Data-Transport'!$D$14:$D$4704,'Mar20-Aug20 Transport Actuals'!$F$202,'Data-Transport'!$E$14:$E$4704,'Mar20-Aug20 Transport Actuals'!$H$202,'Data-Transport'!$F$14:$F$4704,'Mar20-Aug20 Transport Actuals'!K$6)</f>
        <v>0</v>
      </c>
      <c r="L202" s="196">
        <f>SUMIFS('Data-Transport'!$O$14:$O$4704,'Data-Transport'!$A$14:$A$4704,'Mar20-Aug20 Transport Actuals'!L$4,'Data-Transport'!$B$14:$B$4704,'Mar20-Aug20 Transport Actuals'!$C$202,'Data-Transport'!$D$14:$D$4704,'Mar20-Aug20 Transport Actuals'!$F$202,'Data-Transport'!$E$14:$E$4704,'Mar20-Aug20 Transport Actuals'!$H$202,'Data-Transport'!$F$14:$F$4704,'Mar20-Aug20 Transport Actuals'!L$6)</f>
        <v>0</v>
      </c>
      <c r="M202" s="196">
        <f>SUMIFS('Data-Transport'!$O$14:$O$4704,'Data-Transport'!$A$14:$A$4704,'Mar20-Aug20 Transport Actuals'!M$4,'Data-Transport'!$B$14:$B$4704,'Mar20-Aug20 Transport Actuals'!$C$202,'Data-Transport'!$D$14:$D$4704,'Mar20-Aug20 Transport Actuals'!$F$202,'Data-Transport'!$E$14:$E$4704,'Mar20-Aug20 Transport Actuals'!$H$202,'Data-Transport'!$F$14:$F$4704,'Mar20-Aug20 Transport Actuals'!M$6)</f>
        <v>0</v>
      </c>
      <c r="N202" s="196">
        <f>SUMIFS('Data-Transport'!$O$14:$O$4704,'Data-Transport'!$A$14:$A$4704,'Mar20-Aug20 Transport Actuals'!N$4,'Data-Transport'!$B$14:$B$4704,'Mar20-Aug20 Transport Actuals'!$C$202,'Data-Transport'!$D$14:$D$4704,'Mar20-Aug20 Transport Actuals'!$F$202,'Data-Transport'!$E$14:$E$4704,'Mar20-Aug20 Transport Actuals'!$H$202,'Data-Transport'!$F$14:$F$4704,'Mar20-Aug20 Transport Actuals'!N$6)</f>
        <v>0</v>
      </c>
      <c r="O202" s="196">
        <f>SUMIFS('Data-Transport'!$O$14:$O$4704,'Data-Transport'!$A$14:$A$4704,'Mar20-Aug20 Transport Actuals'!O$4,'Data-Transport'!$B$14:$B$4704,'Mar20-Aug20 Transport Actuals'!$C$202,'Data-Transport'!$D$14:$D$4704,'Mar20-Aug20 Transport Actuals'!$F$202,'Data-Transport'!$E$14:$E$4704,'Mar20-Aug20 Transport Actuals'!$H$202,'Data-Transport'!$F$14:$F$4704,'Mar20-Aug20 Transport Actuals'!O$6)</f>
        <v>0</v>
      </c>
      <c r="P202" s="209">
        <f t="shared" si="61"/>
        <v>0</v>
      </c>
      <c r="Q202" s="869"/>
      <c r="R202" s="869"/>
    </row>
    <row r="203" spans="2:233" x14ac:dyDescent="0.25">
      <c r="C203" s="169" t="s">
        <v>30</v>
      </c>
      <c r="D203" s="169" t="str">
        <f>MID(C203,6,3)</f>
        <v>881</v>
      </c>
      <c r="E203" s="167" t="str">
        <f>VLOOKUP($C203,'Retail Rates'!$B$7:$P$40,2,FALSE)</f>
        <v>CGS TS-2</v>
      </c>
      <c r="F203" s="169" t="s">
        <v>318</v>
      </c>
      <c r="G203" s="173"/>
      <c r="H203" s="316"/>
      <c r="I203" s="465"/>
      <c r="J203" s="312"/>
      <c r="K203" s="312"/>
      <c r="L203" s="312"/>
      <c r="M203" s="312"/>
      <c r="N203" s="312"/>
      <c r="O203" s="312"/>
      <c r="P203" s="209">
        <f t="shared" si="61"/>
        <v>0</v>
      </c>
      <c r="Q203" s="869"/>
      <c r="R203" s="869"/>
    </row>
    <row r="204" spans="2:233" x14ac:dyDescent="0.25">
      <c r="C204" s="169"/>
      <c r="D204" s="169"/>
      <c r="E204" s="167"/>
      <c r="F204" s="169"/>
      <c r="G204" s="170" t="s">
        <v>453</v>
      </c>
      <c r="H204" s="167"/>
      <c r="I204" s="466">
        <f t="shared" ref="I204:O204" si="64">+I201+I202</f>
        <v>0</v>
      </c>
      <c r="J204" s="209">
        <f t="shared" si="64"/>
        <v>0</v>
      </c>
      <c r="K204" s="209">
        <f t="shared" si="64"/>
        <v>0</v>
      </c>
      <c r="L204" s="209">
        <f t="shared" si="64"/>
        <v>0</v>
      </c>
      <c r="M204" s="209">
        <f t="shared" si="64"/>
        <v>0</v>
      </c>
      <c r="N204" s="209">
        <f t="shared" si="64"/>
        <v>0</v>
      </c>
      <c r="O204" s="209">
        <f t="shared" si="64"/>
        <v>0</v>
      </c>
      <c r="P204" s="209">
        <f t="shared" si="61"/>
        <v>0</v>
      </c>
      <c r="Q204" s="869"/>
      <c r="R204" s="869"/>
    </row>
    <row r="205" spans="2:233" s="167" customFormat="1" x14ac:dyDescent="0.25">
      <c r="B205"/>
      <c r="I205" s="169"/>
      <c r="Q205" s="869"/>
      <c r="R205" s="869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</row>
    <row r="206" spans="2:233" x14ac:dyDescent="0.25">
      <c r="C206" s="169"/>
      <c r="D206" s="169"/>
      <c r="E206" s="167"/>
      <c r="F206" s="169"/>
      <c r="G206" s="170"/>
      <c r="H206" s="167"/>
      <c r="I206" s="466"/>
      <c r="J206" s="209"/>
      <c r="K206" s="209"/>
      <c r="L206" s="209"/>
      <c r="M206" s="209"/>
      <c r="N206" s="209"/>
      <c r="O206" s="209"/>
      <c r="P206" s="209"/>
      <c r="Q206" s="869"/>
      <c r="R206" s="869"/>
    </row>
    <row r="207" spans="2:233" s="167" customFormat="1" x14ac:dyDescent="0.25">
      <c r="B207"/>
      <c r="G207" s="319" t="s">
        <v>456</v>
      </c>
      <c r="I207" s="169"/>
      <c r="Q207" s="869"/>
      <c r="R207" s="869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</row>
    <row r="208" spans="2:233" s="167" customFormat="1" x14ac:dyDescent="0.25">
      <c r="B208"/>
      <c r="G208" s="320" t="s">
        <v>457</v>
      </c>
      <c r="I208" s="169"/>
      <c r="Q208" s="869"/>
      <c r="R208" s="869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</row>
    <row r="209" spans="3:18" x14ac:dyDescent="0.25">
      <c r="C209" s="169" t="s">
        <v>47</v>
      </c>
      <c r="D209" s="169" t="str">
        <f>MID(C209,6,3)</f>
        <v>891</v>
      </c>
      <c r="E209" s="167" t="s">
        <v>471</v>
      </c>
      <c r="F209" s="317" t="s">
        <v>470</v>
      </c>
      <c r="G209" s="175" t="s">
        <v>157</v>
      </c>
      <c r="H209" s="167"/>
      <c r="I209" s="470">
        <f>(I217/I211)</f>
        <v>0</v>
      </c>
      <c r="J209" s="212">
        <f t="shared" ref="J209:O209" si="65">J217/J211</f>
        <v>0</v>
      </c>
      <c r="K209" s="212">
        <f t="shared" si="65"/>
        <v>0</v>
      </c>
      <c r="L209" s="212">
        <f t="shared" si="65"/>
        <v>0</v>
      </c>
      <c r="M209" s="212">
        <f t="shared" si="65"/>
        <v>0</v>
      </c>
      <c r="N209" s="212">
        <f t="shared" si="65"/>
        <v>0</v>
      </c>
      <c r="O209" s="212">
        <f t="shared" si="65"/>
        <v>0</v>
      </c>
      <c r="P209" s="314">
        <f>SUM(I209:N209)</f>
        <v>0</v>
      </c>
      <c r="Q209" s="869"/>
      <c r="R209" s="869"/>
    </row>
    <row r="210" spans="3:18" x14ac:dyDescent="0.25">
      <c r="C210" s="169" t="s">
        <v>47</v>
      </c>
      <c r="D210" s="169" t="str">
        <f t="shared" ref="D210:D221" si="66">MID(C210,6,3)</f>
        <v>891</v>
      </c>
      <c r="E210" s="167" t="s">
        <v>471</v>
      </c>
      <c r="F210" s="317" t="s">
        <v>470</v>
      </c>
      <c r="G210" s="175" t="s">
        <v>158</v>
      </c>
      <c r="H210" s="156" t="s">
        <v>265</v>
      </c>
      <c r="I210" s="459">
        <f>SUMIFS('Data-Transport'!$H$14:$H$4704,'Data-Transport'!$A$6:$A$4696,'Mar20-Aug20 Transport Actuals'!I$4,'Data-Transport'!$B$14:$B$4704,'Mar20-Aug20 Transport Actuals'!$C$210,'Data-Transport'!$D$14:$D$4704,'Mar20-Aug20 Transport Actuals'!$F$210,'Data-Transport'!$E$14:$E$4704,'Mar20-Aug20 Transport Actuals'!$H$210,'Data-Transport'!$F$14:$F$4704,'Mar20-Aug20 Transport Actuals'!I$6)/10</f>
        <v>0</v>
      </c>
      <c r="J210" s="196">
        <f>SUMIFS('Data-Transport'!$H$14:$H$4704,'Data-Transport'!$A$6:$A$4696,'Mar20-Aug20 Transport Actuals'!J$4,'Data-Transport'!$B$14:$B$4704,'Mar20-Aug20 Transport Actuals'!$C$210,'Data-Transport'!$D$14:$D$4704,'Mar20-Aug20 Transport Actuals'!$F$210,'Data-Transport'!$E$14:$E$4704,'Mar20-Aug20 Transport Actuals'!$H$210,'Data-Transport'!$F$14:$F$4704,'Mar20-Aug20 Transport Actuals'!J$6)/10</f>
        <v>0</v>
      </c>
      <c r="K210" s="196">
        <f>SUMIFS('Data-Transport'!$H$14:$H$4704,'Data-Transport'!$A$6:$A$4696,'Mar20-Aug20 Transport Actuals'!K$4,'Data-Transport'!$B$14:$B$4704,'Mar20-Aug20 Transport Actuals'!$C$210,'Data-Transport'!$D$14:$D$4704,'Mar20-Aug20 Transport Actuals'!$F$210,'Data-Transport'!$E$14:$E$4704,'Mar20-Aug20 Transport Actuals'!$H$210,'Data-Transport'!$F$14:$F$4704,'Mar20-Aug20 Transport Actuals'!K$6)/10</f>
        <v>0</v>
      </c>
      <c r="L210" s="196">
        <f>SUMIFS('Data-Transport'!$H$14:$H$4704,'Data-Transport'!$A$6:$A$4696,'Mar20-Aug20 Transport Actuals'!L$4,'Data-Transport'!$B$14:$B$4704,'Mar20-Aug20 Transport Actuals'!$C$210,'Data-Transport'!$D$14:$D$4704,'Mar20-Aug20 Transport Actuals'!$F$210,'Data-Transport'!$E$14:$E$4704,'Mar20-Aug20 Transport Actuals'!$H$210,'Data-Transport'!$F$14:$F$4704,'Mar20-Aug20 Transport Actuals'!L$6)/10</f>
        <v>0</v>
      </c>
      <c r="M210" s="196">
        <f>SUMIFS('Data-Transport'!$H$14:$H$4704,'Data-Transport'!$A$6:$A$4696,'Mar20-Aug20 Transport Actuals'!M$4,'Data-Transport'!$B$14:$B$4704,'Mar20-Aug20 Transport Actuals'!$C$210,'Data-Transport'!$D$14:$D$4704,'Mar20-Aug20 Transport Actuals'!$F$210,'Data-Transport'!$E$14:$E$4704,'Mar20-Aug20 Transport Actuals'!$H$210,'Data-Transport'!$F$14:$F$4704,'Mar20-Aug20 Transport Actuals'!M$6)/10</f>
        <v>0</v>
      </c>
      <c r="N210" s="196">
        <f>SUMIFS('Data-Transport'!$H$14:$H$4704,'Data-Transport'!$A$6:$A$4696,'Mar20-Aug20 Transport Actuals'!N$4,'Data-Transport'!$B$14:$B$4704,'Mar20-Aug20 Transport Actuals'!$C$210,'Data-Transport'!$D$14:$D$4704,'Mar20-Aug20 Transport Actuals'!$F$210,'Data-Transport'!$E$14:$E$4704,'Mar20-Aug20 Transport Actuals'!$H$210,'Data-Transport'!$F$14:$F$4704,'Mar20-Aug20 Transport Actuals'!N$6)/10</f>
        <v>0</v>
      </c>
      <c r="O210" s="196">
        <f>SUMIFS('Data-Transport'!$H$14:$H$4704,'Data-Transport'!$A$6:$A$4696,'Mar20-Aug20 Transport Actuals'!O$4,'Data-Transport'!$B$14:$B$4704,'Mar20-Aug20 Transport Actuals'!$C$210,'Data-Transport'!$D$14:$D$4704,'Mar20-Aug20 Transport Actuals'!$F$210,'Data-Transport'!$E$14:$E$4704,'Mar20-Aug20 Transport Actuals'!$H$210,'Data-Transport'!$F$14:$F$4704,'Mar20-Aug20 Transport Actuals'!O$6)/10</f>
        <v>0</v>
      </c>
      <c r="P210" s="314">
        <f>SUM(I210:N210)</f>
        <v>0</v>
      </c>
      <c r="Q210" s="869"/>
      <c r="R210" s="869"/>
    </row>
    <row r="211" spans="3:18" x14ac:dyDescent="0.25">
      <c r="C211" s="169" t="s">
        <v>47</v>
      </c>
      <c r="D211" s="169" t="str">
        <f t="shared" si="66"/>
        <v>891</v>
      </c>
      <c r="E211" s="167" t="s">
        <v>471</v>
      </c>
      <c r="F211" s="317" t="s">
        <v>470</v>
      </c>
      <c r="G211" s="175" t="s">
        <v>385</v>
      </c>
      <c r="H211" s="167"/>
      <c r="I211" s="169">
        <f>VLOOKUP($C211,'Retail Rates'!$B$1:$P$64,6,FALSE)</f>
        <v>550</v>
      </c>
      <c r="J211" s="169">
        <f>VLOOKUP($C211,'Retail Rates'!$B$1:$P$64,6,FALSE)</f>
        <v>550</v>
      </c>
      <c r="K211" s="169">
        <f>VLOOKUP($C211,'Retail Rates'!$B$1:$P$64,6,FALSE)</f>
        <v>550</v>
      </c>
      <c r="L211" s="169">
        <f>VLOOKUP($C211,'Retail Rates'!$B$1:$P$64,6,FALSE)</f>
        <v>550</v>
      </c>
      <c r="M211" s="169">
        <f>VLOOKUP($C211,'Retail Rates'!$B$1:$P$64,6,FALSE)</f>
        <v>550</v>
      </c>
      <c r="N211" s="169">
        <f>VLOOKUP($C211,'Retail Rates'!$B$1:$P$64,6,FALSE)</f>
        <v>550</v>
      </c>
      <c r="O211" s="169">
        <f>VLOOKUP($C211,'Retail Rates'!$B$1:$P$64,6,FALSE)</f>
        <v>550</v>
      </c>
      <c r="P211" s="314"/>
      <c r="Q211" s="869"/>
      <c r="R211" s="869"/>
    </row>
    <row r="212" spans="3:18" x14ac:dyDescent="0.25">
      <c r="C212" s="169" t="s">
        <v>47</v>
      </c>
      <c r="D212" s="169" t="str">
        <f t="shared" si="66"/>
        <v>891</v>
      </c>
      <c r="E212" s="167" t="s">
        <v>471</v>
      </c>
      <c r="F212" s="317" t="s">
        <v>470</v>
      </c>
      <c r="G212" s="175" t="s">
        <v>331</v>
      </c>
      <c r="H212" s="167"/>
      <c r="I212" s="169">
        <f>VLOOKUP($C212,'Retail Rates'!$B$1:$P$64,4,FALSE)</f>
        <v>500</v>
      </c>
      <c r="J212" s="169">
        <f>VLOOKUP($C212,'Retail Rates'!$B$1:$P$64,4,FALSE)</f>
        <v>500</v>
      </c>
      <c r="K212" s="169">
        <f>VLOOKUP($C212,'Retail Rates'!$B$1:$P$64,4,FALSE)</f>
        <v>500</v>
      </c>
      <c r="L212" s="169">
        <f>VLOOKUP($C212,'Retail Rates'!$B$1:$P$64,4,FALSE)</f>
        <v>500</v>
      </c>
      <c r="M212" s="169">
        <f>VLOOKUP($C212,'Retail Rates'!$B$1:$P$64,4,FALSE)</f>
        <v>500</v>
      </c>
      <c r="N212" s="169">
        <f>VLOOKUP($C212,'Retail Rates'!$B$1:$P$64,4,FALSE)</f>
        <v>500</v>
      </c>
      <c r="O212" s="169">
        <f>VLOOKUP($C212,'Retail Rates'!$B$1:$P$64,4,FALSE)</f>
        <v>500</v>
      </c>
      <c r="P212" s="314"/>
      <c r="Q212" s="869"/>
      <c r="R212" s="869"/>
    </row>
    <row r="213" spans="3:18" x14ac:dyDescent="0.25">
      <c r="C213" s="169" t="s">
        <v>47</v>
      </c>
      <c r="D213" s="169" t="str">
        <f t="shared" si="66"/>
        <v>891</v>
      </c>
      <c r="E213" s="167" t="s">
        <v>471</v>
      </c>
      <c r="F213" s="317" t="s">
        <v>470</v>
      </c>
      <c r="G213" s="175" t="s">
        <v>1</v>
      </c>
      <c r="H213" s="167"/>
      <c r="I213" s="463">
        <f>SUMIF('GSC-DSM-GLT Factors'!$A$11:$A$58,'Mar20-Aug20 Transport Actuals'!I$5,'GSC-DSM-GLT Factors'!$G$11:$G$58)</f>
        <v>0</v>
      </c>
      <c r="J213" s="463">
        <f>SUMIF('GSC-DSM-GLT Factors'!$A$11:$A$58,'Mar20-Aug20 Transport Actuals'!J$5,'GSC-DSM-GLT Factors'!$G$11:$G$58)</f>
        <v>0</v>
      </c>
      <c r="K213" s="463">
        <f>SUMIF('GSC-DSM-GLT Factors'!$A$11:$A$58,'Mar20-Aug20 Transport Actuals'!K$5,'GSC-DSM-GLT Factors'!$G$11:$G$58)</f>
        <v>0</v>
      </c>
      <c r="L213" s="463">
        <f>SUMIF('GSC-DSM-GLT Factors'!$A$11:$A$58,'Mar20-Aug20 Transport Actuals'!L$5,'GSC-DSM-GLT Factors'!$G$11:$G$58)</f>
        <v>0</v>
      </c>
      <c r="M213" s="463">
        <f>SUMIF('GSC-DSM-GLT Factors'!$A$11:$A$58,'Mar20-Aug20 Transport Actuals'!M$5,'GSC-DSM-GLT Factors'!$G$11:$G$58)</f>
        <v>0</v>
      </c>
      <c r="N213" s="463">
        <f>SUMIF('GSC-DSM-GLT Factors'!$A$11:$A$58,'Mar20-Aug20 Transport Actuals'!N$5,'GSC-DSM-GLT Factors'!$G$11:$G$58)</f>
        <v>0</v>
      </c>
      <c r="O213" s="463">
        <f>SUMIF('GSC-DSM-GLT Factors'!$A$11:$A$58,'Mar20-Aug20 Transport Actuals'!O$5,'GSC-DSM-GLT Factors'!$G$11:$G$58)</f>
        <v>0</v>
      </c>
      <c r="P213" s="167"/>
      <c r="Q213" s="869"/>
      <c r="R213" s="869"/>
    </row>
    <row r="214" spans="3:18" x14ac:dyDescent="0.25">
      <c r="C214" s="169" t="s">
        <v>47</v>
      </c>
      <c r="D214" s="169" t="str">
        <f t="shared" si="66"/>
        <v>891</v>
      </c>
      <c r="E214" s="167" t="s">
        <v>471</v>
      </c>
      <c r="F214" s="317" t="s">
        <v>470</v>
      </c>
      <c r="G214" s="170" t="s">
        <v>148</v>
      </c>
      <c r="H214" s="167"/>
      <c r="I214" s="468">
        <f>SUMIF('GSC-DSM-GLT Factors'!$A$11:$A$58,'Mar20-Aug20 Transport Actuals'!I$4,'GSC-DSM-GLT Factors'!$D$11:$D$58)</f>
        <v>1.8000000000000001E-4</v>
      </c>
      <c r="J214" s="468">
        <f>SUMIF('GSC-DSM-GLT Factors'!$A$11:$A$58,'Mar20-Aug20 Transport Actuals'!J$4,'GSC-DSM-GLT Factors'!$D$11:$D$58)</f>
        <v>4.8000000000000001E-4</v>
      </c>
      <c r="K214" s="468">
        <f>SUMIF('GSC-DSM-GLT Factors'!$A$11:$A$58,'Mar20-Aug20 Transport Actuals'!K$4,'GSC-DSM-GLT Factors'!$D$11:$D$58)</f>
        <v>4.8000000000000001E-4</v>
      </c>
      <c r="L214" s="468">
        <f>SUMIF('GSC-DSM-GLT Factors'!$A$11:$A$58,'Mar20-Aug20 Transport Actuals'!L$4,'GSC-DSM-GLT Factors'!$D$11:$D$58)</f>
        <v>4.8000000000000001E-4</v>
      </c>
      <c r="M214" s="468">
        <f>SUMIF('GSC-DSM-GLT Factors'!$A$11:$A$58,'Mar20-Aug20 Transport Actuals'!M$4,'GSC-DSM-GLT Factors'!$D$11:$D$58)</f>
        <v>4.8000000000000001E-4</v>
      </c>
      <c r="N214" s="468">
        <f>SUMIF('GSC-DSM-GLT Factors'!$A$11:$A$58,'Mar20-Aug20 Transport Actuals'!N$4,'GSC-DSM-GLT Factors'!$D$11:$D$58)</f>
        <v>4.8000000000000001E-4</v>
      </c>
      <c r="O214" s="468">
        <f>SUMIF('GSC-DSM-GLT Factors'!$A$11:$A$58,'Mar20-Aug20 Transport Actuals'!O$4,'GSC-DSM-GLT Factors'!$D$11:$D$58)</f>
        <v>4.8000000000000001E-4</v>
      </c>
      <c r="P214" s="208"/>
      <c r="Q214" s="869"/>
      <c r="R214" s="869"/>
    </row>
    <row r="215" spans="3:18" x14ac:dyDescent="0.25">
      <c r="C215" s="169" t="s">
        <v>47</v>
      </c>
      <c r="D215" s="169" t="str">
        <f t="shared" si="66"/>
        <v>891</v>
      </c>
      <c r="E215" s="167" t="s">
        <v>471</v>
      </c>
      <c r="F215" s="317" t="s">
        <v>470</v>
      </c>
      <c r="G215" s="175"/>
      <c r="H215" s="167"/>
      <c r="I215" s="469"/>
      <c r="J215" s="315"/>
      <c r="K215" s="315"/>
      <c r="L215" s="315"/>
      <c r="M215" s="315"/>
      <c r="N215" s="315"/>
      <c r="O215" s="315"/>
      <c r="P215" s="167"/>
      <c r="Q215" s="869"/>
      <c r="R215" s="869"/>
    </row>
    <row r="216" spans="3:18" x14ac:dyDescent="0.25">
      <c r="C216" s="169" t="s">
        <v>47</v>
      </c>
      <c r="D216" s="169" t="str">
        <f t="shared" si="66"/>
        <v>891</v>
      </c>
      <c r="E216" s="167" t="s">
        <v>471</v>
      </c>
      <c r="F216" s="317" t="s">
        <v>470</v>
      </c>
      <c r="G216" s="313" t="s">
        <v>162</v>
      </c>
      <c r="H216" s="167"/>
      <c r="I216" s="169"/>
      <c r="J216" s="167"/>
      <c r="K216" s="167"/>
      <c r="L216" s="167"/>
      <c r="M216" s="167"/>
      <c r="N216" s="167"/>
      <c r="O216" s="167"/>
      <c r="P216" s="167"/>
      <c r="Q216" s="869"/>
      <c r="R216" s="869"/>
    </row>
    <row r="217" spans="3:18" x14ac:dyDescent="0.25">
      <c r="C217" s="169" t="s">
        <v>47</v>
      </c>
      <c r="D217" s="169" t="str">
        <f t="shared" si="66"/>
        <v>891</v>
      </c>
      <c r="E217" s="167" t="s">
        <v>471</v>
      </c>
      <c r="F217" s="317" t="s">
        <v>470</v>
      </c>
      <c r="G217" s="175" t="s">
        <v>386</v>
      </c>
      <c r="H217" s="156" t="s">
        <v>268</v>
      </c>
      <c r="I217" s="459">
        <f>SUMIFS('Data-Transport'!$G$14:$G$4704,'Data-Transport'!$A$14:$A$4704,'Mar20-Aug20 Transport Actuals'!I$4,'Data-Transport'!$B$14:$B$4704,'Mar20-Aug20 Transport Actuals'!$C$217,'Data-Transport'!$D$14:$D$4704,'Mar20-Aug20 Transport Actuals'!$F$217,'Data-Transport'!$E$14:$E$4704,'Mar20-Aug20 Transport Actuals'!$H$217,'Data-Transport'!$F$14:$F$4704,'Mar20-Aug20 Transport Actuals'!I$6)</f>
        <v>0</v>
      </c>
      <c r="J217" s="196">
        <f>SUMIFS('Data-Transport'!$G$14:$G$4704,'Data-Transport'!$A$14:$A$4704,'Mar20-Aug20 Transport Actuals'!J$4,'Data-Transport'!$B$14:$B$4704,'Mar20-Aug20 Transport Actuals'!$C$217,'Data-Transport'!$D$14:$D$4704,'Mar20-Aug20 Transport Actuals'!$F$217,'Data-Transport'!$E$14:$E$4704,'Mar20-Aug20 Transport Actuals'!$H$217,'Data-Transport'!$F$14:$F$4704,'Mar20-Aug20 Transport Actuals'!J$6)</f>
        <v>0</v>
      </c>
      <c r="K217" s="196">
        <f>SUMIFS('Data-Transport'!$G$14:$G$4704,'Data-Transport'!$A$14:$A$4704,'Mar20-Aug20 Transport Actuals'!K$4,'Data-Transport'!$B$14:$B$4704,'Mar20-Aug20 Transport Actuals'!$C$217,'Data-Transport'!$D$14:$D$4704,'Mar20-Aug20 Transport Actuals'!$F$217,'Data-Transport'!$E$14:$E$4704,'Mar20-Aug20 Transport Actuals'!$H$217,'Data-Transport'!$F$14:$F$4704,'Mar20-Aug20 Transport Actuals'!K$6)</f>
        <v>0</v>
      </c>
      <c r="L217" s="196">
        <f>SUMIFS('Data-Transport'!$G$14:$G$4704,'Data-Transport'!$A$14:$A$4704,'Mar20-Aug20 Transport Actuals'!L$4,'Data-Transport'!$B$14:$B$4704,'Mar20-Aug20 Transport Actuals'!$C$217,'Data-Transport'!$D$14:$D$4704,'Mar20-Aug20 Transport Actuals'!$F$217,'Data-Transport'!$E$14:$E$4704,'Mar20-Aug20 Transport Actuals'!$H$217,'Data-Transport'!$F$14:$F$4704,'Mar20-Aug20 Transport Actuals'!L$6)</f>
        <v>0</v>
      </c>
      <c r="M217" s="196">
        <f>SUMIFS('Data-Transport'!$G$14:$G$4704,'Data-Transport'!$A$14:$A$4704,'Mar20-Aug20 Transport Actuals'!M$4,'Data-Transport'!$B$14:$B$4704,'Mar20-Aug20 Transport Actuals'!$C$217,'Data-Transport'!$D$14:$D$4704,'Mar20-Aug20 Transport Actuals'!$F$217,'Data-Transport'!$E$14:$E$4704,'Mar20-Aug20 Transport Actuals'!$H$217,'Data-Transport'!$F$14:$F$4704,'Mar20-Aug20 Transport Actuals'!M$6)</f>
        <v>0</v>
      </c>
      <c r="N217" s="196">
        <f>SUMIFS('Data-Transport'!$G$14:$G$4704,'Data-Transport'!$A$14:$A$4704,'Mar20-Aug20 Transport Actuals'!N$4,'Data-Transport'!$B$14:$B$4704,'Mar20-Aug20 Transport Actuals'!$C$217,'Data-Transport'!$D$14:$D$4704,'Mar20-Aug20 Transport Actuals'!$F$217,'Data-Transport'!$E$14:$E$4704,'Mar20-Aug20 Transport Actuals'!$H$217,'Data-Transport'!$F$14:$F$4704,'Mar20-Aug20 Transport Actuals'!N$6)</f>
        <v>0</v>
      </c>
      <c r="O217" s="196">
        <f>SUMIFS('Data-Transport'!$G$14:$G$4704,'Data-Transport'!$A$14:$A$4704,'Mar20-Aug20 Transport Actuals'!O$4,'Data-Transport'!$B$14:$B$4704,'Mar20-Aug20 Transport Actuals'!$C$217,'Data-Transport'!$D$14:$D$4704,'Mar20-Aug20 Transport Actuals'!$F$217,'Data-Transport'!$E$14:$E$4704,'Mar20-Aug20 Transport Actuals'!$H$217,'Data-Transport'!$F$14:$F$4704,'Mar20-Aug20 Transport Actuals'!O$6)</f>
        <v>0</v>
      </c>
      <c r="P217" s="314">
        <f>SUM(I217:N217)</f>
        <v>0</v>
      </c>
      <c r="Q217" s="869"/>
      <c r="R217" s="869"/>
    </row>
    <row r="218" spans="3:18" x14ac:dyDescent="0.25">
      <c r="C218" s="169" t="s">
        <v>47</v>
      </c>
      <c r="D218" s="169" t="str">
        <f t="shared" si="66"/>
        <v>891</v>
      </c>
      <c r="E218" s="167" t="s">
        <v>471</v>
      </c>
      <c r="F218" s="317" t="s">
        <v>470</v>
      </c>
      <c r="G218" s="175" t="s">
        <v>446</v>
      </c>
      <c r="H218" s="156" t="s">
        <v>272</v>
      </c>
      <c r="I218" s="459">
        <f>SUMIFS('Data-Transport'!$G$14:$G$4704,'Data-Transport'!$A$14:$A$4704,'Mar20-Aug20 Transport Actuals'!I$4,'Data-Transport'!$B$14:$B$4704,'Mar20-Aug20 Transport Actuals'!$C$218,'Data-Transport'!$D$14:$D$4704,'Mar20-Aug20 Transport Actuals'!$F$218,'Data-Transport'!$E$14:$E$4704,'Mar20-Aug20 Transport Actuals'!$H$218,'Data-Transport'!$F$14:$F$4704,'Mar20-Aug20 Transport Actuals'!I$6)</f>
        <v>0</v>
      </c>
      <c r="J218" s="196">
        <f>SUMIFS('Data-Transport'!$G$14:$G$4704,'Data-Transport'!$A$14:$A$4704,'Mar20-Aug20 Transport Actuals'!J$4,'Data-Transport'!$B$14:$B$4704,'Mar20-Aug20 Transport Actuals'!$C$218,'Data-Transport'!$D$14:$D$4704,'Mar20-Aug20 Transport Actuals'!$F$218,'Data-Transport'!$E$14:$E$4704,'Mar20-Aug20 Transport Actuals'!$H$218,'Data-Transport'!$F$14:$F$4704,'Mar20-Aug20 Transport Actuals'!J$6)</f>
        <v>0</v>
      </c>
      <c r="K218" s="196">
        <f>SUMIFS('Data-Transport'!$G$14:$G$4704,'Data-Transport'!$A$14:$A$4704,'Mar20-Aug20 Transport Actuals'!K$4,'Data-Transport'!$B$14:$B$4704,'Mar20-Aug20 Transport Actuals'!$C$218,'Data-Transport'!$D$14:$D$4704,'Mar20-Aug20 Transport Actuals'!$F$218,'Data-Transport'!$E$14:$E$4704,'Mar20-Aug20 Transport Actuals'!$H$218,'Data-Transport'!$F$14:$F$4704,'Mar20-Aug20 Transport Actuals'!K$6)</f>
        <v>0</v>
      </c>
      <c r="L218" s="196">
        <f>SUMIFS('Data-Transport'!$G$14:$G$4704,'Data-Transport'!$A$14:$A$4704,'Mar20-Aug20 Transport Actuals'!L$4,'Data-Transport'!$B$14:$B$4704,'Mar20-Aug20 Transport Actuals'!$C$218,'Data-Transport'!$D$14:$D$4704,'Mar20-Aug20 Transport Actuals'!$F$218,'Data-Transport'!$E$14:$E$4704,'Mar20-Aug20 Transport Actuals'!$H$218,'Data-Transport'!$F$14:$F$4704,'Mar20-Aug20 Transport Actuals'!L$6)</f>
        <v>0</v>
      </c>
      <c r="M218" s="196">
        <f>SUMIFS('Data-Transport'!$G$14:$G$4704,'Data-Transport'!$A$14:$A$4704,'Mar20-Aug20 Transport Actuals'!M$4,'Data-Transport'!$B$14:$B$4704,'Mar20-Aug20 Transport Actuals'!$C$218,'Data-Transport'!$D$14:$D$4704,'Mar20-Aug20 Transport Actuals'!$F$218,'Data-Transport'!$E$14:$E$4704,'Mar20-Aug20 Transport Actuals'!$H$218,'Data-Transport'!$F$14:$F$4704,'Mar20-Aug20 Transport Actuals'!M$6)</f>
        <v>0</v>
      </c>
      <c r="N218" s="196">
        <f>SUMIFS('Data-Transport'!$G$14:$G$4704,'Data-Transport'!$A$14:$A$4704,'Mar20-Aug20 Transport Actuals'!N$4,'Data-Transport'!$B$14:$B$4704,'Mar20-Aug20 Transport Actuals'!$C$218,'Data-Transport'!$D$14:$D$4704,'Mar20-Aug20 Transport Actuals'!$F$218,'Data-Transport'!$E$14:$E$4704,'Mar20-Aug20 Transport Actuals'!$H$218,'Data-Transport'!$F$14:$F$4704,'Mar20-Aug20 Transport Actuals'!N$6)</f>
        <v>0</v>
      </c>
      <c r="O218" s="196">
        <f>SUMIFS('Data-Transport'!$G$14:$G$4704,'Data-Transport'!$A$14:$A$4704,'Mar20-Aug20 Transport Actuals'!O$4,'Data-Transport'!$B$14:$B$4704,'Mar20-Aug20 Transport Actuals'!$C$218,'Data-Transport'!$D$14:$D$4704,'Mar20-Aug20 Transport Actuals'!$F$218,'Data-Transport'!$E$14:$E$4704,'Mar20-Aug20 Transport Actuals'!$H$218,'Data-Transport'!$F$14:$F$4704,'Mar20-Aug20 Transport Actuals'!O$6)</f>
        <v>0</v>
      </c>
      <c r="P218" s="312"/>
      <c r="Q218" s="869"/>
      <c r="R218" s="869"/>
    </row>
    <row r="219" spans="3:18" x14ac:dyDescent="0.25">
      <c r="C219" s="169" t="s">
        <v>47</v>
      </c>
      <c r="D219" s="169" t="str">
        <f t="shared" si="66"/>
        <v>891</v>
      </c>
      <c r="E219" s="167" t="s">
        <v>471</v>
      </c>
      <c r="F219" s="317" t="s">
        <v>470</v>
      </c>
      <c r="G219" s="175" t="s">
        <v>106</v>
      </c>
      <c r="H219" s="167"/>
      <c r="I219" s="470">
        <f>I210*I213</f>
        <v>0</v>
      </c>
      <c r="J219" s="212">
        <f t="shared" ref="J219:O219" si="67">J210*J213</f>
        <v>0</v>
      </c>
      <c r="K219" s="212">
        <f t="shared" si="67"/>
        <v>0</v>
      </c>
      <c r="L219" s="212">
        <f t="shared" si="67"/>
        <v>0</v>
      </c>
      <c r="M219" s="212">
        <f t="shared" si="67"/>
        <v>0</v>
      </c>
      <c r="N219" s="212">
        <f t="shared" si="67"/>
        <v>0</v>
      </c>
      <c r="O219" s="212">
        <f t="shared" si="67"/>
        <v>0</v>
      </c>
      <c r="P219" s="314">
        <f>SUM(I219:N219)</f>
        <v>0</v>
      </c>
      <c r="Q219" s="869"/>
      <c r="R219" s="869"/>
    </row>
    <row r="220" spans="3:18" x14ac:dyDescent="0.25">
      <c r="C220" s="169" t="s">
        <v>47</v>
      </c>
      <c r="D220" s="169" t="str">
        <f t="shared" si="66"/>
        <v>891</v>
      </c>
      <c r="E220" s="167" t="s">
        <v>471</v>
      </c>
      <c r="F220" s="317" t="s">
        <v>470</v>
      </c>
      <c r="G220" s="175" t="s">
        <v>166</v>
      </c>
      <c r="H220" s="156" t="s">
        <v>109</v>
      </c>
      <c r="I220" s="459">
        <f>SUMIFS('Data-Transport'!$O$14:$O$4704,'Data-Transport'!$A$14:$A$4704,'Mar20-Aug20 Transport Actuals'!I$4,'Data-Transport'!$B$14:$B$4704,'Mar20-Aug20 Transport Actuals'!$C$220,'Data-Transport'!$D$14:$D$4704,'Mar20-Aug20 Transport Actuals'!$F$220,'Data-Transport'!$E$14:$E$4704,'Mar20-Aug20 Transport Actuals'!$H$220,'Data-Transport'!$F$14:$F$4704,'Mar20-Aug20 Transport Actuals'!I$6)</f>
        <v>0</v>
      </c>
      <c r="J220" s="196">
        <f>SUMIFS('Data-Transport'!$O$14:$O$4704,'Data-Transport'!$A$14:$A$4704,'Mar20-Aug20 Transport Actuals'!J$4,'Data-Transport'!$B$14:$B$4704,'Mar20-Aug20 Transport Actuals'!$C$220,'Data-Transport'!$D$14:$D$4704,'Mar20-Aug20 Transport Actuals'!$F$220,'Data-Transport'!$E$14:$E$4704,'Mar20-Aug20 Transport Actuals'!$H$220,'Data-Transport'!$F$14:$F$4704,'Mar20-Aug20 Transport Actuals'!J$6)</f>
        <v>0</v>
      </c>
      <c r="K220" s="196">
        <f>SUMIFS('Data-Transport'!$O$14:$O$4704,'Data-Transport'!$A$14:$A$4704,'Mar20-Aug20 Transport Actuals'!K$4,'Data-Transport'!$B$14:$B$4704,'Mar20-Aug20 Transport Actuals'!$C$220,'Data-Transport'!$D$14:$D$4704,'Mar20-Aug20 Transport Actuals'!$F$220,'Data-Transport'!$E$14:$E$4704,'Mar20-Aug20 Transport Actuals'!$H$220,'Data-Transport'!$F$14:$F$4704,'Mar20-Aug20 Transport Actuals'!K$6)</f>
        <v>0</v>
      </c>
      <c r="L220" s="196">
        <f>SUMIFS('Data-Transport'!$O$14:$O$4704,'Data-Transport'!$A$14:$A$4704,'Mar20-Aug20 Transport Actuals'!L$4,'Data-Transport'!$B$14:$B$4704,'Mar20-Aug20 Transport Actuals'!$C$220,'Data-Transport'!$D$14:$D$4704,'Mar20-Aug20 Transport Actuals'!$F$220,'Data-Transport'!$E$14:$E$4704,'Mar20-Aug20 Transport Actuals'!$H$220,'Data-Transport'!$F$14:$F$4704,'Mar20-Aug20 Transport Actuals'!L$6)</f>
        <v>0</v>
      </c>
      <c r="M220" s="196">
        <f>SUMIFS('Data-Transport'!$O$14:$O$4704,'Data-Transport'!$A$14:$A$4704,'Mar20-Aug20 Transport Actuals'!M$4,'Data-Transport'!$B$14:$B$4704,'Mar20-Aug20 Transport Actuals'!$C$220,'Data-Transport'!$D$14:$D$4704,'Mar20-Aug20 Transport Actuals'!$F$220,'Data-Transport'!$E$14:$E$4704,'Mar20-Aug20 Transport Actuals'!$H$220,'Data-Transport'!$F$14:$F$4704,'Mar20-Aug20 Transport Actuals'!M$6)</f>
        <v>0</v>
      </c>
      <c r="N220" s="196">
        <f>SUMIFS('Data-Transport'!$O$14:$O$4704,'Data-Transport'!$A$14:$A$4704,'Mar20-Aug20 Transport Actuals'!N$4,'Data-Transport'!$B$14:$B$4704,'Mar20-Aug20 Transport Actuals'!$C$220,'Data-Transport'!$D$14:$D$4704,'Mar20-Aug20 Transport Actuals'!$F$220,'Data-Transport'!$E$14:$E$4704,'Mar20-Aug20 Transport Actuals'!$H$220,'Data-Transport'!$F$14:$F$4704,'Mar20-Aug20 Transport Actuals'!N$6)</f>
        <v>0</v>
      </c>
      <c r="O220" s="196">
        <f>SUMIFS('Data-Transport'!$O$14:$O$4704,'Data-Transport'!$A$14:$A$4704,'Mar20-Aug20 Transport Actuals'!O$4,'Data-Transport'!$B$14:$B$4704,'Mar20-Aug20 Transport Actuals'!$C$220,'Data-Transport'!$D$14:$D$4704,'Mar20-Aug20 Transport Actuals'!$F$220,'Data-Transport'!$E$14:$E$4704,'Mar20-Aug20 Transport Actuals'!$H$220,'Data-Transport'!$F$14:$F$4704,'Mar20-Aug20 Transport Actuals'!O$6)</f>
        <v>0</v>
      </c>
      <c r="P220" s="312"/>
      <c r="Q220" s="869"/>
      <c r="R220" s="869"/>
    </row>
    <row r="221" spans="3:18" x14ac:dyDescent="0.25">
      <c r="C221" s="169" t="s">
        <v>47</v>
      </c>
      <c r="D221" s="169" t="str">
        <f t="shared" si="66"/>
        <v>891</v>
      </c>
      <c r="E221" s="167" t="s">
        <v>471</v>
      </c>
      <c r="F221" s="317" t="s">
        <v>470</v>
      </c>
      <c r="G221" s="175" t="s">
        <v>454</v>
      </c>
      <c r="H221" s="156" t="s">
        <v>357</v>
      </c>
      <c r="I221" s="459">
        <f>SUMIFS('Data-Transport'!$Q$14:$Q$4704,'Data-Transport'!$A$14:$A$4704,'Mar20-Aug20 Transport Actuals'!I$4,'Data-Transport'!$B$14:$B$4704,'Mar20-Aug20 Transport Actuals'!$C$221,'Data-Transport'!$D$14:$D$4704,'Mar20-Aug20 Transport Actuals'!$F$221,'Data-Transport'!$E$14:$E$4704,'Mar20-Aug20 Transport Actuals'!$H$221,'Data-Transport'!$F$14:$F$4704,'Mar20-Aug20 Transport Actuals'!I$6)</f>
        <v>0</v>
      </c>
      <c r="J221" s="196">
        <f>SUMIFS('Data-Transport'!$Q$14:$Q$4704,'Data-Transport'!$A$14:$A$4704,'Mar20-Aug20 Transport Actuals'!J$4,'Data-Transport'!$B$14:$B$4704,'Mar20-Aug20 Transport Actuals'!$C$221,'Data-Transport'!$D$14:$D$4704,'Mar20-Aug20 Transport Actuals'!$F$221,'Data-Transport'!$E$14:$E$4704,'Mar20-Aug20 Transport Actuals'!$H$221,'Data-Transport'!$F$14:$F$4704,'Mar20-Aug20 Transport Actuals'!J$6)</f>
        <v>0</v>
      </c>
      <c r="K221" s="196">
        <f>SUMIFS('Data-Transport'!$Q$14:$Q$4704,'Data-Transport'!$A$14:$A$4704,'Mar20-Aug20 Transport Actuals'!K$4,'Data-Transport'!$B$14:$B$4704,'Mar20-Aug20 Transport Actuals'!$C$221,'Data-Transport'!$D$14:$D$4704,'Mar20-Aug20 Transport Actuals'!$F$221,'Data-Transport'!$E$14:$E$4704,'Mar20-Aug20 Transport Actuals'!$H$221,'Data-Transport'!$F$14:$F$4704,'Mar20-Aug20 Transport Actuals'!K$6)</f>
        <v>0</v>
      </c>
      <c r="L221" s="196">
        <f>SUMIFS('Data-Transport'!$Q$14:$Q$4704,'Data-Transport'!$A$14:$A$4704,'Mar20-Aug20 Transport Actuals'!L$4,'Data-Transport'!$B$14:$B$4704,'Mar20-Aug20 Transport Actuals'!$C$221,'Data-Transport'!$D$14:$D$4704,'Mar20-Aug20 Transport Actuals'!$F$221,'Data-Transport'!$E$14:$E$4704,'Mar20-Aug20 Transport Actuals'!$H$221,'Data-Transport'!$F$14:$F$4704,'Mar20-Aug20 Transport Actuals'!L$6)</f>
        <v>0</v>
      </c>
      <c r="M221" s="196">
        <f>SUMIFS('Data-Transport'!$Q$14:$Q$4704,'Data-Transport'!$A$14:$A$4704,'Mar20-Aug20 Transport Actuals'!M$4,'Data-Transport'!$B$14:$B$4704,'Mar20-Aug20 Transport Actuals'!$C$221,'Data-Transport'!$D$14:$D$4704,'Mar20-Aug20 Transport Actuals'!$F$221,'Data-Transport'!$E$14:$E$4704,'Mar20-Aug20 Transport Actuals'!$H$221,'Data-Transport'!$F$14:$F$4704,'Mar20-Aug20 Transport Actuals'!M$6)</f>
        <v>0</v>
      </c>
      <c r="N221" s="196">
        <f>SUMIFS('Data-Transport'!$Q$14:$Q$4704,'Data-Transport'!$A$14:$A$4704,'Mar20-Aug20 Transport Actuals'!N$4,'Data-Transport'!$B$14:$B$4704,'Mar20-Aug20 Transport Actuals'!$C$221,'Data-Transport'!$D$14:$D$4704,'Mar20-Aug20 Transport Actuals'!$F$221,'Data-Transport'!$E$14:$E$4704,'Mar20-Aug20 Transport Actuals'!$H$221,'Data-Transport'!$F$14:$F$4704,'Mar20-Aug20 Transport Actuals'!N$6)</f>
        <v>0</v>
      </c>
      <c r="O221" s="196">
        <f>SUMIFS('Data-Transport'!$Q$14:$Q$4704,'Data-Transport'!$A$14:$A$4704,'Mar20-Aug20 Transport Actuals'!O$4,'Data-Transport'!$B$14:$B$4704,'Mar20-Aug20 Transport Actuals'!$C$221,'Data-Transport'!$D$14:$D$4704,'Mar20-Aug20 Transport Actuals'!$F$221,'Data-Transport'!$E$14:$E$4704,'Mar20-Aug20 Transport Actuals'!$H$221,'Data-Transport'!$F$14:$F$4704,'Mar20-Aug20 Transport Actuals'!O$6)</f>
        <v>0</v>
      </c>
      <c r="P221" s="312"/>
      <c r="Q221" s="869"/>
      <c r="R221" s="869"/>
    </row>
    <row r="222" spans="3:18" x14ac:dyDescent="0.25">
      <c r="C222" s="169"/>
      <c r="D222" s="169"/>
      <c r="E222" s="167"/>
      <c r="F222" s="317"/>
      <c r="G222" s="175"/>
      <c r="H222" s="316"/>
      <c r="I222" s="465"/>
      <c r="J222" s="312"/>
      <c r="K222" s="312"/>
      <c r="L222" s="312"/>
      <c r="M222" s="312"/>
      <c r="N222" s="312"/>
      <c r="O222" s="312"/>
      <c r="P222" s="312"/>
      <c r="Q222" s="869"/>
      <c r="R222" s="869"/>
    </row>
    <row r="223" spans="3:18" x14ac:dyDescent="0.25">
      <c r="C223" s="169" t="s">
        <v>47</v>
      </c>
      <c r="D223" s="169" t="str">
        <f>MID(C223,6,3)</f>
        <v>891</v>
      </c>
      <c r="E223" s="167" t="s">
        <v>471</v>
      </c>
      <c r="F223" s="317" t="s">
        <v>470</v>
      </c>
      <c r="G223" s="175" t="s">
        <v>387</v>
      </c>
      <c r="H223" s="167"/>
      <c r="I223" s="470">
        <f>SUM(I217:I221)</f>
        <v>0</v>
      </c>
      <c r="J223" s="212">
        <f t="shared" ref="J223:O223" si="68">SUM(J217:J221)</f>
        <v>0</v>
      </c>
      <c r="K223" s="212">
        <f t="shared" si="68"/>
        <v>0</v>
      </c>
      <c r="L223" s="212">
        <f t="shared" si="68"/>
        <v>0</v>
      </c>
      <c r="M223" s="212">
        <f t="shared" si="68"/>
        <v>0</v>
      </c>
      <c r="N223" s="212">
        <f t="shared" si="68"/>
        <v>0</v>
      </c>
      <c r="O223" s="212">
        <f t="shared" si="68"/>
        <v>0</v>
      </c>
      <c r="P223" s="314">
        <f>SUM(I223:N223)</f>
        <v>0</v>
      </c>
      <c r="Q223" s="869"/>
      <c r="R223" s="869"/>
    </row>
    <row r="224" spans="3:18" x14ac:dyDescent="0.25">
      <c r="C224" s="169"/>
      <c r="D224" s="169"/>
      <c r="E224" s="167"/>
      <c r="F224" s="317"/>
      <c r="G224" s="175"/>
      <c r="H224" s="167"/>
      <c r="I224" s="169"/>
      <c r="J224" s="167"/>
      <c r="K224" s="167"/>
      <c r="L224" s="167"/>
      <c r="M224" s="167"/>
      <c r="N224" s="167"/>
      <c r="O224" s="167"/>
      <c r="P224" s="167"/>
      <c r="Q224" s="869"/>
      <c r="R224" s="869"/>
    </row>
    <row r="225" spans="3:18" x14ac:dyDescent="0.25">
      <c r="C225" s="169"/>
      <c r="D225" s="169"/>
      <c r="E225" s="167"/>
      <c r="F225" s="317"/>
      <c r="G225" s="175"/>
      <c r="H225" s="167"/>
      <c r="I225" s="169"/>
      <c r="J225" s="167"/>
      <c r="K225" s="167"/>
      <c r="L225" s="167"/>
      <c r="M225" s="167"/>
      <c r="N225" s="167"/>
      <c r="O225" s="167"/>
      <c r="P225" s="167"/>
      <c r="Q225" s="869"/>
      <c r="R225" s="869"/>
    </row>
    <row r="226" spans="3:18" x14ac:dyDescent="0.25">
      <c r="C226" s="169"/>
      <c r="D226" s="169"/>
      <c r="E226" s="167"/>
      <c r="F226" s="317"/>
      <c r="G226" s="175"/>
      <c r="H226" s="167"/>
      <c r="I226" s="169"/>
      <c r="J226" s="167"/>
      <c r="K226" s="167"/>
      <c r="L226" s="167"/>
      <c r="M226" s="167"/>
      <c r="N226" s="167"/>
      <c r="O226" s="167"/>
      <c r="P226" s="167"/>
      <c r="Q226" s="869"/>
      <c r="R226" s="869"/>
    </row>
    <row r="227" spans="3:18" x14ac:dyDescent="0.25">
      <c r="C227" s="169" t="s">
        <v>48</v>
      </c>
      <c r="D227" s="169" t="str">
        <f t="shared" ref="D227:D234" si="69">MID(C227,6,3)</f>
        <v>891</v>
      </c>
      <c r="E227" s="167" t="s">
        <v>472</v>
      </c>
      <c r="F227" s="317" t="s">
        <v>470</v>
      </c>
      <c r="G227" s="175" t="s">
        <v>157</v>
      </c>
      <c r="H227" s="167"/>
      <c r="I227" s="467">
        <f>I231/I228</f>
        <v>0</v>
      </c>
      <c r="J227" s="276">
        <f t="shared" ref="J227:O227" si="70">J231/J228</f>
        <v>0</v>
      </c>
      <c r="K227" s="276">
        <f t="shared" si="70"/>
        <v>0</v>
      </c>
      <c r="L227" s="276">
        <f t="shared" si="70"/>
        <v>0</v>
      </c>
      <c r="M227" s="276">
        <f t="shared" si="70"/>
        <v>0</v>
      </c>
      <c r="N227" s="276">
        <f t="shared" si="70"/>
        <v>0</v>
      </c>
      <c r="O227" s="276">
        <f t="shared" si="70"/>
        <v>0</v>
      </c>
      <c r="P227" s="314">
        <f>SUM(I227:N227)</f>
        <v>0</v>
      </c>
      <c r="Q227" s="869"/>
      <c r="R227" s="869"/>
    </row>
    <row r="228" spans="3:18" x14ac:dyDescent="0.25">
      <c r="C228" s="169" t="s">
        <v>48</v>
      </c>
      <c r="D228" s="169" t="str">
        <f t="shared" si="69"/>
        <v>891</v>
      </c>
      <c r="E228" s="167" t="s">
        <v>472</v>
      </c>
      <c r="F228" s="317" t="s">
        <v>470</v>
      </c>
      <c r="G228" s="175" t="s">
        <v>385</v>
      </c>
      <c r="H228" s="167"/>
      <c r="I228" s="169">
        <f>VLOOKUP($C228,'Retail Rates'!$B$7:$P$60,7,FALSE)</f>
        <v>75</v>
      </c>
      <c r="J228" s="169">
        <f>VLOOKUP($C228,'Retail Rates'!$B$7:$P$60,7,FALSE)</f>
        <v>75</v>
      </c>
      <c r="K228" s="169">
        <f>VLOOKUP($C228,'Retail Rates'!$B$7:$P$60,7,FALSE)</f>
        <v>75</v>
      </c>
      <c r="L228" s="169">
        <f>VLOOKUP($C228,'Retail Rates'!$B$7:$P$60,7,FALSE)</f>
        <v>75</v>
      </c>
      <c r="M228" s="169">
        <f>VLOOKUP($C228,'Retail Rates'!$B$7:$P$60,7,FALSE)</f>
        <v>75</v>
      </c>
      <c r="N228" s="169">
        <f>VLOOKUP($C228,'Retail Rates'!$B$7:$P$60,7,FALSE)</f>
        <v>75</v>
      </c>
      <c r="O228" s="169">
        <f>VLOOKUP($C228,'Retail Rates'!$B$7:$P$60,7,FALSE)</f>
        <v>75</v>
      </c>
      <c r="P228" s="314"/>
      <c r="Q228" s="869"/>
      <c r="R228" s="869"/>
    </row>
    <row r="229" spans="3:18" x14ac:dyDescent="0.25">
      <c r="C229" s="169" t="s">
        <v>48</v>
      </c>
      <c r="D229" s="169" t="str">
        <f t="shared" si="69"/>
        <v>891</v>
      </c>
      <c r="E229" s="167" t="s">
        <v>472</v>
      </c>
      <c r="F229" s="317" t="s">
        <v>470</v>
      </c>
      <c r="G229" s="175"/>
      <c r="H229" s="167"/>
      <c r="I229" s="469"/>
      <c r="J229" s="167"/>
      <c r="K229" s="167"/>
      <c r="L229" s="167"/>
      <c r="M229" s="167"/>
      <c r="N229" s="167"/>
      <c r="O229" s="167"/>
      <c r="P229" s="167"/>
      <c r="Q229" s="869"/>
      <c r="R229" s="869"/>
    </row>
    <row r="230" spans="3:18" x14ac:dyDescent="0.25">
      <c r="C230" s="169" t="s">
        <v>48</v>
      </c>
      <c r="D230" s="169" t="str">
        <f t="shared" si="69"/>
        <v>891</v>
      </c>
      <c r="E230" s="167" t="s">
        <v>472</v>
      </c>
      <c r="F230" s="317" t="s">
        <v>470</v>
      </c>
      <c r="G230" s="313" t="s">
        <v>162</v>
      </c>
      <c r="H230" s="167"/>
      <c r="I230" s="169"/>
      <c r="J230" s="167"/>
      <c r="K230" s="167"/>
      <c r="L230" s="167"/>
      <c r="M230" s="167"/>
      <c r="N230" s="167"/>
      <c r="O230" s="167"/>
      <c r="P230" s="167"/>
      <c r="Q230" s="869"/>
      <c r="R230" s="869"/>
    </row>
    <row r="231" spans="3:18" x14ac:dyDescent="0.25">
      <c r="C231" s="169" t="s">
        <v>48</v>
      </c>
      <c r="D231" s="169" t="str">
        <f t="shared" si="69"/>
        <v>891</v>
      </c>
      <c r="E231" s="167" t="s">
        <v>472</v>
      </c>
      <c r="F231" s="317" t="s">
        <v>470</v>
      </c>
      <c r="G231" s="175" t="s">
        <v>386</v>
      </c>
      <c r="H231" s="156" t="s">
        <v>268</v>
      </c>
      <c r="I231" s="459">
        <f>SUMIFS('Data-Transport'!$I$14:$I$4704,'Data-Transport'!$A$14:$A$4704,'Mar20-Aug20 Transport Actuals'!I$4,'Data-Transport'!$B$14:$B$4704,'Mar20-Aug20 Transport Actuals'!$C$231,'Data-Transport'!$D$14:$D$4704,'Mar20-Aug20 Transport Actuals'!$F$231,'Data-Transport'!$E$14:$E$4704,'Mar20-Aug20 Transport Actuals'!$H$231,'Data-Transport'!$F$14:$F$4704,'Mar20-Aug20 Transport Actuals'!I$7)</f>
        <v>0</v>
      </c>
      <c r="J231" s="196">
        <f>SUMIFS('Data-Transport'!$I$14:$I$4704,'Data-Transport'!$A$14:$A$4704,'Mar20-Aug20 Transport Actuals'!J$4,'Data-Transport'!$B$14:$B$4704,'Mar20-Aug20 Transport Actuals'!$C$231,'Data-Transport'!$D$14:$D$4704,'Mar20-Aug20 Transport Actuals'!$F$231,'Data-Transport'!$E$14:$E$4704,'Mar20-Aug20 Transport Actuals'!$H$231,'Data-Transport'!$F$14:$F$4704,'Mar20-Aug20 Transport Actuals'!J$7)</f>
        <v>0</v>
      </c>
      <c r="K231" s="196">
        <f>SUMIFS('Data-Transport'!$I$14:$I$4704,'Data-Transport'!$A$14:$A$4704,'Mar20-Aug20 Transport Actuals'!K$4,'Data-Transport'!$B$14:$B$4704,'Mar20-Aug20 Transport Actuals'!$C$231,'Data-Transport'!$D$14:$D$4704,'Mar20-Aug20 Transport Actuals'!$F$231,'Data-Transport'!$E$14:$E$4704,'Mar20-Aug20 Transport Actuals'!$H$231,'Data-Transport'!$F$14:$F$4704,'Mar20-Aug20 Transport Actuals'!K$7)</f>
        <v>0</v>
      </c>
      <c r="L231" s="196">
        <f>SUMIFS('Data-Transport'!$I$14:$I$4704,'Data-Transport'!$A$14:$A$4704,'Mar20-Aug20 Transport Actuals'!L$4,'Data-Transport'!$B$14:$B$4704,'Mar20-Aug20 Transport Actuals'!$C$231,'Data-Transport'!$D$14:$D$4704,'Mar20-Aug20 Transport Actuals'!$F$231,'Data-Transport'!$E$14:$E$4704,'Mar20-Aug20 Transport Actuals'!$H$231,'Data-Transport'!$F$14:$F$4704,'Mar20-Aug20 Transport Actuals'!L$7)</f>
        <v>0</v>
      </c>
      <c r="M231" s="196">
        <f>SUMIFS('Data-Transport'!$I$14:$I$4704,'Data-Transport'!$A$14:$A$4704,'Mar20-Aug20 Transport Actuals'!M$4,'Data-Transport'!$B$14:$B$4704,'Mar20-Aug20 Transport Actuals'!$C$231,'Data-Transport'!$D$14:$D$4704,'Mar20-Aug20 Transport Actuals'!$F$231,'Data-Transport'!$E$14:$E$4704,'Mar20-Aug20 Transport Actuals'!$H$231,'Data-Transport'!$F$14:$F$4704,'Mar20-Aug20 Transport Actuals'!M$7)</f>
        <v>0</v>
      </c>
      <c r="N231" s="196">
        <f>SUMIFS('Data-Transport'!$I$14:$I$4704,'Data-Transport'!$A$14:$A$4704,'Mar20-Aug20 Transport Actuals'!N$4,'Data-Transport'!$B$14:$B$4704,'Mar20-Aug20 Transport Actuals'!$C$231,'Data-Transport'!$D$14:$D$4704,'Mar20-Aug20 Transport Actuals'!$F$231,'Data-Transport'!$E$14:$E$4704,'Mar20-Aug20 Transport Actuals'!$H$231,'Data-Transport'!$F$14:$F$4704,'Mar20-Aug20 Transport Actuals'!N$7)</f>
        <v>0</v>
      </c>
      <c r="O231" s="196">
        <f>SUMIFS('Data-Transport'!$I$14:$I$4704,'Data-Transport'!$A$14:$A$4704,'Mar20-Aug20 Transport Actuals'!O$4,'Data-Transport'!$B$14:$B$4704,'Mar20-Aug20 Transport Actuals'!$C$231,'Data-Transport'!$D$14:$D$4704,'Mar20-Aug20 Transport Actuals'!$F$231,'Data-Transport'!$E$14:$E$4704,'Mar20-Aug20 Transport Actuals'!$H$231,'Data-Transport'!$F$14:$F$4704,'Mar20-Aug20 Transport Actuals'!O$7)</f>
        <v>0</v>
      </c>
      <c r="P231" s="314">
        <f>SUM(I231:O231)</f>
        <v>0</v>
      </c>
      <c r="Q231" s="869"/>
      <c r="R231" s="869"/>
    </row>
    <row r="232" spans="3:18" x14ac:dyDescent="0.25">
      <c r="C232" s="169" t="s">
        <v>48</v>
      </c>
      <c r="D232" s="169" t="str">
        <f t="shared" si="69"/>
        <v>891</v>
      </c>
      <c r="E232" s="167" t="s">
        <v>472</v>
      </c>
      <c r="F232" s="317" t="s">
        <v>470</v>
      </c>
      <c r="G232" s="175" t="s">
        <v>148</v>
      </c>
      <c r="H232" s="316"/>
      <c r="I232" s="465">
        <f>I214*I210</f>
        <v>0</v>
      </c>
      <c r="J232" s="312">
        <f t="shared" ref="J232:O232" si="71">J214*J210</f>
        <v>0</v>
      </c>
      <c r="K232" s="312">
        <f t="shared" si="71"/>
        <v>0</v>
      </c>
      <c r="L232" s="312">
        <f t="shared" si="71"/>
        <v>0</v>
      </c>
      <c r="M232" s="312">
        <f t="shared" si="71"/>
        <v>0</v>
      </c>
      <c r="N232" s="312">
        <f t="shared" si="71"/>
        <v>0</v>
      </c>
      <c r="O232" s="312">
        <f t="shared" si="71"/>
        <v>0</v>
      </c>
      <c r="P232" s="314"/>
      <c r="Q232" s="869"/>
      <c r="R232" s="869"/>
    </row>
    <row r="233" spans="3:18" x14ac:dyDescent="0.25">
      <c r="C233" s="169" t="s">
        <v>48</v>
      </c>
      <c r="D233" s="169" t="str">
        <f t="shared" si="69"/>
        <v>891</v>
      </c>
      <c r="E233" s="167" t="s">
        <v>472</v>
      </c>
      <c r="F233" s="317" t="s">
        <v>470</v>
      </c>
      <c r="G233" s="175"/>
      <c r="H233" s="316"/>
      <c r="I233" s="465"/>
      <c r="J233" s="312"/>
      <c r="K233" s="312"/>
      <c r="L233" s="312"/>
      <c r="M233" s="312"/>
      <c r="N233" s="312"/>
      <c r="O233" s="312"/>
      <c r="P233" s="314"/>
      <c r="Q233" s="869"/>
      <c r="R233" s="869"/>
    </row>
    <row r="234" spans="3:18" x14ac:dyDescent="0.25">
      <c r="C234" s="169" t="s">
        <v>48</v>
      </c>
      <c r="D234" s="169" t="str">
        <f t="shared" si="69"/>
        <v>891</v>
      </c>
      <c r="E234" s="167" t="s">
        <v>472</v>
      </c>
      <c r="F234" s="317" t="s">
        <v>470</v>
      </c>
      <c r="G234" s="175" t="s">
        <v>451</v>
      </c>
      <c r="H234" s="167"/>
      <c r="I234" s="470">
        <f>I223+I231+I232</f>
        <v>0</v>
      </c>
      <c r="J234" s="212">
        <f t="shared" ref="J234:O234" si="72">J223+J231+J232</f>
        <v>0</v>
      </c>
      <c r="K234" s="212">
        <f t="shared" si="72"/>
        <v>0</v>
      </c>
      <c r="L234" s="212">
        <f t="shared" si="72"/>
        <v>0</v>
      </c>
      <c r="M234" s="212">
        <f t="shared" si="72"/>
        <v>0</v>
      </c>
      <c r="N234" s="212">
        <f t="shared" si="72"/>
        <v>0</v>
      </c>
      <c r="O234" s="212">
        <f t="shared" si="72"/>
        <v>0</v>
      </c>
      <c r="P234" s="314">
        <f>SUM(I234:O234)</f>
        <v>0</v>
      </c>
      <c r="Q234" s="869"/>
      <c r="R234" s="869"/>
    </row>
    <row r="235" spans="3:18" x14ac:dyDescent="0.25">
      <c r="C235" s="169"/>
      <c r="D235" s="169"/>
      <c r="E235" s="167"/>
      <c r="F235" s="317"/>
      <c r="G235" s="175"/>
      <c r="H235" s="167"/>
      <c r="I235" s="169"/>
      <c r="J235" s="167"/>
      <c r="K235" s="167"/>
      <c r="L235" s="167"/>
      <c r="M235" s="167"/>
      <c r="N235" s="167"/>
      <c r="O235" s="167"/>
      <c r="P235" s="167"/>
      <c r="Q235" s="869"/>
      <c r="R235" s="869"/>
    </row>
    <row r="236" spans="3:18" x14ac:dyDescent="0.25">
      <c r="C236" s="169"/>
      <c r="D236" s="169"/>
      <c r="E236" s="167"/>
      <c r="F236" s="317"/>
      <c r="G236" s="175" t="s">
        <v>473</v>
      </c>
      <c r="H236" s="167"/>
      <c r="I236" s="470">
        <f>I204+I234</f>
        <v>0</v>
      </c>
      <c r="J236" s="212">
        <f t="shared" ref="J236:O236" si="73">J204+J234</f>
        <v>0</v>
      </c>
      <c r="K236" s="212">
        <f t="shared" si="73"/>
        <v>0</v>
      </c>
      <c r="L236" s="212">
        <f t="shared" si="73"/>
        <v>0</v>
      </c>
      <c r="M236" s="212">
        <f t="shared" si="73"/>
        <v>0</v>
      </c>
      <c r="N236" s="212">
        <f t="shared" si="73"/>
        <v>0</v>
      </c>
      <c r="O236" s="212">
        <f t="shared" si="73"/>
        <v>0</v>
      </c>
      <c r="P236" s="167"/>
      <c r="Q236" s="869"/>
      <c r="R236" s="869"/>
    </row>
    <row r="237" spans="3:18" x14ac:dyDescent="0.25">
      <c r="C237" s="169"/>
      <c r="D237" s="169"/>
      <c r="E237" s="167"/>
      <c r="F237" s="317"/>
      <c r="G237" s="175"/>
      <c r="H237" s="167"/>
      <c r="I237" s="169"/>
      <c r="J237" s="167"/>
      <c r="K237" s="167"/>
      <c r="L237" s="167"/>
      <c r="M237" s="167"/>
      <c r="N237" s="167"/>
      <c r="O237" s="167"/>
      <c r="P237" s="167"/>
      <c r="Q237" s="869"/>
      <c r="R237" s="869"/>
    </row>
    <row r="238" spans="3:18" x14ac:dyDescent="0.25">
      <c r="C238" s="169"/>
      <c r="D238" s="169"/>
      <c r="E238" s="167"/>
      <c r="F238" s="317" t="s">
        <v>443</v>
      </c>
      <c r="G238" s="175" t="s">
        <v>274</v>
      </c>
      <c r="H238" s="167"/>
      <c r="I238" s="470">
        <f>SUMIFS('Bruise Report-Tariff'!$C$5:$C$2982,'Bruise Report-Tariff'!$A$5:$A$2982,'Mar20-Aug20 Transport Actuals'!I$4,'Bruise Report-Tariff'!$B$5:$B$2982,'Mar20-Aug20 Transport Actuals'!$F$238)</f>
        <v>0</v>
      </c>
      <c r="J238" s="212">
        <f>SUMIFS('Bruise Report-Tariff'!$C$5:$C$2982,'Bruise Report-Tariff'!$A$5:$A$2982,'Mar20-Aug20 Transport Actuals'!J$4,'Bruise Report-Tariff'!$B$5:$B$2982,'Mar20-Aug20 Transport Actuals'!$F$238)</f>
        <v>0</v>
      </c>
      <c r="K238" s="212">
        <f>SUMIFS('Bruise Report-Tariff'!$C$5:$C$2982,'Bruise Report-Tariff'!$A$5:$A$2982,'Mar20-Aug20 Transport Actuals'!K$4,'Bruise Report-Tariff'!$B$5:$B$2982,'Mar20-Aug20 Transport Actuals'!$F$238)</f>
        <v>0</v>
      </c>
      <c r="L238" s="212">
        <f>SUMIFS('Bruise Report-Tariff'!$C$5:$C$2982,'Bruise Report-Tariff'!$A$5:$A$2982,'Mar20-Aug20 Transport Actuals'!L$4,'Bruise Report-Tariff'!$B$5:$B$2982,'Mar20-Aug20 Transport Actuals'!$F$238)</f>
        <v>0</v>
      </c>
      <c r="M238" s="212">
        <f>SUMIFS('Bruise Report-Tariff'!$C$5:$C$2982,'Bruise Report-Tariff'!$A$5:$A$2982,'Mar20-Aug20 Transport Actuals'!M$4,'Bruise Report-Tariff'!$B$5:$B$2982,'Mar20-Aug20 Transport Actuals'!$F$238)</f>
        <v>0</v>
      </c>
      <c r="N238" s="212">
        <f>SUMIFS('Bruise Report-Tariff'!$C$5:$C$2982,'Bruise Report-Tariff'!$A$5:$A$2982,'Mar20-Aug20 Transport Actuals'!N$4,'Bruise Report-Tariff'!$B$5:$B$2982,'Mar20-Aug20 Transport Actuals'!$F$238)</f>
        <v>0</v>
      </c>
      <c r="O238" s="212">
        <f>SUMIFS('Bruise Report-Tariff'!$C$5:$C$2982,'Bruise Report-Tariff'!$A$5:$A$2982,'Mar20-Aug20 Transport Actuals'!O$4,'Bruise Report-Tariff'!$B$5:$B$2982,'Mar20-Aug20 Transport Actuals'!$F$238)</f>
        <v>0</v>
      </c>
      <c r="P238" s="167"/>
      <c r="Q238" s="869"/>
      <c r="R238" s="869"/>
    </row>
    <row r="239" spans="3:18" x14ac:dyDescent="0.25">
      <c r="C239" s="169"/>
      <c r="D239" s="169"/>
      <c r="E239" s="167"/>
      <c r="F239" s="317"/>
      <c r="G239" s="175"/>
      <c r="H239" s="167"/>
      <c r="I239" s="169"/>
      <c r="J239" s="167"/>
      <c r="K239" s="167"/>
      <c r="L239" s="167"/>
      <c r="M239" s="167"/>
      <c r="N239" s="167"/>
      <c r="O239" s="167"/>
      <c r="P239" s="167"/>
      <c r="Q239" s="869"/>
      <c r="R239" s="869"/>
    </row>
    <row r="240" spans="3:18" x14ac:dyDescent="0.25">
      <c r="C240" s="169"/>
      <c r="D240" s="169"/>
      <c r="E240" s="167"/>
      <c r="F240" s="317"/>
      <c r="G240" s="175" t="s">
        <v>152</v>
      </c>
      <c r="H240" s="167"/>
      <c r="I240" s="470">
        <f>I236-I238</f>
        <v>0</v>
      </c>
      <c r="J240" s="212">
        <f t="shared" ref="J240:O240" si="74">J236-J238</f>
        <v>0</v>
      </c>
      <c r="K240" s="212">
        <f t="shared" si="74"/>
        <v>0</v>
      </c>
      <c r="L240" s="212">
        <f t="shared" si="74"/>
        <v>0</v>
      </c>
      <c r="M240" s="212">
        <f t="shared" si="74"/>
        <v>0</v>
      </c>
      <c r="N240" s="212">
        <f t="shared" si="74"/>
        <v>0</v>
      </c>
      <c r="O240" s="212">
        <f t="shared" si="74"/>
        <v>0</v>
      </c>
      <c r="P240" s="167"/>
      <c r="Q240" s="869"/>
      <c r="R240" s="869"/>
    </row>
    <row r="241" spans="3:18" x14ac:dyDescent="0.25">
      <c r="C241" s="169"/>
      <c r="D241" s="169"/>
      <c r="E241" s="167"/>
      <c r="F241" s="167"/>
      <c r="G241" s="319" t="s">
        <v>456</v>
      </c>
      <c r="H241" s="167"/>
      <c r="I241" s="169"/>
      <c r="J241" s="167"/>
      <c r="K241" s="167"/>
      <c r="L241" s="167"/>
      <c r="M241" s="167"/>
      <c r="N241" s="167"/>
      <c r="O241" s="167"/>
      <c r="P241" s="167"/>
      <c r="Q241" s="869"/>
      <c r="R241" s="869"/>
    </row>
    <row r="242" spans="3:18" x14ac:dyDescent="0.25">
      <c r="C242" s="167"/>
      <c r="D242" s="167"/>
      <c r="E242" s="167"/>
      <c r="F242" s="167"/>
      <c r="G242" s="168" t="s">
        <v>238</v>
      </c>
      <c r="H242" s="167"/>
      <c r="I242" s="169"/>
      <c r="J242" s="169"/>
      <c r="K242" s="169"/>
      <c r="L242" s="169"/>
      <c r="M242" s="169"/>
      <c r="N242" s="169"/>
      <c r="O242" s="169"/>
      <c r="P242" s="167"/>
      <c r="Q242" s="869"/>
      <c r="R242" s="869"/>
    </row>
    <row r="243" spans="3:18" x14ac:dyDescent="0.25">
      <c r="C243" s="169" t="s">
        <v>31</v>
      </c>
      <c r="D243" s="169" t="str">
        <f t="shared" ref="D243:D259" si="75">MID(C243,6,3)</f>
        <v>882</v>
      </c>
      <c r="E243" s="167" t="str">
        <f>VLOOKUP($C243,'Retail Rates'!$B$7:$P$40,2,FALSE)</f>
        <v>IGS TS-2</v>
      </c>
      <c r="F243" s="169" t="s">
        <v>320</v>
      </c>
      <c r="G243" s="170" t="s">
        <v>157</v>
      </c>
      <c r="H243" s="167"/>
      <c r="I243" s="480">
        <f>+I254/I248</f>
        <v>2</v>
      </c>
      <c r="J243" s="480">
        <f>+J254/J248</f>
        <v>2</v>
      </c>
      <c r="K243" s="480">
        <f t="shared" ref="K243:O243" si="76">+K254/K248</f>
        <v>2</v>
      </c>
      <c r="L243" s="480">
        <f t="shared" si="76"/>
        <v>2</v>
      </c>
      <c r="M243" s="480">
        <f t="shared" si="76"/>
        <v>2</v>
      </c>
      <c r="N243" s="480">
        <f t="shared" si="76"/>
        <v>2</v>
      </c>
      <c r="O243" s="480">
        <f t="shared" si="76"/>
        <v>2</v>
      </c>
      <c r="P243" s="871">
        <f>SUM(I243:N243)</f>
        <v>12</v>
      </c>
      <c r="Q243" s="869"/>
      <c r="R243" s="869"/>
    </row>
    <row r="244" spans="3:18" x14ac:dyDescent="0.25">
      <c r="C244" s="169" t="s">
        <v>31</v>
      </c>
      <c r="D244" s="169" t="str">
        <f t="shared" si="75"/>
        <v>882</v>
      </c>
      <c r="E244" s="167" t="str">
        <f>VLOOKUP($C244,'Retail Rates'!$B$7:$P$40,2,FALSE)</f>
        <v>IGS TS-2</v>
      </c>
      <c r="F244" s="169" t="s">
        <v>320</v>
      </c>
      <c r="G244" s="170" t="s">
        <v>358</v>
      </c>
      <c r="H244" s="167"/>
      <c r="I244" s="462">
        <f>I246</f>
        <v>5294</v>
      </c>
      <c r="J244" s="462">
        <f>J246</f>
        <v>11851.4</v>
      </c>
      <c r="K244" s="462">
        <f>100*K243</f>
        <v>200</v>
      </c>
      <c r="L244" s="462">
        <f t="shared" ref="L244:O244" si="77">100*L243</f>
        <v>200</v>
      </c>
      <c r="M244" s="462">
        <f t="shared" si="77"/>
        <v>200</v>
      </c>
      <c r="N244" s="462">
        <f t="shared" si="77"/>
        <v>200</v>
      </c>
      <c r="O244" s="462">
        <f t="shared" si="77"/>
        <v>200</v>
      </c>
      <c r="P244" s="871">
        <f t="shared" ref="P244:P247" si="78">SUM(I244:N244)</f>
        <v>17945.400000000001</v>
      </c>
      <c r="Q244" s="869"/>
      <c r="R244" s="869"/>
    </row>
    <row r="245" spans="3:18" x14ac:dyDescent="0.25">
      <c r="C245" s="169" t="s">
        <v>31</v>
      </c>
      <c r="D245" s="169" t="str">
        <f t="shared" si="75"/>
        <v>882</v>
      </c>
      <c r="E245" s="167" t="str">
        <f>VLOOKUP($C245,'Retail Rates'!$B$7:$P$40,2,FALSE)</f>
        <v>IGS TS-2</v>
      </c>
      <c r="F245" s="169" t="s">
        <v>320</v>
      </c>
      <c r="G245" s="170" t="s">
        <v>245</v>
      </c>
      <c r="H245" s="167"/>
      <c r="I245" s="462">
        <f>+I246-I244</f>
        <v>0</v>
      </c>
      <c r="J245" s="462">
        <f>+J246-J244</f>
        <v>0</v>
      </c>
      <c r="K245" s="462">
        <f t="shared" ref="K245:L245" si="79">+K246-K244</f>
        <v>10959.8</v>
      </c>
      <c r="L245" s="462">
        <f t="shared" si="79"/>
        <v>9445.7000000000007</v>
      </c>
      <c r="M245" s="462">
        <f t="shared" ref="M245" si="80">+M246-M244</f>
        <v>11270.7</v>
      </c>
      <c r="N245" s="462">
        <f t="shared" ref="N245" si="81">+N246-N244</f>
        <v>8031.7000000000007</v>
      </c>
      <c r="O245" s="462">
        <f>+O246-O244</f>
        <v>7547.9</v>
      </c>
      <c r="P245" s="871">
        <f t="shared" si="78"/>
        <v>39707.9</v>
      </c>
      <c r="Q245" s="869"/>
      <c r="R245" s="869"/>
    </row>
    <row r="246" spans="3:18" x14ac:dyDescent="0.25">
      <c r="C246" s="169" t="s">
        <v>31</v>
      </c>
      <c r="D246" s="169" t="str">
        <f t="shared" si="75"/>
        <v>882</v>
      </c>
      <c r="E246" s="167" t="str">
        <f>VLOOKUP($C246,'Retail Rates'!$B$7:$P$40,2,FALSE)</f>
        <v>IGS TS-2</v>
      </c>
      <c r="F246" s="169" t="s">
        <v>320</v>
      </c>
      <c r="G246" s="170" t="s">
        <v>246</v>
      </c>
      <c r="H246" s="156" t="s">
        <v>265</v>
      </c>
      <c r="I246" s="471">
        <f>SUMIFS('Data-Transport'!$H$14:$H$4704,'Data-Transport'!$A$6:$A$4696,'Mar20-Aug20 Transport Actuals'!I$4,'Data-Transport'!$B$14:$B$4704,'Mar20-Aug20 Transport Actuals'!$C$246,'Data-Transport'!$D$14:$D$4704,'Mar20-Aug20 Transport Actuals'!$F$246,'Data-Transport'!$E$14:$E$4704,'Mar20-Aug20 Transport Actuals'!$H$246,'Data-Transport'!$F$14:$F$4704,'Mar20-Aug20 Transport Actuals'!I$6)/10</f>
        <v>5294</v>
      </c>
      <c r="J246" s="471">
        <f>SUMIFS('Data-Transport'!$H$14:$H$4704,'Data-Transport'!$A$6:$A$4696,'Mar20-Aug20 Transport Actuals'!J$4,'Data-Transport'!$B$14:$B$4704,'Mar20-Aug20 Transport Actuals'!$C$246,'Data-Transport'!$D$14:$D$4704,'Mar20-Aug20 Transport Actuals'!$F$246,'Data-Transport'!$E$14:$E$4704,'Mar20-Aug20 Transport Actuals'!$H$246,'Data-Transport'!$F$14:$F$4704,'Mar20-Aug20 Transport Actuals'!J$6)/10</f>
        <v>11851.4</v>
      </c>
      <c r="K246" s="471">
        <f>SUMIFS('Data-Transport'!$H$14:$H$4704,'Data-Transport'!$A$6:$A$4696,'Mar20-Aug20 Transport Actuals'!K$4,'Data-Transport'!$B$14:$B$4704,'Mar20-Aug20 Transport Actuals'!$C$246,'Data-Transport'!$D$14:$D$4704,'Mar20-Aug20 Transport Actuals'!$F$246,'Data-Transport'!$E$14:$E$4704,'Mar20-Aug20 Transport Actuals'!$H$246,'Data-Transport'!$F$14:$F$4704,'Mar20-Aug20 Transport Actuals'!K$6)/10</f>
        <v>11159.8</v>
      </c>
      <c r="L246" s="471">
        <f>SUMIFS('Data-Transport'!$H$14:$H$4704,'Data-Transport'!$A$6:$A$4696,'Mar20-Aug20 Transport Actuals'!L$4,'Data-Transport'!$B$14:$B$4704,'Mar20-Aug20 Transport Actuals'!$C$246,'Data-Transport'!$D$14:$D$4704,'Mar20-Aug20 Transport Actuals'!$F$246,'Data-Transport'!$E$14:$E$4704,'Mar20-Aug20 Transport Actuals'!$H$246,'Data-Transport'!$F$14:$F$4704,'Mar20-Aug20 Transport Actuals'!L$6)/10</f>
        <v>9645.7000000000007</v>
      </c>
      <c r="M246" s="471">
        <f>SUMIFS('Data-Transport'!$H$14:$H$4704,'Data-Transport'!$A$6:$A$4696,'Mar20-Aug20 Transport Actuals'!M$4,'Data-Transport'!$B$14:$B$4704,'Mar20-Aug20 Transport Actuals'!$C$246,'Data-Transport'!$D$14:$D$4704,'Mar20-Aug20 Transport Actuals'!$F$246,'Data-Transport'!$E$14:$E$4704,'Mar20-Aug20 Transport Actuals'!$H$246,'Data-Transport'!$F$14:$F$4704,'Mar20-Aug20 Transport Actuals'!M$6)/10</f>
        <v>11470.7</v>
      </c>
      <c r="N246" s="471">
        <f>SUMIFS('Data-Transport'!$H$14:$H$4704,'Data-Transport'!$A$6:$A$4696,'Mar20-Aug20 Transport Actuals'!N$4,'Data-Transport'!$B$14:$B$4704,'Mar20-Aug20 Transport Actuals'!$C$246,'Data-Transport'!$D$14:$D$4704,'Mar20-Aug20 Transport Actuals'!$F$246,'Data-Transport'!$E$14:$E$4704,'Mar20-Aug20 Transport Actuals'!$H$246,'Data-Transport'!$F$14:$F$4704,'Mar20-Aug20 Transport Actuals'!N$6)/10</f>
        <v>8231.7000000000007</v>
      </c>
      <c r="O246" s="471">
        <f>SUMIFS('Data-Transport'!$H$14:$H$4704,'Data-Transport'!$A$6:$A$4696,'Mar20-Aug20 Transport Actuals'!O$4,'Data-Transport'!$B$14:$B$4704,'Mar20-Aug20 Transport Actuals'!$Q$246,'Data-Transport'!$D$14:$D$4704,'Mar20-Aug20 Transport Actuals'!$F$246,'Data-Transport'!$E$14:$E$4704,'Mar20-Aug20 Transport Actuals'!$R$246,'Data-Transport'!$F$14:$F$4704,'Mar20-Aug20 Transport Actuals'!O$6)/10</f>
        <v>7747.9</v>
      </c>
      <c r="P246" s="871">
        <f t="shared" si="78"/>
        <v>57653.3</v>
      </c>
      <c r="Q246" s="869" t="s">
        <v>1055</v>
      </c>
      <c r="R246" s="869" t="s">
        <v>265</v>
      </c>
    </row>
    <row r="247" spans="3:18" x14ac:dyDescent="0.25">
      <c r="C247" s="169" t="s">
        <v>31</v>
      </c>
      <c r="D247" s="169" t="str">
        <f t="shared" si="75"/>
        <v>882</v>
      </c>
      <c r="E247" s="167" t="str">
        <f>VLOOKUP($C247,'Retail Rates'!$B$7:$P$40,2,FALSE)</f>
        <v>IGS TS-2</v>
      </c>
      <c r="F247" s="169" t="s">
        <v>320</v>
      </c>
      <c r="G247" s="171"/>
      <c r="H247" s="167"/>
      <c r="I247" s="169"/>
      <c r="J247" s="169"/>
      <c r="K247" s="169"/>
      <c r="L247" s="169"/>
      <c r="M247" s="169"/>
      <c r="N247" s="169"/>
      <c r="O247" s="169"/>
      <c r="P247" s="871">
        <f t="shared" si="78"/>
        <v>0</v>
      </c>
      <c r="Q247" s="869"/>
      <c r="R247" s="869"/>
    </row>
    <row r="248" spans="3:18" x14ac:dyDescent="0.25">
      <c r="C248" s="169" t="s">
        <v>31</v>
      </c>
      <c r="D248" s="169" t="str">
        <f t="shared" si="75"/>
        <v>882</v>
      </c>
      <c r="E248" s="167" t="str">
        <f>VLOOKUP($C248,'Retail Rates'!$B$7:$P$40,2,FALSE)</f>
        <v>IGS TS-2</v>
      </c>
      <c r="F248" s="169" t="s">
        <v>320</v>
      </c>
      <c r="G248" s="170" t="s">
        <v>159</v>
      </c>
      <c r="H248" s="167"/>
      <c r="I248" s="477">
        <f>VLOOKUP($C248,'Retail Rates'!$B$7:$P$40,6,FALSE)</f>
        <v>550</v>
      </c>
      <c r="J248" s="477">
        <f>VLOOKUP($C248,'Retail Rates'!$B$7:$P$40,6,FALSE)</f>
        <v>550</v>
      </c>
      <c r="K248" s="477">
        <f>VLOOKUP($C248,'Retail Rates'!$B$7:$P$40,6,FALSE)</f>
        <v>550</v>
      </c>
      <c r="L248" s="477">
        <f>VLOOKUP($C248,'Retail Rates'!$B$7:$P$40,6,FALSE)</f>
        <v>550</v>
      </c>
      <c r="M248" s="477">
        <f>VLOOKUP($C248,'Retail Rates'!$B$7:$P$40,6,FALSE)</f>
        <v>550</v>
      </c>
      <c r="N248" s="477">
        <f>VLOOKUP($C248,'Retail Rates'!$B$7:$P$40,6,FALSE)</f>
        <v>550</v>
      </c>
      <c r="O248" s="477">
        <f>VLOOKUP($C248,'Retail Rates'!$B$7:$P$40,6,FALSE)</f>
        <v>550</v>
      </c>
      <c r="P248" s="871"/>
      <c r="Q248" s="869"/>
      <c r="R248" s="869"/>
    </row>
    <row r="249" spans="3:18" x14ac:dyDescent="0.25">
      <c r="C249" s="169" t="s">
        <v>31</v>
      </c>
      <c r="D249" s="169" t="str">
        <f t="shared" si="75"/>
        <v>882</v>
      </c>
      <c r="E249" s="167" t="str">
        <f>VLOOKUP($C249,'Retail Rates'!$B$7:$P$40,2,FALSE)</f>
        <v>IGS TS-2</v>
      </c>
      <c r="F249" s="169" t="s">
        <v>320</v>
      </c>
      <c r="G249" s="170" t="s">
        <v>289</v>
      </c>
      <c r="H249" s="167"/>
      <c r="I249" s="477">
        <v>24.64</v>
      </c>
      <c r="J249" s="477">
        <v>24.64</v>
      </c>
      <c r="K249" s="477">
        <v>24.64</v>
      </c>
      <c r="L249" s="477">
        <v>24.64</v>
      </c>
      <c r="M249" s="477">
        <v>24.64</v>
      </c>
      <c r="N249" s="477">
        <v>24.64</v>
      </c>
      <c r="O249" s="477">
        <v>24.64</v>
      </c>
      <c r="P249" s="871"/>
      <c r="Q249" s="869"/>
      <c r="R249" s="869"/>
    </row>
    <row r="250" spans="3:18" x14ac:dyDescent="0.25">
      <c r="C250" s="169" t="s">
        <v>31</v>
      </c>
      <c r="D250" s="169" t="str">
        <f t="shared" si="75"/>
        <v>882</v>
      </c>
      <c r="E250" s="167" t="str">
        <f>VLOOKUP($C250,'Retail Rates'!$B$7:$P$40,2,FALSE)</f>
        <v>IGS TS-2</v>
      </c>
      <c r="F250" s="169" t="s">
        <v>320</v>
      </c>
      <c r="G250" s="170" t="s">
        <v>359</v>
      </c>
      <c r="H250" s="167"/>
      <c r="I250" s="477">
        <f>VLOOKUP($C250,'Retail Rates'!$B$7:$P$40,10,FALSE)</f>
        <v>2.1929000000000003</v>
      </c>
      <c r="J250" s="477">
        <f>VLOOKUP($C250,'Retail Rates'!$B$7:$P$40,10,FALSE)</f>
        <v>2.1929000000000003</v>
      </c>
      <c r="K250" s="477">
        <f>VLOOKUP($C250,'Retail Rates'!$B$7:$P$40,10,FALSE)</f>
        <v>2.1929000000000003</v>
      </c>
      <c r="L250" s="477">
        <f>VLOOKUP($C250,'Retail Rates'!$B$7:$P$40,10,FALSE)</f>
        <v>2.1929000000000003</v>
      </c>
      <c r="M250" s="477">
        <f>VLOOKUP($C250,'Retail Rates'!$B$7:$P$40,10,FALSE)</f>
        <v>2.1929000000000003</v>
      </c>
      <c r="N250" s="477">
        <f>VLOOKUP($C250,'Retail Rates'!$B$7:$P$40,10,FALSE)</f>
        <v>2.1929000000000003</v>
      </c>
      <c r="O250" s="477">
        <f>VLOOKUP($C250,'Retail Rates'!$B$7:$P$40,10,FALSE)</f>
        <v>2.1929000000000003</v>
      </c>
      <c r="P250" s="871"/>
      <c r="Q250" s="869"/>
      <c r="R250" s="869"/>
    </row>
    <row r="251" spans="3:18" x14ac:dyDescent="0.25">
      <c r="C251" s="169" t="s">
        <v>31</v>
      </c>
      <c r="D251" s="169" t="str">
        <f t="shared" si="75"/>
        <v>882</v>
      </c>
      <c r="E251" s="167" t="str">
        <f>VLOOKUP($C251,'Retail Rates'!$B$7:$P$40,2,FALSE)</f>
        <v>IGS TS-2</v>
      </c>
      <c r="F251" s="169" t="s">
        <v>320</v>
      </c>
      <c r="G251" s="170" t="s">
        <v>360</v>
      </c>
      <c r="H251" s="167"/>
      <c r="I251" s="477">
        <f t="shared" ref="I251:J251" si="82">+I250-0.5</f>
        <v>1.6929000000000003</v>
      </c>
      <c r="J251" s="477">
        <f t="shared" si="82"/>
        <v>1.6929000000000003</v>
      </c>
      <c r="K251" s="477">
        <f t="shared" ref="K251" si="83">+K250-0.5</f>
        <v>1.6929000000000003</v>
      </c>
      <c r="L251" s="477">
        <f t="shared" ref="L251" si="84">+L250-0.5</f>
        <v>1.6929000000000003</v>
      </c>
      <c r="M251" s="477">
        <f t="shared" ref="M251" si="85">+M250-0.5</f>
        <v>1.6929000000000003</v>
      </c>
      <c r="N251" s="477">
        <f t="shared" ref="N251" si="86">+N250-0.5</f>
        <v>1.6929000000000003</v>
      </c>
      <c r="O251" s="477">
        <f t="shared" ref="O251" si="87">+O250-0.5</f>
        <v>1.6929000000000003</v>
      </c>
      <c r="P251" s="871"/>
      <c r="Q251" s="869"/>
      <c r="R251" s="869"/>
    </row>
    <row r="252" spans="3:18" x14ac:dyDescent="0.25">
      <c r="C252" s="169" t="s">
        <v>31</v>
      </c>
      <c r="D252" s="169" t="str">
        <f t="shared" si="75"/>
        <v>882</v>
      </c>
      <c r="E252" s="167" t="str">
        <f>VLOOKUP($C252,'Retail Rates'!$B$7:$P$40,2,FALSE)</f>
        <v>IGS TS-2</v>
      </c>
      <c r="F252" s="169" t="s">
        <v>320</v>
      </c>
      <c r="G252" s="170"/>
      <c r="H252" s="167"/>
      <c r="I252" s="169"/>
      <c r="J252" s="169"/>
      <c r="K252" s="169"/>
      <c r="L252" s="169"/>
      <c r="M252" s="169"/>
      <c r="N252" s="169"/>
      <c r="O252" s="169"/>
      <c r="P252" s="871"/>
      <c r="Q252" s="869"/>
      <c r="R252" s="869"/>
    </row>
    <row r="253" spans="3:18" x14ac:dyDescent="0.25">
      <c r="C253" s="169" t="s">
        <v>31</v>
      </c>
      <c r="D253" s="169" t="str">
        <f t="shared" si="75"/>
        <v>882</v>
      </c>
      <c r="E253" s="167" t="str">
        <f>VLOOKUP($C253,'Retail Rates'!$B$7:$P$40,2,FALSE)</f>
        <v>IGS TS-2</v>
      </c>
      <c r="F253" s="169" t="s">
        <v>320</v>
      </c>
      <c r="G253" s="172" t="s">
        <v>162</v>
      </c>
      <c r="H253" s="167"/>
      <c r="I253" s="169"/>
      <c r="J253" s="169"/>
      <c r="K253" s="169"/>
      <c r="L253" s="169"/>
      <c r="M253" s="169"/>
      <c r="N253" s="169"/>
      <c r="O253" s="169"/>
      <c r="P253" s="871"/>
      <c r="Q253" s="869"/>
      <c r="R253" s="869"/>
    </row>
    <row r="254" spans="3:18" x14ac:dyDescent="0.25">
      <c r="C254" s="169" t="s">
        <v>31</v>
      </c>
      <c r="D254" s="169" t="str">
        <f t="shared" si="75"/>
        <v>882</v>
      </c>
      <c r="E254" s="167" t="str">
        <f>VLOOKUP($C254,'Retail Rates'!$B$7:$P$40,2,FALSE)</f>
        <v>IGS TS-2</v>
      </c>
      <c r="F254" s="169" t="s">
        <v>320</v>
      </c>
      <c r="G254" s="170" t="s">
        <v>159</v>
      </c>
      <c r="H254" s="156" t="s">
        <v>268</v>
      </c>
      <c r="I254" s="459">
        <f>SUMIFS('Data-Transport'!$K$4:$K$10000,'Data-Transport'!$A$4:$A$10000,'Mar20-Aug20 Transport Actuals'!I$4,'Data-Transport'!$B$4:$B$10000,'Mar20-Aug20 Transport Actuals'!$C$254,'Data-Transport'!$D$4:$D$10000,'Mar20-Aug20 Transport Actuals'!$F$254,'Data-Transport'!$E$4:$E$10000,'Mar20-Aug20 Transport Actuals'!$H$254,'Data-Transport'!$F$4:$F$10000,'Mar20-Aug20 Transport Actuals'!I$6)</f>
        <v>1100</v>
      </c>
      <c r="J254" s="459">
        <f>SUMIFS('Data-Transport'!$K$4:$K$10000,'Data-Transport'!$A$4:$A$10000,'Mar20-Aug20 Transport Actuals'!J$4,'Data-Transport'!$B$4:$B$10000,'Mar20-Aug20 Transport Actuals'!$C$254,'Data-Transport'!$D$4:$D$10000,'Mar20-Aug20 Transport Actuals'!$F$254,'Data-Transport'!$E$4:$E$10000,'Mar20-Aug20 Transport Actuals'!$H$254,'Data-Transport'!$F$4:$F$10000,'Mar20-Aug20 Transport Actuals'!J$6)</f>
        <v>1100</v>
      </c>
      <c r="K254" s="459">
        <f>SUMIFS('Data-Transport'!$K$4:$K$10000,'Data-Transport'!$A$4:$A$10000,'Mar20-Aug20 Transport Actuals'!K$4,'Data-Transport'!$B$4:$B$10000,'Mar20-Aug20 Transport Actuals'!$C$254,'Data-Transport'!$D$4:$D$10000,'Mar20-Aug20 Transport Actuals'!$F$254,'Data-Transport'!$E$4:$E$10000,'Mar20-Aug20 Transport Actuals'!$H$254,'Data-Transport'!$F$4:$F$10000,'Mar20-Aug20 Transport Actuals'!K$6)</f>
        <v>1100</v>
      </c>
      <c r="L254" s="459">
        <f>SUMIFS('Data-Transport'!$K$4:$K$10000,'Data-Transport'!$A$4:$A$10000,'Mar20-Aug20 Transport Actuals'!L$4,'Data-Transport'!$B$4:$B$10000,'Mar20-Aug20 Transport Actuals'!$C$254,'Data-Transport'!$D$4:$D$10000,'Mar20-Aug20 Transport Actuals'!$F$254,'Data-Transport'!$E$4:$E$10000,'Mar20-Aug20 Transport Actuals'!$H$254,'Data-Transport'!$F$4:$F$10000,'Mar20-Aug20 Transport Actuals'!L$6)</f>
        <v>1100</v>
      </c>
      <c r="M254" s="459">
        <f>SUMIFS('Data-Transport'!$K$4:$K$10000,'Data-Transport'!$A$4:$A$10000,'Mar20-Aug20 Transport Actuals'!M$4,'Data-Transport'!$B$4:$B$10000,'Mar20-Aug20 Transport Actuals'!$C$254,'Data-Transport'!$D$4:$D$10000,'Mar20-Aug20 Transport Actuals'!$F$254,'Data-Transport'!$E$4:$E$10000,'Mar20-Aug20 Transport Actuals'!$H$254,'Data-Transport'!$F$4:$F$10000,'Mar20-Aug20 Transport Actuals'!M$6)</f>
        <v>1100</v>
      </c>
      <c r="N254" s="459">
        <f>SUMIFS('Data-Transport'!$K$4:$K$10000,'Data-Transport'!$A$4:$A$10000,'Mar20-Aug20 Transport Actuals'!N$4,'Data-Transport'!$B$4:$B$10000,'Mar20-Aug20 Transport Actuals'!$C$254,'Data-Transport'!$D$4:$D$10000,'Mar20-Aug20 Transport Actuals'!$F$254,'Data-Transport'!$E$4:$E$10000,'Mar20-Aug20 Transport Actuals'!$H$254,'Data-Transport'!$F$4:$F$10000,'Mar20-Aug20 Transport Actuals'!N$6)</f>
        <v>1100</v>
      </c>
      <c r="O254" s="459">
        <f>SUMIFS('Data-Transport'!$K$4:$K$10000,'Data-Transport'!$A$4:$A$10000,'Mar20-Aug20 Transport Actuals'!O$4,'Data-Transport'!$B$4:$B$10000,'Mar20-Aug20 Transport Actuals'!$Q$254,'Data-Transport'!$D$4:$D$10000,'Mar20-Aug20 Transport Actuals'!$F$254,'Data-Transport'!$E$4:$E$10000,'Mar20-Aug20 Transport Actuals'!$R$254,'Data-Transport'!$F$4:$F$10000,'Mar20-Aug20 Transport Actuals'!O$6)</f>
        <v>1100</v>
      </c>
      <c r="P254" s="871">
        <f>SUM(I254:N254)</f>
        <v>6600</v>
      </c>
      <c r="Q254" s="869" t="s">
        <v>1055</v>
      </c>
      <c r="R254" s="869" t="s">
        <v>268</v>
      </c>
    </row>
    <row r="255" spans="3:18" x14ac:dyDescent="0.25">
      <c r="C255" s="169" t="s">
        <v>31</v>
      </c>
      <c r="D255" s="169" t="str">
        <f t="shared" si="75"/>
        <v>882</v>
      </c>
      <c r="E255" s="167" t="str">
        <f>VLOOKUP($C255,'Retail Rates'!$B$7:$P$40,2,FALSE)</f>
        <v>IGS TS-2</v>
      </c>
      <c r="F255" s="169" t="s">
        <v>320</v>
      </c>
      <c r="G255" s="170" t="s">
        <v>289</v>
      </c>
      <c r="H255" s="156" t="s">
        <v>272</v>
      </c>
      <c r="I255" s="459">
        <f>SUMIFS('Data-Transport'!$K$4:$K$10000,'Data-Transport'!$A$4:$A$10000,'Mar20-Aug20 Transport Actuals'!I$4,'Data-Transport'!$B$4:$B$10000,'Mar20-Aug20 Transport Actuals'!$C$255,'Data-Transport'!$D$4:$D$10000,'Mar20-Aug20 Transport Actuals'!$F$255,'Data-Transport'!$E$4:$E$10000,'Mar20-Aug20 Transport Actuals'!$H$255,'Data-Transport'!$F$4:$F$10000,'Mar20-Aug20 Transport Actuals'!I$6)</f>
        <v>1429.12</v>
      </c>
      <c r="J255" s="459">
        <f>SUMIFS('Data-Transport'!$K$4:$K$10000,'Data-Transport'!$A$4:$A$10000,'Mar20-Aug20 Transport Actuals'!J$4,'Data-Transport'!$B$4:$B$10000,'Mar20-Aug20 Transport Actuals'!$C$255,'Data-Transport'!$D$4:$D$10000,'Mar20-Aug20 Transport Actuals'!$F$255,'Data-Transport'!$E$4:$E$10000,'Mar20-Aug20 Transport Actuals'!$H$255,'Data-Transport'!$F$4:$F$10000,'Mar20-Aug20 Transport Actuals'!J$6)</f>
        <v>1527.68</v>
      </c>
      <c r="K255" s="459">
        <f>SUMIFS('Data-Transport'!$K$4:$K$10000,'Data-Transport'!$A$4:$A$10000,'Mar20-Aug20 Transport Actuals'!K$4,'Data-Transport'!$B$4:$B$10000,'Mar20-Aug20 Transport Actuals'!$C$255,'Data-Transport'!$D$4:$D$10000,'Mar20-Aug20 Transport Actuals'!$F$255,'Data-Transport'!$E$4:$E$10000,'Mar20-Aug20 Transport Actuals'!$H$255,'Data-Transport'!$F$4:$F$10000,'Mar20-Aug20 Transport Actuals'!K$6)</f>
        <v>1478.4</v>
      </c>
      <c r="L255" s="459">
        <f>SUMIFS('Data-Transport'!$K$4:$K$10000,'Data-Transport'!$A$4:$A$10000,'Mar20-Aug20 Transport Actuals'!L$4,'Data-Transport'!$B$4:$B$10000,'Mar20-Aug20 Transport Actuals'!$C$255,'Data-Transport'!$D$4:$D$10000,'Mar20-Aug20 Transport Actuals'!$F$255,'Data-Transport'!$E$4:$E$10000,'Mar20-Aug20 Transport Actuals'!$H$255,'Data-Transport'!$F$4:$F$10000,'Mar20-Aug20 Transport Actuals'!L$6)</f>
        <v>1527.68</v>
      </c>
      <c r="M255" s="459">
        <f>SUMIFS('Data-Transport'!$K$4:$K$10000,'Data-Transport'!$A$4:$A$10000,'Mar20-Aug20 Transport Actuals'!M$4,'Data-Transport'!$B$4:$B$10000,'Mar20-Aug20 Transport Actuals'!$C$255,'Data-Transport'!$D$4:$D$10000,'Mar20-Aug20 Transport Actuals'!$F$255,'Data-Transport'!$E$4:$E$10000,'Mar20-Aug20 Transport Actuals'!$H$255,'Data-Transport'!$F$4:$F$10000,'Mar20-Aug20 Transport Actuals'!M$6)</f>
        <v>1478.4</v>
      </c>
      <c r="N255" s="459">
        <f>SUMIFS('Data-Transport'!$K$4:$K$10000,'Data-Transport'!$A$4:$A$10000,'Mar20-Aug20 Transport Actuals'!N$4,'Data-Transport'!$B$4:$B$10000,'Mar20-Aug20 Transport Actuals'!$C$255,'Data-Transport'!$D$4:$D$10000,'Mar20-Aug20 Transport Actuals'!$F$255,'Data-Transport'!$E$4:$E$10000,'Mar20-Aug20 Transport Actuals'!$H$255,'Data-Transport'!$F$4:$F$10000,'Mar20-Aug20 Transport Actuals'!N$6)</f>
        <v>1527.68</v>
      </c>
      <c r="O255" s="459">
        <f>SUMIFS('Data-Transport'!$K$4:$K$10000,'Data-Transport'!$A$4:$A$10000,'Mar20-Aug20 Transport Actuals'!O$4,'Data-Transport'!$B$4:$B$10000,'Mar20-Aug20 Transport Actuals'!$Q$255,'Data-Transport'!$D$4:$D$10000,'Mar20-Aug20 Transport Actuals'!$F$255,'Data-Transport'!$E$4:$E$10000,'Mar20-Aug20 Transport Actuals'!$R$255,'Data-Transport'!$F$4:$F$10000,'Mar20-Aug20 Transport Actuals'!O$6)</f>
        <v>1527.68</v>
      </c>
      <c r="P255" s="871">
        <f t="shared" ref="P255:P268" si="88">SUM(I255:N255)</f>
        <v>8968.9600000000009</v>
      </c>
      <c r="Q255" s="869" t="s">
        <v>1055</v>
      </c>
      <c r="R255" s="869" t="s">
        <v>272</v>
      </c>
    </row>
    <row r="256" spans="3:18" x14ac:dyDescent="0.25">
      <c r="C256" s="169" t="s">
        <v>31</v>
      </c>
      <c r="D256" s="169" t="str">
        <f t="shared" si="75"/>
        <v>882</v>
      </c>
      <c r="E256" s="167" t="str">
        <f>VLOOKUP($C256,'Retail Rates'!$B$7:$P$40,2,FALSE)</f>
        <v>IGS TS-2</v>
      </c>
      <c r="F256" s="169" t="s">
        <v>320</v>
      </c>
      <c r="G256" s="170" t="s">
        <v>249</v>
      </c>
      <c r="H256" s="167"/>
      <c r="I256" s="466">
        <f t="shared" ref="I256:O257" si="89">ROUND(+I244*I250,2)</f>
        <v>11609.21</v>
      </c>
      <c r="J256" s="466">
        <f t="shared" si="89"/>
        <v>25988.94</v>
      </c>
      <c r="K256" s="466">
        <f t="shared" si="89"/>
        <v>438.58</v>
      </c>
      <c r="L256" s="466">
        <f t="shared" si="89"/>
        <v>438.58</v>
      </c>
      <c r="M256" s="466">
        <f t="shared" si="89"/>
        <v>438.58</v>
      </c>
      <c r="N256" s="466">
        <f t="shared" si="89"/>
        <v>438.58</v>
      </c>
      <c r="O256" s="466">
        <f t="shared" si="89"/>
        <v>438.58</v>
      </c>
      <c r="P256" s="871">
        <f t="shared" si="88"/>
        <v>39352.47</v>
      </c>
      <c r="Q256" s="869"/>
      <c r="R256" s="869"/>
    </row>
    <row r="257" spans="3:18" x14ac:dyDescent="0.25">
      <c r="C257" s="169" t="s">
        <v>31</v>
      </c>
      <c r="D257" s="169" t="str">
        <f t="shared" si="75"/>
        <v>882</v>
      </c>
      <c r="E257" s="167" t="str">
        <f>VLOOKUP($C257,'Retail Rates'!$B$7:$P$40,2,FALSE)</f>
        <v>IGS TS-2</v>
      </c>
      <c r="F257" s="169" t="s">
        <v>320</v>
      </c>
      <c r="G257" s="170" t="s">
        <v>250</v>
      </c>
      <c r="H257" s="167"/>
      <c r="I257" s="464">
        <f t="shared" si="89"/>
        <v>0</v>
      </c>
      <c r="J257" s="464">
        <f t="shared" si="89"/>
        <v>0</v>
      </c>
      <c r="K257" s="464">
        <f t="shared" si="89"/>
        <v>18553.849999999999</v>
      </c>
      <c r="L257" s="464">
        <f t="shared" si="89"/>
        <v>15990.63</v>
      </c>
      <c r="M257" s="464">
        <f t="shared" si="89"/>
        <v>19080.169999999998</v>
      </c>
      <c r="N257" s="464">
        <f t="shared" si="89"/>
        <v>13596.86</v>
      </c>
      <c r="O257" s="464">
        <f t="shared" si="89"/>
        <v>12777.84</v>
      </c>
      <c r="P257" s="871">
        <f t="shared" si="88"/>
        <v>67221.509999999995</v>
      </c>
      <c r="Q257" s="869"/>
      <c r="R257" s="869"/>
    </row>
    <row r="258" spans="3:18" x14ac:dyDescent="0.25">
      <c r="C258" s="169" t="s">
        <v>31</v>
      </c>
      <c r="D258" s="169" t="str">
        <f t="shared" si="75"/>
        <v>882</v>
      </c>
      <c r="E258" s="167" t="str">
        <f>VLOOKUP($C258,'Retail Rates'!$B$7:$P$40,2,FALSE)</f>
        <v>IGS TS-2</v>
      </c>
      <c r="F258" s="169" t="s">
        <v>320</v>
      </c>
      <c r="G258" s="170" t="s">
        <v>165</v>
      </c>
      <c r="H258" s="167"/>
      <c r="I258" s="466">
        <f t="shared" ref="I258:O258" si="90">SUM(I254:I257)</f>
        <v>14138.329999999998</v>
      </c>
      <c r="J258" s="466">
        <f t="shared" si="90"/>
        <v>28616.62</v>
      </c>
      <c r="K258" s="466">
        <f t="shared" si="90"/>
        <v>21570.829999999998</v>
      </c>
      <c r="L258" s="466">
        <f t="shared" si="90"/>
        <v>19056.89</v>
      </c>
      <c r="M258" s="466">
        <f t="shared" si="90"/>
        <v>22097.149999999998</v>
      </c>
      <c r="N258" s="466">
        <f t="shared" si="90"/>
        <v>16663.120000000003</v>
      </c>
      <c r="O258" s="466">
        <f t="shared" si="90"/>
        <v>15844.1</v>
      </c>
      <c r="P258" s="871">
        <f t="shared" si="88"/>
        <v>122142.94</v>
      </c>
      <c r="Q258" s="869"/>
      <c r="R258" s="869"/>
    </row>
    <row r="259" spans="3:18" x14ac:dyDescent="0.25">
      <c r="C259" s="169" t="s">
        <v>31</v>
      </c>
      <c r="D259" s="169" t="str">
        <f t="shared" si="75"/>
        <v>882</v>
      </c>
      <c r="E259" s="167" t="str">
        <f>VLOOKUP($C259,'Retail Rates'!$B$7:$P$40,2,FALSE)</f>
        <v>IGS TS-2</v>
      </c>
      <c r="F259" s="169" t="s">
        <v>320</v>
      </c>
      <c r="G259" s="170" t="s">
        <v>148</v>
      </c>
      <c r="H259" s="476" t="s">
        <v>273</v>
      </c>
      <c r="I259" s="478">
        <f>SUMIFS('Data-Transport'!$Y$4:$Y$10000,'Data-Transport'!$A$4:$A$10000,'Mar20-Aug20 Transport Actuals'!I$4,'Data-Transport'!$B$4:$B$10000,'Mar20-Aug20 Transport Actuals'!$C$259,'Data-Transport'!$D$4:$D$10000,'Mar20-Aug20 Transport Actuals'!$F$259,'Data-Transport'!$E$4:$E$10000,'Mar20-Aug20 Transport Actuals'!$H$259,'Data-Transport'!$F$4:$F$10000,'Mar20-Aug20 Transport Actuals'!I$6)</f>
        <v>4533.25</v>
      </c>
      <c r="J259" s="478">
        <f>SUMIFS('Data-Transport'!$Y$4:$Y$10000,'Data-Transport'!$A$4:$A$10000,'Mar20-Aug20 Transport Actuals'!J$4,'Data-Transport'!$B$4:$B$10000,'Mar20-Aug20 Transport Actuals'!$C$259,'Data-Transport'!$D$4:$D$10000,'Mar20-Aug20 Transport Actuals'!$F$259,'Data-Transport'!$E$4:$E$10000,'Mar20-Aug20 Transport Actuals'!$H$259,'Data-Transport'!$F$4:$F$10000,'Mar20-Aug20 Transport Actuals'!J$6)</f>
        <v>10148.35</v>
      </c>
      <c r="K259" s="478">
        <f>SUMIFS('Data-Transport'!$Y$4:$Y$10000,'Data-Transport'!$A$4:$A$10000,'Mar20-Aug20 Transport Actuals'!K$4,'Data-Transport'!$B$4:$B$10000,'Mar20-Aug20 Transport Actuals'!$C$259,'Data-Transport'!$D$4:$D$10000,'Mar20-Aug20 Transport Actuals'!$F$259,'Data-Transport'!$E$4:$E$10000,'Mar20-Aug20 Transport Actuals'!$H$259,'Data-Transport'!$F$4:$F$10000,'Mar20-Aug20 Transport Actuals'!K$6)</f>
        <v>9556.14</v>
      </c>
      <c r="L259" s="478">
        <f>SUMIFS('Data-Transport'!$Y$4:$Y$10000,'Data-Transport'!$A$4:$A$10000,'Mar20-Aug20 Transport Actuals'!L$4,'Data-Transport'!$B$4:$B$10000,'Mar20-Aug20 Transport Actuals'!$C$259,'Data-Transport'!$D$4:$D$10000,'Mar20-Aug20 Transport Actuals'!$F$259,'Data-Transport'!$E$4:$E$10000,'Mar20-Aug20 Transport Actuals'!$H$259,'Data-Transport'!$F$4:$F$10000,'Mar20-Aug20 Transport Actuals'!L$6)</f>
        <v>8300.1200000000008</v>
      </c>
      <c r="M259" s="478">
        <f>SUMIFS('Data-Transport'!$Y$4:$Y$10000,'Data-Transport'!$A$4:$A$10000,'Mar20-Aug20 Transport Actuals'!M$4,'Data-Transport'!$B$4:$B$10000,'Mar20-Aug20 Transport Actuals'!$C$259,'Data-Transport'!$D$4:$D$10000,'Mar20-Aug20 Transport Actuals'!$F$259,'Data-Transport'!$E$4:$E$10000,'Mar20-Aug20 Transport Actuals'!$H$259,'Data-Transport'!$F$4:$F$10000,'Mar20-Aug20 Transport Actuals'!M$6)</f>
        <v>9870.5400000000009</v>
      </c>
      <c r="N259" s="478">
        <f>SUMIFS('Data-Transport'!$Y$4:$Y$10000,'Data-Transport'!$A$4:$A$10000,'Mar20-Aug20 Transport Actuals'!N$4,'Data-Transport'!$B$4:$B$10000,'Mar20-Aug20 Transport Actuals'!$C$259,'Data-Transport'!$D$4:$D$10000,'Mar20-Aug20 Transport Actuals'!$F$259,'Data-Transport'!$E$4:$E$10000,'Mar20-Aug20 Transport Actuals'!$H$259,'Data-Transport'!$F$4:$F$10000,'Mar20-Aug20 Transport Actuals'!N$6)</f>
        <v>7083.37</v>
      </c>
      <c r="O259" s="478">
        <f>SUMIFS('Data-Transport'!$Y$4:$Y$10000,'Data-Transport'!$A$4:$A$10000,'Mar20-Aug20 Transport Actuals'!O$4,'Data-Transport'!$B$4:$B$10000,'Mar20-Aug20 Transport Actuals'!$Q$259,'Data-Transport'!$D$4:$D$10000,'Mar20-Aug20 Transport Actuals'!$F$259,'Data-Transport'!$E$4:$E$10000,'Mar20-Aug20 Transport Actuals'!$R$259,'Data-Transport'!$F$4:$F$10000,'Mar20-Aug20 Transport Actuals'!O$6)</f>
        <v>6680.24</v>
      </c>
      <c r="P259" s="871">
        <f t="shared" si="88"/>
        <v>49491.770000000004</v>
      </c>
      <c r="Q259" s="869" t="s">
        <v>1055</v>
      </c>
      <c r="R259" s="869" t="s">
        <v>273</v>
      </c>
    </row>
    <row r="260" spans="3:18" x14ac:dyDescent="0.25">
      <c r="C260" s="169" t="s">
        <v>31</v>
      </c>
      <c r="D260" s="169" t="str">
        <f>MID(C260,6,3)</f>
        <v>882</v>
      </c>
      <c r="E260" s="167" t="str">
        <f>VLOOKUP($C260,'Retail Rates'!$B$7:$P$40,2,FALSE)</f>
        <v>IGS TS-2</v>
      </c>
      <c r="F260" s="169" t="s">
        <v>320</v>
      </c>
      <c r="G260" s="170" t="s">
        <v>628</v>
      </c>
      <c r="H260" s="476" t="s">
        <v>620</v>
      </c>
      <c r="I260" s="478">
        <f>SUMIFS('Data-Transport'!$Z$4:$Z$10000,'Data-Transport'!$A$4:$A$10000,'Mar20-Aug20 Transport Actuals'!I$4,'Data-Transport'!$B$4:$B$10000,'Mar20-Aug20 Transport Actuals'!$C$260,'Data-Transport'!$D$4:$D$10000,'Mar20-Aug20 Transport Actuals'!$F$260,'Data-Transport'!$E$4:$E$10000,'Mar20-Aug20 Transport Actuals'!$H$260,'Data-Transport'!$F$4:$F$10000,'Mar20-Aug20 Transport Actuals'!I$6)</f>
        <v>128.78</v>
      </c>
      <c r="J260" s="478">
        <f>SUMIFS('Data-Transport'!$Z$4:$Z$10000,'Data-Transport'!$A$4:$A$10000,'Mar20-Aug20 Transport Actuals'!J$4,'Data-Transport'!$B$4:$B$10000,'Mar20-Aug20 Transport Actuals'!$C$260,'Data-Transport'!$D$4:$D$10000,'Mar20-Aug20 Transport Actuals'!$F$260,'Data-Transport'!$E$4:$E$10000,'Mar20-Aug20 Transport Actuals'!$H$260,'Data-Transport'!$F$4:$F$10000,'Mar20-Aug20 Transport Actuals'!J$6)</f>
        <v>128.78</v>
      </c>
      <c r="K260" s="478">
        <f>SUMIFS('Data-Transport'!$Z$4:$Z$10000,'Data-Transport'!$A$4:$A$10000,'Mar20-Aug20 Transport Actuals'!K$4,'Data-Transport'!$B$4:$B$10000,'Mar20-Aug20 Transport Actuals'!$C$260,'Data-Transport'!$D$4:$D$10000,'Mar20-Aug20 Transport Actuals'!$F$260,'Data-Transport'!$E$4:$E$10000,'Mar20-Aug20 Transport Actuals'!$H$260,'Data-Transport'!$F$4:$F$10000,'Mar20-Aug20 Transport Actuals'!K$6)</f>
        <v>128.78</v>
      </c>
      <c r="L260" s="478">
        <f>SUMIFS('Data-Transport'!$Z$4:$Z$10000,'Data-Transport'!$A$4:$A$10000,'Mar20-Aug20 Transport Actuals'!L$4,'Data-Transport'!$B$4:$B$10000,'Mar20-Aug20 Transport Actuals'!$C$260,'Data-Transport'!$D$4:$D$10000,'Mar20-Aug20 Transport Actuals'!$F$260,'Data-Transport'!$E$4:$E$10000,'Mar20-Aug20 Transport Actuals'!$H$260,'Data-Transport'!$F$4:$F$10000,'Mar20-Aug20 Transport Actuals'!L$6)</f>
        <v>222.04</v>
      </c>
      <c r="M260" s="478">
        <f>SUMIFS('Data-Transport'!$Z$4:$Z$10000,'Data-Transport'!$A$4:$A$10000,'Mar20-Aug20 Transport Actuals'!M$4,'Data-Transport'!$B$4:$B$10000,'Mar20-Aug20 Transport Actuals'!$C$260,'Data-Transport'!$D$4:$D$10000,'Mar20-Aug20 Transport Actuals'!$F$260,'Data-Transport'!$E$4:$E$10000,'Mar20-Aug20 Transport Actuals'!$H$260,'Data-Transport'!$F$4:$F$10000,'Mar20-Aug20 Transport Actuals'!M$6)</f>
        <v>222.04</v>
      </c>
      <c r="N260" s="478">
        <f>SUMIFS('Data-Transport'!$Z$4:$Z$10000,'Data-Transport'!$A$4:$A$10000,'Mar20-Aug20 Transport Actuals'!N$4,'Data-Transport'!$B$4:$B$10000,'Mar20-Aug20 Transport Actuals'!$C$260,'Data-Transport'!$D$4:$D$10000,'Mar20-Aug20 Transport Actuals'!$F$260,'Data-Transport'!$E$4:$E$10000,'Mar20-Aug20 Transport Actuals'!$H$260,'Data-Transport'!$F$4:$F$10000,'Mar20-Aug20 Transport Actuals'!N$6)</f>
        <v>222.04</v>
      </c>
      <c r="O260" s="478">
        <f>SUMIFS('Data-Transport'!$Z$4:$Z$10000,'Data-Transport'!$A$4:$A$10000,'Mar20-Aug20 Transport Actuals'!O$4,'Data-Transport'!$B$4:$B$10000,'Mar20-Aug20 Transport Actuals'!$Q$260,'Data-Transport'!$D$4:$D$10000,'Mar20-Aug20 Transport Actuals'!$F$260,'Data-Transport'!$E$4:$E$10000,'Mar20-Aug20 Transport Actuals'!$R$260,'Data-Transport'!$F$4:$F$10000,'Mar20-Aug20 Transport Actuals'!O$6)</f>
        <v>222.04</v>
      </c>
      <c r="P260" s="871">
        <f t="shared" si="88"/>
        <v>1052.46</v>
      </c>
      <c r="Q260" s="869" t="s">
        <v>1055</v>
      </c>
      <c r="R260" s="869" t="s">
        <v>1052</v>
      </c>
    </row>
    <row r="261" spans="3:18" x14ac:dyDescent="0.25">
      <c r="C261" s="169" t="s">
        <v>31</v>
      </c>
      <c r="D261" s="169" t="str">
        <f>MID(C261,6,3)</f>
        <v>882</v>
      </c>
      <c r="E261" s="167" t="str">
        <f>VLOOKUP($C261,'Retail Rates'!$B$7:$P$40,2,FALSE)</f>
        <v>IGS TS-2</v>
      </c>
      <c r="F261" s="169" t="s">
        <v>320</v>
      </c>
      <c r="G261" s="170" t="s">
        <v>623</v>
      </c>
      <c r="H261" s="476" t="s">
        <v>621</v>
      </c>
      <c r="I261" s="478">
        <f>SUMIFS('Data-Transport'!$AA$4:$AA$10000,'Data-Transport'!$A$4:$A$10000,'Mar20-Aug20 Transport Actuals'!I$4,'Data-Transport'!$B$4:$B$10000,'Mar20-Aug20 Transport Actuals'!$C$261,'Data-Transport'!$D$4:$D$10000,'Mar20-Aug20 Transport Actuals'!$F$261,'Data-Transport'!$E$4:$E$10000,'Mar20-Aug20 Transport Actuals'!$H$261,'Data-Transport'!$F$4:$F$10000,'Mar20-Aug20 Transport Actuals'!I$6)</f>
        <v>216</v>
      </c>
      <c r="J261" s="478">
        <f>SUMIFS('Data-Transport'!$AA$4:$AA$10000,'Data-Transport'!$A$4:$A$10000,'Mar20-Aug20 Transport Actuals'!J$4,'Data-Transport'!$B$4:$B$10000,'Mar20-Aug20 Transport Actuals'!$C$261,'Data-Transport'!$D$4:$D$10000,'Mar20-Aug20 Transport Actuals'!$F$261,'Data-Transport'!$E$4:$E$10000,'Mar20-Aug20 Transport Actuals'!$H$261,'Data-Transport'!$F$4:$F$10000,'Mar20-Aug20 Transport Actuals'!J$6)</f>
        <v>483.53</v>
      </c>
      <c r="K261" s="478">
        <f>SUMIFS('Data-Transport'!$AA$4:$AA$10000,'Data-Transport'!$A$4:$A$10000,'Mar20-Aug20 Transport Actuals'!K$4,'Data-Transport'!$B$4:$B$10000,'Mar20-Aug20 Transport Actuals'!$C$261,'Data-Transport'!$D$4:$D$10000,'Mar20-Aug20 Transport Actuals'!$F$261,'Data-Transport'!$E$4:$E$10000,'Mar20-Aug20 Transport Actuals'!$H$261,'Data-Transport'!$F$4:$F$10000,'Mar20-Aug20 Transport Actuals'!K$6)</f>
        <v>455.32</v>
      </c>
      <c r="L261" s="478">
        <f>SUMIFS('Data-Transport'!$AA$4:$AA$10000,'Data-Transport'!$A$4:$A$10000,'Mar20-Aug20 Transport Actuals'!L$4,'Data-Transport'!$B$4:$B$10000,'Mar20-Aug20 Transport Actuals'!$C$261,'Data-Transport'!$D$4:$D$10000,'Mar20-Aug20 Transport Actuals'!$F$261,'Data-Transport'!$E$4:$E$10000,'Mar20-Aug20 Transport Actuals'!$H$261,'Data-Transport'!$F$4:$F$10000,'Mar20-Aug20 Transport Actuals'!L$6)</f>
        <v>1128.55</v>
      </c>
      <c r="M261" s="478">
        <f>SUMIFS('Data-Transport'!$AA$4:$AA$10000,'Data-Transport'!$A$4:$A$10000,'Mar20-Aug20 Transport Actuals'!M$4,'Data-Transport'!$B$4:$B$10000,'Mar20-Aug20 Transport Actuals'!$C$261,'Data-Transport'!$D$4:$D$10000,'Mar20-Aug20 Transport Actuals'!$F$261,'Data-Transport'!$E$4:$E$10000,'Mar20-Aug20 Transport Actuals'!$H$261,'Data-Transport'!$F$4:$F$10000,'Mar20-Aug20 Transport Actuals'!M$6)</f>
        <v>1342.07</v>
      </c>
      <c r="N261" s="478">
        <f>SUMIFS('Data-Transport'!$AA$4:$AA$10000,'Data-Transport'!$A$4:$A$10000,'Mar20-Aug20 Transport Actuals'!N$4,'Data-Transport'!$B$4:$B$10000,'Mar20-Aug20 Transport Actuals'!$C$261,'Data-Transport'!$D$4:$D$10000,'Mar20-Aug20 Transport Actuals'!$F$261,'Data-Transport'!$E$4:$E$10000,'Mar20-Aug20 Transport Actuals'!$H$261,'Data-Transport'!$F$4:$F$10000,'Mar20-Aug20 Transport Actuals'!N$6)</f>
        <v>963.11</v>
      </c>
      <c r="O261" s="478">
        <f>SUMIFS('Data-Transport'!$AA$4:$AA$10000,'Data-Transport'!$A$4:$A$10000,'Mar20-Aug20 Transport Actuals'!O$4,'Data-Transport'!$B$4:$B$10000,'Mar20-Aug20 Transport Actuals'!$Q$261,'Data-Transport'!$D$4:$D$10000,'Mar20-Aug20 Transport Actuals'!$F$261,'Data-Transport'!$E$4:$E$10000,'Mar20-Aug20 Transport Actuals'!$R$261,'Data-Transport'!$F$4:$F$10000,'Mar20-Aug20 Transport Actuals'!O$6)</f>
        <v>906.5</v>
      </c>
      <c r="P261" s="871">
        <f t="shared" si="88"/>
        <v>4588.579999999999</v>
      </c>
      <c r="Q261" s="869" t="s">
        <v>1055</v>
      </c>
      <c r="R261" s="869" t="s">
        <v>1037</v>
      </c>
    </row>
    <row r="262" spans="3:18" x14ac:dyDescent="0.25">
      <c r="C262" s="169" t="s">
        <v>31</v>
      </c>
      <c r="D262" s="169" t="str">
        <f>MID(C262,6,3)</f>
        <v>882</v>
      </c>
      <c r="E262" s="167" t="str">
        <f>VLOOKUP($C262,'Retail Rates'!$B$7:$P$40,2,FALSE)</f>
        <v>IGS TS-2</v>
      </c>
      <c r="F262" s="169" t="s">
        <v>320</v>
      </c>
      <c r="G262" s="170" t="s">
        <v>454</v>
      </c>
      <c r="H262" s="476" t="s">
        <v>357</v>
      </c>
      <c r="I262" s="478">
        <f>SUMIFS('Data-Transport'!$S$14:$S$4704,'Data-Transport'!$A$14:$A$4704,'Mar20-Aug20 Transport Actuals'!I$4,'Data-Transport'!$B$14:$B$4704,'Mar20-Aug20 Transport Actuals'!$C$262,'Data-Transport'!$D$14:$D$4704,'Mar20-Aug20 Transport Actuals'!$F$262,'Data-Transport'!$E$14:$E$4704,'Mar20-Aug20 Transport Actuals'!$H$262,'Data-Transport'!$F$14:$F$4704,'Mar20-Aug20 Transport Actuals'!I$6)</f>
        <v>2.7</v>
      </c>
      <c r="J262" s="478">
        <f>SUMIFS('Data-Transport'!$S$14:$S$4704,'Data-Transport'!$A$14:$A$4704,'Mar20-Aug20 Transport Actuals'!J$4,'Data-Transport'!$B$14:$B$4704,'Mar20-Aug20 Transport Actuals'!$C$262,'Data-Transport'!$D$14:$D$4704,'Mar20-Aug20 Transport Actuals'!$F$262,'Data-Transport'!$E$14:$E$4704,'Mar20-Aug20 Transport Actuals'!$H$262,'Data-Transport'!$F$14:$F$4704,'Mar20-Aug20 Transport Actuals'!J$6)</f>
        <v>2833.4</v>
      </c>
      <c r="K262" s="478">
        <f>SUMIFS('Data-Transport'!$S$14:$S$4704,'Data-Transport'!$A$14:$A$4704,'Mar20-Aug20 Transport Actuals'!K$4,'Data-Transport'!$B$14:$B$4704,'Mar20-Aug20 Transport Actuals'!$C$262,'Data-Transport'!$D$14:$D$4704,'Mar20-Aug20 Transport Actuals'!$F$262,'Data-Transport'!$E$14:$E$4704,'Mar20-Aug20 Transport Actuals'!$H$262,'Data-Transport'!$F$14:$F$4704,'Mar20-Aug20 Transport Actuals'!K$6)</f>
        <v>2824.7</v>
      </c>
      <c r="L262" s="478">
        <f>SUMIFS('Data-Transport'!$S$14:$S$4704,'Data-Transport'!$A$14:$A$4704,'Mar20-Aug20 Transport Actuals'!L$4,'Data-Transport'!$B$14:$B$4704,'Mar20-Aug20 Transport Actuals'!$C$262,'Data-Transport'!$D$14:$D$4704,'Mar20-Aug20 Transport Actuals'!$F$262,'Data-Transport'!$E$14:$E$4704,'Mar20-Aug20 Transport Actuals'!$H$262,'Data-Transport'!$F$14:$F$4704,'Mar20-Aug20 Transport Actuals'!L$6)</f>
        <v>-701.57</v>
      </c>
      <c r="M262" s="478">
        <f>SUMIFS('Data-Transport'!$S$14:$S$4704,'Data-Transport'!$A$14:$A$4704,'Mar20-Aug20 Transport Actuals'!M$4,'Data-Transport'!$B$14:$B$4704,'Mar20-Aug20 Transport Actuals'!$C$262,'Data-Transport'!$D$14:$D$4704,'Mar20-Aug20 Transport Actuals'!$F$262,'Data-Transport'!$E$14:$E$4704,'Mar20-Aug20 Transport Actuals'!$H$262,'Data-Transport'!$F$14:$F$4704,'Mar20-Aug20 Transport Actuals'!M$6)</f>
        <v>-954.91</v>
      </c>
      <c r="N262" s="478">
        <f>SUMIFS('Data-Transport'!$S$14:$S$4704,'Data-Transport'!$A$14:$A$4704,'Mar20-Aug20 Transport Actuals'!N$4,'Data-Transport'!$B$14:$B$4704,'Mar20-Aug20 Transport Actuals'!$C$262,'Data-Transport'!$D$14:$D$4704,'Mar20-Aug20 Transport Actuals'!$F$262,'Data-Transport'!$E$14:$E$4704,'Mar20-Aug20 Transport Actuals'!$H$262,'Data-Transport'!$F$14:$F$4704,'Mar20-Aug20 Transport Actuals'!N$6)</f>
        <v>-695.74</v>
      </c>
      <c r="O262" s="478">
        <f>SUMIFS('Data-Transport'!$S$14:$S$4704,'Data-Transport'!$A$14:$A$4704,'Mar20-Aug20 Transport Actuals'!O$4,'Data-Transport'!$B$14:$B$4704,'Mar20-Aug20 Transport Actuals'!$Q$262,'Data-Transport'!$D$14:$D$4704,'Mar20-Aug20 Transport Actuals'!$F$262,'Data-Transport'!$E$14:$E$4704,'Mar20-Aug20 Transport Actuals'!$R$262,'Data-Transport'!$F$14:$F$4704,'Mar20-Aug20 Transport Actuals'!O$6)</f>
        <v>2644.24</v>
      </c>
      <c r="P262" s="871">
        <f t="shared" si="88"/>
        <v>3308.58</v>
      </c>
      <c r="Q262" s="869" t="s">
        <v>1055</v>
      </c>
      <c r="R262" s="869" t="s">
        <v>357</v>
      </c>
    </row>
    <row r="263" spans="3:18" x14ac:dyDescent="0.25">
      <c r="C263" s="167"/>
      <c r="D263" s="169"/>
      <c r="E263" s="167"/>
      <c r="F263" s="169"/>
      <c r="G263" s="170" t="s">
        <v>169</v>
      </c>
      <c r="H263" s="167"/>
      <c r="I263" s="466">
        <f t="shared" ref="I263:O263" si="91">SUM(I258:I262)</f>
        <v>19019.059999999998</v>
      </c>
      <c r="J263" s="466">
        <f t="shared" si="91"/>
        <v>42210.68</v>
      </c>
      <c r="K263" s="466">
        <f t="shared" si="91"/>
        <v>34535.769999999997</v>
      </c>
      <c r="L263" s="466">
        <f t="shared" si="91"/>
        <v>28006.030000000002</v>
      </c>
      <c r="M263" s="466">
        <f t="shared" si="91"/>
        <v>32576.890000000003</v>
      </c>
      <c r="N263" s="466">
        <f>SUM(N258:N262)</f>
        <v>24235.9</v>
      </c>
      <c r="O263" s="466">
        <f t="shared" si="91"/>
        <v>26297.120000000003</v>
      </c>
      <c r="P263" s="871">
        <f t="shared" si="88"/>
        <v>180584.33</v>
      </c>
      <c r="Q263" s="869"/>
      <c r="R263" s="869"/>
    </row>
    <row r="264" spans="3:18" x14ac:dyDescent="0.25">
      <c r="C264" s="167"/>
      <c r="D264" s="169"/>
      <c r="E264" s="167"/>
      <c r="F264" s="169"/>
      <c r="G264" s="168"/>
      <c r="H264" s="167"/>
      <c r="I264" s="169"/>
      <c r="J264" s="169"/>
      <c r="K264" s="169"/>
      <c r="L264" s="169"/>
      <c r="M264" s="169"/>
      <c r="N264" s="169"/>
      <c r="O264" s="169"/>
      <c r="P264" s="871"/>
      <c r="Q264" s="869"/>
      <c r="R264" s="869"/>
    </row>
    <row r="265" spans="3:18" x14ac:dyDescent="0.25">
      <c r="C265" s="169" t="s">
        <v>491</v>
      </c>
      <c r="D265" s="169" t="str">
        <f t="shared" ref="D265:D282" si="92">MID(C265,6,3)</f>
        <v>882</v>
      </c>
      <c r="E265" s="167" t="str">
        <f>VLOOKUP($C265,'Retail Rates'!$B$7:$P$40,2,FALSE)</f>
        <v>IGS TS-2</v>
      </c>
      <c r="F265" s="169" t="s">
        <v>320</v>
      </c>
      <c r="G265" s="170" t="s">
        <v>157</v>
      </c>
      <c r="H265" s="167"/>
      <c r="I265" s="480">
        <f t="shared" ref="I265:O265" si="93">+I276/I270</f>
        <v>6</v>
      </c>
      <c r="J265" s="480">
        <f t="shared" si="93"/>
        <v>6</v>
      </c>
      <c r="K265" s="480">
        <f t="shared" si="93"/>
        <v>6</v>
      </c>
      <c r="L265" s="480">
        <f t="shared" si="93"/>
        <v>6</v>
      </c>
      <c r="M265" s="480">
        <f t="shared" si="93"/>
        <v>6</v>
      </c>
      <c r="N265" s="480">
        <f t="shared" si="93"/>
        <v>6</v>
      </c>
      <c r="O265" s="480">
        <f t="shared" si="93"/>
        <v>6</v>
      </c>
      <c r="P265" s="871">
        <f t="shared" si="88"/>
        <v>36</v>
      </c>
      <c r="Q265" s="869"/>
      <c r="R265" s="869"/>
    </row>
    <row r="266" spans="3:18" x14ac:dyDescent="0.25">
      <c r="C266" s="169" t="s">
        <v>491</v>
      </c>
      <c r="D266" s="169" t="str">
        <f t="shared" si="92"/>
        <v>882</v>
      </c>
      <c r="E266" s="167" t="str">
        <f>VLOOKUP($C266,'Retail Rates'!$B$7:$P$40,2,FALSE)</f>
        <v>IGS TS-2</v>
      </c>
      <c r="F266" s="169" t="s">
        <v>320</v>
      </c>
      <c r="G266" s="170" t="s">
        <v>358</v>
      </c>
      <c r="H266" s="167"/>
      <c r="I266" s="462">
        <f>I268</f>
        <v>2519.5</v>
      </c>
      <c r="J266" s="462">
        <f>J268</f>
        <v>9799.2000000000007</v>
      </c>
      <c r="K266" s="462">
        <f>100*(K265-0.386)</f>
        <v>561.4</v>
      </c>
      <c r="L266" s="462">
        <f t="shared" ref="L266:M266" si="94">100*L265</f>
        <v>600</v>
      </c>
      <c r="M266" s="462">
        <f t="shared" si="94"/>
        <v>600</v>
      </c>
      <c r="N266" s="462">
        <v>500</v>
      </c>
      <c r="O266" s="462">
        <f>100*O265</f>
        <v>600</v>
      </c>
      <c r="P266" s="871">
        <f t="shared" si="88"/>
        <v>14580.1</v>
      </c>
      <c r="Q266" s="869"/>
      <c r="R266" s="869"/>
    </row>
    <row r="267" spans="3:18" x14ac:dyDescent="0.25">
      <c r="C267" s="169" t="s">
        <v>491</v>
      </c>
      <c r="D267" s="169" t="str">
        <f t="shared" si="92"/>
        <v>882</v>
      </c>
      <c r="E267" s="167" t="str">
        <f>VLOOKUP($C267,'Retail Rates'!$B$7:$P$40,2,FALSE)</f>
        <v>IGS TS-2</v>
      </c>
      <c r="F267" s="169" t="s">
        <v>320</v>
      </c>
      <c r="G267" s="170" t="s">
        <v>245</v>
      </c>
      <c r="H267" s="167"/>
      <c r="I267" s="462">
        <f>+I268-I266</f>
        <v>0</v>
      </c>
      <c r="J267" s="462">
        <f t="shared" ref="J267:O267" si="95">+J268-J266</f>
        <v>0</v>
      </c>
      <c r="K267" s="462">
        <f>+K268-K266</f>
        <v>26604</v>
      </c>
      <c r="L267" s="462">
        <f t="shared" ref="L267:M267" si="96">+L268-L266</f>
        <v>20209.7</v>
      </c>
      <c r="M267" s="462">
        <f t="shared" si="96"/>
        <v>18379.8</v>
      </c>
      <c r="N267" s="462">
        <f t="shared" si="95"/>
        <v>22206.6</v>
      </c>
      <c r="O267" s="462">
        <f t="shared" si="95"/>
        <v>25020.1</v>
      </c>
      <c r="P267" s="871">
        <f t="shared" si="88"/>
        <v>87400.1</v>
      </c>
      <c r="Q267" s="869"/>
      <c r="R267" s="869"/>
    </row>
    <row r="268" spans="3:18" x14ac:dyDescent="0.25">
      <c r="C268" s="169" t="s">
        <v>491</v>
      </c>
      <c r="D268" s="169" t="str">
        <f t="shared" si="92"/>
        <v>882</v>
      </c>
      <c r="E268" s="167" t="str">
        <f>VLOOKUP($C268,'Retail Rates'!$B$7:$P$40,2,FALSE)</f>
        <v>IGS TS-2</v>
      </c>
      <c r="F268" s="169" t="s">
        <v>320</v>
      </c>
      <c r="G268" s="170" t="s">
        <v>246</v>
      </c>
      <c r="H268" s="156" t="s">
        <v>265</v>
      </c>
      <c r="I268" s="471">
        <f>SUMIFS('Data-Transport'!$H$14:$H$4704,'Data-Transport'!$A$6:$A$4696,'Mar20-Aug20 Transport Actuals'!I$4,'Data-Transport'!$B$14:$B$4704,'Mar20-Aug20 Transport Actuals'!$C$268,'Data-Transport'!$D$14:$D$4704,'Mar20-Aug20 Transport Actuals'!$F$268,'Data-Transport'!$E$14:$E$4704,'Mar20-Aug20 Transport Actuals'!$H$268,'Data-Transport'!$F$14:$F$4704,'Mar20-Aug20 Transport Actuals'!I$6)/10</f>
        <v>2519.5</v>
      </c>
      <c r="J268" s="471">
        <f>SUMIFS('Data-Transport'!$H$14:$H$4704,'Data-Transport'!$A$6:$A$4696,'Mar20-Aug20 Transport Actuals'!J$4,'Data-Transport'!$B$14:$B$4704,'Mar20-Aug20 Transport Actuals'!$C$268,'Data-Transport'!$D$14:$D$4704,'Mar20-Aug20 Transport Actuals'!$F$268,'Data-Transport'!$E$14:$E$4704,'Mar20-Aug20 Transport Actuals'!$H$268,'Data-Transport'!$F$14:$F$4704,'Mar20-Aug20 Transport Actuals'!J$6)/10</f>
        <v>9799.2000000000007</v>
      </c>
      <c r="K268" s="471">
        <f>SUMIFS('Data-Transport'!$H$14:$H$4704,'Data-Transport'!$A$6:$A$4696,'Mar20-Aug20 Transport Actuals'!K$4,'Data-Transport'!$B$14:$B$4704,'Mar20-Aug20 Transport Actuals'!$C$268,'Data-Transport'!$D$14:$D$4704,'Mar20-Aug20 Transport Actuals'!$F$268,'Data-Transport'!$E$14:$E$4704,'Mar20-Aug20 Transport Actuals'!$H$268,'Data-Transport'!$F$14:$F$4704,'Mar20-Aug20 Transport Actuals'!K$6)/10</f>
        <v>27165.4</v>
      </c>
      <c r="L268" s="471">
        <f>SUMIFS('Data-Transport'!$H$14:$H$4704,'Data-Transport'!$A$6:$A$4696,'Mar20-Aug20 Transport Actuals'!L$4,'Data-Transport'!$B$14:$B$4704,'Mar20-Aug20 Transport Actuals'!$C$268,'Data-Transport'!$D$14:$D$4704,'Mar20-Aug20 Transport Actuals'!$F$268,'Data-Transport'!$E$14:$E$4704,'Mar20-Aug20 Transport Actuals'!$H$268,'Data-Transport'!$F$14:$F$4704,'Mar20-Aug20 Transport Actuals'!L$6)/10</f>
        <v>20809.7</v>
      </c>
      <c r="M268" s="471">
        <f>SUMIFS('Data-Transport'!$H$14:$H$4704,'Data-Transport'!$A$6:$A$4696,'Mar20-Aug20 Transport Actuals'!M$4,'Data-Transport'!$B$14:$B$4704,'Mar20-Aug20 Transport Actuals'!$C$268,'Data-Transport'!$D$14:$D$4704,'Mar20-Aug20 Transport Actuals'!$F$268,'Data-Transport'!$E$14:$E$4704,'Mar20-Aug20 Transport Actuals'!$H$268,'Data-Transport'!$F$14:$F$4704,'Mar20-Aug20 Transport Actuals'!M$6)/10</f>
        <v>18979.8</v>
      </c>
      <c r="N268" s="471">
        <f>SUMIFS('Data-Transport'!$H$14:$H$4704,'Data-Transport'!$A$6:$A$4696,'Mar20-Aug20 Transport Actuals'!N$4,'Data-Transport'!$B$14:$B$4704,'Mar20-Aug20 Transport Actuals'!$C$268,'Data-Transport'!$D$14:$D$4704,'Mar20-Aug20 Transport Actuals'!$F$268,'Data-Transport'!$E$14:$E$4704,'Mar20-Aug20 Transport Actuals'!$H$268,'Data-Transport'!$F$14:$F$4704,'Mar20-Aug20 Transport Actuals'!N$6)/10</f>
        <v>22706.6</v>
      </c>
      <c r="O268" s="471">
        <f>SUMIFS('Data-Transport'!$H$14:$H$4704,'Data-Transport'!$A$6:$A$4696,'Mar20-Aug20 Transport Actuals'!O$4,'Data-Transport'!$B$14:$B$4704,'Mar20-Aug20 Transport Actuals'!$Q$268,'Data-Transport'!$D$14:$D$4704,'Mar20-Aug20 Transport Actuals'!$F$268,'Data-Transport'!$E$14:$E$4704,'Mar20-Aug20 Transport Actuals'!$R$268,'Data-Transport'!$F$14:$F$4704,'Mar20-Aug20 Transport Actuals'!O$6)/10</f>
        <v>25620.1</v>
      </c>
      <c r="P268" s="871">
        <f t="shared" si="88"/>
        <v>101980.20000000001</v>
      </c>
      <c r="Q268" s="869" t="s">
        <v>1053</v>
      </c>
      <c r="R268" s="869" t="s">
        <v>265</v>
      </c>
    </row>
    <row r="269" spans="3:18" x14ac:dyDescent="0.25">
      <c r="C269" s="169" t="s">
        <v>491</v>
      </c>
      <c r="D269" s="169" t="str">
        <f t="shared" si="92"/>
        <v>882</v>
      </c>
      <c r="E269" s="167" t="str">
        <f>VLOOKUP($C269,'Retail Rates'!$B$7:$P$40,2,FALSE)</f>
        <v>IGS TS-2</v>
      </c>
      <c r="F269" s="169" t="s">
        <v>320</v>
      </c>
      <c r="G269" s="171"/>
      <c r="H269" s="167"/>
      <c r="I269" s="169"/>
      <c r="J269" s="169"/>
      <c r="K269" s="169"/>
      <c r="L269" s="169"/>
      <c r="M269" s="169"/>
      <c r="N269" s="169"/>
      <c r="O269" s="169"/>
      <c r="P269" s="871"/>
      <c r="Q269" s="869"/>
      <c r="R269" s="869"/>
    </row>
    <row r="270" spans="3:18" x14ac:dyDescent="0.25">
      <c r="C270" s="169" t="s">
        <v>491</v>
      </c>
      <c r="D270" s="169" t="str">
        <f t="shared" si="92"/>
        <v>882</v>
      </c>
      <c r="E270" s="167" t="str">
        <f>VLOOKUP($C270,'Retail Rates'!$B$7:$P$40,2,FALSE)</f>
        <v>IGS TS-2</v>
      </c>
      <c r="F270" s="169" t="s">
        <v>320</v>
      </c>
      <c r="G270" s="170" t="s">
        <v>159</v>
      </c>
      <c r="H270" s="167"/>
      <c r="I270" s="477">
        <f>VLOOKUP($C270,'Retail Rates'!$B$7:$P$40,6,FALSE)</f>
        <v>550</v>
      </c>
      <c r="J270" s="477">
        <f>VLOOKUP($C270,'Retail Rates'!$B$7:$P$40,6,FALSE)</f>
        <v>550</v>
      </c>
      <c r="K270" s="477">
        <f>VLOOKUP($C270,'Retail Rates'!$B$7:$P$40,6,FALSE)</f>
        <v>550</v>
      </c>
      <c r="L270" s="477">
        <f>VLOOKUP($C270,'Retail Rates'!$B$7:$P$40,6,FALSE)</f>
        <v>550</v>
      </c>
      <c r="M270" s="477">
        <f>VLOOKUP($C270,'Retail Rates'!$B$7:$P$40,6,FALSE)</f>
        <v>550</v>
      </c>
      <c r="N270" s="477">
        <f>VLOOKUP($C270,'Retail Rates'!$B$7:$P$40,6,FALSE)</f>
        <v>550</v>
      </c>
      <c r="O270" s="477">
        <f>VLOOKUP($C270,'Retail Rates'!$B$7:$P$40,6,FALSE)</f>
        <v>550</v>
      </c>
      <c r="P270" s="871"/>
      <c r="Q270" s="869"/>
      <c r="R270" s="869"/>
    </row>
    <row r="271" spans="3:18" x14ac:dyDescent="0.25">
      <c r="C271" s="169" t="s">
        <v>491</v>
      </c>
      <c r="D271" s="169" t="str">
        <f t="shared" si="92"/>
        <v>882</v>
      </c>
      <c r="E271" s="167" t="str">
        <f>VLOOKUP($C271,'Retail Rates'!$B$7:$P$40,2,FALSE)</f>
        <v>IGS TS-2</v>
      </c>
      <c r="F271" s="169" t="s">
        <v>320</v>
      </c>
      <c r="G271" s="170" t="s">
        <v>289</v>
      </c>
      <c r="H271" s="167"/>
      <c r="I271" s="477">
        <v>24.64</v>
      </c>
      <c r="J271" s="477">
        <v>24.64</v>
      </c>
      <c r="K271" s="477">
        <v>24.64</v>
      </c>
      <c r="L271" s="477">
        <v>24.64</v>
      </c>
      <c r="M271" s="477">
        <v>24.64</v>
      </c>
      <c r="N271" s="477">
        <v>24.64</v>
      </c>
      <c r="O271" s="477">
        <v>24.64</v>
      </c>
      <c r="P271" s="871"/>
      <c r="Q271" s="869"/>
      <c r="R271" s="869"/>
    </row>
    <row r="272" spans="3:18" x14ac:dyDescent="0.25">
      <c r="C272" s="169" t="s">
        <v>491</v>
      </c>
      <c r="D272" s="169" t="str">
        <f t="shared" si="92"/>
        <v>882</v>
      </c>
      <c r="E272" s="167" t="str">
        <f>VLOOKUP($C272,'Retail Rates'!$B$7:$P$40,2,FALSE)</f>
        <v>IGS TS-2</v>
      </c>
      <c r="F272" s="169" t="s">
        <v>320</v>
      </c>
      <c r="G272" s="170" t="s">
        <v>359</v>
      </c>
      <c r="H272" s="167"/>
      <c r="I272" s="477">
        <f>VLOOKUP($C272,'Retail Rates'!$B$7:$P$40,10,FALSE)</f>
        <v>2.1929000000000003</v>
      </c>
      <c r="J272" s="477">
        <f>VLOOKUP($C272,'Retail Rates'!$B$7:$P$40,10,FALSE)</f>
        <v>2.1929000000000003</v>
      </c>
      <c r="K272" s="477">
        <f>VLOOKUP($C272,'Retail Rates'!$B$7:$P$40,10,FALSE)</f>
        <v>2.1929000000000003</v>
      </c>
      <c r="L272" s="477">
        <f>VLOOKUP($C272,'Retail Rates'!$B$7:$P$40,10,FALSE)</f>
        <v>2.1929000000000003</v>
      </c>
      <c r="M272" s="477">
        <f>VLOOKUP($C272,'Retail Rates'!$B$7:$P$40,10,FALSE)</f>
        <v>2.1929000000000003</v>
      </c>
      <c r="N272" s="477">
        <f>VLOOKUP($C272,'Retail Rates'!$B$7:$P$40,10,FALSE)</f>
        <v>2.1929000000000003</v>
      </c>
      <c r="O272" s="477">
        <f>VLOOKUP($C272,'Retail Rates'!$B$7:$P$40,10,FALSE)</f>
        <v>2.1929000000000003</v>
      </c>
      <c r="P272" s="871"/>
      <c r="Q272" s="869"/>
      <c r="R272" s="869"/>
    </row>
    <row r="273" spans="3:18" x14ac:dyDescent="0.25">
      <c r="C273" s="169" t="s">
        <v>491</v>
      </c>
      <c r="D273" s="169" t="str">
        <f t="shared" si="92"/>
        <v>882</v>
      </c>
      <c r="E273" s="167" t="str">
        <f>VLOOKUP($C273,'Retail Rates'!$B$7:$P$40,2,FALSE)</f>
        <v>IGS TS-2</v>
      </c>
      <c r="F273" s="169" t="s">
        <v>320</v>
      </c>
      <c r="G273" s="170" t="s">
        <v>360</v>
      </c>
      <c r="H273" s="167"/>
      <c r="I273" s="477">
        <f t="shared" ref="I273:O273" si="97">+I272-0.5</f>
        <v>1.6929000000000003</v>
      </c>
      <c r="J273" s="477">
        <f t="shared" si="97"/>
        <v>1.6929000000000003</v>
      </c>
      <c r="K273" s="477">
        <f t="shared" si="97"/>
        <v>1.6929000000000003</v>
      </c>
      <c r="L273" s="477">
        <f t="shared" si="97"/>
        <v>1.6929000000000003</v>
      </c>
      <c r="M273" s="477">
        <f t="shared" si="97"/>
        <v>1.6929000000000003</v>
      </c>
      <c r="N273" s="477">
        <f t="shared" si="97"/>
        <v>1.6929000000000003</v>
      </c>
      <c r="O273" s="477">
        <f t="shared" si="97"/>
        <v>1.6929000000000003</v>
      </c>
      <c r="P273" s="871"/>
      <c r="Q273" s="869"/>
      <c r="R273" s="869"/>
    </row>
    <row r="274" spans="3:18" x14ac:dyDescent="0.25">
      <c r="C274" s="169" t="s">
        <v>491</v>
      </c>
      <c r="D274" s="169" t="str">
        <f t="shared" si="92"/>
        <v>882</v>
      </c>
      <c r="E274" s="167" t="str">
        <f>VLOOKUP($C274,'Retail Rates'!$B$7:$P$40,2,FALSE)</f>
        <v>IGS TS-2</v>
      </c>
      <c r="F274" s="169" t="s">
        <v>320</v>
      </c>
      <c r="G274" s="170"/>
      <c r="H274" s="167"/>
      <c r="I274" s="169"/>
      <c r="J274" s="169"/>
      <c r="K274" s="169"/>
      <c r="L274" s="169"/>
      <c r="M274" s="169"/>
      <c r="N274" s="169"/>
      <c r="O274" s="169"/>
      <c r="P274" s="871"/>
      <c r="Q274" s="869"/>
      <c r="R274" s="869"/>
    </row>
    <row r="275" spans="3:18" x14ac:dyDescent="0.25">
      <c r="C275" s="169" t="s">
        <v>491</v>
      </c>
      <c r="D275" s="169" t="str">
        <f t="shared" si="92"/>
        <v>882</v>
      </c>
      <c r="E275" s="167" t="str">
        <f>VLOOKUP($C275,'Retail Rates'!$B$7:$P$40,2,FALSE)</f>
        <v>IGS TS-2</v>
      </c>
      <c r="F275" s="169" t="s">
        <v>320</v>
      </c>
      <c r="G275" s="172" t="s">
        <v>162</v>
      </c>
      <c r="H275" s="167"/>
      <c r="I275" s="169"/>
      <c r="J275" s="169"/>
      <c r="K275" s="169"/>
      <c r="L275" s="169"/>
      <c r="M275" s="169"/>
      <c r="N275" s="169"/>
      <c r="O275" s="169"/>
      <c r="P275" s="871"/>
      <c r="Q275" s="869"/>
      <c r="R275" s="869"/>
    </row>
    <row r="276" spans="3:18" x14ac:dyDescent="0.25">
      <c r="C276" s="169" t="s">
        <v>491</v>
      </c>
      <c r="D276" s="169" t="str">
        <f t="shared" si="92"/>
        <v>882</v>
      </c>
      <c r="E276" s="167" t="str">
        <f>VLOOKUP($C276,'Retail Rates'!$B$7:$P$40,2,FALSE)</f>
        <v>IGS TS-2</v>
      </c>
      <c r="F276" s="169" t="s">
        <v>320</v>
      </c>
      <c r="G276" s="170" t="s">
        <v>159</v>
      </c>
      <c r="H276" s="156" t="s">
        <v>268</v>
      </c>
      <c r="I276" s="459">
        <f>SUMIFS('Data-Transport'!$K$4:$K$10000,'Data-Transport'!$A$4:$A$10000,'Mar20-Aug20 Transport Actuals'!I$4,'Data-Transport'!$B$4:$B$10000,'Mar20-Aug20 Transport Actuals'!$C$276,'Data-Transport'!$D$4:$D$10000,'Mar20-Aug20 Transport Actuals'!$F$276,'Data-Transport'!$E$4:$E$10000,'Mar20-Aug20 Transport Actuals'!$H$276,'Data-Transport'!$F$4:$F$10000,'Mar20-Aug20 Transport Actuals'!I$6)</f>
        <v>3300</v>
      </c>
      <c r="J276" s="459">
        <f>SUMIFS('Data-Transport'!$K$4:$K$10000,'Data-Transport'!$A$4:$A$10000,'Mar20-Aug20 Transport Actuals'!J$4,'Data-Transport'!$B$4:$B$10000,'Mar20-Aug20 Transport Actuals'!$C$276,'Data-Transport'!$D$4:$D$10000,'Mar20-Aug20 Transport Actuals'!$F$276,'Data-Transport'!$E$4:$E$10000,'Mar20-Aug20 Transport Actuals'!$H$276,'Data-Transport'!$F$4:$F$10000,'Mar20-Aug20 Transport Actuals'!J$6)</f>
        <v>3300</v>
      </c>
      <c r="K276" s="459">
        <f>SUMIFS('Data-Transport'!$K$4:$K$10000,'Data-Transport'!$A$4:$A$10000,'Mar20-Aug20 Transport Actuals'!K$4,'Data-Transport'!$B$4:$B$10000,'Mar20-Aug20 Transport Actuals'!$C$276,'Data-Transport'!$D$4:$D$10000,'Mar20-Aug20 Transport Actuals'!$F$276,'Data-Transport'!$E$4:$E$10000,'Mar20-Aug20 Transport Actuals'!$H$276,'Data-Transport'!$F$4:$F$10000,'Mar20-Aug20 Transport Actuals'!K$6)</f>
        <v>3300</v>
      </c>
      <c r="L276" s="459">
        <f>SUMIFS('Data-Transport'!$K$4:$K$10000,'Data-Transport'!$A$4:$A$10000,'Mar20-Aug20 Transport Actuals'!L$4,'Data-Transport'!$B$4:$B$10000,'Mar20-Aug20 Transport Actuals'!$C$276,'Data-Transport'!$D$4:$D$10000,'Mar20-Aug20 Transport Actuals'!$F$276,'Data-Transport'!$E$4:$E$10000,'Mar20-Aug20 Transport Actuals'!$H$276,'Data-Transport'!$F$4:$F$10000,'Mar20-Aug20 Transport Actuals'!L$6)</f>
        <v>3300</v>
      </c>
      <c r="M276" s="459">
        <f>SUMIFS('Data-Transport'!$K$4:$K$10000,'Data-Transport'!$A$4:$A$10000,'Mar20-Aug20 Transport Actuals'!M$4,'Data-Transport'!$B$4:$B$10000,'Mar20-Aug20 Transport Actuals'!$C$276,'Data-Transport'!$D$4:$D$10000,'Mar20-Aug20 Transport Actuals'!$F$276,'Data-Transport'!$E$4:$E$10000,'Mar20-Aug20 Transport Actuals'!$H$276,'Data-Transport'!$F$4:$F$10000,'Mar20-Aug20 Transport Actuals'!M$6)</f>
        <v>3300</v>
      </c>
      <c r="N276" s="459">
        <f>SUMIFS('Data-Transport'!$K$4:$K$10000,'Data-Transport'!$A$4:$A$10000,'Mar20-Aug20 Transport Actuals'!N$4,'Data-Transport'!$B$4:$B$10000,'Mar20-Aug20 Transport Actuals'!$C$276,'Data-Transport'!$D$4:$D$10000,'Mar20-Aug20 Transport Actuals'!$F$276,'Data-Transport'!$E$4:$E$10000,'Mar20-Aug20 Transport Actuals'!$H$276,'Data-Transport'!$F$4:$F$10000,'Mar20-Aug20 Transport Actuals'!N$6)</f>
        <v>3300</v>
      </c>
      <c r="O276" s="459">
        <f>SUMIFS('Data-Transport'!$K$4:$K$10000,'Data-Transport'!$A$4:$A$10000,'Mar20-Aug20 Transport Actuals'!O$4,'Data-Transport'!$B$4:$B$10000,'Mar20-Aug20 Transport Actuals'!$Q$276,'Data-Transport'!$D$4:$D$10000,'Mar20-Aug20 Transport Actuals'!$F$276,'Data-Transport'!$E$4:$E$10000,'Mar20-Aug20 Transport Actuals'!$R$276,'Data-Transport'!$F$4:$F$10000,'Mar20-Aug20 Transport Actuals'!O$6)</f>
        <v>3300</v>
      </c>
      <c r="P276" s="871">
        <f>SUM(I276:N276)</f>
        <v>19800</v>
      </c>
      <c r="Q276" s="869" t="s">
        <v>1053</v>
      </c>
      <c r="R276" s="869" t="s">
        <v>268</v>
      </c>
    </row>
    <row r="277" spans="3:18" x14ac:dyDescent="0.25">
      <c r="C277" s="169" t="s">
        <v>491</v>
      </c>
      <c r="D277" s="169" t="str">
        <f t="shared" si="92"/>
        <v>882</v>
      </c>
      <c r="E277" s="167" t="str">
        <f>VLOOKUP($C277,'Retail Rates'!$B$7:$P$40,2,FALSE)</f>
        <v>IGS TS-2</v>
      </c>
      <c r="F277" s="169" t="s">
        <v>320</v>
      </c>
      <c r="G277" s="170" t="s">
        <v>289</v>
      </c>
      <c r="H277" s="156" t="s">
        <v>272</v>
      </c>
      <c r="I277" s="459">
        <f>SUMIFS('Data-Transport'!$K$4:$K$10000,'Data-Transport'!$A$4:$A$10000,'Mar20-Aug20 Transport Actuals'!I$4,'Data-Transport'!$B$4:$B$10000,'Mar20-Aug20 Transport Actuals'!$C$277,'Data-Transport'!$D$4:$D$10000,'Mar20-Aug20 Transport Actuals'!$F$277,'Data-Transport'!$E$4:$E$10000,'Mar20-Aug20 Transport Actuals'!$H$277,'Data-Transport'!$F$4:$F$10000,'Mar20-Aug20 Transport Actuals'!I$6)</f>
        <v>4287.3599999999997</v>
      </c>
      <c r="J277" s="459">
        <f>SUMIFS('Data-Transport'!$K$4:$K$10000,'Data-Transport'!$A$4:$A$10000,'Mar20-Aug20 Transport Actuals'!J$4,'Data-Transport'!$B$4:$B$10000,'Mar20-Aug20 Transport Actuals'!$C$277,'Data-Transport'!$D$4:$D$10000,'Mar20-Aug20 Transport Actuals'!$F$277,'Data-Transport'!$E$4:$E$10000,'Mar20-Aug20 Transport Actuals'!$H$277,'Data-Transport'!$F$4:$F$10000,'Mar20-Aug20 Transport Actuals'!J$6)</f>
        <v>4583.04</v>
      </c>
      <c r="K277" s="459">
        <f>SUMIFS('Data-Transport'!$K$4:$K$10000,'Data-Transport'!$A$4:$A$10000,'Mar20-Aug20 Transport Actuals'!K$4,'Data-Transport'!$B$4:$B$10000,'Mar20-Aug20 Transport Actuals'!$C$277,'Data-Transport'!$D$4:$D$10000,'Mar20-Aug20 Transport Actuals'!$F$277,'Data-Transport'!$E$4:$E$10000,'Mar20-Aug20 Transport Actuals'!$H$277,'Data-Transport'!$F$4:$F$10000,'Mar20-Aug20 Transport Actuals'!K$6)</f>
        <v>4435.2</v>
      </c>
      <c r="L277" s="459">
        <f>SUMIFS('Data-Transport'!$K$4:$K$10000,'Data-Transport'!$A$4:$A$10000,'Mar20-Aug20 Transport Actuals'!L$4,'Data-Transport'!$B$4:$B$10000,'Mar20-Aug20 Transport Actuals'!$C$277,'Data-Transport'!$D$4:$D$10000,'Mar20-Aug20 Transport Actuals'!$F$277,'Data-Transport'!$E$4:$E$10000,'Mar20-Aug20 Transport Actuals'!$H$277,'Data-Transport'!$F$4:$F$10000,'Mar20-Aug20 Transport Actuals'!L$6)</f>
        <v>4583.04</v>
      </c>
      <c r="M277" s="459">
        <f>SUMIFS('Data-Transport'!$K$4:$K$10000,'Data-Transport'!$A$4:$A$10000,'Mar20-Aug20 Transport Actuals'!M$4,'Data-Transport'!$B$4:$B$10000,'Mar20-Aug20 Transport Actuals'!$C$277,'Data-Transport'!$D$4:$D$10000,'Mar20-Aug20 Transport Actuals'!$F$277,'Data-Transport'!$E$4:$E$10000,'Mar20-Aug20 Transport Actuals'!$H$277,'Data-Transport'!$F$4:$F$10000,'Mar20-Aug20 Transport Actuals'!M$6)</f>
        <v>4435.2</v>
      </c>
      <c r="N277" s="459">
        <f>SUMIFS('Data-Transport'!$K$4:$K$10000,'Data-Transport'!$A$4:$A$10000,'Mar20-Aug20 Transport Actuals'!N$4,'Data-Transport'!$B$4:$B$10000,'Mar20-Aug20 Transport Actuals'!$C$277,'Data-Transport'!$D$4:$D$10000,'Mar20-Aug20 Transport Actuals'!$F$277,'Data-Transport'!$E$4:$E$10000,'Mar20-Aug20 Transport Actuals'!$H$277,'Data-Transport'!$F$4:$F$10000,'Mar20-Aug20 Transport Actuals'!N$6)</f>
        <v>4583.04</v>
      </c>
      <c r="O277" s="459">
        <f>SUMIFS('Data-Transport'!$K$4:$K$10000,'Data-Transport'!$A$4:$A$10000,'Mar20-Aug20 Transport Actuals'!O$4,'Data-Transport'!$B$4:$B$10000,'Mar20-Aug20 Transport Actuals'!$Q$277,'Data-Transport'!$D$4:$D$10000,'Mar20-Aug20 Transport Actuals'!$F$277,'Data-Transport'!$E$4:$E$10000,'Mar20-Aug20 Transport Actuals'!$R$277,'Data-Transport'!$F$4:$F$10000,'Mar20-Aug20 Transport Actuals'!O$6)</f>
        <v>4583.04</v>
      </c>
      <c r="P277" s="871">
        <f t="shared" ref="P277:P286" si="98">SUM(I277:N277)</f>
        <v>26906.880000000001</v>
      </c>
      <c r="Q277" s="869" t="s">
        <v>1053</v>
      </c>
      <c r="R277" s="869" t="s">
        <v>272</v>
      </c>
    </row>
    <row r="278" spans="3:18" x14ac:dyDescent="0.25">
      <c r="C278" s="169" t="s">
        <v>491</v>
      </c>
      <c r="D278" s="169" t="str">
        <f t="shared" si="92"/>
        <v>882</v>
      </c>
      <c r="E278" s="167" t="str">
        <f>VLOOKUP($C278,'Retail Rates'!$B$7:$P$40,2,FALSE)</f>
        <v>IGS TS-2</v>
      </c>
      <c r="F278" s="169" t="s">
        <v>320</v>
      </c>
      <c r="G278" s="170" t="s">
        <v>249</v>
      </c>
      <c r="H278" s="167"/>
      <c r="I278" s="466">
        <f t="shared" ref="I278:O279" si="99">ROUND(+I266*I272,2)</f>
        <v>5525.01</v>
      </c>
      <c r="J278" s="466">
        <f t="shared" si="99"/>
        <v>21488.67</v>
      </c>
      <c r="K278" s="466">
        <f t="shared" si="99"/>
        <v>1231.0899999999999</v>
      </c>
      <c r="L278" s="466">
        <f t="shared" si="99"/>
        <v>1315.74</v>
      </c>
      <c r="M278" s="466">
        <f t="shared" si="99"/>
        <v>1315.74</v>
      </c>
      <c r="N278" s="466">
        <f t="shared" si="99"/>
        <v>1096.45</v>
      </c>
      <c r="O278" s="466">
        <f t="shared" si="99"/>
        <v>1315.74</v>
      </c>
      <c r="P278" s="871">
        <f t="shared" si="98"/>
        <v>31972.700000000004</v>
      </c>
      <c r="Q278" s="869"/>
      <c r="R278" s="869"/>
    </row>
    <row r="279" spans="3:18" x14ac:dyDescent="0.25">
      <c r="C279" s="169" t="s">
        <v>491</v>
      </c>
      <c r="D279" s="169" t="str">
        <f t="shared" si="92"/>
        <v>882</v>
      </c>
      <c r="E279" s="167" t="str">
        <f>VLOOKUP($C279,'Retail Rates'!$B$7:$P$40,2,FALSE)</f>
        <v>IGS TS-2</v>
      </c>
      <c r="F279" s="169" t="s">
        <v>320</v>
      </c>
      <c r="G279" s="170" t="s">
        <v>250</v>
      </c>
      <c r="H279" s="167"/>
      <c r="I279" s="464">
        <f t="shared" si="99"/>
        <v>0</v>
      </c>
      <c r="J279" s="464">
        <f t="shared" si="99"/>
        <v>0</v>
      </c>
      <c r="K279" s="464">
        <f t="shared" si="99"/>
        <v>45037.91</v>
      </c>
      <c r="L279" s="464">
        <f t="shared" si="99"/>
        <v>34213</v>
      </c>
      <c r="M279" s="464">
        <f t="shared" si="99"/>
        <v>31115.16</v>
      </c>
      <c r="N279" s="464">
        <f t="shared" si="99"/>
        <v>37593.550000000003</v>
      </c>
      <c r="O279" s="464">
        <f t="shared" si="99"/>
        <v>42356.53</v>
      </c>
      <c r="P279" s="871">
        <f t="shared" si="98"/>
        <v>147959.62</v>
      </c>
      <c r="Q279" s="869"/>
      <c r="R279" s="869"/>
    </row>
    <row r="280" spans="3:18" x14ac:dyDescent="0.25">
      <c r="C280" s="169" t="s">
        <v>491</v>
      </c>
      <c r="D280" s="169" t="str">
        <f t="shared" si="92"/>
        <v>882</v>
      </c>
      <c r="E280" s="167" t="str">
        <f>VLOOKUP($C280,'Retail Rates'!$B$7:$P$40,2,FALSE)</f>
        <v>IGS TS-2</v>
      </c>
      <c r="F280" s="169" t="s">
        <v>320</v>
      </c>
      <c r="G280" s="170" t="s">
        <v>165</v>
      </c>
      <c r="H280" s="167"/>
      <c r="I280" s="466">
        <f t="shared" ref="I280:O280" si="100">SUM(I276:I279)</f>
        <v>13112.369999999999</v>
      </c>
      <c r="J280" s="466">
        <f t="shared" si="100"/>
        <v>29371.71</v>
      </c>
      <c r="K280" s="466">
        <f t="shared" si="100"/>
        <v>54004.200000000004</v>
      </c>
      <c r="L280" s="466">
        <f t="shared" si="100"/>
        <v>43411.78</v>
      </c>
      <c r="M280" s="466">
        <f t="shared" si="100"/>
        <v>40166.1</v>
      </c>
      <c r="N280" s="466">
        <f t="shared" si="100"/>
        <v>46573.04</v>
      </c>
      <c r="O280" s="466">
        <f t="shared" si="100"/>
        <v>51555.31</v>
      </c>
      <c r="P280" s="871">
        <f>SUM(I280:N280)</f>
        <v>226639.2</v>
      </c>
      <c r="Q280" s="869"/>
      <c r="R280" s="869"/>
    </row>
    <row r="281" spans="3:18" x14ac:dyDescent="0.25">
      <c r="C281" s="169" t="s">
        <v>491</v>
      </c>
      <c r="D281" s="169" t="str">
        <f t="shared" si="92"/>
        <v>882</v>
      </c>
      <c r="E281" s="167" t="str">
        <f>VLOOKUP($C281,'Retail Rates'!$B$7:$P$40,2,FALSE)</f>
        <v>IGS TS-2</v>
      </c>
      <c r="F281" s="169" t="s">
        <v>320</v>
      </c>
      <c r="G281" s="170" t="s">
        <v>109</v>
      </c>
      <c r="H281" s="476" t="s">
        <v>109</v>
      </c>
      <c r="I281" s="478">
        <f>SUMIFS('Data-Transport'!$Q$4:$Q$10000,'Data-Transport'!$A$4:$A$10000,'Mar20-Aug20 Transport Actuals'!I$4,'Data-Transport'!$B$4:$B$10000,'Mar20-Aug20 Transport Actuals'!$C$281,'Data-Transport'!$D$4:$D$10000,'Mar20-Aug20 Transport Actuals'!$F$281,'Data-Transport'!$E$4:$E$10000,'Mar20-Aug20 Transport Actuals'!$H$281,'Data-Transport'!$F$4:$F$10000,'Mar20-Aug20 Transport Actuals'!I$6)</f>
        <v>4.54</v>
      </c>
      <c r="J281" s="478">
        <f>SUMIFS('Data-Transport'!$Q$4:$Q$10000,'Data-Transport'!$A$4:$A$10000,'Mar20-Aug20 Transport Actuals'!J$4,'Data-Transport'!$B$4:$B$10000,'Mar20-Aug20 Transport Actuals'!$C$281,'Data-Transport'!$D$4:$D$10000,'Mar20-Aug20 Transport Actuals'!$F$281,'Data-Transport'!$E$4:$E$10000,'Mar20-Aug20 Transport Actuals'!$H$281,'Data-Transport'!$F$4:$F$10000,'Mar20-Aug20 Transport Actuals'!J$6)</f>
        <v>17.64</v>
      </c>
      <c r="K281" s="478">
        <f>SUMIFS('Data-Transport'!$Q$4:$Q$10000,'Data-Transport'!$A$4:$A$10000,'Mar20-Aug20 Transport Actuals'!K$4,'Data-Transport'!$B$4:$B$10000,'Mar20-Aug20 Transport Actuals'!$C$281,'Data-Transport'!$D$4:$D$10000,'Mar20-Aug20 Transport Actuals'!$F$281,'Data-Transport'!$E$4:$E$10000,'Mar20-Aug20 Transport Actuals'!$H$281,'Data-Transport'!$F$4:$F$10000,'Mar20-Aug20 Transport Actuals'!K$6)</f>
        <v>130.38999999999999</v>
      </c>
      <c r="L281" s="478">
        <f>SUMIFS('Data-Transport'!$Q$4:$Q$10000,'Data-Transport'!$A$4:$A$10000,'Mar20-Aug20 Transport Actuals'!L$4,'Data-Transport'!$B$4:$B$10000,'Mar20-Aug20 Transport Actuals'!$C$281,'Data-Transport'!$D$4:$D$10000,'Mar20-Aug20 Transport Actuals'!$F$281,'Data-Transport'!$E$4:$E$10000,'Mar20-Aug20 Transport Actuals'!$H$281,'Data-Transport'!$F$4:$F$10000,'Mar20-Aug20 Transport Actuals'!L$6)</f>
        <v>99.9</v>
      </c>
      <c r="M281" s="478">
        <f>SUMIFS('Data-Transport'!$Q$4:$Q$10000,'Data-Transport'!$A$4:$A$10000,'Mar20-Aug20 Transport Actuals'!M$4,'Data-Transport'!$B$4:$B$10000,'Mar20-Aug20 Transport Actuals'!$C$281,'Data-Transport'!$D$4:$D$10000,'Mar20-Aug20 Transport Actuals'!$F$281,'Data-Transport'!$E$4:$E$10000,'Mar20-Aug20 Transport Actuals'!$H$281,'Data-Transport'!$F$4:$F$10000,'Mar20-Aug20 Transport Actuals'!M$6)</f>
        <v>91.09</v>
      </c>
      <c r="N281" s="478">
        <f>SUMIFS('Data-Transport'!$Q$4:$Q$10000,'Data-Transport'!$A$4:$A$10000,'Mar20-Aug20 Transport Actuals'!N$4,'Data-Transport'!$B$4:$B$10000,'Mar20-Aug20 Transport Actuals'!$C$281,'Data-Transport'!$D$4:$D$10000,'Mar20-Aug20 Transport Actuals'!$F$281,'Data-Transport'!$E$4:$E$10000,'Mar20-Aug20 Transport Actuals'!$H$281,'Data-Transport'!$F$4:$F$10000,'Mar20-Aug20 Transport Actuals'!N$6)</f>
        <v>108.99</v>
      </c>
      <c r="O281" s="478">
        <f>SUMIFS('Data-Transport'!$Q$4:$Q$10000,'Data-Transport'!$A$4:$A$10000,'Mar20-Aug20 Transport Actuals'!O$4,'Data-Transport'!$B$4:$B$10000,'Mar20-Aug20 Transport Actuals'!$Q$281,'Data-Transport'!$D$4:$D$10000,'Mar20-Aug20 Transport Actuals'!$F$281,'Data-Transport'!$E$4:$E$10000,'Mar20-Aug20 Transport Actuals'!$R$281,'Data-Transport'!$F$4:$F$10000,'Mar20-Aug20 Transport Actuals'!O$6)</f>
        <v>122.98</v>
      </c>
      <c r="P281" s="871">
        <f t="shared" si="98"/>
        <v>452.55</v>
      </c>
      <c r="Q281" s="869" t="s">
        <v>1053</v>
      </c>
      <c r="R281" s="869" t="s">
        <v>1035</v>
      </c>
    </row>
    <row r="282" spans="3:18" x14ac:dyDescent="0.25">
      <c r="C282" s="169" t="s">
        <v>491</v>
      </c>
      <c r="D282" s="169" t="str">
        <f t="shared" si="92"/>
        <v>882</v>
      </c>
      <c r="E282" s="167" t="str">
        <f>VLOOKUP($C282,'Retail Rates'!$B$7:$P$40,2,FALSE)</f>
        <v>IGS TS-2</v>
      </c>
      <c r="F282" s="169" t="s">
        <v>320</v>
      </c>
      <c r="G282" s="170" t="s">
        <v>148</v>
      </c>
      <c r="H282" s="476" t="s">
        <v>273</v>
      </c>
      <c r="I282" s="478">
        <f>SUMIFS('Data-Transport'!$Y$4:$Y$10000,'Data-Transport'!$A$4:$A$10000,'Mar20-Aug20 Transport Actuals'!I$4,'Data-Transport'!$B$4:$B$10000,'Mar20-Aug20 Transport Actuals'!$C$282,'Data-Transport'!$D$4:$D$10000,'Mar20-Aug20 Transport Actuals'!$F$282,'Data-Transport'!$E$4:$E$10000,'Mar20-Aug20 Transport Actuals'!$H$282,'Data-Transport'!$F$4:$F$10000,'Mar20-Aug20 Transport Actuals'!I$6)</f>
        <v>2157.4499999999998</v>
      </c>
      <c r="J282" s="478">
        <f>SUMIFS('Data-Transport'!$Y$4:$Y$10000,'Data-Transport'!$A$4:$A$10000,'Mar20-Aug20 Transport Actuals'!J$4,'Data-Transport'!$B$4:$B$10000,'Mar20-Aug20 Transport Actuals'!$C$282,'Data-Transport'!$D$4:$D$10000,'Mar20-Aug20 Transport Actuals'!$F$282,'Data-Transport'!$E$4:$E$10000,'Mar20-Aug20 Transport Actuals'!$H$282,'Data-Transport'!$F$4:$F$10000,'Mar20-Aug20 Transport Actuals'!J$6)</f>
        <v>8391.06</v>
      </c>
      <c r="K282" s="478">
        <f>SUMIFS('Data-Transport'!$Y$4:$Y$10000,'Data-Transport'!$A$4:$A$10000,'Mar20-Aug20 Transport Actuals'!K$4,'Data-Transport'!$B$4:$B$10000,'Mar20-Aug20 Transport Actuals'!$C$282,'Data-Transport'!$D$4:$D$10000,'Mar20-Aug20 Transport Actuals'!$F$282,'Data-Transport'!$E$4:$E$10000,'Mar20-Aug20 Transport Actuals'!$H$282,'Data-Transport'!$F$4:$F$10000,'Mar20-Aug20 Transport Actuals'!K$6)</f>
        <v>23261.73</v>
      </c>
      <c r="L282" s="478">
        <f>SUMIFS('Data-Transport'!$Y$4:$Y$10000,'Data-Transport'!$A$4:$A$10000,'Mar20-Aug20 Transport Actuals'!L$4,'Data-Transport'!$B$4:$B$10000,'Mar20-Aug20 Transport Actuals'!$C$282,'Data-Transport'!$D$4:$D$10000,'Mar20-Aug20 Transport Actuals'!$F$282,'Data-Transport'!$E$4:$E$10000,'Mar20-Aug20 Transport Actuals'!$H$282,'Data-Transport'!$F$4:$F$10000,'Mar20-Aug20 Transport Actuals'!L$6)</f>
        <v>17906.75</v>
      </c>
      <c r="M282" s="478">
        <f>SUMIFS('Data-Transport'!$Y$4:$Y$10000,'Data-Transport'!$A$4:$A$10000,'Mar20-Aug20 Transport Actuals'!M$4,'Data-Transport'!$B$4:$B$10000,'Mar20-Aug20 Transport Actuals'!$C$282,'Data-Transport'!$D$4:$D$10000,'Mar20-Aug20 Transport Actuals'!$F$282,'Data-Transport'!$E$4:$E$10000,'Mar20-Aug20 Transport Actuals'!$H$282,'Data-Transport'!$F$4:$F$10000,'Mar20-Aug20 Transport Actuals'!M$6)</f>
        <v>16332.11</v>
      </c>
      <c r="N282" s="478">
        <f>SUMIFS('Data-Transport'!$Y$4:$Y$10000,'Data-Transport'!$A$4:$A$10000,'Mar20-Aug20 Transport Actuals'!N$4,'Data-Transport'!$B$4:$B$10000,'Mar20-Aug20 Transport Actuals'!$C$282,'Data-Transport'!$D$4:$D$10000,'Mar20-Aug20 Transport Actuals'!$F$282,'Data-Transport'!$E$4:$E$10000,'Mar20-Aug20 Transport Actuals'!$H$282,'Data-Transport'!$F$4:$F$10000,'Mar20-Aug20 Transport Actuals'!N$6)</f>
        <v>19539.03</v>
      </c>
      <c r="O282" s="478">
        <f>SUMIFS('Data-Transport'!$Y$4:$Y$10000,'Data-Transport'!$A$4:$A$10000,'Mar20-Aug20 Transport Actuals'!O$4,'Data-Transport'!$B$4:$B$10000,'Mar20-Aug20 Transport Actuals'!$Q$282,'Data-Transport'!$D$4:$D$10000,'Mar20-Aug20 Transport Actuals'!$F$282,'Data-Transport'!$E$4:$E$10000,'Mar20-Aug20 Transport Actuals'!$R$282,'Data-Transport'!$F$4:$F$10000,'Mar20-Aug20 Transport Actuals'!O$6)</f>
        <v>22089.65</v>
      </c>
      <c r="P282" s="871">
        <f t="shared" si="98"/>
        <v>87588.13</v>
      </c>
      <c r="Q282" s="869" t="s">
        <v>1053</v>
      </c>
      <c r="R282" s="869" t="s">
        <v>273</v>
      </c>
    </row>
    <row r="283" spans="3:18" x14ac:dyDescent="0.25">
      <c r="C283" s="169" t="s">
        <v>491</v>
      </c>
      <c r="D283" s="169" t="str">
        <f>MID(C283,6,3)</f>
        <v>882</v>
      </c>
      <c r="E283" s="167" t="str">
        <f>VLOOKUP($C283,'Retail Rates'!$B$7:$P$40,2,FALSE)</f>
        <v>IGS TS-2</v>
      </c>
      <c r="F283" s="169" t="s">
        <v>320</v>
      </c>
      <c r="G283" s="170" t="s">
        <v>628</v>
      </c>
      <c r="H283" s="476" t="s">
        <v>620</v>
      </c>
      <c r="I283" s="478">
        <f>SUMIFS('Data-Transport'!$Z$4:$Z$10000,'Data-Transport'!$A$4:$A$10000,'Mar20-Aug20 Transport Actuals'!I$4,'Data-Transport'!$B$4:$B$10000,'Mar20-Aug20 Transport Actuals'!$C$283,'Data-Transport'!$D$4:$D$10000,'Mar20-Aug20 Transport Actuals'!$F$283,'Data-Transport'!$E$4:$E$10000,'Mar20-Aug20 Transport Actuals'!$H$283,'Data-Transport'!$F$4:$F$10000,'Mar20-Aug20 Transport Actuals'!I$6)</f>
        <v>386.34</v>
      </c>
      <c r="J283" s="478">
        <f>SUMIFS('Data-Transport'!$Z$4:$Z$10000,'Data-Transport'!$A$4:$A$10000,'Mar20-Aug20 Transport Actuals'!J$4,'Data-Transport'!$B$4:$B$10000,'Mar20-Aug20 Transport Actuals'!$C$283,'Data-Transport'!$D$4:$D$10000,'Mar20-Aug20 Transport Actuals'!$F$283,'Data-Transport'!$E$4:$E$10000,'Mar20-Aug20 Transport Actuals'!$H$283,'Data-Transport'!$F$4:$F$10000,'Mar20-Aug20 Transport Actuals'!J$6)</f>
        <v>386.34</v>
      </c>
      <c r="K283" s="478">
        <f>SUMIFS('Data-Transport'!$Z$4:$Z$10000,'Data-Transport'!$A$4:$A$10000,'Mar20-Aug20 Transport Actuals'!K$4,'Data-Transport'!$B$4:$B$10000,'Mar20-Aug20 Transport Actuals'!$C$283,'Data-Transport'!$D$4:$D$10000,'Mar20-Aug20 Transport Actuals'!$F$283,'Data-Transport'!$E$4:$E$10000,'Mar20-Aug20 Transport Actuals'!$H$283,'Data-Transport'!$F$4:$F$10000,'Mar20-Aug20 Transport Actuals'!K$6)</f>
        <v>386.34</v>
      </c>
      <c r="L283" s="478">
        <f>SUMIFS('Data-Transport'!$Z$4:$Z$10000,'Data-Transport'!$A$4:$A$10000,'Mar20-Aug20 Transport Actuals'!L$4,'Data-Transport'!$B$4:$B$10000,'Mar20-Aug20 Transport Actuals'!$C$283,'Data-Transport'!$D$4:$D$10000,'Mar20-Aug20 Transport Actuals'!$F$283,'Data-Transport'!$E$4:$E$10000,'Mar20-Aug20 Transport Actuals'!$H$283,'Data-Transport'!$F$4:$F$10000,'Mar20-Aug20 Transport Actuals'!L$6)</f>
        <v>666.12</v>
      </c>
      <c r="M283" s="478">
        <f>SUMIFS('Data-Transport'!$Z$4:$Z$10000,'Data-Transport'!$A$4:$A$10000,'Mar20-Aug20 Transport Actuals'!M$4,'Data-Transport'!$B$4:$B$10000,'Mar20-Aug20 Transport Actuals'!$C$283,'Data-Transport'!$D$4:$D$10000,'Mar20-Aug20 Transport Actuals'!$F$283,'Data-Transport'!$E$4:$E$10000,'Mar20-Aug20 Transport Actuals'!$H$283,'Data-Transport'!$F$4:$F$10000,'Mar20-Aug20 Transport Actuals'!M$6)</f>
        <v>666.12</v>
      </c>
      <c r="N283" s="478">
        <f>SUMIFS('Data-Transport'!$Z$4:$Z$10000,'Data-Transport'!$A$4:$A$10000,'Mar20-Aug20 Transport Actuals'!N$4,'Data-Transport'!$B$4:$B$10000,'Mar20-Aug20 Transport Actuals'!$C$283,'Data-Transport'!$D$4:$D$10000,'Mar20-Aug20 Transport Actuals'!$F$283,'Data-Transport'!$E$4:$E$10000,'Mar20-Aug20 Transport Actuals'!$H$283,'Data-Transport'!$F$4:$F$10000,'Mar20-Aug20 Transport Actuals'!N$6)</f>
        <v>666.12</v>
      </c>
      <c r="O283" s="478">
        <f>SUMIFS('Data-Transport'!$Z$4:$Z$10000,'Data-Transport'!$A$4:$A$10000,'Mar20-Aug20 Transport Actuals'!O$4,'Data-Transport'!$B$4:$B$10000,'Mar20-Aug20 Transport Actuals'!$Q$283,'Data-Transport'!$D$4:$D$10000,'Mar20-Aug20 Transport Actuals'!$F$283,'Data-Transport'!$E$4:$E$10000,'Mar20-Aug20 Transport Actuals'!$R$283,'Data-Transport'!$F$4:$F$10000,'Mar20-Aug20 Transport Actuals'!O$6)</f>
        <v>666.12</v>
      </c>
      <c r="P283" s="871">
        <f t="shared" si="98"/>
        <v>3157.3799999999997</v>
      </c>
      <c r="Q283" s="869" t="s">
        <v>1053</v>
      </c>
      <c r="R283" s="869" t="s">
        <v>1052</v>
      </c>
    </row>
    <row r="284" spans="3:18" x14ac:dyDescent="0.25">
      <c r="C284" s="169" t="s">
        <v>491</v>
      </c>
      <c r="D284" s="169" t="str">
        <f>MID(C284,6,3)</f>
        <v>882</v>
      </c>
      <c r="E284" s="167" t="str">
        <f>VLOOKUP($C284,'Retail Rates'!$B$7:$P$40,2,FALSE)</f>
        <v>IGS TS-2</v>
      </c>
      <c r="F284" s="169" t="s">
        <v>320</v>
      </c>
      <c r="G284" s="170" t="s">
        <v>623</v>
      </c>
      <c r="H284" s="476" t="s">
        <v>621</v>
      </c>
      <c r="I284" s="478">
        <f>SUMIFS('Data-Transport'!$AA$4:$AA$10000,'Data-Transport'!$A$4:$A$10000,'Mar20-Aug20 Transport Actuals'!I$4,'Data-Transport'!$B$4:$B$10000,'Mar20-Aug20 Transport Actuals'!$C$284,'Data-Transport'!$D$4:$D$10000,'Mar20-Aug20 Transport Actuals'!$F$284,'Data-Transport'!$E$4:$E$10000,'Mar20-Aug20 Transport Actuals'!$H$284,'Data-Transport'!$F$4:$F$10000,'Mar20-Aug20 Transport Actuals'!I$6)</f>
        <v>102.81</v>
      </c>
      <c r="J284" s="478">
        <f>SUMIFS('Data-Transport'!$AA$4:$AA$10000,'Data-Transport'!$A$4:$A$10000,'Mar20-Aug20 Transport Actuals'!J$4,'Data-Transport'!$B$4:$B$10000,'Mar20-Aug20 Transport Actuals'!$C$284,'Data-Transport'!$D$4:$D$10000,'Mar20-Aug20 Transport Actuals'!$F$284,'Data-Transport'!$E$4:$E$10000,'Mar20-Aug20 Transport Actuals'!$H$284,'Data-Transport'!$F$4:$F$10000,'Mar20-Aug20 Transport Actuals'!J$6)</f>
        <v>399.8</v>
      </c>
      <c r="K284" s="478">
        <f>SUMIFS('Data-Transport'!$AA$4:$AA$10000,'Data-Transport'!$A$4:$A$10000,'Mar20-Aug20 Transport Actuals'!K$4,'Data-Transport'!$B$4:$B$10000,'Mar20-Aug20 Transport Actuals'!$C$284,'Data-Transport'!$D$4:$D$10000,'Mar20-Aug20 Transport Actuals'!$F$284,'Data-Transport'!$E$4:$E$10000,'Mar20-Aug20 Transport Actuals'!$H$284,'Data-Transport'!$F$4:$F$10000,'Mar20-Aug20 Transport Actuals'!K$6)</f>
        <v>1108.3499999999999</v>
      </c>
      <c r="L284" s="478">
        <f>SUMIFS('Data-Transport'!$AA$4:$AA$10000,'Data-Transport'!$A$4:$A$10000,'Mar20-Aug20 Transport Actuals'!L$4,'Data-Transport'!$B$4:$B$10000,'Mar20-Aug20 Transport Actuals'!$C$284,'Data-Transport'!$D$4:$D$10000,'Mar20-Aug20 Transport Actuals'!$F$284,'Data-Transport'!$E$4:$E$10000,'Mar20-Aug20 Transport Actuals'!$H$284,'Data-Transport'!$F$4:$F$10000,'Mar20-Aug20 Transport Actuals'!L$6)</f>
        <v>2434.7399999999998</v>
      </c>
      <c r="M284" s="478">
        <f>SUMIFS('Data-Transport'!$AA$4:$AA$10000,'Data-Transport'!$A$4:$A$10000,'Mar20-Aug20 Transport Actuals'!M$4,'Data-Transport'!$B$4:$B$10000,'Mar20-Aug20 Transport Actuals'!$C$284,'Data-Transport'!$D$4:$D$10000,'Mar20-Aug20 Transport Actuals'!$F$284,'Data-Transport'!$E$4:$E$10000,'Mar20-Aug20 Transport Actuals'!$H$284,'Data-Transport'!$F$4:$F$10000,'Mar20-Aug20 Transport Actuals'!M$6)</f>
        <v>2220.64</v>
      </c>
      <c r="N284" s="478">
        <f>SUMIFS('Data-Transport'!$AA$4:$AA$10000,'Data-Transport'!$A$4:$A$10000,'Mar20-Aug20 Transport Actuals'!N$4,'Data-Transport'!$B$4:$B$10000,'Mar20-Aug20 Transport Actuals'!$C$284,'Data-Transport'!$D$4:$D$10000,'Mar20-Aug20 Transport Actuals'!$F$284,'Data-Transport'!$E$4:$E$10000,'Mar20-Aug20 Transport Actuals'!$H$284,'Data-Transport'!$F$4:$F$10000,'Mar20-Aug20 Transport Actuals'!N$6)</f>
        <v>2656.67</v>
      </c>
      <c r="O284" s="478">
        <f>SUMIFS('Data-Transport'!$AA$4:$AA$10000,'Data-Transport'!$A$4:$A$10000,'Mar20-Aug20 Transport Actuals'!O$4,'Data-Transport'!$B$4:$B$10000,'Mar20-Aug20 Transport Actuals'!$Q$284,'Data-Transport'!$D$4:$D$10000,'Mar20-Aug20 Transport Actuals'!$F$284,'Data-Transport'!$E$4:$E$10000,'Mar20-Aug20 Transport Actuals'!$R$284,'Data-Transport'!$F$4:$F$10000,'Mar20-Aug20 Transport Actuals'!O$6)</f>
        <v>2997.56</v>
      </c>
      <c r="P284" s="871">
        <f t="shared" si="98"/>
        <v>8923.01</v>
      </c>
      <c r="Q284" s="869" t="s">
        <v>1053</v>
      </c>
      <c r="R284" s="869" t="s">
        <v>1037</v>
      </c>
    </row>
    <row r="285" spans="3:18" x14ac:dyDescent="0.25">
      <c r="C285" s="169" t="s">
        <v>491</v>
      </c>
      <c r="D285" s="169" t="str">
        <f>MID(C285,6,3)</f>
        <v>882</v>
      </c>
      <c r="E285" s="167" t="str">
        <f>VLOOKUP($C285,'Retail Rates'!$B$7:$P$40,2,FALSE)</f>
        <v>IGS TS-2</v>
      </c>
      <c r="F285" s="169" t="s">
        <v>320</v>
      </c>
      <c r="G285" s="170" t="s">
        <v>454</v>
      </c>
      <c r="H285" s="476" t="s">
        <v>357</v>
      </c>
      <c r="I285" s="478">
        <f>SUMIFS('Data-Transport'!$S$14:$S$4704,'Data-Transport'!$A$14:$A$4704,'Mar20-Aug20 Transport Actuals'!I$4,'Data-Transport'!$B$14:$B$4704,'Mar20-Aug20 Transport Actuals'!$C$285,'Data-Transport'!$D$14:$D$4704,'Mar20-Aug20 Transport Actuals'!$F$285,'Data-Transport'!$E$14:$E$4704,'Mar20-Aug20 Transport Actuals'!$H$285,'Data-Transport'!$F$14:$F$4704,'Mar20-Aug20 Transport Actuals'!I$6)</f>
        <v>0</v>
      </c>
      <c r="J285" s="478">
        <f>SUMIFS('Data-Transport'!$S$14:$S$4704,'Data-Transport'!$A$14:$A$4704,'Mar20-Aug20 Transport Actuals'!J$4,'Data-Transport'!$B$14:$B$4704,'Mar20-Aug20 Transport Actuals'!$C$285,'Data-Transport'!$D$14:$D$4704,'Mar20-Aug20 Transport Actuals'!$F$285,'Data-Transport'!$E$14:$E$4704,'Mar20-Aug20 Transport Actuals'!$H$285,'Data-Transport'!$F$14:$F$4704,'Mar20-Aug20 Transport Actuals'!J$6)</f>
        <v>0</v>
      </c>
      <c r="K285" s="478">
        <f>SUMIFS('Data-Transport'!$S$14:$S$4704,'Data-Transport'!$A$14:$A$4704,'Mar20-Aug20 Transport Actuals'!K$4,'Data-Transport'!$B$14:$B$4704,'Mar20-Aug20 Transport Actuals'!$C$285,'Data-Transport'!$D$14:$D$4704,'Mar20-Aug20 Transport Actuals'!$F$285,'Data-Transport'!$E$14:$E$4704,'Mar20-Aug20 Transport Actuals'!$H$285,'Data-Transport'!$F$14:$F$4704,'Mar20-Aug20 Transport Actuals'!K$6)</f>
        <v>0</v>
      </c>
      <c r="L285" s="478">
        <f>SUMIFS('Data-Transport'!$S$14:$S$4704,'Data-Transport'!$A$14:$A$4704,'Mar20-Aug20 Transport Actuals'!L$4,'Data-Transport'!$B$14:$B$4704,'Mar20-Aug20 Transport Actuals'!$C$285,'Data-Transport'!$D$14:$D$4704,'Mar20-Aug20 Transport Actuals'!$F$285,'Data-Transport'!$E$14:$E$4704,'Mar20-Aug20 Transport Actuals'!$H$285,'Data-Transport'!$F$14:$F$4704,'Mar20-Aug20 Transport Actuals'!L$6)</f>
        <v>0</v>
      </c>
      <c r="M285" s="478">
        <f>SUMIFS('Data-Transport'!$S$14:$S$4704,'Data-Transport'!$A$14:$A$4704,'Mar20-Aug20 Transport Actuals'!M$4,'Data-Transport'!$B$14:$B$4704,'Mar20-Aug20 Transport Actuals'!$C$285,'Data-Transport'!$D$14:$D$4704,'Mar20-Aug20 Transport Actuals'!$F$285,'Data-Transport'!$E$14:$E$4704,'Mar20-Aug20 Transport Actuals'!$H$285,'Data-Transport'!$F$14:$F$4704,'Mar20-Aug20 Transport Actuals'!M$6)</f>
        <v>0</v>
      </c>
      <c r="N285" s="478">
        <f>SUMIFS('Data-Transport'!$S$14:$S$4704,'Data-Transport'!$A$14:$A$4704,'Mar20-Aug20 Transport Actuals'!N$4,'Data-Transport'!$B$14:$B$4704,'Mar20-Aug20 Transport Actuals'!$C$285,'Data-Transport'!$D$14:$D$4704,'Mar20-Aug20 Transport Actuals'!$F$285,'Data-Transport'!$E$14:$E$4704,'Mar20-Aug20 Transport Actuals'!$H$285,'Data-Transport'!$F$14:$F$4704,'Mar20-Aug20 Transport Actuals'!N$6)</f>
        <v>0</v>
      </c>
      <c r="O285" s="478">
        <f>SUMIFS('Data-Transport'!$S$14:$S$4704,'Data-Transport'!$A$14:$A$4704,'Mar20-Aug20 Transport Actuals'!O$4,'Data-Transport'!$B$14:$B$4704,'Mar20-Aug20 Transport Actuals'!$Q$285,'Data-Transport'!$D$14:$D$4704,'Mar20-Aug20 Transport Actuals'!$F$285,'Data-Transport'!$E$14:$E$4704,'Mar20-Aug20 Transport Actuals'!$R$285,'Data-Transport'!$F$14:$F$4704,'Mar20-Aug20 Transport Actuals'!O$6)</f>
        <v>0</v>
      </c>
      <c r="P285" s="871">
        <f t="shared" si="98"/>
        <v>0</v>
      </c>
      <c r="Q285" s="869" t="s">
        <v>1053</v>
      </c>
      <c r="R285" s="869" t="s">
        <v>357</v>
      </c>
    </row>
    <row r="286" spans="3:18" x14ac:dyDescent="0.25">
      <c r="C286" s="169"/>
      <c r="D286" s="169"/>
      <c r="E286" s="167"/>
      <c r="F286" s="169"/>
      <c r="G286" s="170" t="s">
        <v>169</v>
      </c>
      <c r="H286" s="167"/>
      <c r="I286" s="466">
        <f t="shared" ref="I286:O286" si="101">SUM(I280:I285)</f>
        <v>15763.51</v>
      </c>
      <c r="J286" s="466">
        <f t="shared" si="101"/>
        <v>38566.549999999996</v>
      </c>
      <c r="K286" s="466">
        <f t="shared" si="101"/>
        <v>78891.010000000009</v>
      </c>
      <c r="L286" s="466">
        <f t="shared" si="101"/>
        <v>64519.29</v>
      </c>
      <c r="M286" s="466">
        <f t="shared" si="101"/>
        <v>59476.06</v>
      </c>
      <c r="N286" s="466">
        <f t="shared" si="101"/>
        <v>69543.849999999991</v>
      </c>
      <c r="O286" s="466">
        <f t="shared" si="101"/>
        <v>77431.62</v>
      </c>
      <c r="P286" s="871">
        <f t="shared" si="98"/>
        <v>326760.27</v>
      </c>
      <c r="Q286" s="869"/>
      <c r="R286" s="869"/>
    </row>
    <row r="287" spans="3:18" x14ac:dyDescent="0.25">
      <c r="C287" s="169"/>
      <c r="D287" s="169"/>
      <c r="E287" s="167"/>
      <c r="F287" s="169"/>
      <c r="G287" s="170"/>
      <c r="H287" s="167"/>
      <c r="I287" s="466"/>
      <c r="J287" s="466"/>
      <c r="K287" s="466"/>
      <c r="L287" s="466"/>
      <c r="M287" s="466"/>
      <c r="N287" s="466"/>
      <c r="O287" s="466"/>
      <c r="P287" s="871"/>
      <c r="Q287" s="869"/>
      <c r="R287" s="869"/>
    </row>
    <row r="288" spans="3:18" x14ac:dyDescent="0.25">
      <c r="C288" s="169" t="s">
        <v>52</v>
      </c>
      <c r="D288" s="169" t="str">
        <f t="shared" ref="D288:D293" si="102">MID(C288,6,3)</f>
        <v>882</v>
      </c>
      <c r="E288" s="167" t="str">
        <f>VLOOKUP($C288,'Retail Rates'!$B$7:$P$40,2,FALSE)</f>
        <v>IGS TS-2-PM</v>
      </c>
      <c r="F288" s="169" t="s">
        <v>320</v>
      </c>
      <c r="G288" s="175" t="s">
        <v>157</v>
      </c>
      <c r="H288" s="167"/>
      <c r="I288" s="167">
        <f>+I291/I289</f>
        <v>9</v>
      </c>
      <c r="J288" s="167">
        <f t="shared" ref="J288:O288" si="103">+J291/J289</f>
        <v>9</v>
      </c>
      <c r="K288" s="167">
        <f t="shared" si="103"/>
        <v>9</v>
      </c>
      <c r="L288" s="167">
        <f t="shared" si="103"/>
        <v>9</v>
      </c>
      <c r="M288" s="167">
        <f t="shared" si="103"/>
        <v>9</v>
      </c>
      <c r="N288" s="167">
        <f t="shared" si="103"/>
        <v>9</v>
      </c>
      <c r="O288" s="167">
        <f t="shared" si="103"/>
        <v>9</v>
      </c>
      <c r="P288" s="871">
        <f>SUM(I288:N288)</f>
        <v>54</v>
      </c>
      <c r="Q288" s="869"/>
      <c r="R288" s="869"/>
    </row>
    <row r="289" spans="3:18" x14ac:dyDescent="0.25">
      <c r="C289" s="169" t="s">
        <v>52</v>
      </c>
      <c r="D289" s="169" t="str">
        <f t="shared" si="102"/>
        <v>882</v>
      </c>
      <c r="E289" s="167" t="str">
        <f>VLOOKUP($C289,'Retail Rates'!$B$7:$P$40,2,FALSE)</f>
        <v>IGS TS-2-PM</v>
      </c>
      <c r="F289" s="169" t="s">
        <v>320</v>
      </c>
      <c r="G289" s="175" t="s">
        <v>159</v>
      </c>
      <c r="H289" s="167"/>
      <c r="I289" s="167">
        <f>VLOOKUP($C289,'Retail Rates'!$B$7:$P$40,7,FALSE)</f>
        <v>75</v>
      </c>
      <c r="J289" s="167">
        <f>VLOOKUP($C289,'Retail Rates'!$B$7:$P$40,7,FALSE)</f>
        <v>75</v>
      </c>
      <c r="K289" s="167">
        <f>VLOOKUP($C289,'Retail Rates'!$B$7:$P$40,7,FALSE)</f>
        <v>75</v>
      </c>
      <c r="L289" s="167">
        <f>VLOOKUP($C289,'Retail Rates'!$B$7:$P$40,7,FALSE)</f>
        <v>75</v>
      </c>
      <c r="M289" s="167">
        <f>VLOOKUP($C289,'Retail Rates'!$B$7:$P$40,7,FALSE)</f>
        <v>75</v>
      </c>
      <c r="N289" s="167">
        <f>VLOOKUP($C289,'Retail Rates'!$B$7:$P$40,7,FALSE)</f>
        <v>75</v>
      </c>
      <c r="O289" s="167">
        <f>VLOOKUP($C289,'Retail Rates'!$B$7:$P$40,7,FALSE)</f>
        <v>75</v>
      </c>
      <c r="P289" s="871">
        <f>SUM(I289:N289)</f>
        <v>450</v>
      </c>
      <c r="Q289" s="869"/>
      <c r="R289" s="869"/>
    </row>
    <row r="290" spans="3:18" x14ac:dyDescent="0.25">
      <c r="C290" s="169" t="s">
        <v>52</v>
      </c>
      <c r="D290" s="169" t="str">
        <f t="shared" si="102"/>
        <v>882</v>
      </c>
      <c r="E290" s="167" t="str">
        <f>VLOOKUP($C290,'Retail Rates'!$B$7:$P$40,2,FALSE)</f>
        <v>IGS TS-2-PM</v>
      </c>
      <c r="F290" s="169" t="s">
        <v>320</v>
      </c>
      <c r="G290" s="313" t="s">
        <v>162</v>
      </c>
      <c r="H290" s="167"/>
      <c r="I290" s="167"/>
      <c r="J290" s="167"/>
      <c r="K290" s="167"/>
      <c r="L290" s="167"/>
      <c r="M290" s="167"/>
      <c r="N290" s="167"/>
      <c r="O290" s="167"/>
      <c r="P290" s="871"/>
      <c r="Q290" s="869"/>
      <c r="R290" s="869"/>
    </row>
    <row r="291" spans="3:18" x14ac:dyDescent="0.25">
      <c r="C291" s="169" t="s">
        <v>52</v>
      </c>
      <c r="D291" s="169" t="str">
        <f t="shared" si="102"/>
        <v>882</v>
      </c>
      <c r="E291" s="167" t="str">
        <f>VLOOKUP($C291,'Retail Rates'!$B$7:$P$40,2,FALSE)</f>
        <v>IGS TS-2-PM</v>
      </c>
      <c r="F291" s="169" t="s">
        <v>320</v>
      </c>
      <c r="G291" s="175" t="s">
        <v>163</v>
      </c>
      <c r="H291" s="476" t="s">
        <v>268</v>
      </c>
      <c r="I291" s="196">
        <f>SUMIFS('Data-Transport'!$K$4:$K$10000,'Data-Transport'!$A$4:$A$10000,'Mar20-Aug20 Transport Actuals'!I$4,'Data-Transport'!$B$4:$B$10000,'Mar20-Aug20 Transport Actuals'!$C$291,'Data-Transport'!$D$4:$D$10000,'Mar20-Aug20 Transport Actuals'!$F$291,'Data-Transport'!$E$4:$E$10000,'Mar20-Aug20 Transport Actuals'!$H$291,'Data-Transport'!$F$4:$F$10000,'Mar20-Aug20 Transport Actuals'!I$6)</f>
        <v>675</v>
      </c>
      <c r="J291" s="196">
        <f>SUMIFS('Data-Transport'!$K$4:$K$10000,'Data-Transport'!$A$4:$A$10000,'Mar20-Aug20 Transport Actuals'!J$4,'Data-Transport'!$B$4:$B$10000,'Mar20-Aug20 Transport Actuals'!$C$291,'Data-Transport'!$D$4:$D$10000,'Mar20-Aug20 Transport Actuals'!$F$291,'Data-Transport'!$E$4:$E$10000,'Mar20-Aug20 Transport Actuals'!$H$291,'Data-Transport'!$F$4:$F$10000,'Mar20-Aug20 Transport Actuals'!J$6)</f>
        <v>675</v>
      </c>
      <c r="K291" s="196">
        <f>SUMIFS('Data-Transport'!$K$4:$K$10000,'Data-Transport'!$A$4:$A$10000,'Mar20-Aug20 Transport Actuals'!K$4,'Data-Transport'!$B$4:$B$10000,'Mar20-Aug20 Transport Actuals'!$C$291,'Data-Transport'!$D$4:$D$10000,'Mar20-Aug20 Transport Actuals'!$F$291,'Data-Transport'!$E$4:$E$10000,'Mar20-Aug20 Transport Actuals'!$H$291,'Data-Transport'!$F$4:$F$10000,'Mar20-Aug20 Transport Actuals'!K$6)</f>
        <v>675</v>
      </c>
      <c r="L291" s="196">
        <f>SUMIFS('Data-Transport'!$K$4:$K$10000,'Data-Transport'!$A$4:$A$10000,'Mar20-Aug20 Transport Actuals'!L$4,'Data-Transport'!$B$4:$B$10000,'Mar20-Aug20 Transport Actuals'!$C$291,'Data-Transport'!$D$4:$D$10000,'Mar20-Aug20 Transport Actuals'!$F$291,'Data-Transport'!$E$4:$E$10000,'Mar20-Aug20 Transport Actuals'!$H$291,'Data-Transport'!$F$4:$F$10000,'Mar20-Aug20 Transport Actuals'!L$6)</f>
        <v>675</v>
      </c>
      <c r="M291" s="196">
        <f>SUMIFS('Data-Transport'!$K$4:$K$10000,'Data-Transport'!$A$4:$A$10000,'Mar20-Aug20 Transport Actuals'!M$4,'Data-Transport'!$B$4:$B$10000,'Mar20-Aug20 Transport Actuals'!$C$291,'Data-Transport'!$D$4:$D$10000,'Mar20-Aug20 Transport Actuals'!$F$291,'Data-Transport'!$E$4:$E$10000,'Mar20-Aug20 Transport Actuals'!$H$291,'Data-Transport'!$F$4:$F$10000,'Mar20-Aug20 Transport Actuals'!M$6)</f>
        <v>675</v>
      </c>
      <c r="N291" s="196">
        <f>SUMIFS('Data-Transport'!$K$4:$K$10000,'Data-Transport'!$A$4:$A$10000,'Mar20-Aug20 Transport Actuals'!N$4,'Data-Transport'!$B$4:$B$10000,'Mar20-Aug20 Transport Actuals'!$C$291,'Data-Transport'!$D$4:$D$10000,'Mar20-Aug20 Transport Actuals'!$F$291,'Data-Transport'!$E$4:$E$10000,'Mar20-Aug20 Transport Actuals'!$H$291,'Data-Transport'!$F$4:$F$10000,'Mar20-Aug20 Transport Actuals'!N$6)</f>
        <v>675</v>
      </c>
      <c r="O291" s="196">
        <f>SUMIFS('Data-Transport'!$K$4:$K$10000,'Data-Transport'!$A$4:$A$10000,'Mar20-Aug20 Transport Actuals'!O$4,'Data-Transport'!$B$4:$B$10000,'Mar20-Aug20 Transport Actuals'!$Q$291,'Data-Transport'!$D$4:$D$10000,'Mar20-Aug20 Transport Actuals'!$F$291,'Data-Transport'!$E$4:$E$10000,'Mar20-Aug20 Transport Actuals'!$R$291,'Data-Transport'!$F$4:$F$10000,'Mar20-Aug20 Transport Actuals'!O$6)</f>
        <v>675</v>
      </c>
      <c r="P291" s="871">
        <f t="shared" ref="P291:P294" si="104">SUM(I291:N291)</f>
        <v>4050</v>
      </c>
      <c r="Q291" s="869" t="s">
        <v>1059</v>
      </c>
      <c r="R291" s="869" t="s">
        <v>268</v>
      </c>
    </row>
    <row r="292" spans="3:18" x14ac:dyDescent="0.25">
      <c r="C292" s="169" t="s">
        <v>52</v>
      </c>
      <c r="D292" s="169" t="str">
        <f t="shared" si="102"/>
        <v>882</v>
      </c>
      <c r="E292" s="167" t="str">
        <f>VLOOKUP($C292,'Retail Rates'!$B$7:$P$40,2,FALSE)</f>
        <v>IGS TS-2-PM</v>
      </c>
      <c r="F292" s="169" t="s">
        <v>320</v>
      </c>
      <c r="G292" s="175" t="s">
        <v>626</v>
      </c>
      <c r="H292" s="476" t="s">
        <v>273</v>
      </c>
      <c r="I292" s="196">
        <f>SUMIFS('Data-Transport'!$Y$4:$Y$10000,'Data-Transport'!$A$4:$A$10000,'Mar20-Aug20 Transport Actuals'!I$4,'Data-Transport'!$B$4:$B$10000,'Mar20-Aug20 Transport Actuals'!$C$292,'Data-Transport'!$D$4:$D$10000,'Mar20-Aug20 Transport Actuals'!$F$292,'Data-Transport'!$E$4:$E$10000,'Mar20-Aug20 Transport Actuals'!$H$292,'Data-Transport'!$F$4:$F$10000,'Mar20-Aug20 Transport Actuals'!I$6)</f>
        <v>0</v>
      </c>
      <c r="J292" s="196">
        <f>SUMIFS('Data-Transport'!$Y$4:$Y$10000,'Data-Transport'!$A$4:$A$10000,'Mar20-Aug20 Transport Actuals'!J$4,'Data-Transport'!$B$4:$B$10000,'Mar20-Aug20 Transport Actuals'!$C$292,'Data-Transport'!$D$4:$D$10000,'Mar20-Aug20 Transport Actuals'!$F$292,'Data-Transport'!$E$4:$E$10000,'Mar20-Aug20 Transport Actuals'!$H$292,'Data-Transport'!$F$4:$F$10000,'Mar20-Aug20 Transport Actuals'!J$6)</f>
        <v>0</v>
      </c>
      <c r="K292" s="196">
        <f>SUMIFS('Data-Transport'!$Y$4:$Y$10000,'Data-Transport'!$A$4:$A$10000,'Mar20-Aug20 Transport Actuals'!K$4,'Data-Transport'!$B$4:$B$10000,'Mar20-Aug20 Transport Actuals'!$C$292,'Data-Transport'!$D$4:$D$10000,'Mar20-Aug20 Transport Actuals'!$F$292,'Data-Transport'!$E$4:$E$10000,'Mar20-Aug20 Transport Actuals'!$H$292,'Data-Transport'!$F$4:$F$10000,'Mar20-Aug20 Transport Actuals'!K$6)</f>
        <v>0</v>
      </c>
      <c r="L292" s="196">
        <f>SUMIFS('Data-Transport'!$Y$4:$Y$10000,'Data-Transport'!$A$4:$A$10000,'Mar20-Aug20 Transport Actuals'!L$4,'Data-Transport'!$B$4:$B$10000,'Mar20-Aug20 Transport Actuals'!$C$292,'Data-Transport'!$D$4:$D$10000,'Mar20-Aug20 Transport Actuals'!$F$292,'Data-Transport'!$E$4:$E$10000,'Mar20-Aug20 Transport Actuals'!$H$292,'Data-Transport'!$F$4:$F$10000,'Mar20-Aug20 Transport Actuals'!L$6)</f>
        <v>0</v>
      </c>
      <c r="M292" s="196">
        <f>SUMIFS('Data-Transport'!$Y$4:$Y$10000,'Data-Transport'!$A$4:$A$10000,'Mar20-Aug20 Transport Actuals'!M$4,'Data-Transport'!$B$4:$B$10000,'Mar20-Aug20 Transport Actuals'!$C$292,'Data-Transport'!$D$4:$D$10000,'Mar20-Aug20 Transport Actuals'!$F$292,'Data-Transport'!$E$4:$E$10000,'Mar20-Aug20 Transport Actuals'!$H$292,'Data-Transport'!$F$4:$F$10000,'Mar20-Aug20 Transport Actuals'!M$6)</f>
        <v>0</v>
      </c>
      <c r="N292" s="196">
        <f>SUMIFS('Data-Transport'!$Y$4:$Y$10000,'Data-Transport'!$A$4:$A$10000,'Mar20-Aug20 Transport Actuals'!N$4,'Data-Transport'!$B$4:$B$10000,'Mar20-Aug20 Transport Actuals'!$C$292,'Data-Transport'!$D$4:$D$10000,'Mar20-Aug20 Transport Actuals'!$F$292,'Data-Transport'!$E$4:$E$10000,'Mar20-Aug20 Transport Actuals'!$H$292,'Data-Transport'!$F$4:$F$10000,'Mar20-Aug20 Transport Actuals'!N$6)</f>
        <v>0</v>
      </c>
      <c r="O292" s="196">
        <f>SUMIFS('Data-Transport'!$Y$4:$Y$10000,'Data-Transport'!$A$4:$A$10000,'Mar20-Aug20 Transport Actuals'!O$4,'Data-Transport'!$B$4:$B$10000,'Mar20-Aug20 Transport Actuals'!$Q$292,'Data-Transport'!$D$4:$D$10000,'Mar20-Aug20 Transport Actuals'!$F$292,'Data-Transport'!$E$4:$E$10000,'Mar20-Aug20 Transport Actuals'!$R$292,'Data-Transport'!$F$4:$F$10000,'Mar20-Aug20 Transport Actuals'!O$6)</f>
        <v>0</v>
      </c>
      <c r="P292" s="871">
        <f t="shared" si="104"/>
        <v>0</v>
      </c>
      <c r="Q292" s="869" t="s">
        <v>1059</v>
      </c>
      <c r="R292" s="869" t="s">
        <v>273</v>
      </c>
    </row>
    <row r="293" spans="3:18" x14ac:dyDescent="0.25">
      <c r="C293" s="169" t="s">
        <v>52</v>
      </c>
      <c r="D293" s="169" t="str">
        <f t="shared" si="102"/>
        <v>882</v>
      </c>
      <c r="E293" s="167" t="str">
        <f>VLOOKUP($C293,'Retail Rates'!$B$7:$P$40,2,FALSE)</f>
        <v>IGS TS-2-PM</v>
      </c>
      <c r="F293" s="169" t="s">
        <v>320</v>
      </c>
      <c r="G293" s="175" t="s">
        <v>627</v>
      </c>
      <c r="H293" s="476" t="s">
        <v>326</v>
      </c>
      <c r="I293" s="196">
        <f>SUMIFS('Data-Transport'!$V$4:$V$10000,'Data-Transport'!$A$4:$A$10000,'Mar20-Aug20 Transport Actuals'!I$4,'Data-Transport'!$B$4:$B$10000,'Mar20-Aug20 Transport Actuals'!$C$293,'Data-Transport'!$D$4:$D$10000,'Mar20-Aug20 Transport Actuals'!$F$293,'Data-Transport'!$E$4:$E$10000,'Mar20-Aug20 Transport Actuals'!$H$293,'Data-Transport'!$F$4:$F$10000,'Mar20-Aug20 Transport Actuals'!I$6)</f>
        <v>0</v>
      </c>
      <c r="J293" s="196">
        <f>SUMIFS('Data-Transport'!$V$4:$V$10000,'Data-Transport'!$A$4:$A$10000,'Mar20-Aug20 Transport Actuals'!J$4,'Data-Transport'!$B$4:$B$10000,'Mar20-Aug20 Transport Actuals'!$C$293,'Data-Transport'!$D$4:$D$10000,'Mar20-Aug20 Transport Actuals'!$F$293,'Data-Transport'!$E$4:$E$10000,'Mar20-Aug20 Transport Actuals'!$H$293,'Data-Transport'!$F$4:$F$10000,'Mar20-Aug20 Transport Actuals'!J$6)</f>
        <v>0</v>
      </c>
      <c r="K293" s="196">
        <f>SUMIFS('Data-Transport'!$V$4:$V$10000,'Data-Transport'!$A$4:$A$10000,'Mar20-Aug20 Transport Actuals'!K$4,'Data-Transport'!$B$4:$B$10000,'Mar20-Aug20 Transport Actuals'!$C$293,'Data-Transport'!$D$4:$D$10000,'Mar20-Aug20 Transport Actuals'!$F$293,'Data-Transport'!$E$4:$E$10000,'Mar20-Aug20 Transport Actuals'!$H$293,'Data-Transport'!$F$4:$F$10000,'Mar20-Aug20 Transport Actuals'!K$6)</f>
        <v>0</v>
      </c>
      <c r="L293" s="196">
        <f>SUMIFS('Data-Transport'!$V$4:$V$10000,'Data-Transport'!$A$4:$A$10000,'Mar20-Aug20 Transport Actuals'!L$4,'Data-Transport'!$B$4:$B$10000,'Mar20-Aug20 Transport Actuals'!$C$293,'Data-Transport'!$D$4:$D$10000,'Mar20-Aug20 Transport Actuals'!$F$293,'Data-Transport'!$E$4:$E$10000,'Mar20-Aug20 Transport Actuals'!$H$293,'Data-Transport'!$F$4:$F$10000,'Mar20-Aug20 Transport Actuals'!L$6)</f>
        <v>0</v>
      </c>
      <c r="M293" s="196">
        <f>SUMIFS('Data-Transport'!$V$4:$V$10000,'Data-Transport'!$A$4:$A$10000,'Mar20-Aug20 Transport Actuals'!M$4,'Data-Transport'!$B$4:$B$10000,'Mar20-Aug20 Transport Actuals'!$C$293,'Data-Transport'!$D$4:$D$10000,'Mar20-Aug20 Transport Actuals'!$F$293,'Data-Transport'!$E$4:$E$10000,'Mar20-Aug20 Transport Actuals'!$H$293,'Data-Transport'!$F$4:$F$10000,'Mar20-Aug20 Transport Actuals'!M$6)</f>
        <v>0</v>
      </c>
      <c r="N293" s="196">
        <f>SUMIFS('Data-Transport'!$V$4:$V$10000,'Data-Transport'!$A$4:$A$10000,'Mar20-Aug20 Transport Actuals'!N$4,'Data-Transport'!$B$4:$B$10000,'Mar20-Aug20 Transport Actuals'!$C$293,'Data-Transport'!$D$4:$D$10000,'Mar20-Aug20 Transport Actuals'!$F$293,'Data-Transport'!$E$4:$E$10000,'Mar20-Aug20 Transport Actuals'!$H$293,'Data-Transport'!$F$4:$F$10000,'Mar20-Aug20 Transport Actuals'!N$6)</f>
        <v>0</v>
      </c>
      <c r="O293" s="196">
        <f>SUMIFS('Data-Transport'!$V$4:$V$10000,'Data-Transport'!$A$4:$A$10000,'Mar20-Aug20 Transport Actuals'!O$4,'Data-Transport'!$B$4:$B$10000,'Mar20-Aug20 Transport Actuals'!$Q$293,'Data-Transport'!$D$4:$D$10000,'Mar20-Aug20 Transport Actuals'!$F$293,'Data-Transport'!$E$4:$E$10000,'Mar20-Aug20 Transport Actuals'!$R$293,'Data-Transport'!$F$4:$F$10000,'Mar20-Aug20 Transport Actuals'!O$6)</f>
        <v>0</v>
      </c>
      <c r="P293" s="871">
        <f t="shared" si="104"/>
        <v>0</v>
      </c>
      <c r="Q293" s="869" t="s">
        <v>1059</v>
      </c>
      <c r="R293" s="869" t="s">
        <v>326</v>
      </c>
    </row>
    <row r="294" spans="3:18" x14ac:dyDescent="0.25">
      <c r="C294" s="169"/>
      <c r="D294" s="169"/>
      <c r="E294" s="167"/>
      <c r="F294" s="169"/>
      <c r="G294" s="175" t="s">
        <v>388</v>
      </c>
      <c r="H294" s="167"/>
      <c r="I294" s="212">
        <f>SUM(I291:I293)</f>
        <v>675</v>
      </c>
      <c r="J294" s="212">
        <f t="shared" ref="J294:O294" si="105">SUM(J291:J293)</f>
        <v>675</v>
      </c>
      <c r="K294" s="212">
        <f t="shared" si="105"/>
        <v>675</v>
      </c>
      <c r="L294" s="212">
        <f t="shared" si="105"/>
        <v>675</v>
      </c>
      <c r="M294" s="212">
        <f t="shared" si="105"/>
        <v>675</v>
      </c>
      <c r="N294" s="212">
        <f t="shared" si="105"/>
        <v>675</v>
      </c>
      <c r="O294" s="212">
        <f t="shared" si="105"/>
        <v>675</v>
      </c>
      <c r="P294" s="871">
        <f t="shared" si="104"/>
        <v>4050</v>
      </c>
      <c r="Q294" s="869"/>
      <c r="R294" s="869"/>
    </row>
    <row r="295" spans="3:18" x14ac:dyDescent="0.25">
      <c r="C295" s="169"/>
      <c r="D295" s="169"/>
      <c r="E295" s="167"/>
      <c r="F295" s="169"/>
      <c r="G295" s="170"/>
      <c r="H295" s="167"/>
      <c r="I295" s="466"/>
      <c r="J295" s="466"/>
      <c r="K295" s="466"/>
      <c r="L295" s="466"/>
      <c r="M295" s="466"/>
      <c r="N295" s="466"/>
      <c r="O295" s="466"/>
      <c r="P295" s="871"/>
      <c r="Q295" s="869"/>
      <c r="R295" s="869"/>
    </row>
    <row r="296" spans="3:18" x14ac:dyDescent="0.25">
      <c r="C296" s="169"/>
      <c r="D296" s="169"/>
      <c r="E296" s="167"/>
      <c r="F296" s="169"/>
      <c r="G296" s="170"/>
      <c r="H296" s="167"/>
      <c r="I296" s="466"/>
      <c r="J296" s="466"/>
      <c r="K296" s="466"/>
      <c r="L296" s="466"/>
      <c r="M296" s="466"/>
      <c r="N296" s="466"/>
      <c r="O296" s="466"/>
      <c r="P296" s="209"/>
      <c r="Q296" s="869"/>
      <c r="R296" s="869"/>
    </row>
    <row r="297" spans="3:18" x14ac:dyDescent="0.25">
      <c r="C297" s="167"/>
      <c r="D297" s="167"/>
      <c r="E297" s="167"/>
      <c r="F297" s="167"/>
      <c r="G297" s="168" t="s">
        <v>480</v>
      </c>
      <c r="H297" s="167"/>
      <c r="I297" s="169"/>
      <c r="J297" s="169"/>
      <c r="K297" s="169"/>
      <c r="L297" s="169"/>
      <c r="M297" s="169"/>
      <c r="N297" s="169"/>
      <c r="O297" s="169"/>
      <c r="P297" s="167"/>
      <c r="Q297" s="869"/>
      <c r="R297" s="869"/>
    </row>
    <row r="298" spans="3:18" x14ac:dyDescent="0.25">
      <c r="C298" s="169" t="s">
        <v>53</v>
      </c>
      <c r="D298" s="169" t="str">
        <f t="shared" ref="D298:D314" si="106">MID(C298,6,3)</f>
        <v>892</v>
      </c>
      <c r="E298" s="167" t="s">
        <v>458</v>
      </c>
      <c r="F298" s="169" t="s">
        <v>320</v>
      </c>
      <c r="G298" s="170" t="s">
        <v>157</v>
      </c>
      <c r="H298" s="167"/>
      <c r="I298" s="480">
        <f>+I306/I301</f>
        <v>1</v>
      </c>
      <c r="J298" s="480">
        <f t="shared" ref="J298:O298" si="107">+J306/J301</f>
        <v>1</v>
      </c>
      <c r="K298" s="480">
        <f t="shared" si="107"/>
        <v>1</v>
      </c>
      <c r="L298" s="480">
        <f t="shared" si="107"/>
        <v>1</v>
      </c>
      <c r="M298" s="480">
        <f t="shared" si="107"/>
        <v>1</v>
      </c>
      <c r="N298" s="480">
        <f t="shared" si="107"/>
        <v>1</v>
      </c>
      <c r="O298" s="480">
        <f t="shared" si="107"/>
        <v>1</v>
      </c>
      <c r="P298" s="871">
        <f>SUM(I298:N298)</f>
        <v>6</v>
      </c>
      <c r="Q298" s="869"/>
      <c r="R298" s="869"/>
    </row>
    <row r="299" spans="3:18" x14ac:dyDescent="0.25">
      <c r="C299" s="169" t="s">
        <v>53</v>
      </c>
      <c r="D299" s="169" t="str">
        <f t="shared" si="106"/>
        <v>892</v>
      </c>
      <c r="E299" s="167" t="s">
        <v>458</v>
      </c>
      <c r="F299" s="169" t="s">
        <v>320</v>
      </c>
      <c r="G299" s="170" t="s">
        <v>246</v>
      </c>
      <c r="H299" s="156" t="s">
        <v>265</v>
      </c>
      <c r="I299" s="479">
        <f>SUMIFS('Data-Transport'!$H$4:$H$10000,'Data-Transport'!$A$4:$A$10000,'Mar20-Aug20 Transport Actuals'!I$4,'Data-Transport'!$B$4:$B$10000,'Mar20-Aug20 Transport Actuals'!$C$299,'Data-Transport'!$D$4:$D$10000,'Mar20-Aug20 Transport Actuals'!$F$299,'Data-Transport'!$E$4:$E$10000,'Mar20-Aug20 Transport Actuals'!$H$299,'Data-Transport'!$F$4:$F$10000,'Mar20-Aug20 Transport Actuals'!I$6)/10</f>
        <v>17064.7</v>
      </c>
      <c r="J299" s="479">
        <f>SUMIFS('Data-Transport'!$H$4:$H$10000,'Data-Transport'!$A$4:$A$10000,'Mar20-Aug20 Transport Actuals'!J$4,'Data-Transport'!$B$4:$B$10000,'Mar20-Aug20 Transport Actuals'!$C$299,'Data-Transport'!$D$4:$D$10000,'Mar20-Aug20 Transport Actuals'!$F$299,'Data-Transport'!$E$4:$E$10000,'Mar20-Aug20 Transport Actuals'!$H$299,'Data-Transport'!$F$4:$F$10000,'Mar20-Aug20 Transport Actuals'!J$6)/10</f>
        <v>8601.5</v>
      </c>
      <c r="K299" s="479">
        <f>SUMIFS('Data-Transport'!$H$4:$H$10000,'Data-Transport'!$A$4:$A$10000,'Mar20-Aug20 Transport Actuals'!K$4,'Data-Transport'!$B$4:$B$10000,'Mar20-Aug20 Transport Actuals'!$C$299,'Data-Transport'!$D$4:$D$10000,'Mar20-Aug20 Transport Actuals'!$F$299,'Data-Transport'!$E$4:$E$10000,'Mar20-Aug20 Transport Actuals'!$H$299,'Data-Transport'!$F$4:$F$10000,'Mar20-Aug20 Transport Actuals'!K$6)/10</f>
        <v>17338.900000000001</v>
      </c>
      <c r="L299" s="479">
        <f>SUMIFS('Data-Transport'!$H$4:$H$10000,'Data-Transport'!$A$4:$A$10000,'Mar20-Aug20 Transport Actuals'!L$4,'Data-Transport'!$B$4:$B$10000,'Mar20-Aug20 Transport Actuals'!$C$299,'Data-Transport'!$D$4:$D$10000,'Mar20-Aug20 Transport Actuals'!$F$299,'Data-Transport'!$E$4:$E$10000,'Mar20-Aug20 Transport Actuals'!$H$299,'Data-Transport'!$F$4:$F$10000,'Mar20-Aug20 Transport Actuals'!L$6)/10</f>
        <v>8814.7999999999993</v>
      </c>
      <c r="M299" s="479">
        <f>SUMIFS('Data-Transport'!$H$4:$H$10000,'Data-Transport'!$A$4:$A$10000,'Mar20-Aug20 Transport Actuals'!M$4,'Data-Transport'!$B$4:$B$10000,'Mar20-Aug20 Transport Actuals'!$C$299,'Data-Transport'!$D$4:$D$10000,'Mar20-Aug20 Transport Actuals'!$F$299,'Data-Transport'!$E$4:$E$10000,'Mar20-Aug20 Transport Actuals'!$H$299,'Data-Transport'!$F$4:$F$10000,'Mar20-Aug20 Transport Actuals'!M$6)/10</f>
        <v>18966</v>
      </c>
      <c r="N299" s="479">
        <f>SUMIFS('Data-Transport'!$H$4:$H$10000,'Data-Transport'!$A$4:$A$10000,'Mar20-Aug20 Transport Actuals'!N$4,'Data-Transport'!$B$4:$B$10000,'Mar20-Aug20 Transport Actuals'!$C$299,'Data-Transport'!$D$4:$D$10000,'Mar20-Aug20 Transport Actuals'!$F$299,'Data-Transport'!$E$4:$E$10000,'Mar20-Aug20 Transport Actuals'!$H$299,'Data-Transport'!$F$4:$F$10000,'Mar20-Aug20 Transport Actuals'!N$6)/10</f>
        <v>18.899999999999999</v>
      </c>
      <c r="O299" s="479">
        <f>SUMIFS('Data-Transport'!$H$4:$H$10000,'Data-Transport'!$A$4:$A$10000,'Mar20-Aug20 Transport Actuals'!O$4,'Data-Transport'!$B$4:$B$10000,'Mar20-Aug20 Transport Actuals'!$Q$299,'Data-Transport'!$D$4:$D$10000,'Mar20-Aug20 Transport Actuals'!$F$299,'Data-Transport'!$E$4:$E$10000,'Mar20-Aug20 Transport Actuals'!$R$299,'Data-Transport'!$F$4:$F$10000,'Mar20-Aug20 Transport Actuals'!O$6)/10</f>
        <v>20677.3</v>
      </c>
      <c r="P299" s="871">
        <f>SUM(I299:N299)</f>
        <v>70804.800000000003</v>
      </c>
      <c r="Q299" s="869" t="s">
        <v>1050</v>
      </c>
      <c r="R299" s="869" t="s">
        <v>1036</v>
      </c>
    </row>
    <row r="300" spans="3:18" x14ac:dyDescent="0.25">
      <c r="C300" s="169" t="s">
        <v>53</v>
      </c>
      <c r="D300" s="169" t="str">
        <f t="shared" si="106"/>
        <v>892</v>
      </c>
      <c r="E300" s="167" t="s">
        <v>458</v>
      </c>
      <c r="F300" s="169" t="s">
        <v>320</v>
      </c>
      <c r="G300" s="171"/>
      <c r="H300" s="167"/>
      <c r="I300" s="169"/>
      <c r="J300" s="169"/>
      <c r="K300" s="169"/>
      <c r="L300" s="169"/>
      <c r="M300" s="169"/>
      <c r="N300" s="169"/>
      <c r="O300" s="169"/>
      <c r="P300" s="167"/>
      <c r="Q300" s="869"/>
      <c r="R300" s="869"/>
    </row>
    <row r="301" spans="3:18" x14ac:dyDescent="0.25">
      <c r="C301" s="169" t="s">
        <v>53</v>
      </c>
      <c r="D301" s="169" t="str">
        <f t="shared" si="106"/>
        <v>892</v>
      </c>
      <c r="E301" s="167" t="s">
        <v>458</v>
      </c>
      <c r="F301" s="169" t="s">
        <v>320</v>
      </c>
      <c r="G301" s="170" t="s">
        <v>159</v>
      </c>
      <c r="H301" s="167"/>
      <c r="I301" s="477">
        <f>VLOOKUP($C301,'Retail Rates'!$B$7:$P$40,6,FALSE)</f>
        <v>550</v>
      </c>
      <c r="J301" s="477">
        <f>VLOOKUP($C301,'Retail Rates'!$B$7:$P$40,6,FALSE)</f>
        <v>550</v>
      </c>
      <c r="K301" s="477">
        <f>VLOOKUP($C301,'Retail Rates'!$B$7:$P$40,6,FALSE)</f>
        <v>550</v>
      </c>
      <c r="L301" s="477">
        <f>VLOOKUP($C301,'Retail Rates'!$B$7:$P$40,6,FALSE)</f>
        <v>550</v>
      </c>
      <c r="M301" s="477">
        <f>VLOOKUP($C301,'Retail Rates'!$B$7:$P$40,6,FALSE)</f>
        <v>550</v>
      </c>
      <c r="N301" s="477">
        <f>VLOOKUP($C301,'Retail Rates'!$B$7:$P$40,6,FALSE)</f>
        <v>550</v>
      </c>
      <c r="O301" s="477">
        <f>VLOOKUP($C301,'Retail Rates'!$B$7:$P$40,6,FALSE)</f>
        <v>550</v>
      </c>
      <c r="P301" s="167"/>
      <c r="Q301" s="869"/>
      <c r="R301" s="869"/>
    </row>
    <row r="302" spans="3:18" x14ac:dyDescent="0.25">
      <c r="C302" s="169" t="s">
        <v>53</v>
      </c>
      <c r="D302" s="169" t="str">
        <f t="shared" si="106"/>
        <v>892</v>
      </c>
      <c r="E302" s="167" t="s">
        <v>458</v>
      </c>
      <c r="F302" s="169" t="s">
        <v>320</v>
      </c>
      <c r="G302" s="170" t="s">
        <v>961</v>
      </c>
      <c r="H302" s="167"/>
      <c r="I302" s="477">
        <f>VLOOKUP($C302,'Retail Rates'!$B$7:$P$40,4,FALSE)</f>
        <v>500</v>
      </c>
      <c r="J302" s="477">
        <f>VLOOKUP($C302,'Retail Rates'!$B$7:$P$40,4,FALSE)</f>
        <v>500</v>
      </c>
      <c r="K302" s="477">
        <f>VLOOKUP($C302,'Retail Rates'!$B$7:$P$40,4,FALSE)</f>
        <v>500</v>
      </c>
      <c r="L302" s="477">
        <f>VLOOKUP($C302,'Retail Rates'!$B$7:$P$40,4,FALSE)</f>
        <v>500</v>
      </c>
      <c r="M302" s="477">
        <f>VLOOKUP($C302,'Retail Rates'!$B$7:$P$40,4,FALSE)</f>
        <v>500</v>
      </c>
      <c r="N302" s="477">
        <f>VLOOKUP($C302,'Retail Rates'!$B$7:$P$40,4,FALSE)</f>
        <v>500</v>
      </c>
      <c r="O302" s="477">
        <f>VLOOKUP($C302,'Retail Rates'!$B$7:$P$40,4,FALSE)</f>
        <v>500</v>
      </c>
      <c r="P302" s="167"/>
      <c r="Q302" s="869"/>
      <c r="R302" s="869"/>
    </row>
    <row r="303" spans="3:18" x14ac:dyDescent="0.25">
      <c r="C303" s="169" t="s">
        <v>53</v>
      </c>
      <c r="D303" s="169" t="str">
        <f t="shared" si="106"/>
        <v>892</v>
      </c>
      <c r="E303" s="167" t="s">
        <v>458</v>
      </c>
      <c r="F303" s="169" t="s">
        <v>320</v>
      </c>
      <c r="G303" s="170" t="s">
        <v>459</v>
      </c>
      <c r="H303" s="167"/>
      <c r="I303" s="477">
        <f>VLOOKUP($C303,'Retail Rates'!$B$7:$P$40,10,FALSE)</f>
        <v>1.0644</v>
      </c>
      <c r="J303" s="477">
        <f>VLOOKUP($C303,'Retail Rates'!$B$7:$P$40,10,FALSE)</f>
        <v>1.0644</v>
      </c>
      <c r="K303" s="477">
        <f>VLOOKUP($C303,'Retail Rates'!$B$7:$P$40,10,FALSE)</f>
        <v>1.0644</v>
      </c>
      <c r="L303" s="477">
        <f>VLOOKUP($C303,'Retail Rates'!$B$7:$P$40,10,FALSE)</f>
        <v>1.0644</v>
      </c>
      <c r="M303" s="477">
        <f>VLOOKUP($C303,'Retail Rates'!$B$7:$P$40,10,FALSE)</f>
        <v>1.0644</v>
      </c>
      <c r="N303" s="477">
        <f>VLOOKUP($C303,'Retail Rates'!$B$7:$P$40,10,FALSE)</f>
        <v>1.0644</v>
      </c>
      <c r="O303" s="477">
        <f>VLOOKUP($C303,'Retail Rates'!$B$7:$P$40,10,FALSE)</f>
        <v>1.0644</v>
      </c>
      <c r="P303" s="167"/>
      <c r="Q303" s="869"/>
      <c r="R303" s="869"/>
    </row>
    <row r="304" spans="3:18" x14ac:dyDescent="0.25">
      <c r="C304" s="169" t="s">
        <v>53</v>
      </c>
      <c r="D304" s="169" t="str">
        <f t="shared" si="106"/>
        <v>892</v>
      </c>
      <c r="E304" s="167" t="s">
        <v>458</v>
      </c>
      <c r="F304" s="169" t="s">
        <v>320</v>
      </c>
      <c r="G304" s="170"/>
      <c r="H304" s="167"/>
      <c r="I304" s="169"/>
      <c r="J304" s="169"/>
      <c r="K304" s="169"/>
      <c r="L304" s="169"/>
      <c r="M304" s="169"/>
      <c r="N304" s="169"/>
      <c r="O304" s="169"/>
      <c r="P304" s="167"/>
      <c r="Q304" s="869"/>
      <c r="R304" s="869"/>
    </row>
    <row r="305" spans="3:18" x14ac:dyDescent="0.25">
      <c r="C305" s="169" t="s">
        <v>53</v>
      </c>
      <c r="D305" s="169" t="str">
        <f t="shared" si="106"/>
        <v>892</v>
      </c>
      <c r="E305" s="167" t="s">
        <v>458</v>
      </c>
      <c r="F305" s="169" t="s">
        <v>320</v>
      </c>
      <c r="G305" s="172" t="s">
        <v>162</v>
      </c>
      <c r="H305" s="167"/>
      <c r="I305" s="169"/>
      <c r="J305" s="169"/>
      <c r="K305" s="169"/>
      <c r="L305" s="169"/>
      <c r="M305" s="169"/>
      <c r="N305" s="169"/>
      <c r="O305" s="169"/>
      <c r="P305" s="167"/>
      <c r="Q305" s="869"/>
      <c r="R305" s="869"/>
    </row>
    <row r="306" spans="3:18" x14ac:dyDescent="0.25">
      <c r="C306" s="169" t="s">
        <v>53</v>
      </c>
      <c r="D306" s="169" t="str">
        <f t="shared" si="106"/>
        <v>892</v>
      </c>
      <c r="E306" s="167" t="s">
        <v>458</v>
      </c>
      <c r="F306" s="169" t="s">
        <v>320</v>
      </c>
      <c r="G306" s="170" t="s">
        <v>159</v>
      </c>
      <c r="H306" s="156" t="s">
        <v>268</v>
      </c>
      <c r="I306" s="459">
        <f>SUMIFS('Data-Transport'!$K$4:$K$10000,'Data-Transport'!$A$4:$A$10000,'Mar20-Aug20 Transport Actuals'!I$4,'Data-Transport'!$B$4:$B$10000,'Mar20-Aug20 Transport Actuals'!$C$306,'Data-Transport'!$D$4:$D$10000,'Mar20-Aug20 Transport Actuals'!$F$306,'Data-Transport'!$E$4:$E$10000,'Mar20-Aug20 Transport Actuals'!$H$306,'Data-Transport'!$F$4:$F$10000,'Mar20-Aug20 Transport Actuals'!I$6)</f>
        <v>550</v>
      </c>
      <c r="J306" s="459">
        <f>SUMIFS('Data-Transport'!$K$4:$K$10000,'Data-Transport'!$A$4:$A$10000,'Mar20-Aug20 Transport Actuals'!J$4,'Data-Transport'!$B$4:$B$10000,'Mar20-Aug20 Transport Actuals'!$C$306,'Data-Transport'!$D$4:$D$10000,'Mar20-Aug20 Transport Actuals'!$F$306,'Data-Transport'!$E$4:$E$10000,'Mar20-Aug20 Transport Actuals'!$H$306,'Data-Transport'!$F$4:$F$10000,'Mar20-Aug20 Transport Actuals'!J$6)</f>
        <v>550</v>
      </c>
      <c r="K306" s="459">
        <f>SUMIFS('Data-Transport'!$K$4:$K$10000,'Data-Transport'!$A$4:$A$10000,'Mar20-Aug20 Transport Actuals'!K$4,'Data-Transport'!$B$4:$B$10000,'Mar20-Aug20 Transport Actuals'!$C$306,'Data-Transport'!$D$4:$D$10000,'Mar20-Aug20 Transport Actuals'!$F$306,'Data-Transport'!$E$4:$E$10000,'Mar20-Aug20 Transport Actuals'!$H$306,'Data-Transport'!$F$4:$F$10000,'Mar20-Aug20 Transport Actuals'!K$6)</f>
        <v>550</v>
      </c>
      <c r="L306" s="459">
        <f>SUMIFS('Data-Transport'!$K$4:$K$10000,'Data-Transport'!$A$4:$A$10000,'Mar20-Aug20 Transport Actuals'!L$4,'Data-Transport'!$B$4:$B$10000,'Mar20-Aug20 Transport Actuals'!$C$306,'Data-Transport'!$D$4:$D$10000,'Mar20-Aug20 Transport Actuals'!$F$306,'Data-Transport'!$E$4:$E$10000,'Mar20-Aug20 Transport Actuals'!$H$306,'Data-Transport'!$F$4:$F$10000,'Mar20-Aug20 Transport Actuals'!L$6)</f>
        <v>550</v>
      </c>
      <c r="M306" s="459">
        <f>SUMIFS('Data-Transport'!$K$4:$K$10000,'Data-Transport'!$A$4:$A$10000,'Mar20-Aug20 Transport Actuals'!M$4,'Data-Transport'!$B$4:$B$10000,'Mar20-Aug20 Transport Actuals'!$C$306,'Data-Transport'!$D$4:$D$10000,'Mar20-Aug20 Transport Actuals'!$F$306,'Data-Transport'!$E$4:$E$10000,'Mar20-Aug20 Transport Actuals'!$H$306,'Data-Transport'!$F$4:$F$10000,'Mar20-Aug20 Transport Actuals'!M$6)</f>
        <v>550</v>
      </c>
      <c r="N306" s="459">
        <f>SUMIFS('Data-Transport'!$K$4:$K$10000,'Data-Transport'!$A$4:$A$10000,'Mar20-Aug20 Transport Actuals'!N$4,'Data-Transport'!$B$4:$B$10000,'Mar20-Aug20 Transport Actuals'!$C$306,'Data-Transport'!$D$4:$D$10000,'Mar20-Aug20 Transport Actuals'!$F$306,'Data-Transport'!$E$4:$E$10000,'Mar20-Aug20 Transport Actuals'!$H$306,'Data-Transport'!$F$4:$F$10000,'Mar20-Aug20 Transport Actuals'!N$6)</f>
        <v>550</v>
      </c>
      <c r="O306" s="459">
        <f>SUMIFS('Data-Transport'!$K$4:$K$10000,'Data-Transport'!$A$4:$A$10000,'Mar20-Aug20 Transport Actuals'!O$4,'Data-Transport'!$B$4:$B$10000,'Mar20-Aug20 Transport Actuals'!$Q$306,'Data-Transport'!$D$4:$D$10000,'Mar20-Aug20 Transport Actuals'!$F$306,'Data-Transport'!$E$4:$E$10000,'Mar20-Aug20 Transport Actuals'!$R$306,'Data-Transport'!$F$4:$F$10000,'Mar20-Aug20 Transport Actuals'!O$6)</f>
        <v>550</v>
      </c>
      <c r="P306" s="871">
        <f>SUM(I306:N306)</f>
        <v>3300</v>
      </c>
      <c r="Q306" s="869" t="s">
        <v>1050</v>
      </c>
      <c r="R306" s="869" t="s">
        <v>268</v>
      </c>
    </row>
    <row r="307" spans="3:18" x14ac:dyDescent="0.25">
      <c r="C307" s="169" t="s">
        <v>53</v>
      </c>
      <c r="D307" s="169" t="str">
        <f t="shared" si="106"/>
        <v>892</v>
      </c>
      <c r="E307" s="167" t="s">
        <v>458</v>
      </c>
      <c r="F307" s="169" t="s">
        <v>320</v>
      </c>
      <c r="G307" s="170" t="s">
        <v>961</v>
      </c>
      <c r="H307" s="156" t="s">
        <v>272</v>
      </c>
      <c r="I307" s="459">
        <f>SUMIFS('Data-Transport'!$K$4:$K$10000,'Data-Transport'!$A$4:$A$10000,'Mar20-Aug20 Transport Actuals'!I$4,'Data-Transport'!$B$4:$B$10000,'Mar20-Aug20 Transport Actuals'!$C$307,'Data-Transport'!$D$4:$D$10000,'Mar20-Aug20 Transport Actuals'!$F$307,'Data-Transport'!$E$4:$E$10000,'Mar20-Aug20 Transport Actuals'!$H$307,'Data-Transport'!$F$4:$F$10000,'Mar20-Aug20 Transport Actuals'!I$6)</f>
        <v>500</v>
      </c>
      <c r="J307" s="459">
        <f>SUMIFS('Data-Transport'!$K$4:$K$10000,'Data-Transport'!$A$4:$A$10000,'Mar20-Aug20 Transport Actuals'!J$4,'Data-Transport'!$B$4:$B$10000,'Mar20-Aug20 Transport Actuals'!$C$307,'Data-Transport'!$D$4:$D$10000,'Mar20-Aug20 Transport Actuals'!$F$307,'Data-Transport'!$E$4:$E$10000,'Mar20-Aug20 Transport Actuals'!$H$307,'Data-Transport'!$F$4:$F$10000,'Mar20-Aug20 Transport Actuals'!J$6)</f>
        <v>500</v>
      </c>
      <c r="K307" s="459">
        <f>SUMIFS('Data-Transport'!$K$4:$K$10000,'Data-Transport'!$A$4:$A$10000,'Mar20-Aug20 Transport Actuals'!K$4,'Data-Transport'!$B$4:$B$10000,'Mar20-Aug20 Transport Actuals'!$C$307,'Data-Transport'!$D$4:$D$10000,'Mar20-Aug20 Transport Actuals'!$F$307,'Data-Transport'!$E$4:$E$10000,'Mar20-Aug20 Transport Actuals'!$H$307,'Data-Transport'!$F$4:$F$10000,'Mar20-Aug20 Transport Actuals'!K$6)</f>
        <v>500</v>
      </c>
      <c r="L307" s="459">
        <f>SUMIFS('Data-Transport'!$K$4:$K$10000,'Data-Transport'!$A$4:$A$10000,'Mar20-Aug20 Transport Actuals'!L$4,'Data-Transport'!$B$4:$B$10000,'Mar20-Aug20 Transport Actuals'!$C$307,'Data-Transport'!$D$4:$D$10000,'Mar20-Aug20 Transport Actuals'!$F$307,'Data-Transport'!$E$4:$E$10000,'Mar20-Aug20 Transport Actuals'!$H$307,'Data-Transport'!$F$4:$F$10000,'Mar20-Aug20 Transport Actuals'!L$6)</f>
        <v>500</v>
      </c>
      <c r="M307" s="459">
        <f>SUMIFS('Data-Transport'!$K$4:$K$10000,'Data-Transport'!$A$4:$A$10000,'Mar20-Aug20 Transport Actuals'!M$4,'Data-Transport'!$B$4:$B$10000,'Mar20-Aug20 Transport Actuals'!$C$307,'Data-Transport'!$D$4:$D$10000,'Mar20-Aug20 Transport Actuals'!$F$307,'Data-Transport'!$E$4:$E$10000,'Mar20-Aug20 Transport Actuals'!$H$307,'Data-Transport'!$F$4:$F$10000,'Mar20-Aug20 Transport Actuals'!M$6)</f>
        <v>500</v>
      </c>
      <c r="N307" s="459">
        <f>SUMIFS('Data-Transport'!$K$4:$K$10000,'Data-Transport'!$A$4:$A$10000,'Mar20-Aug20 Transport Actuals'!N$4,'Data-Transport'!$B$4:$B$10000,'Mar20-Aug20 Transport Actuals'!$C$307,'Data-Transport'!$D$4:$D$10000,'Mar20-Aug20 Transport Actuals'!$F$307,'Data-Transport'!$E$4:$E$10000,'Mar20-Aug20 Transport Actuals'!$H$307,'Data-Transport'!$F$4:$F$10000,'Mar20-Aug20 Transport Actuals'!N$6)</f>
        <v>500</v>
      </c>
      <c r="O307" s="459">
        <f>SUMIFS('Data-Transport'!$K$4:$K$10000,'Data-Transport'!$A$4:$A$10000,'Mar20-Aug20 Transport Actuals'!O$4,'Data-Transport'!$B$4:$B$10000,'Mar20-Aug20 Transport Actuals'!$Q$307,'Data-Transport'!$D$4:$D$10000,'Mar20-Aug20 Transport Actuals'!$F$307,'Data-Transport'!$E$4:$E$10000,'Mar20-Aug20 Transport Actuals'!$R$307,'Data-Transport'!$F$4:$F$10000,'Mar20-Aug20 Transport Actuals'!O$6)</f>
        <v>500</v>
      </c>
      <c r="P307" s="871">
        <f t="shared" ref="P307:P313" si="108">SUM(I307:N307)</f>
        <v>3000</v>
      </c>
      <c r="Q307" s="869" t="s">
        <v>1050</v>
      </c>
      <c r="R307" s="870" t="s">
        <v>272</v>
      </c>
    </row>
    <row r="308" spans="3:18" x14ac:dyDescent="0.25">
      <c r="C308" s="169" t="s">
        <v>53</v>
      </c>
      <c r="D308" s="169" t="str">
        <f t="shared" si="106"/>
        <v>892</v>
      </c>
      <c r="E308" s="167" t="s">
        <v>458</v>
      </c>
      <c r="F308" s="169" t="s">
        <v>320</v>
      </c>
      <c r="G308" s="170" t="s">
        <v>164</v>
      </c>
      <c r="H308" s="167"/>
      <c r="I308" s="466">
        <f t="shared" ref="I308:O308" si="109">I299*I303</f>
        <v>18163.666680000002</v>
      </c>
      <c r="J308" s="466">
        <f t="shared" si="109"/>
        <v>9155.4366000000009</v>
      </c>
      <c r="K308" s="466">
        <f t="shared" si="109"/>
        <v>18455.525160000001</v>
      </c>
      <c r="L308" s="466">
        <f t="shared" si="109"/>
        <v>9382.4731199999987</v>
      </c>
      <c r="M308" s="466">
        <f t="shared" si="109"/>
        <v>20187.410400000001</v>
      </c>
      <c r="N308" s="466">
        <f t="shared" si="109"/>
        <v>20.117159999999998</v>
      </c>
      <c r="O308" s="466">
        <f t="shared" si="109"/>
        <v>22008.918119999998</v>
      </c>
      <c r="P308" s="871">
        <f t="shared" si="108"/>
        <v>75364.629119999998</v>
      </c>
      <c r="Q308" s="869"/>
      <c r="R308" s="869"/>
    </row>
    <row r="309" spans="3:18" x14ac:dyDescent="0.25">
      <c r="C309" s="169" t="s">
        <v>53</v>
      </c>
      <c r="D309" s="169" t="str">
        <f t="shared" si="106"/>
        <v>892</v>
      </c>
      <c r="E309" s="167" t="s">
        <v>458</v>
      </c>
      <c r="F309" s="169" t="s">
        <v>320</v>
      </c>
      <c r="G309" s="170" t="s">
        <v>148</v>
      </c>
      <c r="H309" s="476" t="s">
        <v>273</v>
      </c>
      <c r="I309" s="196">
        <f>SUMIFS('Data-Transport'!$Y$4:$Y$10000,'Data-Transport'!$A$4:$A$10000,'Mar20-Aug20 Transport Actuals'!I$4,'Data-Transport'!$B$4:$B$10000,'Mar20-Aug20 Transport Actuals'!$C$309,'Data-Transport'!$D$4:$D$10000,'Mar20-Aug20 Transport Actuals'!$F$309,'Data-Transport'!$E$4:$E$10000,'Mar20-Aug20 Transport Actuals'!$H$309,'Data-Transport'!$F$4:$F$10000,'Mar20-Aug20 Transport Actuals'!I$6)</f>
        <v>14612.5</v>
      </c>
      <c r="J309" s="196">
        <f>SUMIFS('Data-Transport'!$Y$4:$Y$10000,'Data-Transport'!$A$4:$A$10000,'Mar20-Aug20 Transport Actuals'!J$4,'Data-Transport'!$B$4:$B$10000,'Mar20-Aug20 Transport Actuals'!$C$309,'Data-Transport'!$D$4:$D$10000,'Mar20-Aug20 Transport Actuals'!$F$309,'Data-Transport'!$E$4:$E$10000,'Mar20-Aug20 Transport Actuals'!$H$309,'Data-Transport'!$F$4:$F$10000,'Mar20-Aug20 Transport Actuals'!J$6)</f>
        <v>7365.46</v>
      </c>
      <c r="K309" s="196">
        <f>SUMIFS('Data-Transport'!$Y$4:$Y$10000,'Data-Transport'!$A$4:$A$10000,'Mar20-Aug20 Transport Actuals'!K$4,'Data-Transport'!$B$4:$B$10000,'Mar20-Aug20 Transport Actuals'!$C$309,'Data-Transport'!$D$4:$D$10000,'Mar20-Aug20 Transport Actuals'!$F$309,'Data-Transport'!$E$4:$E$10000,'Mar20-Aug20 Transport Actuals'!$H$309,'Data-Transport'!$F$4:$F$10000,'Mar20-Aug20 Transport Actuals'!K$6)</f>
        <v>14847.3</v>
      </c>
      <c r="L309" s="196">
        <f>SUMIFS('Data-Transport'!$Y$4:$Y$10000,'Data-Transport'!$A$4:$A$10000,'Mar20-Aug20 Transport Actuals'!L$4,'Data-Transport'!$B$4:$B$10000,'Mar20-Aug20 Transport Actuals'!$C$309,'Data-Transport'!$D$4:$D$10000,'Mar20-Aug20 Transport Actuals'!$F$309,'Data-Transport'!$E$4:$E$10000,'Mar20-Aug20 Transport Actuals'!$H$309,'Data-Transport'!$F$4:$F$10000,'Mar20-Aug20 Transport Actuals'!L$6)</f>
        <v>7585.14</v>
      </c>
      <c r="M309" s="196">
        <f>SUMIFS('Data-Transport'!$Y$4:$Y$10000,'Data-Transport'!$A$4:$A$10000,'Mar20-Aug20 Transport Actuals'!M$4,'Data-Transport'!$B$4:$B$10000,'Mar20-Aug20 Transport Actuals'!$C$309,'Data-Transport'!$D$4:$D$10000,'Mar20-Aug20 Transport Actuals'!$F$309,'Data-Transport'!$E$4:$E$10000,'Mar20-Aug20 Transport Actuals'!$H$309,'Data-Transport'!$F$4:$F$10000,'Mar20-Aug20 Transport Actuals'!M$6)</f>
        <v>16320.24</v>
      </c>
      <c r="N309" s="196">
        <f>SUMIFS('Data-Transport'!$Y$4:$Y$10000,'Data-Transport'!$A$4:$A$10000,'Mar20-Aug20 Transport Actuals'!N$4,'Data-Transport'!$B$4:$B$10000,'Mar20-Aug20 Transport Actuals'!$C$309,'Data-Transport'!$D$4:$D$10000,'Mar20-Aug20 Transport Actuals'!$F$309,'Data-Transport'!$E$4:$E$10000,'Mar20-Aug20 Transport Actuals'!$H$309,'Data-Transport'!$F$4:$F$10000,'Mar20-Aug20 Transport Actuals'!N$6)</f>
        <v>16.260000000000002</v>
      </c>
      <c r="O309" s="196">
        <f>SUMIFS('Data-Transport'!$Y$4:$Y$10000,'Data-Transport'!$A$4:$A$10000,'Mar20-Aug20 Transport Actuals'!O$4,'Data-Transport'!$B$4:$B$10000,'Mar20-Aug20 Transport Actuals'!$Q$309,'Data-Transport'!$D$4:$D$10000,'Mar20-Aug20 Transport Actuals'!$F$309,'Data-Transport'!$E$4:$E$10000,'Mar20-Aug20 Transport Actuals'!$R$309,'Data-Transport'!$F$4:$F$10000,'Mar20-Aug20 Transport Actuals'!O$6)</f>
        <v>17827.97</v>
      </c>
      <c r="P309" s="871">
        <f t="shared" si="108"/>
        <v>60746.899999999994</v>
      </c>
      <c r="Q309" s="869" t="s">
        <v>1050</v>
      </c>
      <c r="R309" s="869" t="s">
        <v>273</v>
      </c>
    </row>
    <row r="310" spans="3:18" x14ac:dyDescent="0.25">
      <c r="C310" s="169" t="s">
        <v>53</v>
      </c>
      <c r="D310" s="169" t="str">
        <f t="shared" si="106"/>
        <v>892</v>
      </c>
      <c r="E310" s="167" t="s">
        <v>458</v>
      </c>
      <c r="F310" s="169" t="s">
        <v>320</v>
      </c>
      <c r="G310" s="170" t="s">
        <v>628</v>
      </c>
      <c r="H310" s="476" t="s">
        <v>620</v>
      </c>
      <c r="I310" s="478">
        <f>SUMIFS('Data-Transport'!$Z$4:$Z$10000,'Data-Transport'!$A$4:$A$10000,'Mar20-Aug20 Transport Actuals'!I$4,'Data-Transport'!$B$4:$B$10000,'Mar20-Aug20 Transport Actuals'!$C$310,'Data-Transport'!$D$4:$D$10000,'Mar20-Aug20 Transport Actuals'!$F$310,'Data-Transport'!$E$4:$E$10000,'Mar20-Aug20 Transport Actuals'!$H$310,'Data-Transport'!$F$4:$F$10000,'Mar20-Aug20 Transport Actuals'!I$6)</f>
        <v>64.39</v>
      </c>
      <c r="J310" s="478">
        <f>SUMIFS('Data-Transport'!$Z$4:$Z$10000,'Data-Transport'!$A$4:$A$10000,'Mar20-Aug20 Transport Actuals'!J$4,'Data-Transport'!$B$4:$B$10000,'Mar20-Aug20 Transport Actuals'!$C$310,'Data-Transport'!$D$4:$D$10000,'Mar20-Aug20 Transport Actuals'!$F$310,'Data-Transport'!$E$4:$E$10000,'Mar20-Aug20 Transport Actuals'!$H$310,'Data-Transport'!$F$4:$F$10000,'Mar20-Aug20 Transport Actuals'!J$6)</f>
        <v>64.39</v>
      </c>
      <c r="K310" s="478">
        <f>SUMIFS('Data-Transport'!$Z$4:$Z$10000,'Data-Transport'!$A$4:$A$10000,'Mar20-Aug20 Transport Actuals'!K$4,'Data-Transport'!$B$4:$B$10000,'Mar20-Aug20 Transport Actuals'!$C$310,'Data-Transport'!$D$4:$D$10000,'Mar20-Aug20 Transport Actuals'!$F$310,'Data-Transport'!$E$4:$E$10000,'Mar20-Aug20 Transport Actuals'!$H$310,'Data-Transport'!$F$4:$F$10000,'Mar20-Aug20 Transport Actuals'!K$6)</f>
        <v>64.39</v>
      </c>
      <c r="L310" s="478">
        <f>SUMIFS('Data-Transport'!$Z$4:$Z$10000,'Data-Transport'!$A$4:$A$10000,'Mar20-Aug20 Transport Actuals'!L$4,'Data-Transport'!$B$4:$B$10000,'Mar20-Aug20 Transport Actuals'!$C$310,'Data-Transport'!$D$4:$D$10000,'Mar20-Aug20 Transport Actuals'!$F$310,'Data-Transport'!$E$4:$E$10000,'Mar20-Aug20 Transport Actuals'!$H$310,'Data-Transport'!$F$4:$F$10000,'Mar20-Aug20 Transport Actuals'!L$6)</f>
        <v>111.02</v>
      </c>
      <c r="M310" s="478">
        <f>SUMIFS('Data-Transport'!$Z$4:$Z$10000,'Data-Transport'!$A$4:$A$10000,'Mar20-Aug20 Transport Actuals'!M$4,'Data-Transport'!$B$4:$B$10000,'Mar20-Aug20 Transport Actuals'!$C$310,'Data-Transport'!$D$4:$D$10000,'Mar20-Aug20 Transport Actuals'!$F$310,'Data-Transport'!$E$4:$E$10000,'Mar20-Aug20 Transport Actuals'!$H$310,'Data-Transport'!$F$4:$F$10000,'Mar20-Aug20 Transport Actuals'!M$6)</f>
        <v>111.02</v>
      </c>
      <c r="N310" s="478">
        <f>SUMIFS('Data-Transport'!$Z$4:$Z$10000,'Data-Transport'!$A$4:$A$10000,'Mar20-Aug20 Transport Actuals'!N$4,'Data-Transport'!$B$4:$B$10000,'Mar20-Aug20 Transport Actuals'!$C$310,'Data-Transport'!$D$4:$D$10000,'Mar20-Aug20 Transport Actuals'!$F$310,'Data-Transport'!$E$4:$E$10000,'Mar20-Aug20 Transport Actuals'!$H$310,'Data-Transport'!$F$4:$F$10000,'Mar20-Aug20 Transport Actuals'!N$6)</f>
        <v>111.02</v>
      </c>
      <c r="O310" s="478">
        <f>SUMIFS('Data-Transport'!$Z$4:$Z$10000,'Data-Transport'!$A$4:$A$10000,'Mar20-Aug20 Transport Actuals'!O$4,'Data-Transport'!$B$4:$B$10000,'Mar20-Aug20 Transport Actuals'!$Q$310,'Data-Transport'!$D$4:$D$10000,'Mar20-Aug20 Transport Actuals'!$F$310,'Data-Transport'!$E$4:$E$10000,'Mar20-Aug20 Transport Actuals'!$R$310,'Data-Transport'!$F$4:$F$10000,'Mar20-Aug20 Transport Actuals'!O$6)</f>
        <v>111.02</v>
      </c>
      <c r="P310" s="871">
        <f t="shared" si="108"/>
        <v>526.23</v>
      </c>
      <c r="Q310" s="869" t="s">
        <v>1050</v>
      </c>
      <c r="R310" s="869" t="s">
        <v>1052</v>
      </c>
    </row>
    <row r="311" spans="3:18" x14ac:dyDescent="0.25">
      <c r="C311" s="169" t="s">
        <v>53</v>
      </c>
      <c r="D311" s="169" t="str">
        <f t="shared" si="106"/>
        <v>892</v>
      </c>
      <c r="E311" s="167" t="s">
        <v>458</v>
      </c>
      <c r="F311" s="169" t="s">
        <v>320</v>
      </c>
      <c r="G311" s="170" t="s">
        <v>623</v>
      </c>
      <c r="H311" s="476" t="s">
        <v>621</v>
      </c>
      <c r="I311" s="478">
        <f>SUMIFS('Data-Transport'!$AA$4:$AA$10000,'Data-Transport'!$A$4:$A$10000,'Mar20-Aug20 Transport Actuals'!I$4,'Data-Transport'!$B$4:$B$10000,'Mar20-Aug20 Transport Actuals'!$C$311,'Data-Transport'!$D$4:$D$10000,'Mar20-Aug20 Transport Actuals'!$F$311,'Data-Transport'!$E$4:$E$10000,'Mar20-Aug20 Transport Actuals'!$H$311,'Data-Transport'!$F$4:$F$10000,'Mar20-Aug20 Transport Actuals'!I$6)</f>
        <v>696.24</v>
      </c>
      <c r="J311" s="478">
        <f>SUMIFS('Data-Transport'!$AA$4:$AA$10000,'Data-Transport'!$A$4:$A$10000,'Mar20-Aug20 Transport Actuals'!J$4,'Data-Transport'!$B$4:$B$10000,'Mar20-Aug20 Transport Actuals'!$C$311,'Data-Transport'!$D$4:$D$10000,'Mar20-Aug20 Transport Actuals'!$F$311,'Data-Transport'!$E$4:$E$10000,'Mar20-Aug20 Transport Actuals'!$H$311,'Data-Transport'!$F$4:$F$10000,'Mar20-Aug20 Transport Actuals'!J$6)</f>
        <v>350.94</v>
      </c>
      <c r="K311" s="478">
        <f>SUMIFS('Data-Transport'!$AA$4:$AA$10000,'Data-Transport'!$A$4:$A$10000,'Mar20-Aug20 Transport Actuals'!K$4,'Data-Transport'!$B$4:$B$10000,'Mar20-Aug20 Transport Actuals'!$C$311,'Data-Transport'!$D$4:$D$10000,'Mar20-Aug20 Transport Actuals'!$F$311,'Data-Transport'!$E$4:$E$10000,'Mar20-Aug20 Transport Actuals'!$H$311,'Data-Transport'!$F$4:$F$10000,'Mar20-Aug20 Transport Actuals'!K$6)</f>
        <v>707.43</v>
      </c>
      <c r="L311" s="478">
        <f>SUMIFS('Data-Transport'!$AA$4:$AA$10000,'Data-Transport'!$A$4:$A$10000,'Mar20-Aug20 Transport Actuals'!L$4,'Data-Transport'!$B$4:$B$10000,'Mar20-Aug20 Transport Actuals'!$C$311,'Data-Transport'!$D$4:$D$10000,'Mar20-Aug20 Transport Actuals'!$F$311,'Data-Transport'!$E$4:$E$10000,'Mar20-Aug20 Transport Actuals'!$H$311,'Data-Transport'!$F$4:$F$10000,'Mar20-Aug20 Transport Actuals'!L$6)</f>
        <v>1031.33</v>
      </c>
      <c r="M311" s="478">
        <f>SUMIFS('Data-Transport'!$AA$4:$AA$10000,'Data-Transport'!$A$4:$A$10000,'Mar20-Aug20 Transport Actuals'!M$4,'Data-Transport'!$B$4:$B$10000,'Mar20-Aug20 Transport Actuals'!$C$311,'Data-Transport'!$D$4:$D$10000,'Mar20-Aug20 Transport Actuals'!$F$311,'Data-Transport'!$E$4:$E$10000,'Mar20-Aug20 Transport Actuals'!$H$311,'Data-Transport'!$F$4:$F$10000,'Mar20-Aug20 Transport Actuals'!M$6)</f>
        <v>2219.02</v>
      </c>
      <c r="N311" s="478">
        <f>SUMIFS('Data-Transport'!$AA$4:$AA$10000,'Data-Transport'!$A$4:$A$10000,'Mar20-Aug20 Transport Actuals'!N$4,'Data-Transport'!$B$4:$B$10000,'Mar20-Aug20 Transport Actuals'!$C$311,'Data-Transport'!$D$4:$D$10000,'Mar20-Aug20 Transport Actuals'!$F$311,'Data-Transport'!$E$4:$E$10000,'Mar20-Aug20 Transport Actuals'!$H$311,'Data-Transport'!$F$4:$F$10000,'Mar20-Aug20 Transport Actuals'!N$6)</f>
        <v>2.21</v>
      </c>
      <c r="O311" s="478">
        <f>SUMIFS('Data-Transport'!$AA$4:$AA$10000,'Data-Transport'!$A$4:$A$10000,'Mar20-Aug20 Transport Actuals'!O$4,'Data-Transport'!$B$4:$B$10000,'Mar20-Aug20 Transport Actuals'!$Q$311,'Data-Transport'!$D$4:$D$10000,'Mar20-Aug20 Transport Actuals'!$F$311,'Data-Transport'!$E$4:$E$10000,'Mar20-Aug20 Transport Actuals'!$R$311,'Data-Transport'!$F$4:$F$10000,'Mar20-Aug20 Transport Actuals'!O$6)</f>
        <v>2419.2399999999998</v>
      </c>
      <c r="P311" s="871">
        <f t="shared" si="108"/>
        <v>5007.17</v>
      </c>
      <c r="Q311" s="869" t="s">
        <v>1050</v>
      </c>
      <c r="R311" s="869" t="s">
        <v>1037</v>
      </c>
    </row>
    <row r="312" spans="3:18" x14ac:dyDescent="0.25">
      <c r="C312" s="169" t="s">
        <v>53</v>
      </c>
      <c r="D312" s="169" t="str">
        <f t="shared" si="106"/>
        <v>892</v>
      </c>
      <c r="E312" s="167" t="s">
        <v>458</v>
      </c>
      <c r="F312" s="169" t="s">
        <v>320</v>
      </c>
      <c r="G312" s="170" t="s">
        <v>454</v>
      </c>
      <c r="H312" s="476" t="s">
        <v>357</v>
      </c>
      <c r="I312" s="472">
        <f>SUMIFS('Data-Transport'!$S$4:$S$10000,'Data-Transport'!$A$4:$A$10000,'Mar20-Aug20 Transport Actuals'!I$4,'Data-Transport'!$B$4:$B$10000,'Mar20-Aug20 Transport Actuals'!$C$312,'Data-Transport'!$D$4:$D$10000,'Mar20-Aug20 Transport Actuals'!$F$312,'Data-Transport'!$E$4:$E$10000,'Mar20-Aug20 Transport Actuals'!$H$312,'Data-Transport'!$F$4:$F$10000,'Mar20-Aug20 Transport Actuals'!I$6)</f>
        <v>0</v>
      </c>
      <c r="J312" s="472">
        <f>SUMIFS('Data-Transport'!$S$4:$S$10000,'Data-Transport'!$A$4:$A$10000,'Mar20-Aug20 Transport Actuals'!J$4,'Data-Transport'!$B$4:$B$10000,'Mar20-Aug20 Transport Actuals'!$C$312,'Data-Transport'!$D$4:$D$10000,'Mar20-Aug20 Transport Actuals'!$F$312,'Data-Transport'!$E$4:$E$10000,'Mar20-Aug20 Transport Actuals'!$H$312,'Data-Transport'!$F$4:$F$10000,'Mar20-Aug20 Transport Actuals'!J$6)</f>
        <v>0</v>
      </c>
      <c r="K312" s="472">
        <f>SUMIFS('Data-Transport'!$S$4:$S$10000,'Data-Transport'!$A$4:$A$10000,'Mar20-Aug20 Transport Actuals'!K$4,'Data-Transport'!$B$4:$B$10000,'Mar20-Aug20 Transport Actuals'!$C$312,'Data-Transport'!$D$4:$D$10000,'Mar20-Aug20 Transport Actuals'!$F$312,'Data-Transport'!$E$4:$E$10000,'Mar20-Aug20 Transport Actuals'!$H$312,'Data-Transport'!$F$4:$F$10000,'Mar20-Aug20 Transport Actuals'!K$6)</f>
        <v>0</v>
      </c>
      <c r="L312" s="472">
        <f>SUMIFS('Data-Transport'!$S$4:$S$10000,'Data-Transport'!$A$4:$A$10000,'Mar20-Aug20 Transport Actuals'!L$4,'Data-Transport'!$B$4:$B$10000,'Mar20-Aug20 Transport Actuals'!$C$312,'Data-Transport'!$D$4:$D$10000,'Mar20-Aug20 Transport Actuals'!$F$312,'Data-Transport'!$E$4:$E$10000,'Mar20-Aug20 Transport Actuals'!$H$312,'Data-Transport'!$F$4:$F$10000,'Mar20-Aug20 Transport Actuals'!L$6)</f>
        <v>0</v>
      </c>
      <c r="M312" s="472">
        <f>SUMIFS('Data-Transport'!$S$4:$S$10000,'Data-Transport'!$A$4:$A$10000,'Mar20-Aug20 Transport Actuals'!M$4,'Data-Transport'!$B$4:$B$10000,'Mar20-Aug20 Transport Actuals'!$C$312,'Data-Transport'!$D$4:$D$10000,'Mar20-Aug20 Transport Actuals'!$F$312,'Data-Transport'!$E$4:$E$10000,'Mar20-Aug20 Transport Actuals'!$H$312,'Data-Transport'!$F$4:$F$10000,'Mar20-Aug20 Transport Actuals'!M$6)</f>
        <v>0</v>
      </c>
      <c r="N312" s="472">
        <f>SUMIFS('Data-Transport'!$S$4:$S$10000,'Data-Transport'!$A$4:$A$10000,'Mar20-Aug20 Transport Actuals'!N$4,'Data-Transport'!$B$4:$B$10000,'Mar20-Aug20 Transport Actuals'!$C$312,'Data-Transport'!$D$4:$D$10000,'Mar20-Aug20 Transport Actuals'!$F$312,'Data-Transport'!$E$4:$E$10000,'Mar20-Aug20 Transport Actuals'!$H$312,'Data-Transport'!$F$4:$F$10000,'Mar20-Aug20 Transport Actuals'!N$6)</f>
        <v>0</v>
      </c>
      <c r="O312" s="472">
        <f>SUMIFS('Data-Transport'!$S$4:$S$10000,'Data-Transport'!$A$4:$A$10000,'Mar20-Aug20 Transport Actuals'!O$4,'Data-Transport'!$B$4:$B$10000,'Mar20-Aug20 Transport Actuals'!$Q$312,'Data-Transport'!$D$4:$D$10000,'Mar20-Aug20 Transport Actuals'!$F$312,'Data-Transport'!$E$4:$E$10000,'Mar20-Aug20 Transport Actuals'!$R$312,'Data-Transport'!$F$4:$F$10000,'Mar20-Aug20 Transport Actuals'!O$6)</f>
        <v>0</v>
      </c>
      <c r="P312" s="871">
        <f t="shared" si="108"/>
        <v>0</v>
      </c>
      <c r="Q312" s="869" t="s">
        <v>1050</v>
      </c>
      <c r="R312" s="869" t="s">
        <v>357</v>
      </c>
    </row>
    <row r="313" spans="3:18" x14ac:dyDescent="0.25">
      <c r="C313" s="169"/>
      <c r="D313" s="169"/>
      <c r="E313" s="167"/>
      <c r="F313" s="169"/>
      <c r="G313" s="170" t="s">
        <v>169</v>
      </c>
      <c r="H313" s="167"/>
      <c r="I313" s="466">
        <f t="shared" ref="I313:O313" si="110">SUM(I306:I312)</f>
        <v>34586.796679999999</v>
      </c>
      <c r="J313" s="466">
        <f t="shared" si="110"/>
        <v>17986.226599999998</v>
      </c>
      <c r="K313" s="466">
        <f t="shared" si="110"/>
        <v>35124.64516</v>
      </c>
      <c r="L313" s="466">
        <f t="shared" si="110"/>
        <v>19159.96312</v>
      </c>
      <c r="M313" s="466">
        <f t="shared" si="110"/>
        <v>39887.690399999992</v>
      </c>
      <c r="N313" s="466">
        <f t="shared" si="110"/>
        <v>1199.60716</v>
      </c>
      <c r="O313" s="466">
        <f t="shared" si="110"/>
        <v>43417.148119999998</v>
      </c>
      <c r="P313" s="871">
        <f t="shared" si="108"/>
        <v>147944.92911999999</v>
      </c>
      <c r="Q313" s="869"/>
      <c r="R313" s="869"/>
    </row>
    <row r="314" spans="3:18" x14ac:dyDescent="0.25">
      <c r="C314" s="167"/>
      <c r="D314" s="169" t="str">
        <f t="shared" si="106"/>
        <v/>
      </c>
      <c r="E314" s="167"/>
      <c r="F314" s="167"/>
      <c r="G314" s="168"/>
      <c r="H314" s="167"/>
      <c r="I314" s="169"/>
      <c r="J314" s="169"/>
      <c r="K314" s="169"/>
      <c r="L314" s="169"/>
      <c r="M314" s="169"/>
      <c r="N314" s="169"/>
      <c r="O314" s="169"/>
      <c r="P314" s="167"/>
      <c r="Q314" s="869"/>
      <c r="R314" s="869"/>
    </row>
    <row r="315" spans="3:18" x14ac:dyDescent="0.25">
      <c r="C315" s="169" t="s">
        <v>493</v>
      </c>
      <c r="D315" s="169" t="str">
        <f>MID(C315,6,3)</f>
        <v>892</v>
      </c>
      <c r="E315" s="167" t="s">
        <v>458</v>
      </c>
      <c r="F315" s="169" t="s">
        <v>320</v>
      </c>
      <c r="G315" s="170" t="s">
        <v>157</v>
      </c>
      <c r="H315" s="167"/>
      <c r="I315" s="480">
        <f>+I323/I318</f>
        <v>0</v>
      </c>
      <c r="J315" s="480">
        <f t="shared" ref="J315:O315" si="111">+J323/J318</f>
        <v>0</v>
      </c>
      <c r="K315" s="480">
        <f t="shared" si="111"/>
        <v>0</v>
      </c>
      <c r="L315" s="480">
        <f t="shared" si="111"/>
        <v>0</v>
      </c>
      <c r="M315" s="480">
        <f t="shared" si="111"/>
        <v>0</v>
      </c>
      <c r="N315" s="480">
        <f t="shared" si="111"/>
        <v>0</v>
      </c>
      <c r="O315" s="480">
        <f t="shared" si="111"/>
        <v>0</v>
      </c>
      <c r="P315" s="871">
        <f>SUM(I315:N315)</f>
        <v>0</v>
      </c>
      <c r="Q315" s="869"/>
      <c r="R315" s="869"/>
    </row>
    <row r="316" spans="3:18" x14ac:dyDescent="0.25">
      <c r="C316" s="169" t="s">
        <v>493</v>
      </c>
      <c r="D316" s="169" t="str">
        <f t="shared" ref="D316:D329" si="112">MID(C316,6,3)</f>
        <v>892</v>
      </c>
      <c r="E316" s="167" t="s">
        <v>458</v>
      </c>
      <c r="F316" s="169" t="s">
        <v>320</v>
      </c>
      <c r="G316" s="170" t="s">
        <v>246</v>
      </c>
      <c r="H316" s="156" t="s">
        <v>265</v>
      </c>
      <c r="I316" s="479">
        <f>SUMIFS('Data-Transport'!$H$4:$H$10000,'Data-Transport'!$A$4:$A$10000,'Mar20-Aug20 Transport Actuals'!I$4,'Data-Transport'!$B$4:$B$10000,'Mar20-Aug20 Transport Actuals'!$C$316,'Data-Transport'!$D$4:$D$10000,'Mar20-Aug20 Transport Actuals'!$F$316,'Data-Transport'!$E$4:$E$10000,'Mar20-Aug20 Transport Actuals'!$H$316,'Data-Transport'!$F$4:$F$10000,'Mar20-Aug20 Transport Actuals'!I$6)/10</f>
        <v>0</v>
      </c>
      <c r="J316" s="479">
        <f>SUMIFS('Data-Transport'!$H$4:$H$10000,'Data-Transport'!$A$4:$A$10000,'Mar20-Aug20 Transport Actuals'!J$4,'Data-Transport'!$B$4:$B$10000,'Mar20-Aug20 Transport Actuals'!$C$316,'Data-Transport'!$D$4:$D$10000,'Mar20-Aug20 Transport Actuals'!$F$316,'Data-Transport'!$E$4:$E$10000,'Mar20-Aug20 Transport Actuals'!$H$316,'Data-Transport'!$F$4:$F$10000,'Mar20-Aug20 Transport Actuals'!J$6)/10</f>
        <v>0</v>
      </c>
      <c r="K316" s="479">
        <f>SUMIFS('Data-Transport'!$H$4:$H$10000,'Data-Transport'!$A$4:$A$10000,'Mar20-Aug20 Transport Actuals'!K$4,'Data-Transport'!$B$4:$B$10000,'Mar20-Aug20 Transport Actuals'!$C$316,'Data-Transport'!$D$4:$D$10000,'Mar20-Aug20 Transport Actuals'!$F$316,'Data-Transport'!$E$4:$E$10000,'Mar20-Aug20 Transport Actuals'!$H$316,'Data-Transport'!$F$4:$F$10000,'Mar20-Aug20 Transport Actuals'!K$6)/10</f>
        <v>0</v>
      </c>
      <c r="L316" s="479">
        <f>SUMIFS('Data-Transport'!$H$4:$H$10000,'Data-Transport'!$A$4:$A$10000,'Mar20-Aug20 Transport Actuals'!L$4,'Data-Transport'!$B$4:$B$10000,'Mar20-Aug20 Transport Actuals'!$C$316,'Data-Transport'!$D$4:$D$10000,'Mar20-Aug20 Transport Actuals'!$F$316,'Data-Transport'!$E$4:$E$10000,'Mar20-Aug20 Transport Actuals'!$H$316,'Data-Transport'!$F$4:$F$10000,'Mar20-Aug20 Transport Actuals'!L$6)/10</f>
        <v>0</v>
      </c>
      <c r="M316" s="479">
        <f>SUMIFS('Data-Transport'!$H$4:$H$10000,'Data-Transport'!$A$4:$A$10000,'Mar20-Aug20 Transport Actuals'!M$4,'Data-Transport'!$B$4:$B$10000,'Mar20-Aug20 Transport Actuals'!$C$316,'Data-Transport'!$D$4:$D$10000,'Mar20-Aug20 Transport Actuals'!$F$316,'Data-Transport'!$E$4:$E$10000,'Mar20-Aug20 Transport Actuals'!$H$316,'Data-Transport'!$F$4:$F$10000,'Mar20-Aug20 Transport Actuals'!M$6)/10</f>
        <v>0</v>
      </c>
      <c r="N316" s="479">
        <f>SUMIFS('Data-Transport'!$H$4:$H$10000,'Data-Transport'!$A$4:$A$10000,'Mar20-Aug20 Transport Actuals'!N$4,'Data-Transport'!$B$4:$B$10000,'Mar20-Aug20 Transport Actuals'!$C$316,'Data-Transport'!$D$4:$D$10000,'Mar20-Aug20 Transport Actuals'!$F$316,'Data-Transport'!$E$4:$E$10000,'Mar20-Aug20 Transport Actuals'!$H$316,'Data-Transport'!$F$4:$F$10000,'Mar20-Aug20 Transport Actuals'!N$6)/10</f>
        <v>0</v>
      </c>
      <c r="O316" s="479">
        <f>SUMIFS('Data-Transport'!$H$4:$H$10000,'Data-Transport'!$A$4:$A$10000,'Mar20-Aug20 Transport Actuals'!O$4,'Data-Transport'!$B$4:$B$10000,'Mar20-Aug20 Transport Actuals'!$C$316,'Data-Transport'!$D$4:$D$10000,'Mar20-Aug20 Transport Actuals'!$F$316,'Data-Transport'!$E$4:$E$10000,'Mar20-Aug20 Transport Actuals'!$H$316,'Data-Transport'!$F$4:$F$10000,'Mar20-Aug20 Transport Actuals'!O$6)/10</f>
        <v>0</v>
      </c>
      <c r="P316" s="871">
        <f>SUM(I316:N316)</f>
        <v>0</v>
      </c>
      <c r="Q316" s="869"/>
      <c r="R316" s="869"/>
    </row>
    <row r="317" spans="3:18" x14ac:dyDescent="0.25">
      <c r="C317" s="169" t="s">
        <v>493</v>
      </c>
      <c r="D317" s="169" t="str">
        <f t="shared" si="112"/>
        <v>892</v>
      </c>
      <c r="E317" s="167" t="s">
        <v>458</v>
      </c>
      <c r="F317" s="169" t="s">
        <v>320</v>
      </c>
      <c r="G317" s="171"/>
      <c r="H317" s="167"/>
      <c r="I317" s="169"/>
      <c r="J317" s="169"/>
      <c r="K317" s="169"/>
      <c r="L317" s="169"/>
      <c r="M317" s="169"/>
      <c r="N317" s="169"/>
      <c r="O317" s="169"/>
      <c r="P317" s="167"/>
      <c r="Q317" s="869"/>
      <c r="R317" s="869"/>
    </row>
    <row r="318" spans="3:18" x14ac:dyDescent="0.25">
      <c r="C318" s="169" t="s">
        <v>493</v>
      </c>
      <c r="D318" s="169" t="str">
        <f t="shared" si="112"/>
        <v>892</v>
      </c>
      <c r="E318" s="167" t="s">
        <v>458</v>
      </c>
      <c r="F318" s="169" t="s">
        <v>320</v>
      </c>
      <c r="G318" s="170" t="s">
        <v>159</v>
      </c>
      <c r="H318" s="167"/>
      <c r="I318" s="477">
        <f>VLOOKUP($C318,'Retail Rates'!$B$7:$P$40,6,FALSE)</f>
        <v>550</v>
      </c>
      <c r="J318" s="477">
        <f>VLOOKUP($C318,'Retail Rates'!$B$7:$P$40,6,FALSE)</f>
        <v>550</v>
      </c>
      <c r="K318" s="477">
        <f>VLOOKUP($C318,'Retail Rates'!$B$7:$P$40,6,FALSE)</f>
        <v>550</v>
      </c>
      <c r="L318" s="477">
        <f>VLOOKUP($C318,'Retail Rates'!$B$7:$P$40,6,FALSE)</f>
        <v>550</v>
      </c>
      <c r="M318" s="477">
        <f>VLOOKUP($C318,'Retail Rates'!$B$7:$P$40,6,FALSE)</f>
        <v>550</v>
      </c>
      <c r="N318" s="477">
        <f>VLOOKUP($C318,'Retail Rates'!$B$7:$P$40,6,FALSE)</f>
        <v>550</v>
      </c>
      <c r="O318" s="477">
        <f>VLOOKUP($C318,'Retail Rates'!$B$7:$P$40,6,FALSE)</f>
        <v>550</v>
      </c>
      <c r="P318" s="167"/>
      <c r="Q318" s="869"/>
      <c r="R318" s="869"/>
    </row>
    <row r="319" spans="3:18" x14ac:dyDescent="0.25">
      <c r="C319" s="169" t="s">
        <v>493</v>
      </c>
      <c r="D319" s="169" t="str">
        <f t="shared" si="112"/>
        <v>892</v>
      </c>
      <c r="E319" s="167" t="s">
        <v>458</v>
      </c>
      <c r="F319" s="169" t="s">
        <v>320</v>
      </c>
      <c r="G319" s="170" t="s">
        <v>961</v>
      </c>
      <c r="H319" s="167"/>
      <c r="I319" s="477">
        <f>VLOOKUP($C319,'Retail Rates'!$B$7:$P$40,4,FALSE)</f>
        <v>500</v>
      </c>
      <c r="J319" s="477">
        <f>VLOOKUP($C319,'Retail Rates'!$B$7:$P$40,4,FALSE)</f>
        <v>500</v>
      </c>
      <c r="K319" s="477">
        <f>VLOOKUP($C319,'Retail Rates'!$B$7:$P$40,4,FALSE)</f>
        <v>500</v>
      </c>
      <c r="L319" s="477">
        <f>VLOOKUP($C319,'Retail Rates'!$B$7:$P$40,4,FALSE)</f>
        <v>500</v>
      </c>
      <c r="M319" s="477">
        <f>VLOOKUP($C319,'Retail Rates'!$B$7:$P$40,4,FALSE)</f>
        <v>500</v>
      </c>
      <c r="N319" s="477">
        <f>VLOOKUP($C319,'Retail Rates'!$B$7:$P$40,4,FALSE)</f>
        <v>500</v>
      </c>
      <c r="O319" s="477">
        <f>VLOOKUP($C319,'Retail Rates'!$B$7:$P$40,4,FALSE)</f>
        <v>500</v>
      </c>
      <c r="P319" s="167"/>
      <c r="Q319" s="869"/>
      <c r="R319" s="869"/>
    </row>
    <row r="320" spans="3:18" x14ac:dyDescent="0.25">
      <c r="C320" s="169" t="s">
        <v>493</v>
      </c>
      <c r="D320" s="169" t="str">
        <f t="shared" si="112"/>
        <v>892</v>
      </c>
      <c r="E320" s="167" t="s">
        <v>458</v>
      </c>
      <c r="F320" s="169" t="s">
        <v>320</v>
      </c>
      <c r="G320" s="170" t="s">
        <v>459</v>
      </c>
      <c r="H320" s="167"/>
      <c r="I320" s="477">
        <f>VLOOKUP($C320,'Retail Rates'!$B$7:$P$40,10,FALSE)</f>
        <v>1.0644</v>
      </c>
      <c r="J320" s="477">
        <f>VLOOKUP($C320,'Retail Rates'!$B$7:$P$40,10,FALSE)</f>
        <v>1.0644</v>
      </c>
      <c r="K320" s="477">
        <f>VLOOKUP($C320,'Retail Rates'!$B$7:$P$40,10,FALSE)</f>
        <v>1.0644</v>
      </c>
      <c r="L320" s="477">
        <f>VLOOKUP($C320,'Retail Rates'!$B$7:$P$40,10,FALSE)</f>
        <v>1.0644</v>
      </c>
      <c r="M320" s="477">
        <f>VLOOKUP($C320,'Retail Rates'!$B$7:$P$40,10,FALSE)</f>
        <v>1.0644</v>
      </c>
      <c r="N320" s="477">
        <f>VLOOKUP($C320,'Retail Rates'!$B$7:$P$40,10,FALSE)</f>
        <v>1.0644</v>
      </c>
      <c r="O320" s="477">
        <f>VLOOKUP($C320,'Retail Rates'!$B$7:$P$40,10,FALSE)</f>
        <v>1.0644</v>
      </c>
      <c r="P320" s="167"/>
      <c r="Q320" s="869"/>
      <c r="R320" s="869"/>
    </row>
    <row r="321" spans="3:18" x14ac:dyDescent="0.25">
      <c r="C321" s="169" t="s">
        <v>493</v>
      </c>
      <c r="D321" s="169" t="str">
        <f t="shared" si="112"/>
        <v>892</v>
      </c>
      <c r="E321" s="167" t="s">
        <v>458</v>
      </c>
      <c r="F321" s="169" t="s">
        <v>320</v>
      </c>
      <c r="G321" s="170"/>
      <c r="H321" s="167"/>
      <c r="I321" s="169"/>
      <c r="J321" s="169"/>
      <c r="K321" s="169"/>
      <c r="L321" s="169"/>
      <c r="M321" s="169"/>
      <c r="N321" s="169"/>
      <c r="O321" s="169"/>
      <c r="P321" s="167"/>
      <c r="Q321" s="869"/>
      <c r="R321" s="869"/>
    </row>
    <row r="322" spans="3:18" x14ac:dyDescent="0.25">
      <c r="C322" s="169" t="s">
        <v>493</v>
      </c>
      <c r="D322" s="169" t="str">
        <f t="shared" si="112"/>
        <v>892</v>
      </c>
      <c r="E322" s="167" t="s">
        <v>458</v>
      </c>
      <c r="F322" s="169" t="s">
        <v>320</v>
      </c>
      <c r="G322" s="172" t="s">
        <v>162</v>
      </c>
      <c r="H322" s="167"/>
      <c r="I322" s="169"/>
      <c r="J322" s="169"/>
      <c r="K322" s="169"/>
      <c r="L322" s="169"/>
      <c r="M322" s="169"/>
      <c r="N322" s="169"/>
      <c r="O322" s="169"/>
      <c r="P322" s="209"/>
      <c r="Q322" s="869"/>
      <c r="R322" s="869"/>
    </row>
    <row r="323" spans="3:18" x14ac:dyDescent="0.25">
      <c r="C323" s="169" t="s">
        <v>493</v>
      </c>
      <c r="D323" s="169" t="str">
        <f t="shared" si="112"/>
        <v>892</v>
      </c>
      <c r="E323" s="167" t="s">
        <v>458</v>
      </c>
      <c r="F323" s="169" t="s">
        <v>320</v>
      </c>
      <c r="G323" s="170" t="s">
        <v>159</v>
      </c>
      <c r="H323" s="156" t="s">
        <v>268</v>
      </c>
      <c r="I323" s="459">
        <f>SUMIFS('Data-Transport'!$K$4:$K$10000,'Data-Transport'!$A$4:$A$10000,'Mar20-Aug20 Transport Actuals'!I$4,'Data-Transport'!$B$4:$B$10000,'Mar20-Aug20 Transport Actuals'!$C$323,'Data-Transport'!$D$4:$D$10000,'Mar20-Aug20 Transport Actuals'!$F$323,'Data-Transport'!$E$4:$E$10000,'Mar20-Aug20 Transport Actuals'!$H$323,'Data-Transport'!$F$4:$F$10000,'Mar20-Aug20 Transport Actuals'!I$6)</f>
        <v>0</v>
      </c>
      <c r="J323" s="459">
        <f>SUMIFS('Data-Transport'!$K$4:$K$10000,'Data-Transport'!$A$4:$A$10000,'Mar20-Aug20 Transport Actuals'!J$4,'Data-Transport'!$B$4:$B$10000,'Mar20-Aug20 Transport Actuals'!$C$323,'Data-Transport'!$D$4:$D$10000,'Mar20-Aug20 Transport Actuals'!$F$323,'Data-Transport'!$E$4:$E$10000,'Mar20-Aug20 Transport Actuals'!$H$323,'Data-Transport'!$F$4:$F$10000,'Mar20-Aug20 Transport Actuals'!J$6)</f>
        <v>0</v>
      </c>
      <c r="K323" s="459">
        <f>SUMIFS('Data-Transport'!$K$4:$K$10000,'Data-Transport'!$A$4:$A$10000,'Mar20-Aug20 Transport Actuals'!K$4,'Data-Transport'!$B$4:$B$10000,'Mar20-Aug20 Transport Actuals'!$C$323,'Data-Transport'!$D$4:$D$10000,'Mar20-Aug20 Transport Actuals'!$F$323,'Data-Transport'!$E$4:$E$10000,'Mar20-Aug20 Transport Actuals'!$H$323,'Data-Transport'!$F$4:$F$10000,'Mar20-Aug20 Transport Actuals'!K$6)</f>
        <v>0</v>
      </c>
      <c r="L323" s="459">
        <f>SUMIFS('Data-Transport'!$K$4:$K$10000,'Data-Transport'!$A$4:$A$10000,'Mar20-Aug20 Transport Actuals'!L$4,'Data-Transport'!$B$4:$B$10000,'Mar20-Aug20 Transport Actuals'!$C$323,'Data-Transport'!$D$4:$D$10000,'Mar20-Aug20 Transport Actuals'!$F$323,'Data-Transport'!$E$4:$E$10000,'Mar20-Aug20 Transport Actuals'!$H$323,'Data-Transport'!$F$4:$F$10000,'Mar20-Aug20 Transport Actuals'!L$6)</f>
        <v>0</v>
      </c>
      <c r="M323" s="459">
        <f>SUMIFS('Data-Transport'!$K$4:$K$10000,'Data-Transport'!$A$4:$A$10000,'Mar20-Aug20 Transport Actuals'!M$4,'Data-Transport'!$B$4:$B$10000,'Mar20-Aug20 Transport Actuals'!$C$323,'Data-Transport'!$D$4:$D$10000,'Mar20-Aug20 Transport Actuals'!$F$323,'Data-Transport'!$E$4:$E$10000,'Mar20-Aug20 Transport Actuals'!$H$323,'Data-Transport'!$F$4:$F$10000,'Mar20-Aug20 Transport Actuals'!M$6)</f>
        <v>0</v>
      </c>
      <c r="N323" s="459">
        <f>SUMIFS('Data-Transport'!$K$4:$K$10000,'Data-Transport'!$A$4:$A$10000,'Mar20-Aug20 Transport Actuals'!N$4,'Data-Transport'!$B$4:$B$10000,'Mar20-Aug20 Transport Actuals'!$C$323,'Data-Transport'!$D$4:$D$10000,'Mar20-Aug20 Transport Actuals'!$F$323,'Data-Transport'!$E$4:$E$10000,'Mar20-Aug20 Transport Actuals'!$H$323,'Data-Transport'!$F$4:$F$10000,'Mar20-Aug20 Transport Actuals'!N$6)</f>
        <v>0</v>
      </c>
      <c r="O323" s="459">
        <f>SUMIFS('Data-Transport'!$K$4:$K$10000,'Data-Transport'!$A$4:$A$10000,'Mar20-Aug20 Transport Actuals'!O$4,'Data-Transport'!$B$4:$B$10000,'Mar20-Aug20 Transport Actuals'!$C$323,'Data-Transport'!$D$4:$D$10000,'Mar20-Aug20 Transport Actuals'!$F$323,'Data-Transport'!$E$4:$E$10000,'Mar20-Aug20 Transport Actuals'!$H$323,'Data-Transport'!$F$4:$F$10000,'Mar20-Aug20 Transport Actuals'!O$6)</f>
        <v>0</v>
      </c>
      <c r="P323" s="871">
        <f>SUM(I323:N323)</f>
        <v>0</v>
      </c>
      <c r="Q323" s="869"/>
      <c r="R323" s="869"/>
    </row>
    <row r="324" spans="3:18" x14ac:dyDescent="0.25">
      <c r="C324" s="169" t="s">
        <v>493</v>
      </c>
      <c r="D324" s="169" t="str">
        <f t="shared" si="112"/>
        <v>892</v>
      </c>
      <c r="E324" s="167" t="s">
        <v>458</v>
      </c>
      <c r="F324" s="169" t="s">
        <v>320</v>
      </c>
      <c r="G324" s="170" t="s">
        <v>961</v>
      </c>
      <c r="H324" s="156" t="s">
        <v>272</v>
      </c>
      <c r="I324" s="459">
        <f>SUMIFS('Data-Transport'!$K$4:$K$10000,'Data-Transport'!$A$4:$A$10000,'Mar20-Aug20 Transport Actuals'!I$4,'Data-Transport'!$B$4:$B$10000,'Mar20-Aug20 Transport Actuals'!$C$324,'Data-Transport'!$D$4:$D$10000,'Mar20-Aug20 Transport Actuals'!$F$324,'Data-Transport'!$E$4:$E$10000,'Mar20-Aug20 Transport Actuals'!$H$324,'Data-Transport'!$F$4:$F$10000,'Mar20-Aug20 Transport Actuals'!I$6)</f>
        <v>0</v>
      </c>
      <c r="J324" s="459"/>
      <c r="K324" s="459"/>
      <c r="L324" s="459"/>
      <c r="M324" s="459"/>
      <c r="N324" s="459"/>
      <c r="O324" s="459"/>
      <c r="P324" s="871">
        <f t="shared" ref="P324:P342" si="113">SUM(I324:N324)</f>
        <v>0</v>
      </c>
      <c r="Q324" s="869"/>
      <c r="R324" s="869"/>
    </row>
    <row r="325" spans="3:18" x14ac:dyDescent="0.25">
      <c r="C325" s="169" t="s">
        <v>493</v>
      </c>
      <c r="D325" s="169" t="str">
        <f t="shared" si="112"/>
        <v>892</v>
      </c>
      <c r="E325" s="167" t="s">
        <v>458</v>
      </c>
      <c r="F325" s="169" t="s">
        <v>320</v>
      </c>
      <c r="G325" s="170" t="s">
        <v>164</v>
      </c>
      <c r="H325" s="167"/>
      <c r="I325" s="466">
        <f t="shared" ref="I325:O325" si="114">I316*I320</f>
        <v>0</v>
      </c>
      <c r="J325" s="466">
        <f t="shared" si="114"/>
        <v>0</v>
      </c>
      <c r="K325" s="466">
        <f t="shared" si="114"/>
        <v>0</v>
      </c>
      <c r="L325" s="466">
        <f t="shared" si="114"/>
        <v>0</v>
      </c>
      <c r="M325" s="466">
        <f t="shared" si="114"/>
        <v>0</v>
      </c>
      <c r="N325" s="466">
        <f t="shared" si="114"/>
        <v>0</v>
      </c>
      <c r="O325" s="466">
        <f t="shared" si="114"/>
        <v>0</v>
      </c>
      <c r="P325" s="871">
        <f t="shared" si="113"/>
        <v>0</v>
      </c>
      <c r="Q325" s="869"/>
      <c r="R325" s="869"/>
    </row>
    <row r="326" spans="3:18" x14ac:dyDescent="0.25">
      <c r="C326" s="169" t="s">
        <v>493</v>
      </c>
      <c r="D326" s="169" t="str">
        <f t="shared" si="112"/>
        <v>892</v>
      </c>
      <c r="E326" s="167" t="s">
        <v>458</v>
      </c>
      <c r="F326" s="169" t="s">
        <v>320</v>
      </c>
      <c r="G326" s="170" t="s">
        <v>148</v>
      </c>
      <c r="H326" s="476" t="s">
        <v>273</v>
      </c>
      <c r="I326" s="196">
        <f>SUMIFS('Data-Transport'!$Y$4:$Y$10000,'Data-Transport'!$A$4:$A$10000,'Mar20-Aug20 Transport Actuals'!I$4,'Data-Transport'!$B$4:$B$10000,'Mar20-Aug20 Transport Actuals'!$C$326,'Data-Transport'!$D$4:$D$10000,'Mar20-Aug20 Transport Actuals'!$F$326,'Data-Transport'!$E$4:$E$10000,'Mar20-Aug20 Transport Actuals'!$H$326,'Data-Transport'!$F$4:$F$10000,'Mar20-Aug20 Transport Actuals'!I$6)</f>
        <v>0</v>
      </c>
      <c r="J326" s="196">
        <f>SUMIFS('Data-Transport'!$Y$4:$Y$10000,'Data-Transport'!$A$4:$A$10000,'Mar20-Aug20 Transport Actuals'!J$4,'Data-Transport'!$B$4:$B$10000,'Mar20-Aug20 Transport Actuals'!$C$326,'Data-Transport'!$D$4:$D$10000,'Mar20-Aug20 Transport Actuals'!$F$326,'Data-Transport'!$E$4:$E$10000,'Mar20-Aug20 Transport Actuals'!$H$326,'Data-Transport'!$F$4:$F$10000,'Mar20-Aug20 Transport Actuals'!J$6)</f>
        <v>0</v>
      </c>
      <c r="K326" s="196">
        <f>SUMIFS('Data-Transport'!$Y$4:$Y$10000,'Data-Transport'!$A$4:$A$10000,'Mar20-Aug20 Transport Actuals'!K$4,'Data-Transport'!$B$4:$B$10000,'Mar20-Aug20 Transport Actuals'!$C$326,'Data-Transport'!$D$4:$D$10000,'Mar20-Aug20 Transport Actuals'!$F$326,'Data-Transport'!$E$4:$E$10000,'Mar20-Aug20 Transport Actuals'!$H$326,'Data-Transport'!$F$4:$F$10000,'Mar20-Aug20 Transport Actuals'!K$6)</f>
        <v>0</v>
      </c>
      <c r="L326" s="196">
        <f>SUMIFS('Data-Transport'!$Y$4:$Y$10000,'Data-Transport'!$A$4:$A$10000,'Mar20-Aug20 Transport Actuals'!L$4,'Data-Transport'!$B$4:$B$10000,'Mar20-Aug20 Transport Actuals'!$C$326,'Data-Transport'!$D$4:$D$10000,'Mar20-Aug20 Transport Actuals'!$F$326,'Data-Transport'!$E$4:$E$10000,'Mar20-Aug20 Transport Actuals'!$H$326,'Data-Transport'!$F$4:$F$10000,'Mar20-Aug20 Transport Actuals'!L$6)</f>
        <v>0</v>
      </c>
      <c r="M326" s="196">
        <f>SUMIFS('Data-Transport'!$Y$4:$Y$10000,'Data-Transport'!$A$4:$A$10000,'Mar20-Aug20 Transport Actuals'!M$4,'Data-Transport'!$B$4:$B$10000,'Mar20-Aug20 Transport Actuals'!$C$326,'Data-Transport'!$D$4:$D$10000,'Mar20-Aug20 Transport Actuals'!$F$326,'Data-Transport'!$E$4:$E$10000,'Mar20-Aug20 Transport Actuals'!$H$326,'Data-Transport'!$F$4:$F$10000,'Mar20-Aug20 Transport Actuals'!M$6)</f>
        <v>0</v>
      </c>
      <c r="N326" s="196">
        <f>SUMIFS('Data-Transport'!$Y$4:$Y$10000,'Data-Transport'!$A$4:$A$10000,'Mar20-Aug20 Transport Actuals'!N$4,'Data-Transport'!$B$4:$B$10000,'Mar20-Aug20 Transport Actuals'!$C$326,'Data-Transport'!$D$4:$D$10000,'Mar20-Aug20 Transport Actuals'!$F$326,'Data-Transport'!$E$4:$E$10000,'Mar20-Aug20 Transport Actuals'!$H$326,'Data-Transport'!$F$4:$F$10000,'Mar20-Aug20 Transport Actuals'!N$6)</f>
        <v>0</v>
      </c>
      <c r="O326" s="196">
        <f>SUMIFS('Data-Transport'!$Y$4:$Y$10000,'Data-Transport'!$A$4:$A$10000,'Mar20-Aug20 Transport Actuals'!O$4,'Data-Transport'!$B$4:$B$10000,'Mar20-Aug20 Transport Actuals'!$C$326,'Data-Transport'!$D$4:$D$10000,'Mar20-Aug20 Transport Actuals'!$F$326,'Data-Transport'!$E$4:$E$10000,'Mar20-Aug20 Transport Actuals'!$H$326,'Data-Transport'!$F$4:$F$10000,'Mar20-Aug20 Transport Actuals'!O$6)</f>
        <v>0</v>
      </c>
      <c r="P326" s="871">
        <f t="shared" si="113"/>
        <v>0</v>
      </c>
      <c r="Q326" s="869"/>
      <c r="R326" s="869"/>
    </row>
    <row r="327" spans="3:18" x14ac:dyDescent="0.25">
      <c r="C327" s="169" t="s">
        <v>493</v>
      </c>
      <c r="D327" s="169" t="str">
        <f>MID(C327,6,3)</f>
        <v>892</v>
      </c>
      <c r="E327" s="167" t="s">
        <v>458</v>
      </c>
      <c r="F327" s="169" t="s">
        <v>320</v>
      </c>
      <c r="G327" s="170" t="s">
        <v>628</v>
      </c>
      <c r="H327" s="476" t="s">
        <v>620</v>
      </c>
      <c r="I327" s="478">
        <f>SUMIFS('Data-Transport'!$Z$4:$Z$10000,'Data-Transport'!$A$4:$A$10000,'Mar20-Aug20 Transport Actuals'!I$4,'Data-Transport'!$B$4:$B$10000,'Mar20-Aug20 Transport Actuals'!$C$327,'Data-Transport'!$D$4:$D$10000,'Mar20-Aug20 Transport Actuals'!$F$327,'Data-Transport'!$E$4:$E$10000,'Mar20-Aug20 Transport Actuals'!$H$327,'Data-Transport'!$F$4:$F$10000,'Mar20-Aug20 Transport Actuals'!I$6)</f>
        <v>0</v>
      </c>
      <c r="J327" s="478">
        <f>SUMIFS('Data-Transport'!$Z$4:$Z$10000,'Data-Transport'!$A$4:$A$10000,'Mar20-Aug20 Transport Actuals'!J$4,'Data-Transport'!$B$4:$B$10000,'Mar20-Aug20 Transport Actuals'!$C$327,'Data-Transport'!$D$4:$D$10000,'Mar20-Aug20 Transport Actuals'!$F$327,'Data-Transport'!$E$4:$E$10000,'Mar20-Aug20 Transport Actuals'!$H$327,'Data-Transport'!$F$4:$F$10000,'Mar20-Aug20 Transport Actuals'!J$6)</f>
        <v>0</v>
      </c>
      <c r="K327" s="478">
        <f>SUMIFS('Data-Transport'!$Z$4:$Z$10000,'Data-Transport'!$A$4:$A$10000,'Mar20-Aug20 Transport Actuals'!K$4,'Data-Transport'!$B$4:$B$10000,'Mar20-Aug20 Transport Actuals'!$C$327,'Data-Transport'!$D$4:$D$10000,'Mar20-Aug20 Transport Actuals'!$F$327,'Data-Transport'!$E$4:$E$10000,'Mar20-Aug20 Transport Actuals'!$H$327,'Data-Transport'!$F$4:$F$10000,'Mar20-Aug20 Transport Actuals'!K$6)</f>
        <v>0</v>
      </c>
      <c r="L327" s="478">
        <f>SUMIFS('Data-Transport'!$Z$4:$Z$10000,'Data-Transport'!$A$4:$A$10000,'Mar20-Aug20 Transport Actuals'!L$4,'Data-Transport'!$B$4:$B$10000,'Mar20-Aug20 Transport Actuals'!$C$327,'Data-Transport'!$D$4:$D$10000,'Mar20-Aug20 Transport Actuals'!$F$327,'Data-Transport'!$E$4:$E$10000,'Mar20-Aug20 Transport Actuals'!$H$327,'Data-Transport'!$F$4:$F$10000,'Mar20-Aug20 Transport Actuals'!L$6)</f>
        <v>0</v>
      </c>
      <c r="M327" s="478">
        <f>SUMIFS('Data-Transport'!$Z$4:$Z$10000,'Data-Transport'!$A$4:$A$10000,'Mar20-Aug20 Transport Actuals'!M$4,'Data-Transport'!$B$4:$B$10000,'Mar20-Aug20 Transport Actuals'!$C$327,'Data-Transport'!$D$4:$D$10000,'Mar20-Aug20 Transport Actuals'!$F$327,'Data-Transport'!$E$4:$E$10000,'Mar20-Aug20 Transport Actuals'!$H$327,'Data-Transport'!$F$4:$F$10000,'Mar20-Aug20 Transport Actuals'!M$6)</f>
        <v>0</v>
      </c>
      <c r="N327" s="478">
        <f>SUMIFS('Data-Transport'!$Z$4:$Z$10000,'Data-Transport'!$A$4:$A$10000,'Mar20-Aug20 Transport Actuals'!N$4,'Data-Transport'!$B$4:$B$10000,'Mar20-Aug20 Transport Actuals'!$C$327,'Data-Transport'!$D$4:$D$10000,'Mar20-Aug20 Transport Actuals'!$F$327,'Data-Transport'!$E$4:$E$10000,'Mar20-Aug20 Transport Actuals'!$H$327,'Data-Transport'!$F$4:$F$10000,'Mar20-Aug20 Transport Actuals'!N$6)</f>
        <v>0</v>
      </c>
      <c r="O327" s="478">
        <f>SUMIFS('Data-Transport'!$Z$4:$Z$10000,'Data-Transport'!$A$4:$A$10000,'Mar20-Aug20 Transport Actuals'!O$4,'Data-Transport'!$B$4:$B$10000,'Mar20-Aug20 Transport Actuals'!$C$327,'Data-Transport'!$D$4:$D$10000,'Mar20-Aug20 Transport Actuals'!$F$327,'Data-Transport'!$E$4:$E$10000,'Mar20-Aug20 Transport Actuals'!$H$327,'Data-Transport'!$F$4:$F$10000,'Mar20-Aug20 Transport Actuals'!O$6)</f>
        <v>0</v>
      </c>
      <c r="P327" s="871">
        <f t="shared" si="113"/>
        <v>0</v>
      </c>
      <c r="Q327" s="869"/>
      <c r="R327" s="869"/>
    </row>
    <row r="328" spans="3:18" x14ac:dyDescent="0.25">
      <c r="C328" s="169" t="s">
        <v>493</v>
      </c>
      <c r="D328" s="169" t="str">
        <f>MID(C328,6,3)</f>
        <v>892</v>
      </c>
      <c r="E328" s="167" t="s">
        <v>458</v>
      </c>
      <c r="F328" s="169" t="s">
        <v>320</v>
      </c>
      <c r="G328" s="170" t="s">
        <v>623</v>
      </c>
      <c r="H328" s="476" t="s">
        <v>621</v>
      </c>
      <c r="I328" s="478">
        <f>SUMIFS('Data-Transport'!$AA$4:$AA$10000,'Data-Transport'!$A$4:$A$10000,'Mar20-Aug20 Transport Actuals'!I$4,'Data-Transport'!$B$4:$B$10000,'Mar20-Aug20 Transport Actuals'!$C$328,'Data-Transport'!$D$4:$D$10000,'Mar20-Aug20 Transport Actuals'!$F$328,'Data-Transport'!$E$4:$E$10000,'Mar20-Aug20 Transport Actuals'!$H$328,'Data-Transport'!$F$4:$F$10000,'Mar20-Aug20 Transport Actuals'!I$6)</f>
        <v>0</v>
      </c>
      <c r="J328" s="478">
        <f>SUMIFS('Data-Transport'!$AA$4:$AA$10000,'Data-Transport'!$A$4:$A$10000,'Mar20-Aug20 Transport Actuals'!J$4,'Data-Transport'!$B$4:$B$10000,'Mar20-Aug20 Transport Actuals'!$C$328,'Data-Transport'!$D$4:$D$10000,'Mar20-Aug20 Transport Actuals'!$F$328,'Data-Transport'!$E$4:$E$10000,'Mar20-Aug20 Transport Actuals'!$H$328,'Data-Transport'!$F$4:$F$10000,'Mar20-Aug20 Transport Actuals'!J$6)</f>
        <v>0</v>
      </c>
      <c r="K328" s="478">
        <f>SUMIFS('Data-Transport'!$AA$4:$AA$10000,'Data-Transport'!$A$4:$A$10000,'Mar20-Aug20 Transport Actuals'!K$4,'Data-Transport'!$B$4:$B$10000,'Mar20-Aug20 Transport Actuals'!$C$328,'Data-Transport'!$D$4:$D$10000,'Mar20-Aug20 Transport Actuals'!$F$328,'Data-Transport'!$E$4:$E$10000,'Mar20-Aug20 Transport Actuals'!$H$328,'Data-Transport'!$F$4:$F$10000,'Mar20-Aug20 Transport Actuals'!K$6)</f>
        <v>0</v>
      </c>
      <c r="L328" s="478">
        <f>SUMIFS('Data-Transport'!$AA$4:$AA$10000,'Data-Transport'!$A$4:$A$10000,'Mar20-Aug20 Transport Actuals'!L$4,'Data-Transport'!$B$4:$B$10000,'Mar20-Aug20 Transport Actuals'!$C$328,'Data-Transport'!$D$4:$D$10000,'Mar20-Aug20 Transport Actuals'!$F$328,'Data-Transport'!$E$4:$E$10000,'Mar20-Aug20 Transport Actuals'!$H$328,'Data-Transport'!$F$4:$F$10000,'Mar20-Aug20 Transport Actuals'!L$6)</f>
        <v>0</v>
      </c>
      <c r="M328" s="478">
        <f>SUMIFS('Data-Transport'!$AA$4:$AA$10000,'Data-Transport'!$A$4:$A$10000,'Mar20-Aug20 Transport Actuals'!M$4,'Data-Transport'!$B$4:$B$10000,'Mar20-Aug20 Transport Actuals'!$C$328,'Data-Transport'!$D$4:$D$10000,'Mar20-Aug20 Transport Actuals'!$F$328,'Data-Transport'!$E$4:$E$10000,'Mar20-Aug20 Transport Actuals'!$H$328,'Data-Transport'!$F$4:$F$10000,'Mar20-Aug20 Transport Actuals'!M$6)</f>
        <v>0</v>
      </c>
      <c r="N328" s="478">
        <f>SUMIFS('Data-Transport'!$AA$4:$AA$10000,'Data-Transport'!$A$4:$A$10000,'Mar20-Aug20 Transport Actuals'!N$4,'Data-Transport'!$B$4:$B$10000,'Mar20-Aug20 Transport Actuals'!$C$328,'Data-Transport'!$D$4:$D$10000,'Mar20-Aug20 Transport Actuals'!$F$328,'Data-Transport'!$E$4:$E$10000,'Mar20-Aug20 Transport Actuals'!$H$328,'Data-Transport'!$F$4:$F$10000,'Mar20-Aug20 Transport Actuals'!N$6)</f>
        <v>0</v>
      </c>
      <c r="O328" s="478">
        <f>SUMIFS('Data-Transport'!$AA$4:$AA$10000,'Data-Transport'!$A$4:$A$10000,'Mar20-Aug20 Transport Actuals'!O$4,'Data-Transport'!$B$4:$B$10000,'Mar20-Aug20 Transport Actuals'!$C$328,'Data-Transport'!$D$4:$D$10000,'Mar20-Aug20 Transport Actuals'!$F$328,'Data-Transport'!$E$4:$E$10000,'Mar20-Aug20 Transport Actuals'!$H$328,'Data-Transport'!$F$4:$F$10000,'Mar20-Aug20 Transport Actuals'!O$6)</f>
        <v>0</v>
      </c>
      <c r="P328" s="871">
        <f t="shared" si="113"/>
        <v>0</v>
      </c>
      <c r="Q328" s="869"/>
      <c r="R328" s="869"/>
    </row>
    <row r="329" spans="3:18" x14ac:dyDescent="0.25">
      <c r="C329" s="169" t="s">
        <v>493</v>
      </c>
      <c r="D329" s="169" t="str">
        <f t="shared" si="112"/>
        <v>892</v>
      </c>
      <c r="E329" s="167" t="s">
        <v>458</v>
      </c>
      <c r="F329" s="169" t="s">
        <v>320</v>
      </c>
      <c r="G329" s="170" t="s">
        <v>454</v>
      </c>
      <c r="H329" s="476" t="s">
        <v>357</v>
      </c>
      <c r="I329" s="472">
        <f>SUMIFS('Data-Transport'!$S$4:$S$10000,'Data-Transport'!$A$4:$A$10000,'Mar20-Aug20 Transport Actuals'!I$4,'Data-Transport'!$B$4:$B$10000,'Mar20-Aug20 Transport Actuals'!$C$329,'Data-Transport'!$D$4:$D$10000,'Mar20-Aug20 Transport Actuals'!$F$329,'Data-Transport'!$E$4:$E$10000,'Mar20-Aug20 Transport Actuals'!$H$329,'Data-Transport'!$F$4:$F$10000,'Mar20-Aug20 Transport Actuals'!I$6)</f>
        <v>0</v>
      </c>
      <c r="J329" s="478">
        <f>SUMIFS('Data-Transport'!$S$4:$S$10000,'Data-Transport'!$A$4:$A$10000,'Mar20-Aug20 Transport Actuals'!J$4,'Data-Transport'!$B$4:$B$10000,'Mar20-Aug20 Transport Actuals'!$C$329,'Data-Transport'!$D$4:$D$10000,'Mar20-Aug20 Transport Actuals'!$F$329,'Data-Transport'!$E$4:$E$10000,'Mar20-Aug20 Transport Actuals'!$H$329,'Data-Transport'!$F$4:$F$10000,'Mar20-Aug20 Transport Actuals'!J$6)</f>
        <v>0</v>
      </c>
      <c r="K329" s="478">
        <f>SUMIFS('Data-Transport'!$S$4:$S$10000,'Data-Transport'!$A$4:$A$10000,'Mar20-Aug20 Transport Actuals'!K$4,'Data-Transport'!$B$4:$B$10000,'Mar20-Aug20 Transport Actuals'!$C$329,'Data-Transport'!$D$4:$D$10000,'Mar20-Aug20 Transport Actuals'!$F$329,'Data-Transport'!$E$4:$E$10000,'Mar20-Aug20 Transport Actuals'!$H$329,'Data-Transport'!$F$4:$F$10000,'Mar20-Aug20 Transport Actuals'!K$6)</f>
        <v>0</v>
      </c>
      <c r="L329" s="478">
        <f>SUMIFS('Data-Transport'!$S$4:$S$10000,'Data-Transport'!$A$4:$A$10000,'Mar20-Aug20 Transport Actuals'!L$4,'Data-Transport'!$B$4:$B$10000,'Mar20-Aug20 Transport Actuals'!$C$329,'Data-Transport'!$D$4:$D$10000,'Mar20-Aug20 Transport Actuals'!$F$329,'Data-Transport'!$E$4:$E$10000,'Mar20-Aug20 Transport Actuals'!$H$329,'Data-Transport'!$F$4:$F$10000,'Mar20-Aug20 Transport Actuals'!L$6)</f>
        <v>0</v>
      </c>
      <c r="M329" s="478">
        <f>SUMIFS('Data-Transport'!$S$4:$S$10000,'Data-Transport'!$A$4:$A$10000,'Mar20-Aug20 Transport Actuals'!M$4,'Data-Transport'!$B$4:$B$10000,'Mar20-Aug20 Transport Actuals'!$C$329,'Data-Transport'!$D$4:$D$10000,'Mar20-Aug20 Transport Actuals'!$F$329,'Data-Transport'!$E$4:$E$10000,'Mar20-Aug20 Transport Actuals'!$H$329,'Data-Transport'!$F$4:$F$10000,'Mar20-Aug20 Transport Actuals'!M$6)</f>
        <v>0</v>
      </c>
      <c r="N329" s="478">
        <f>SUMIFS('Data-Transport'!$S$4:$S$10000,'Data-Transport'!$A$4:$A$10000,'Mar20-Aug20 Transport Actuals'!N$4,'Data-Transport'!$B$4:$B$10000,'Mar20-Aug20 Transport Actuals'!$C$329,'Data-Transport'!$D$4:$D$10000,'Mar20-Aug20 Transport Actuals'!$F$329,'Data-Transport'!$E$4:$E$10000,'Mar20-Aug20 Transport Actuals'!$H$329,'Data-Transport'!$F$4:$F$10000,'Mar20-Aug20 Transport Actuals'!N$6)</f>
        <v>0</v>
      </c>
      <c r="O329" s="478">
        <f>SUMIFS('Data-Transport'!$S$4:$S$10000,'Data-Transport'!$A$4:$A$10000,'Mar20-Aug20 Transport Actuals'!O$4,'Data-Transport'!$B$4:$B$10000,'Mar20-Aug20 Transport Actuals'!$C$329,'Data-Transport'!$D$4:$D$10000,'Mar20-Aug20 Transport Actuals'!$F$329,'Data-Transport'!$E$4:$E$10000,'Mar20-Aug20 Transport Actuals'!$H$329,'Data-Transport'!$F$4:$F$10000,'Mar20-Aug20 Transport Actuals'!O$6)</f>
        <v>0</v>
      </c>
      <c r="P329" s="871">
        <f t="shared" si="113"/>
        <v>0</v>
      </c>
      <c r="Q329" s="869"/>
      <c r="R329" s="869"/>
    </row>
    <row r="330" spans="3:18" x14ac:dyDescent="0.25">
      <c r="C330" s="169"/>
      <c r="D330" s="169"/>
      <c r="E330" s="167"/>
      <c r="F330" s="169"/>
      <c r="G330" s="170" t="s">
        <v>169</v>
      </c>
      <c r="H330" s="167"/>
      <c r="I330" s="466">
        <f t="shared" ref="I330:O330" si="115">SUM(I323:I329)</f>
        <v>0</v>
      </c>
      <c r="J330" s="466">
        <f t="shared" si="115"/>
        <v>0</v>
      </c>
      <c r="K330" s="466">
        <f t="shared" si="115"/>
        <v>0</v>
      </c>
      <c r="L330" s="466">
        <f t="shared" si="115"/>
        <v>0</v>
      </c>
      <c r="M330" s="466">
        <f t="shared" si="115"/>
        <v>0</v>
      </c>
      <c r="N330" s="466">
        <f t="shared" si="115"/>
        <v>0</v>
      </c>
      <c r="O330" s="466">
        <f t="shared" si="115"/>
        <v>0</v>
      </c>
      <c r="P330" s="871">
        <f t="shared" si="113"/>
        <v>0</v>
      </c>
      <c r="Q330" s="869"/>
      <c r="R330" s="869"/>
    </row>
    <row r="331" spans="3:18" x14ac:dyDescent="0.25">
      <c r="C331" s="169"/>
      <c r="D331" s="169"/>
      <c r="E331" s="167"/>
      <c r="F331" s="169"/>
      <c r="G331" s="170"/>
      <c r="H331" s="167"/>
      <c r="I331" s="466"/>
      <c r="J331" s="466"/>
      <c r="K331" s="466"/>
      <c r="L331" s="466"/>
      <c r="M331" s="466"/>
      <c r="N331" s="466"/>
      <c r="O331" s="466"/>
      <c r="P331" s="871"/>
      <c r="Q331" s="869"/>
      <c r="R331" s="869"/>
    </row>
    <row r="332" spans="3:18" x14ac:dyDescent="0.25">
      <c r="C332" s="169"/>
      <c r="D332" s="169"/>
      <c r="E332" s="167"/>
      <c r="F332" s="169"/>
      <c r="G332" s="174" t="s">
        <v>452</v>
      </c>
      <c r="H332" s="167"/>
      <c r="I332" s="470">
        <f t="shared" ref="I332:N332" si="116">I263+I286+I294+I330+I313</f>
        <v>70044.366680000006</v>
      </c>
      <c r="J332" s="470">
        <f t="shared" si="116"/>
        <v>99438.45659999999</v>
      </c>
      <c r="K332" s="470">
        <f t="shared" si="116"/>
        <v>149226.42515999998</v>
      </c>
      <c r="L332" s="470">
        <f t="shared" si="116"/>
        <v>112360.28312000001</v>
      </c>
      <c r="M332" s="470">
        <f t="shared" si="116"/>
        <v>132615.64039999997</v>
      </c>
      <c r="N332" s="470">
        <f t="shared" si="116"/>
        <v>95654.35716</v>
      </c>
      <c r="O332" s="470">
        <f>O286+O294+O330</f>
        <v>78106.62</v>
      </c>
      <c r="P332" s="871">
        <f t="shared" si="113"/>
        <v>659339.52911999996</v>
      </c>
      <c r="Q332" s="869"/>
      <c r="R332" s="869"/>
    </row>
    <row r="333" spans="3:18" x14ac:dyDescent="0.25">
      <c r="C333" s="169"/>
      <c r="D333" s="169"/>
      <c r="E333" s="167"/>
      <c r="F333" s="169"/>
      <c r="G333" s="174"/>
      <c r="H333" s="167"/>
      <c r="I333" s="470"/>
      <c r="J333" s="470"/>
      <c r="K333" s="470"/>
      <c r="L333" s="470"/>
      <c r="M333" s="470"/>
      <c r="N333" s="470"/>
      <c r="O333" s="470"/>
      <c r="P333" s="871"/>
      <c r="Q333" s="869"/>
      <c r="R333" s="869"/>
    </row>
    <row r="334" spans="3:18" x14ac:dyDescent="0.25">
      <c r="C334" s="169"/>
      <c r="D334" s="169"/>
      <c r="E334" s="167"/>
      <c r="F334" s="169" t="s">
        <v>444</v>
      </c>
      <c r="G334" s="175" t="s">
        <v>274</v>
      </c>
      <c r="H334" s="167"/>
      <c r="I334" s="470">
        <f>SUMIFS('Bruise Report-Tariff'!$C$5:$C$2982,'Bruise Report-Tariff'!$A$5:$A$2982,'Mar20-Aug20 Transport Actuals'!I$4,'Bruise Report-Tariff'!$B$5:$B$2982,'Mar20-Aug20 Transport Actuals'!$F$334)</f>
        <v>70044.37</v>
      </c>
      <c r="J334" s="470">
        <f>SUMIFS('Bruise Report-Tariff'!$C$5:$C$2982,'Bruise Report-Tariff'!$A$5:$A$2982,'Mar20-Aug20 Transport Actuals'!J$4,'Bruise Report-Tariff'!$B$5:$B$2982,'Mar20-Aug20 Transport Actuals'!$F$334)</f>
        <v>99438.47</v>
      </c>
      <c r="K334" s="470">
        <f>SUMIFS('Bruise Report-Tariff'!$C$5:$C$2982,'Bruise Report-Tariff'!$A$5:$A$2982,'Mar20-Aug20 Transport Actuals'!K$4,'Bruise Report-Tariff'!$B$5:$B$2982,'Mar20-Aug20 Transport Actuals'!$F$334)</f>
        <v>149226.43</v>
      </c>
      <c r="L334" s="470">
        <f>SUMIFS('Bruise Report-Tariff'!$C$5:$C$2982,'Bruise Report-Tariff'!$A$5:$A$2982,'Mar20-Aug20 Transport Actuals'!L$4,'Bruise Report-Tariff'!$B$5:$B$2982,'Mar20-Aug20 Transport Actuals'!$F$334)</f>
        <v>112360.28</v>
      </c>
      <c r="M334" s="470">
        <f>SUMIFS('Bruise Report-Tariff'!$C$5:$C$2982,'Bruise Report-Tariff'!$A$5:$A$2982,'Mar20-Aug20 Transport Actuals'!M$4,'Bruise Report-Tariff'!$B$5:$B$2982,'Mar20-Aug20 Transport Actuals'!$F$334)</f>
        <v>132615.60999999999</v>
      </c>
      <c r="N334" s="470">
        <f>SUMIFS('Bruise Report-Tariff'!$C$5:$C$2982,'Bruise Report-Tariff'!$A$5:$A$2982,'Mar20-Aug20 Transport Actuals'!N$4,'Bruise Report-Tariff'!$B$5:$B$2982,'Mar20-Aug20 Transport Actuals'!$F$334)</f>
        <v>95654.36</v>
      </c>
      <c r="O334" s="470">
        <f>SUMIFS('Bruise Report-Tariff'!$C$5:$C$2982,'Bruise Report-Tariff'!$A$5:$A$2982,'Mar20-Aug20 Transport Actuals'!O$4,'Bruise Report-Tariff'!$B$5:$B$2982,'Mar20-Aug20 Transport Actuals'!$F$334)</f>
        <v>0</v>
      </c>
      <c r="P334" s="871">
        <f t="shared" si="113"/>
        <v>659339.52000000002</v>
      </c>
      <c r="Q334" s="869"/>
      <c r="R334" s="869"/>
    </row>
    <row r="335" spans="3:18" x14ac:dyDescent="0.25">
      <c r="C335" s="169"/>
      <c r="D335" s="169"/>
      <c r="E335" s="167"/>
      <c r="F335" s="169"/>
      <c r="G335" s="167"/>
      <c r="H335" s="167"/>
      <c r="I335" s="169"/>
      <c r="J335" s="169"/>
      <c r="K335" s="169"/>
      <c r="L335" s="169"/>
      <c r="M335" s="169"/>
      <c r="N335" s="169"/>
      <c r="O335" s="169"/>
      <c r="P335" s="871"/>
      <c r="Q335" s="869"/>
      <c r="R335" s="869"/>
    </row>
    <row r="336" spans="3:18" x14ac:dyDescent="0.25">
      <c r="C336" s="169"/>
      <c r="D336" s="169"/>
      <c r="E336" s="167"/>
      <c r="F336" s="169"/>
      <c r="G336" s="175" t="s">
        <v>152</v>
      </c>
      <c r="H336" s="167"/>
      <c r="I336" s="466">
        <f>+I332-I334</f>
        <v>-3.3199999888893217E-3</v>
      </c>
      <c r="J336" s="466">
        <f t="shared" ref="J336:O336" si="117">+J332-J334</f>
        <v>-1.3400000010733493E-2</v>
      </c>
      <c r="K336" s="466">
        <f t="shared" si="117"/>
        <v>-4.8400000086985528E-3</v>
      </c>
      <c r="L336" s="466">
        <f t="shared" si="117"/>
        <v>3.1200000084936619E-3</v>
      </c>
      <c r="M336" s="466">
        <f t="shared" si="117"/>
        <v>3.0399999988730997E-2</v>
      </c>
      <c r="N336" s="466">
        <f t="shared" si="117"/>
        <v>-2.8400000010151416E-3</v>
      </c>
      <c r="O336" s="466">
        <f t="shared" si="117"/>
        <v>78106.62</v>
      </c>
      <c r="P336" s="871">
        <f t="shared" si="113"/>
        <v>9.1199999878881499E-3</v>
      </c>
      <c r="Q336" s="869"/>
      <c r="R336" s="869"/>
    </row>
    <row r="337" spans="3:18" x14ac:dyDescent="0.25">
      <c r="C337" s="169"/>
      <c r="D337" s="169"/>
      <c r="E337" s="167"/>
      <c r="F337" s="169"/>
      <c r="G337" s="175"/>
      <c r="H337" s="167"/>
      <c r="I337" s="466"/>
      <c r="J337" s="466"/>
      <c r="K337" s="466"/>
      <c r="L337" s="466"/>
      <c r="M337" s="466"/>
      <c r="N337" s="466"/>
      <c r="O337" s="466"/>
      <c r="P337" s="871"/>
      <c r="Q337" s="869"/>
      <c r="R337" s="869"/>
    </row>
    <row r="338" spans="3:18" x14ac:dyDescent="0.25">
      <c r="C338" s="167"/>
      <c r="D338" s="167"/>
      <c r="E338" s="167"/>
      <c r="F338" s="167"/>
      <c r="G338" s="168" t="s">
        <v>474</v>
      </c>
      <c r="H338" s="167"/>
      <c r="I338" s="169"/>
      <c r="J338" s="169"/>
      <c r="K338" s="169"/>
      <c r="L338" s="169"/>
      <c r="M338" s="169"/>
      <c r="N338" s="169"/>
      <c r="O338" s="169"/>
      <c r="P338" s="871"/>
      <c r="Q338" s="869"/>
      <c r="R338" s="869"/>
    </row>
    <row r="339" spans="3:18" x14ac:dyDescent="0.25">
      <c r="C339" s="169" t="s">
        <v>491</v>
      </c>
      <c r="D339" s="169" t="str">
        <f>MID(C339,6,3)</f>
        <v>882</v>
      </c>
      <c r="E339" s="167" t="str">
        <f>VLOOKUP($C339,'Retail Rates'!$B$7:$P$40,2,FALSE)</f>
        <v>IGS TS-2</v>
      </c>
      <c r="F339" s="169" t="s">
        <v>319</v>
      </c>
      <c r="G339" s="170" t="s">
        <v>157</v>
      </c>
      <c r="H339" s="167"/>
      <c r="I339" s="480">
        <f>ROUND(+I349/I344,0)</f>
        <v>0</v>
      </c>
      <c r="J339" s="480">
        <f t="shared" ref="J339:O339" si="118">ROUND(+J349/J344,0)</f>
        <v>0</v>
      </c>
      <c r="K339" s="480">
        <f t="shared" si="118"/>
        <v>0</v>
      </c>
      <c r="L339" s="480">
        <f t="shared" si="118"/>
        <v>0</v>
      </c>
      <c r="M339" s="480">
        <f t="shared" si="118"/>
        <v>0</v>
      </c>
      <c r="N339" s="480">
        <f t="shared" si="118"/>
        <v>0</v>
      </c>
      <c r="O339" s="480">
        <f t="shared" si="118"/>
        <v>0</v>
      </c>
      <c r="P339" s="871">
        <f t="shared" si="113"/>
        <v>0</v>
      </c>
      <c r="Q339" s="869"/>
      <c r="R339" s="869"/>
    </row>
    <row r="340" spans="3:18" x14ac:dyDescent="0.25">
      <c r="C340" s="169" t="s">
        <v>491</v>
      </c>
      <c r="D340" s="169" t="str">
        <f t="shared" ref="D340:D355" si="119">MID(C340,6,3)</f>
        <v>882</v>
      </c>
      <c r="E340" s="167" t="str">
        <f>VLOOKUP($C340,'Retail Rates'!$B$7:$P$40,2,FALSE)</f>
        <v>IGS TS-2</v>
      </c>
      <c r="F340" s="169" t="s">
        <v>319</v>
      </c>
      <c r="G340" s="170" t="s">
        <v>244</v>
      </c>
      <c r="H340" s="167"/>
      <c r="I340" s="314">
        <f>I342</f>
        <v>0</v>
      </c>
      <c r="J340" s="314">
        <f>J342</f>
        <v>0</v>
      </c>
      <c r="K340" s="314">
        <f>K342</f>
        <v>0</v>
      </c>
      <c r="L340" s="314">
        <f>L342</f>
        <v>0</v>
      </c>
      <c r="M340" s="314">
        <f>100*M339</f>
        <v>0</v>
      </c>
      <c r="N340" s="314">
        <f>100*N339</f>
        <v>0</v>
      </c>
      <c r="O340" s="314">
        <f>100*O339</f>
        <v>0</v>
      </c>
      <c r="P340" s="871">
        <f t="shared" si="113"/>
        <v>0</v>
      </c>
      <c r="Q340" s="869"/>
      <c r="R340" s="869"/>
    </row>
    <row r="341" spans="3:18" x14ac:dyDescent="0.25">
      <c r="C341" s="169" t="s">
        <v>491</v>
      </c>
      <c r="D341" s="169" t="str">
        <f t="shared" si="119"/>
        <v>882</v>
      </c>
      <c r="E341" s="167" t="str">
        <f>VLOOKUP($C341,'Retail Rates'!$B$7:$P$40,2,FALSE)</f>
        <v>IGS TS-2</v>
      </c>
      <c r="F341" s="169" t="s">
        <v>319</v>
      </c>
      <c r="G341" s="170" t="s">
        <v>245</v>
      </c>
      <c r="H341" s="167"/>
      <c r="I341" s="462">
        <f>+I342-I340</f>
        <v>0</v>
      </c>
      <c r="J341" s="462">
        <f t="shared" ref="J341:O341" si="120">+J342-J340</f>
        <v>0</v>
      </c>
      <c r="K341" s="462">
        <f t="shared" si="120"/>
        <v>0</v>
      </c>
      <c r="L341" s="462">
        <f t="shared" si="120"/>
        <v>0</v>
      </c>
      <c r="M341" s="462">
        <f t="shared" si="120"/>
        <v>0</v>
      </c>
      <c r="N341" s="462">
        <f t="shared" si="120"/>
        <v>0</v>
      </c>
      <c r="O341" s="462">
        <f t="shared" si="120"/>
        <v>0</v>
      </c>
      <c r="P341" s="871">
        <f t="shared" si="113"/>
        <v>0</v>
      </c>
      <c r="Q341" s="869"/>
      <c r="R341" s="869"/>
    </row>
    <row r="342" spans="3:18" x14ac:dyDescent="0.25">
      <c r="C342" s="169" t="s">
        <v>491</v>
      </c>
      <c r="D342" s="169" t="str">
        <f t="shared" si="119"/>
        <v>882</v>
      </c>
      <c r="E342" s="167" t="str">
        <f>VLOOKUP($C342,'Retail Rates'!$B$7:$P$40,2,FALSE)</f>
        <v>IGS TS-2</v>
      </c>
      <c r="F342" s="169" t="s">
        <v>319</v>
      </c>
      <c r="G342" s="170" t="s">
        <v>246</v>
      </c>
      <c r="H342" s="156" t="s">
        <v>265</v>
      </c>
      <c r="I342" s="471">
        <f>SUMIFS('Data-Transport'!$H$4:$H$10000,'Data-Transport'!$A$4:$A$10000,'Mar20-Aug20 Transport Actuals'!I$4,'Data-Transport'!$B$4:$B$10000,'Mar20-Aug20 Transport Actuals'!$C$342,'Data-Transport'!$D$4:$D$10000,'Mar20-Aug20 Transport Actuals'!$F$342,'Data-Transport'!$E$4:$E$10000,'Mar20-Aug20 Transport Actuals'!$H$342,'Data-Transport'!$F$4:$F$10000,'Mar20-Aug20 Transport Actuals'!I$6)/10</f>
        <v>0</v>
      </c>
      <c r="J342" s="471">
        <f>SUMIFS('Data-Transport'!$H$4:$H$10000,'Data-Transport'!$A$4:$A$10000,'Mar20-Aug20 Transport Actuals'!J$4,'Data-Transport'!$B$4:$B$10000,'Mar20-Aug20 Transport Actuals'!$C$342,'Data-Transport'!$D$4:$D$10000,'Mar20-Aug20 Transport Actuals'!$F$342,'Data-Transport'!$E$4:$E$10000,'Mar20-Aug20 Transport Actuals'!$H$342,'Data-Transport'!$F$4:$F$10000,'Mar20-Aug20 Transport Actuals'!J$6)/10</f>
        <v>0</v>
      </c>
      <c r="K342" s="471">
        <f>SUMIFS('Data-Transport'!$H$4:$H$10000,'Data-Transport'!$A$4:$A$10000,'Mar20-Aug20 Transport Actuals'!K$4,'Data-Transport'!$B$4:$B$10000,'Mar20-Aug20 Transport Actuals'!$C$342,'Data-Transport'!$D$4:$D$10000,'Mar20-Aug20 Transport Actuals'!$F$342,'Data-Transport'!$E$4:$E$10000,'Mar20-Aug20 Transport Actuals'!$H$342,'Data-Transport'!$F$4:$F$10000,'Mar20-Aug20 Transport Actuals'!K$6)/10</f>
        <v>0</v>
      </c>
      <c r="L342" s="471">
        <f>SUMIFS('Data-Transport'!$H$4:$H$10000,'Data-Transport'!$A$4:$A$10000,'Mar20-Aug20 Transport Actuals'!L$4,'Data-Transport'!$B$4:$B$10000,'Mar20-Aug20 Transport Actuals'!$C$342,'Data-Transport'!$D$4:$D$10000,'Mar20-Aug20 Transport Actuals'!$F$342,'Data-Transport'!$E$4:$E$10000,'Mar20-Aug20 Transport Actuals'!$H$342,'Data-Transport'!$F$4:$F$10000,'Mar20-Aug20 Transport Actuals'!L$6)/10</f>
        <v>0</v>
      </c>
      <c r="M342" s="471">
        <f>SUMIFS('Data-Transport'!$H$4:$H$10000,'Data-Transport'!$A$4:$A$10000,'Mar20-Aug20 Transport Actuals'!M$4,'Data-Transport'!$B$4:$B$10000,'Mar20-Aug20 Transport Actuals'!$C$342,'Data-Transport'!$D$4:$D$10000,'Mar20-Aug20 Transport Actuals'!$F$342,'Data-Transport'!$E$4:$E$10000,'Mar20-Aug20 Transport Actuals'!$H$342,'Data-Transport'!$F$4:$F$10000,'Mar20-Aug20 Transport Actuals'!M$6)/10</f>
        <v>0</v>
      </c>
      <c r="N342" s="471">
        <f>SUMIFS('Data-Transport'!$H$4:$H$10000,'Data-Transport'!$A$4:$A$10000,'Mar20-Aug20 Transport Actuals'!N$4,'Data-Transport'!$B$4:$B$10000,'Mar20-Aug20 Transport Actuals'!$C$342,'Data-Transport'!$D$4:$D$10000,'Mar20-Aug20 Transport Actuals'!$F$342,'Data-Transport'!$E$4:$E$10000,'Mar20-Aug20 Transport Actuals'!$H$342,'Data-Transport'!$F$4:$F$10000,'Mar20-Aug20 Transport Actuals'!N$6)/10</f>
        <v>0</v>
      </c>
      <c r="O342" s="471">
        <f>SUMIFS('Data-Transport'!$H$4:$H$10000,'Data-Transport'!$A$4:$A$10000,'Mar20-Aug20 Transport Actuals'!O$4,'Data-Transport'!$B$4:$B$10000,'Mar20-Aug20 Transport Actuals'!$C$342,'Data-Transport'!$D$4:$D$10000,'Mar20-Aug20 Transport Actuals'!$F$342,'Data-Transport'!$E$4:$E$10000,'Mar20-Aug20 Transport Actuals'!$H$342,'Data-Transport'!$F$4:$F$10000,'Mar20-Aug20 Transport Actuals'!O$6)/10</f>
        <v>0</v>
      </c>
      <c r="P342" s="871">
        <f t="shared" si="113"/>
        <v>0</v>
      </c>
      <c r="Q342" s="869"/>
      <c r="R342" s="869"/>
    </row>
    <row r="343" spans="3:18" x14ac:dyDescent="0.25">
      <c r="C343" s="169" t="s">
        <v>491</v>
      </c>
      <c r="D343" s="169" t="str">
        <f t="shared" si="119"/>
        <v>882</v>
      </c>
      <c r="E343" s="167" t="str">
        <f>VLOOKUP($C343,'Retail Rates'!$B$7:$P$40,2,FALSE)</f>
        <v>IGS TS-2</v>
      </c>
      <c r="F343" s="169" t="s">
        <v>319</v>
      </c>
      <c r="G343" s="171"/>
      <c r="H343" s="167"/>
      <c r="I343" s="169"/>
      <c r="J343" s="169"/>
      <c r="K343" s="169"/>
      <c r="L343" s="169"/>
      <c r="M343" s="169"/>
      <c r="N343" s="169"/>
      <c r="O343" s="169"/>
      <c r="P343" s="167"/>
      <c r="Q343" s="869"/>
      <c r="R343" s="869"/>
    </row>
    <row r="344" spans="3:18" x14ac:dyDescent="0.25">
      <c r="C344" s="169" t="s">
        <v>491</v>
      </c>
      <c r="D344" s="169" t="str">
        <f t="shared" si="119"/>
        <v>882</v>
      </c>
      <c r="E344" s="167" t="str">
        <f>VLOOKUP($C344,'Retail Rates'!$B$7:$P$40,2,FALSE)</f>
        <v>IGS TS-2</v>
      </c>
      <c r="F344" s="169" t="s">
        <v>319</v>
      </c>
      <c r="G344" s="170" t="s">
        <v>159</v>
      </c>
      <c r="H344" s="167"/>
      <c r="I344" s="477">
        <f>VLOOKUP($C344,'Retail Rates'!$B$7:$P$40,6,FALSE)</f>
        <v>550</v>
      </c>
      <c r="J344" s="477">
        <f>VLOOKUP($C344,'Retail Rates'!$B$7:$P$40,6,FALSE)</f>
        <v>550</v>
      </c>
      <c r="K344" s="477">
        <f>VLOOKUP($C344,'Retail Rates'!$B$7:$P$40,6,FALSE)</f>
        <v>550</v>
      </c>
      <c r="L344" s="477">
        <f>VLOOKUP($C344,'Retail Rates'!$B$7:$P$40,6,FALSE)</f>
        <v>550</v>
      </c>
      <c r="M344" s="477">
        <f>VLOOKUP($C344,'Retail Rates'!$B$7:$P$40,6,FALSE)</f>
        <v>550</v>
      </c>
      <c r="N344" s="477">
        <f>VLOOKUP($C344,'Retail Rates'!$B$7:$P$40,6,FALSE)</f>
        <v>550</v>
      </c>
      <c r="O344" s="477">
        <f>VLOOKUP($C344,'Retail Rates'!$B$7:$P$40,6,FALSE)</f>
        <v>550</v>
      </c>
      <c r="P344" s="167"/>
      <c r="Q344" s="869"/>
      <c r="R344" s="869"/>
    </row>
    <row r="345" spans="3:18" x14ac:dyDescent="0.25">
      <c r="C345" s="169" t="s">
        <v>491</v>
      </c>
      <c r="D345" s="169" t="str">
        <f t="shared" si="119"/>
        <v>882</v>
      </c>
      <c r="E345" s="167" t="str">
        <f>VLOOKUP($C345,'Retail Rates'!$B$7:$P$40,2,FALSE)</f>
        <v>IGS TS-2</v>
      </c>
      <c r="F345" s="169" t="s">
        <v>319</v>
      </c>
      <c r="G345" s="170" t="s">
        <v>289</v>
      </c>
      <c r="H345" s="167"/>
      <c r="I345" s="477">
        <f>VLOOKUP($C345,'Retail Rates'!$B$7:$P$40,5,FALSE)</f>
        <v>24.64</v>
      </c>
      <c r="J345" s="477"/>
      <c r="K345" s="477"/>
      <c r="L345" s="477"/>
      <c r="M345" s="477"/>
      <c r="N345" s="477"/>
      <c r="O345" s="477"/>
      <c r="P345" s="167"/>
      <c r="Q345" s="869"/>
      <c r="R345" s="869"/>
    </row>
    <row r="346" spans="3:18" x14ac:dyDescent="0.25">
      <c r="C346" s="169" t="s">
        <v>491</v>
      </c>
      <c r="D346" s="169" t="str">
        <f t="shared" si="119"/>
        <v>882</v>
      </c>
      <c r="E346" s="167" t="str">
        <f>VLOOKUP($C346,'Retail Rates'!$B$7:$P$40,2,FALSE)</f>
        <v>IGS TS-2</v>
      </c>
      <c r="F346" s="169" t="s">
        <v>319</v>
      </c>
      <c r="G346" s="170" t="s">
        <v>247</v>
      </c>
      <c r="H346" s="167"/>
      <c r="I346" s="477">
        <f>VLOOKUP($C346,'Retail Rates'!$B$7:$P$40,10,FALSE)</f>
        <v>2.1929000000000003</v>
      </c>
      <c r="J346" s="477">
        <f>VLOOKUP($C346,'Retail Rates'!$B$7:$P$40,10,FALSE)</f>
        <v>2.1929000000000003</v>
      </c>
      <c r="K346" s="477">
        <f>VLOOKUP($C346,'Retail Rates'!$B$7:$P$40,10,FALSE)</f>
        <v>2.1929000000000003</v>
      </c>
      <c r="L346" s="477">
        <f>VLOOKUP($C346,'Retail Rates'!$B$7:$P$40,10,FALSE)</f>
        <v>2.1929000000000003</v>
      </c>
      <c r="M346" s="477">
        <f>VLOOKUP($C346,'Retail Rates'!$B$7:$P$40,10,FALSE)</f>
        <v>2.1929000000000003</v>
      </c>
      <c r="N346" s="477">
        <f>VLOOKUP($C346,'Retail Rates'!$B$7:$P$40,10,FALSE)</f>
        <v>2.1929000000000003</v>
      </c>
      <c r="O346" s="477">
        <f>VLOOKUP($C346,'Retail Rates'!$B$7:$P$40,10,FALSE)</f>
        <v>2.1929000000000003</v>
      </c>
      <c r="P346" s="167"/>
      <c r="Q346" s="869"/>
      <c r="R346" s="869"/>
    </row>
    <row r="347" spans="3:18" x14ac:dyDescent="0.25">
      <c r="C347" s="169" t="s">
        <v>491</v>
      </c>
      <c r="D347" s="169" t="str">
        <f t="shared" si="119"/>
        <v>882</v>
      </c>
      <c r="E347" s="167" t="str">
        <f>VLOOKUP($C347,'Retail Rates'!$B$7:$P$40,2,FALSE)</f>
        <v>IGS TS-2</v>
      </c>
      <c r="F347" s="169" t="s">
        <v>319</v>
      </c>
      <c r="G347" s="170" t="s">
        <v>248</v>
      </c>
      <c r="H347" s="167"/>
      <c r="I347" s="477">
        <f>+I346-0.5</f>
        <v>1.6929000000000003</v>
      </c>
      <c r="J347" s="477">
        <f t="shared" ref="J347:O347" si="121">+J346-0.5</f>
        <v>1.6929000000000003</v>
      </c>
      <c r="K347" s="477">
        <f t="shared" si="121"/>
        <v>1.6929000000000003</v>
      </c>
      <c r="L347" s="477">
        <f t="shared" si="121"/>
        <v>1.6929000000000003</v>
      </c>
      <c r="M347" s="477">
        <f t="shared" si="121"/>
        <v>1.6929000000000003</v>
      </c>
      <c r="N347" s="477">
        <f t="shared" si="121"/>
        <v>1.6929000000000003</v>
      </c>
      <c r="O347" s="477">
        <f t="shared" si="121"/>
        <v>1.6929000000000003</v>
      </c>
      <c r="P347" s="167"/>
      <c r="Q347" s="869"/>
      <c r="R347" s="869"/>
    </row>
    <row r="348" spans="3:18" x14ac:dyDescent="0.25">
      <c r="C348" s="169" t="s">
        <v>491</v>
      </c>
      <c r="D348" s="169" t="str">
        <f t="shared" si="119"/>
        <v>882</v>
      </c>
      <c r="E348" s="167" t="str">
        <f>VLOOKUP($C348,'Retail Rates'!$B$7:$P$40,2,FALSE)</f>
        <v>IGS TS-2</v>
      </c>
      <c r="F348" s="169" t="s">
        <v>319</v>
      </c>
      <c r="G348" s="172" t="s">
        <v>162</v>
      </c>
      <c r="H348" s="167"/>
      <c r="I348" s="169"/>
      <c r="J348" s="169"/>
      <c r="K348" s="169"/>
      <c r="L348" s="169"/>
      <c r="M348" s="169"/>
      <c r="N348" s="169"/>
      <c r="O348" s="169"/>
      <c r="P348" s="167"/>
      <c r="Q348" s="869"/>
      <c r="R348" s="869"/>
    </row>
    <row r="349" spans="3:18" x14ac:dyDescent="0.25">
      <c r="C349" s="169" t="s">
        <v>491</v>
      </c>
      <c r="D349" s="169" t="str">
        <f t="shared" si="119"/>
        <v>882</v>
      </c>
      <c r="E349" s="167" t="str">
        <f>VLOOKUP($C349,'Retail Rates'!$B$7:$P$40,2,FALSE)</f>
        <v>IGS TS-2</v>
      </c>
      <c r="F349" s="169" t="s">
        <v>319</v>
      </c>
      <c r="G349" s="170" t="s">
        <v>159</v>
      </c>
      <c r="H349" s="156" t="s">
        <v>268</v>
      </c>
      <c r="I349" s="459">
        <f>SUMIFS('Data-Transport'!$K$4:$K$10000,'Data-Transport'!$A$4:$A$10000,'Mar20-Aug20 Transport Actuals'!I$4,'Data-Transport'!$B$4:$B$10000,'Mar20-Aug20 Transport Actuals'!$C$349,'Data-Transport'!$D$4:$D$10000,'Mar20-Aug20 Transport Actuals'!$F$349,'Data-Transport'!$E$4:$E$10000,'Mar20-Aug20 Transport Actuals'!$H$349,'Data-Transport'!$F$4:$F$10000,'Mar20-Aug20 Transport Actuals'!I$6)</f>
        <v>0</v>
      </c>
      <c r="J349" s="459">
        <f>SUMIFS('Data-Transport'!$K$4:$K$10000,'Data-Transport'!$A$4:$A$10000,'Mar20-Aug20 Transport Actuals'!J$4,'Data-Transport'!$B$4:$B$10000,'Mar20-Aug20 Transport Actuals'!$C$349,'Data-Transport'!$D$4:$D$10000,'Mar20-Aug20 Transport Actuals'!$F$349,'Data-Transport'!$E$4:$E$10000,'Mar20-Aug20 Transport Actuals'!$H$349,'Data-Transport'!$F$4:$F$10000,'Mar20-Aug20 Transport Actuals'!J$6)</f>
        <v>0</v>
      </c>
      <c r="K349" s="459">
        <f>SUMIFS('Data-Transport'!$K$4:$K$10000,'Data-Transport'!$A$4:$A$10000,'Mar20-Aug20 Transport Actuals'!K$4,'Data-Transport'!$B$4:$B$10000,'Mar20-Aug20 Transport Actuals'!$C$349,'Data-Transport'!$D$4:$D$10000,'Mar20-Aug20 Transport Actuals'!$F$349,'Data-Transport'!$E$4:$E$10000,'Mar20-Aug20 Transport Actuals'!$H$349,'Data-Transport'!$F$4:$F$10000,'Mar20-Aug20 Transport Actuals'!K$6)</f>
        <v>0</v>
      </c>
      <c r="L349" s="459">
        <f>SUMIFS('Data-Transport'!$K$4:$K$10000,'Data-Transport'!$A$4:$A$10000,'Mar20-Aug20 Transport Actuals'!L$4,'Data-Transport'!$B$4:$B$10000,'Mar20-Aug20 Transport Actuals'!$C$349,'Data-Transport'!$D$4:$D$10000,'Mar20-Aug20 Transport Actuals'!$F$349,'Data-Transport'!$E$4:$E$10000,'Mar20-Aug20 Transport Actuals'!$H$349,'Data-Transport'!$F$4:$F$10000,'Mar20-Aug20 Transport Actuals'!L$6)</f>
        <v>0</v>
      </c>
      <c r="M349" s="459">
        <f>SUMIFS('Data-Transport'!$K$4:$K$10000,'Data-Transport'!$A$4:$A$10000,'Mar20-Aug20 Transport Actuals'!M$4,'Data-Transport'!$B$4:$B$10000,'Mar20-Aug20 Transport Actuals'!$C$349,'Data-Transport'!$D$4:$D$10000,'Mar20-Aug20 Transport Actuals'!$F$349,'Data-Transport'!$E$4:$E$10000,'Mar20-Aug20 Transport Actuals'!$H$349,'Data-Transport'!$F$4:$F$10000,'Mar20-Aug20 Transport Actuals'!M$6)</f>
        <v>0</v>
      </c>
      <c r="N349" s="459">
        <f>SUMIFS('Data-Transport'!$K$4:$K$10000,'Data-Transport'!$A$4:$A$10000,'Mar20-Aug20 Transport Actuals'!N$4,'Data-Transport'!$B$4:$B$10000,'Mar20-Aug20 Transport Actuals'!$C$349,'Data-Transport'!$D$4:$D$10000,'Mar20-Aug20 Transport Actuals'!$F$349,'Data-Transport'!$E$4:$E$10000,'Mar20-Aug20 Transport Actuals'!$H$349,'Data-Transport'!$F$4:$F$10000,'Mar20-Aug20 Transport Actuals'!N$6)</f>
        <v>0</v>
      </c>
      <c r="O349" s="459">
        <f>SUMIFS('Data-Transport'!$K$4:$K$10000,'Data-Transport'!$A$4:$A$10000,'Mar20-Aug20 Transport Actuals'!O$4,'Data-Transport'!$B$4:$B$10000,'Mar20-Aug20 Transport Actuals'!$C$349,'Data-Transport'!$D$4:$D$10000,'Mar20-Aug20 Transport Actuals'!$F$349,'Data-Transport'!$E$4:$E$10000,'Mar20-Aug20 Transport Actuals'!$H$349,'Data-Transport'!$F$4:$F$10000,'Mar20-Aug20 Transport Actuals'!O$6)</f>
        <v>0</v>
      </c>
      <c r="P349" s="871">
        <f>SUM(I349:N349)</f>
        <v>0</v>
      </c>
      <c r="Q349" s="869"/>
      <c r="R349" s="869"/>
    </row>
    <row r="350" spans="3:18" x14ac:dyDescent="0.25">
      <c r="C350" s="169" t="s">
        <v>491</v>
      </c>
      <c r="D350" s="169" t="str">
        <f t="shared" si="119"/>
        <v>882</v>
      </c>
      <c r="E350" s="167" t="str">
        <f>VLOOKUP($C350,'Retail Rates'!$B$7:$P$40,2,FALSE)</f>
        <v>IGS TS-2</v>
      </c>
      <c r="F350" s="169" t="s">
        <v>319</v>
      </c>
      <c r="G350" s="170" t="s">
        <v>289</v>
      </c>
      <c r="H350" s="156" t="s">
        <v>272</v>
      </c>
      <c r="I350" s="459">
        <f>SUMIFS('Data-Transport'!$K$4:$K$10000,'Data-Transport'!$A$4:$A$10000,'Mar20-Aug20 Transport Actuals'!I$4,'Data-Transport'!$B$4:$B$10000,'Mar20-Aug20 Transport Actuals'!$C$350,'Data-Transport'!$D$4:$D$10000,'Mar20-Aug20 Transport Actuals'!$F$350,'Data-Transport'!$E$4:$E$10000,'Mar20-Aug20 Transport Actuals'!$H$350,'Data-Transport'!$F$4:$F$10000,'Mar20-Aug20 Transport Actuals'!I$6)</f>
        <v>0</v>
      </c>
      <c r="J350" s="459"/>
      <c r="K350" s="459"/>
      <c r="L350" s="459"/>
      <c r="M350" s="459"/>
      <c r="N350" s="459"/>
      <c r="O350" s="459"/>
      <c r="P350" s="871">
        <f t="shared" ref="P350:P359" si="122">SUM(I350:N350)</f>
        <v>0</v>
      </c>
      <c r="Q350" s="869"/>
      <c r="R350" s="869"/>
    </row>
    <row r="351" spans="3:18" x14ac:dyDescent="0.25">
      <c r="C351" s="169" t="s">
        <v>491</v>
      </c>
      <c r="D351" s="169" t="str">
        <f t="shared" si="119"/>
        <v>882</v>
      </c>
      <c r="E351" s="167" t="str">
        <f>VLOOKUP($C351,'Retail Rates'!$B$7:$P$40,2,FALSE)</f>
        <v>IGS TS-2</v>
      </c>
      <c r="F351" s="169" t="s">
        <v>319</v>
      </c>
      <c r="G351" s="170" t="s">
        <v>249</v>
      </c>
      <c r="H351" s="167"/>
      <c r="I351" s="466">
        <f t="shared" ref="I351:O351" si="123">I340*I346</f>
        <v>0</v>
      </c>
      <c r="J351" s="466">
        <f t="shared" si="123"/>
        <v>0</v>
      </c>
      <c r="K351" s="466">
        <f t="shared" si="123"/>
        <v>0</v>
      </c>
      <c r="L351" s="466">
        <f t="shared" si="123"/>
        <v>0</v>
      </c>
      <c r="M351" s="466">
        <f t="shared" si="123"/>
        <v>0</v>
      </c>
      <c r="N351" s="466">
        <f t="shared" si="123"/>
        <v>0</v>
      </c>
      <c r="O351" s="466">
        <f t="shared" si="123"/>
        <v>0</v>
      </c>
      <c r="P351" s="871">
        <f t="shared" si="122"/>
        <v>0</v>
      </c>
      <c r="Q351" s="869"/>
      <c r="R351" s="869"/>
    </row>
    <row r="352" spans="3:18" x14ac:dyDescent="0.25">
      <c r="C352" s="169" t="s">
        <v>491</v>
      </c>
      <c r="D352" s="169" t="str">
        <f t="shared" si="119"/>
        <v>882</v>
      </c>
      <c r="E352" s="167" t="str">
        <f>VLOOKUP($C352,'Retail Rates'!$B$7:$P$40,2,FALSE)</f>
        <v>IGS TS-2</v>
      </c>
      <c r="F352" s="169" t="s">
        <v>319</v>
      </c>
      <c r="G352" s="170" t="s">
        <v>250</v>
      </c>
      <c r="H352" s="167"/>
      <c r="I352" s="464">
        <f>I341*I346</f>
        <v>0</v>
      </c>
      <c r="J352" s="464">
        <f>J341*J346</f>
        <v>0</v>
      </c>
      <c r="K352" s="464">
        <f>K341*K346</f>
        <v>0</v>
      </c>
      <c r="L352" s="464">
        <f>L341*L346</f>
        <v>0</v>
      </c>
      <c r="M352" s="464">
        <f>M341*M347</f>
        <v>0</v>
      </c>
      <c r="N352" s="464">
        <f>N341*N347</f>
        <v>0</v>
      </c>
      <c r="O352" s="464">
        <f>O341*O347</f>
        <v>0</v>
      </c>
      <c r="P352" s="871">
        <f t="shared" si="122"/>
        <v>0</v>
      </c>
      <c r="Q352" s="869"/>
      <c r="R352" s="869"/>
    </row>
    <row r="353" spans="3:18" x14ac:dyDescent="0.25">
      <c r="C353" s="169" t="s">
        <v>491</v>
      </c>
      <c r="D353" s="169" t="str">
        <f t="shared" si="119"/>
        <v>882</v>
      </c>
      <c r="E353" s="167" t="str">
        <f>VLOOKUP($C353,'Retail Rates'!$B$7:$P$40,2,FALSE)</f>
        <v>IGS TS-2</v>
      </c>
      <c r="F353" s="169" t="s">
        <v>319</v>
      </c>
      <c r="G353" s="170" t="s">
        <v>165</v>
      </c>
      <c r="H353" s="167"/>
      <c r="I353" s="466">
        <f t="shared" ref="I353:O353" si="124">SUM(I349:I352)</f>
        <v>0</v>
      </c>
      <c r="J353" s="466">
        <f t="shared" si="124"/>
        <v>0</v>
      </c>
      <c r="K353" s="466">
        <f t="shared" si="124"/>
        <v>0</v>
      </c>
      <c r="L353" s="466">
        <f t="shared" si="124"/>
        <v>0</v>
      </c>
      <c r="M353" s="466">
        <f t="shared" si="124"/>
        <v>0</v>
      </c>
      <c r="N353" s="466">
        <f t="shared" si="124"/>
        <v>0</v>
      </c>
      <c r="O353" s="466">
        <f t="shared" si="124"/>
        <v>0</v>
      </c>
      <c r="P353" s="871">
        <f t="shared" si="122"/>
        <v>0</v>
      </c>
      <c r="Q353" s="869"/>
      <c r="R353" s="869"/>
    </row>
    <row r="354" spans="3:18" ht="15.75" customHeight="1" x14ac:dyDescent="0.25">
      <c r="C354" s="169" t="s">
        <v>491</v>
      </c>
      <c r="D354" s="169" t="str">
        <f t="shared" si="119"/>
        <v>882</v>
      </c>
      <c r="E354" s="167" t="str">
        <f>VLOOKUP($C354,'Retail Rates'!$B$7:$P$40,2,FALSE)</f>
        <v>IGS TS-2</v>
      </c>
      <c r="F354" s="169" t="s">
        <v>319</v>
      </c>
      <c r="G354" s="170" t="s">
        <v>352</v>
      </c>
      <c r="H354" s="476" t="s">
        <v>109</v>
      </c>
      <c r="I354" s="459">
        <f>SUMIFS('Data-Transport'!$Q$4:$Q$10000,'Data-Transport'!$A$4:$A$10000,'Mar20-Aug20 Transport Actuals'!I$4,'Data-Transport'!$B$4:$B$10000,'Mar20-Aug20 Transport Actuals'!$C$354,'Data-Transport'!$D$4:$D$10000,'Mar20-Aug20 Transport Actuals'!$F$354,'Data-Transport'!$E$4:$E$10000,'Mar20-Aug20 Transport Actuals'!$H$354,'Data-Transport'!$F$4:$F$10000,'Mar20-Aug20 Transport Actuals'!I$6)</f>
        <v>0</v>
      </c>
      <c r="J354" s="459">
        <f>SUMIFS('Data-Transport'!$Q$4:$Q$10000,'Data-Transport'!$A$4:$A$10000,'Mar20-Aug20 Transport Actuals'!J$4,'Data-Transport'!$B$4:$B$10000,'Mar20-Aug20 Transport Actuals'!$C$354,'Data-Transport'!$D$4:$D$10000,'Mar20-Aug20 Transport Actuals'!$F$354,'Data-Transport'!$E$4:$E$10000,'Mar20-Aug20 Transport Actuals'!$H$354,'Data-Transport'!$F$4:$F$10000,'Mar20-Aug20 Transport Actuals'!J$6)</f>
        <v>0</v>
      </c>
      <c r="K354" s="459">
        <f>SUMIFS('Data-Transport'!$Q$4:$Q$10000,'Data-Transport'!$A$4:$A$10000,'Mar20-Aug20 Transport Actuals'!K$4,'Data-Transport'!$B$4:$B$10000,'Mar20-Aug20 Transport Actuals'!$C$354,'Data-Transport'!$D$4:$D$10000,'Mar20-Aug20 Transport Actuals'!$F$354,'Data-Transport'!$E$4:$E$10000,'Mar20-Aug20 Transport Actuals'!$H$354,'Data-Transport'!$F$4:$F$10000,'Mar20-Aug20 Transport Actuals'!K$6)</f>
        <v>0</v>
      </c>
      <c r="L354" s="459">
        <f>SUMIFS('Data-Transport'!$Q$4:$Q$10000,'Data-Transport'!$A$4:$A$10000,'Mar20-Aug20 Transport Actuals'!L$4,'Data-Transport'!$B$4:$B$10000,'Mar20-Aug20 Transport Actuals'!$C$354,'Data-Transport'!$D$4:$D$10000,'Mar20-Aug20 Transport Actuals'!$F$354,'Data-Transport'!$E$4:$E$10000,'Mar20-Aug20 Transport Actuals'!$H$354,'Data-Transport'!$F$4:$F$10000,'Mar20-Aug20 Transport Actuals'!L$6)</f>
        <v>0</v>
      </c>
      <c r="M354" s="459">
        <f>SUMIFS('Data-Transport'!$Q$4:$Q$10000,'Data-Transport'!$A$4:$A$10000,'Mar20-Aug20 Transport Actuals'!M$4,'Data-Transport'!$B$4:$B$10000,'Mar20-Aug20 Transport Actuals'!$C$354,'Data-Transport'!$D$4:$D$10000,'Mar20-Aug20 Transport Actuals'!$F$354,'Data-Transport'!$E$4:$E$10000,'Mar20-Aug20 Transport Actuals'!$H$354,'Data-Transport'!$F$4:$F$10000,'Mar20-Aug20 Transport Actuals'!M$6)</f>
        <v>0</v>
      </c>
      <c r="N354" s="459">
        <f>SUMIFS('Data-Transport'!$Q$4:$Q$10000,'Data-Transport'!$A$4:$A$10000,'Mar20-Aug20 Transport Actuals'!N$4,'Data-Transport'!$B$4:$B$10000,'Mar20-Aug20 Transport Actuals'!$C$354,'Data-Transport'!$D$4:$D$10000,'Mar20-Aug20 Transport Actuals'!$F$354,'Data-Transport'!$E$4:$E$10000,'Mar20-Aug20 Transport Actuals'!$H$354,'Data-Transport'!$F$4:$F$10000,'Mar20-Aug20 Transport Actuals'!N$6)</f>
        <v>0</v>
      </c>
      <c r="O354" s="459">
        <f>SUMIFS('Data-Transport'!$Q$4:$Q$10000,'Data-Transport'!$A$4:$A$10000,'Mar20-Aug20 Transport Actuals'!O$4,'Data-Transport'!$B$4:$B$10000,'Mar20-Aug20 Transport Actuals'!$C$354,'Data-Transport'!$D$4:$D$10000,'Mar20-Aug20 Transport Actuals'!$F$354,'Data-Transport'!$E$4:$E$10000,'Mar20-Aug20 Transport Actuals'!$H$354,'Data-Transport'!$F$4:$F$10000,'Mar20-Aug20 Transport Actuals'!O$6)</f>
        <v>0</v>
      </c>
      <c r="P354" s="871">
        <f t="shared" si="122"/>
        <v>0</v>
      </c>
      <c r="Q354" s="869"/>
      <c r="R354" s="869"/>
    </row>
    <row r="355" spans="3:18" x14ac:dyDescent="0.25">
      <c r="C355" s="169" t="s">
        <v>491</v>
      </c>
      <c r="D355" s="169" t="str">
        <f t="shared" si="119"/>
        <v>882</v>
      </c>
      <c r="E355" s="167" t="str">
        <f>VLOOKUP($C355,'Retail Rates'!$B$7:$P$40,2,FALSE)</f>
        <v>IGS TS-2</v>
      </c>
      <c r="F355" s="169" t="s">
        <v>319</v>
      </c>
      <c r="G355" s="170" t="s">
        <v>148</v>
      </c>
      <c r="H355" s="476" t="s">
        <v>273</v>
      </c>
      <c r="I355" s="459">
        <f>SUMIFS('Data-Transport'!$Y$4:$Y$10000,'Data-Transport'!$A$4:$A$10000,'Mar20-Aug20 Transport Actuals'!I$4,'Data-Transport'!$B$4:$B$10000,'Mar20-Aug20 Transport Actuals'!$C$355,'Data-Transport'!$D$4:$D$10000,'Mar20-Aug20 Transport Actuals'!$F$355,'Data-Transport'!$E$4:$E$10000,'Mar20-Aug20 Transport Actuals'!$H$355,'Data-Transport'!$F$4:$F$10000,'Mar20-Aug20 Transport Actuals'!I$6)</f>
        <v>0</v>
      </c>
      <c r="J355" s="459">
        <f>SUMIFS('Data-Transport'!$Y$4:$Y$10000,'Data-Transport'!$A$4:$A$10000,'Mar20-Aug20 Transport Actuals'!J$4,'Data-Transport'!$B$4:$B$10000,'Mar20-Aug20 Transport Actuals'!$C$355,'Data-Transport'!$D$4:$D$10000,'Mar20-Aug20 Transport Actuals'!$F$355,'Data-Transport'!$E$4:$E$10000,'Mar20-Aug20 Transport Actuals'!$H$355,'Data-Transport'!$F$4:$F$10000,'Mar20-Aug20 Transport Actuals'!J$6)</f>
        <v>0</v>
      </c>
      <c r="K355" s="459">
        <f>SUMIFS('Data-Transport'!$Y$4:$Y$10000,'Data-Transport'!$A$4:$A$10000,'Mar20-Aug20 Transport Actuals'!K$4,'Data-Transport'!$B$4:$B$10000,'Mar20-Aug20 Transport Actuals'!$C$355,'Data-Transport'!$D$4:$D$10000,'Mar20-Aug20 Transport Actuals'!$F$355,'Data-Transport'!$E$4:$E$10000,'Mar20-Aug20 Transport Actuals'!$H$355,'Data-Transport'!$F$4:$F$10000,'Mar20-Aug20 Transport Actuals'!K$6)</f>
        <v>0</v>
      </c>
      <c r="L355" s="459">
        <f>SUMIFS('Data-Transport'!$Y$4:$Y$10000,'Data-Transport'!$A$4:$A$10000,'Mar20-Aug20 Transport Actuals'!L$4,'Data-Transport'!$B$4:$B$10000,'Mar20-Aug20 Transport Actuals'!$C$355,'Data-Transport'!$D$4:$D$10000,'Mar20-Aug20 Transport Actuals'!$F$355,'Data-Transport'!$E$4:$E$10000,'Mar20-Aug20 Transport Actuals'!$H$355,'Data-Transport'!$F$4:$F$10000,'Mar20-Aug20 Transport Actuals'!L$6)</f>
        <v>0</v>
      </c>
      <c r="M355" s="459">
        <f>SUMIFS('Data-Transport'!$Y$4:$Y$10000,'Data-Transport'!$A$4:$A$10000,'Mar20-Aug20 Transport Actuals'!M$4,'Data-Transport'!$B$4:$B$10000,'Mar20-Aug20 Transport Actuals'!$C$355,'Data-Transport'!$D$4:$D$10000,'Mar20-Aug20 Transport Actuals'!$F$355,'Data-Transport'!$E$4:$E$10000,'Mar20-Aug20 Transport Actuals'!$H$355,'Data-Transport'!$F$4:$F$10000,'Mar20-Aug20 Transport Actuals'!M$6)</f>
        <v>0</v>
      </c>
      <c r="N355" s="459">
        <f>SUMIFS('Data-Transport'!$Y$4:$Y$10000,'Data-Transport'!$A$4:$A$10000,'Mar20-Aug20 Transport Actuals'!N$4,'Data-Transport'!$B$4:$B$10000,'Mar20-Aug20 Transport Actuals'!$C$355,'Data-Transport'!$D$4:$D$10000,'Mar20-Aug20 Transport Actuals'!$F$355,'Data-Transport'!$E$4:$E$10000,'Mar20-Aug20 Transport Actuals'!$H$355,'Data-Transport'!$F$4:$F$10000,'Mar20-Aug20 Transport Actuals'!N$6)</f>
        <v>0</v>
      </c>
      <c r="O355" s="459">
        <f>SUMIFS('Data-Transport'!$Y$4:$Y$10000,'Data-Transport'!$A$4:$A$10000,'Mar20-Aug20 Transport Actuals'!O$4,'Data-Transport'!$B$4:$B$10000,'Mar20-Aug20 Transport Actuals'!$C$355,'Data-Transport'!$D$4:$D$10000,'Mar20-Aug20 Transport Actuals'!$F$355,'Data-Transport'!$E$4:$E$10000,'Mar20-Aug20 Transport Actuals'!$H$355,'Data-Transport'!$F$4:$F$10000,'Mar20-Aug20 Transport Actuals'!O$6)</f>
        <v>0</v>
      </c>
      <c r="P355" s="871">
        <f t="shared" si="122"/>
        <v>0</v>
      </c>
      <c r="Q355" s="869"/>
      <c r="R355" s="869"/>
    </row>
    <row r="356" spans="3:18" x14ac:dyDescent="0.25">
      <c r="C356" s="169" t="s">
        <v>491</v>
      </c>
      <c r="D356" s="169" t="str">
        <f>MID(C356,6,3)</f>
        <v>882</v>
      </c>
      <c r="E356" s="167" t="str">
        <f>VLOOKUP($C356,'Retail Rates'!$B$7:$P$40,2,FALSE)</f>
        <v>IGS TS-2</v>
      </c>
      <c r="F356" s="169" t="s">
        <v>319</v>
      </c>
      <c r="G356" s="170" t="s">
        <v>622</v>
      </c>
      <c r="H356" s="476" t="s">
        <v>620</v>
      </c>
      <c r="I356" s="459">
        <f>SUMIFS('Data-Transport'!$Z$4:$Z$10000,'Data-Transport'!$A$4:$A$10000,'Mar20-Aug20 Transport Actuals'!I$4,'Data-Transport'!$B$4:$B$10000,'Mar20-Aug20 Transport Actuals'!$C$356,'Data-Transport'!$D$4:$D$10000,'Mar20-Aug20 Transport Actuals'!$F$356,'Data-Transport'!$E$4:$E$10000,'Mar20-Aug20 Transport Actuals'!$H$356,'Data-Transport'!$F$4:$F$10000,'Mar20-Aug20 Transport Actuals'!I$6)</f>
        <v>0</v>
      </c>
      <c r="J356" s="459">
        <f>SUMIFS('Data-Transport'!$Z$4:$Z$10000,'Data-Transport'!$A$4:$A$10000,'Mar20-Aug20 Transport Actuals'!J$4,'Data-Transport'!$B$4:$B$10000,'Mar20-Aug20 Transport Actuals'!$C$356,'Data-Transport'!$D$4:$D$10000,'Mar20-Aug20 Transport Actuals'!$F$356,'Data-Transport'!$E$4:$E$10000,'Mar20-Aug20 Transport Actuals'!$H$356,'Data-Transport'!$F$4:$F$10000,'Mar20-Aug20 Transport Actuals'!J$6)</f>
        <v>0</v>
      </c>
      <c r="K356" s="459">
        <f>SUMIFS('Data-Transport'!$Z$4:$Z$10000,'Data-Transport'!$A$4:$A$10000,'Mar20-Aug20 Transport Actuals'!K$4,'Data-Transport'!$B$4:$B$10000,'Mar20-Aug20 Transport Actuals'!$C$356,'Data-Transport'!$D$4:$D$10000,'Mar20-Aug20 Transport Actuals'!$F$356,'Data-Transport'!$E$4:$E$10000,'Mar20-Aug20 Transport Actuals'!$H$356,'Data-Transport'!$F$4:$F$10000,'Mar20-Aug20 Transport Actuals'!K$6)</f>
        <v>0</v>
      </c>
      <c r="L356" s="459">
        <f>SUMIFS('Data-Transport'!$Z$4:$Z$10000,'Data-Transport'!$A$4:$A$10000,'Mar20-Aug20 Transport Actuals'!L$4,'Data-Transport'!$B$4:$B$10000,'Mar20-Aug20 Transport Actuals'!$C$356,'Data-Transport'!$D$4:$D$10000,'Mar20-Aug20 Transport Actuals'!$F$356,'Data-Transport'!$E$4:$E$10000,'Mar20-Aug20 Transport Actuals'!$H$356,'Data-Transport'!$F$4:$F$10000,'Mar20-Aug20 Transport Actuals'!L$6)</f>
        <v>0</v>
      </c>
      <c r="M356" s="459">
        <f>SUMIFS('Data-Transport'!$Z$4:$Z$10000,'Data-Transport'!$A$4:$A$10000,'Mar20-Aug20 Transport Actuals'!M$4,'Data-Transport'!$B$4:$B$10000,'Mar20-Aug20 Transport Actuals'!$C$356,'Data-Transport'!$D$4:$D$10000,'Mar20-Aug20 Transport Actuals'!$F$356,'Data-Transport'!$E$4:$E$10000,'Mar20-Aug20 Transport Actuals'!$H$356,'Data-Transport'!$F$4:$F$10000,'Mar20-Aug20 Transport Actuals'!M$6)</f>
        <v>0</v>
      </c>
      <c r="N356" s="459">
        <f>SUMIFS('Data-Transport'!$Z$4:$Z$10000,'Data-Transport'!$A$4:$A$10000,'Mar20-Aug20 Transport Actuals'!N$4,'Data-Transport'!$B$4:$B$10000,'Mar20-Aug20 Transport Actuals'!$C$356,'Data-Transport'!$D$4:$D$10000,'Mar20-Aug20 Transport Actuals'!$F$356,'Data-Transport'!$E$4:$E$10000,'Mar20-Aug20 Transport Actuals'!$H$356,'Data-Transport'!$F$4:$F$10000,'Mar20-Aug20 Transport Actuals'!N$6)</f>
        <v>0</v>
      </c>
      <c r="O356" s="459">
        <f>SUMIFS('Data-Transport'!$Z$4:$Z$10000,'Data-Transport'!$A$4:$A$10000,'Mar20-Aug20 Transport Actuals'!O$4,'Data-Transport'!$B$4:$B$10000,'Mar20-Aug20 Transport Actuals'!$C$356,'Data-Transport'!$D$4:$D$10000,'Mar20-Aug20 Transport Actuals'!$F$356,'Data-Transport'!$E$4:$E$10000,'Mar20-Aug20 Transport Actuals'!$H$356,'Data-Transport'!$F$4:$F$10000,'Mar20-Aug20 Transport Actuals'!O$6)</f>
        <v>0</v>
      </c>
      <c r="P356" s="871">
        <f t="shared" si="122"/>
        <v>0</v>
      </c>
      <c r="Q356" s="869"/>
      <c r="R356" s="869"/>
    </row>
    <row r="357" spans="3:18" x14ac:dyDescent="0.25">
      <c r="C357" s="169" t="s">
        <v>491</v>
      </c>
      <c r="D357" s="169" t="str">
        <f>MID(C357,6,3)</f>
        <v>882</v>
      </c>
      <c r="E357" s="167" t="str">
        <f>VLOOKUP($C357,'Retail Rates'!$B$7:$P$40,2,FALSE)</f>
        <v>IGS TS-2</v>
      </c>
      <c r="F357" s="169" t="s">
        <v>319</v>
      </c>
      <c r="G357" s="170" t="s">
        <v>623</v>
      </c>
      <c r="H357" s="476" t="s">
        <v>621</v>
      </c>
      <c r="I357" s="459">
        <f>SUMIFS('Data-Transport'!$AA$4:$AA$10000,'Data-Transport'!$A$4:$A$10000,'Mar20-Aug20 Transport Actuals'!I$4,'Data-Transport'!$B$4:$B$10000,'Mar20-Aug20 Transport Actuals'!$C$357,'Data-Transport'!$D$4:$D$10000,'Mar20-Aug20 Transport Actuals'!$F$357,'Data-Transport'!$E$4:$E$10000,'Mar20-Aug20 Transport Actuals'!$H$357,'Data-Transport'!$F$4:$F$10000,'Mar20-Aug20 Transport Actuals'!I$6)</f>
        <v>0</v>
      </c>
      <c r="J357" s="459">
        <f>SUMIFS('Data-Transport'!$AA$4:$AA$10000,'Data-Transport'!$A$4:$A$10000,'Mar20-Aug20 Transport Actuals'!J$4,'Data-Transport'!$B$4:$B$10000,'Mar20-Aug20 Transport Actuals'!$C$357,'Data-Transport'!$D$4:$D$10000,'Mar20-Aug20 Transport Actuals'!$F$357,'Data-Transport'!$E$4:$E$10000,'Mar20-Aug20 Transport Actuals'!$H$357,'Data-Transport'!$F$4:$F$10000,'Mar20-Aug20 Transport Actuals'!J$6)</f>
        <v>0</v>
      </c>
      <c r="K357" s="459">
        <f>SUMIFS('Data-Transport'!$AA$4:$AA$10000,'Data-Transport'!$A$4:$A$10000,'Mar20-Aug20 Transport Actuals'!K$4,'Data-Transport'!$B$4:$B$10000,'Mar20-Aug20 Transport Actuals'!$C$357,'Data-Transport'!$D$4:$D$10000,'Mar20-Aug20 Transport Actuals'!$F$357,'Data-Transport'!$E$4:$E$10000,'Mar20-Aug20 Transport Actuals'!$H$357,'Data-Transport'!$F$4:$F$10000,'Mar20-Aug20 Transport Actuals'!K$6)</f>
        <v>0</v>
      </c>
      <c r="L357" s="459">
        <f>SUMIFS('Data-Transport'!$AA$4:$AA$10000,'Data-Transport'!$A$4:$A$10000,'Mar20-Aug20 Transport Actuals'!L$4,'Data-Transport'!$B$4:$B$10000,'Mar20-Aug20 Transport Actuals'!$C$357,'Data-Transport'!$D$4:$D$10000,'Mar20-Aug20 Transport Actuals'!$F$357,'Data-Transport'!$E$4:$E$10000,'Mar20-Aug20 Transport Actuals'!$H$357,'Data-Transport'!$F$4:$F$10000,'Mar20-Aug20 Transport Actuals'!L$6)</f>
        <v>0</v>
      </c>
      <c r="M357" s="459">
        <f>SUMIFS('Data-Transport'!$AA$4:$AA$10000,'Data-Transport'!$A$4:$A$10000,'Mar20-Aug20 Transport Actuals'!M$4,'Data-Transport'!$B$4:$B$10000,'Mar20-Aug20 Transport Actuals'!$C$357,'Data-Transport'!$D$4:$D$10000,'Mar20-Aug20 Transport Actuals'!$F$357,'Data-Transport'!$E$4:$E$10000,'Mar20-Aug20 Transport Actuals'!$H$357,'Data-Transport'!$F$4:$F$10000,'Mar20-Aug20 Transport Actuals'!M$6)</f>
        <v>0</v>
      </c>
      <c r="N357" s="459">
        <f>SUMIFS('Data-Transport'!$AA$4:$AA$10000,'Data-Transport'!$A$4:$A$10000,'Mar20-Aug20 Transport Actuals'!N$4,'Data-Transport'!$B$4:$B$10000,'Mar20-Aug20 Transport Actuals'!$C$357,'Data-Transport'!$D$4:$D$10000,'Mar20-Aug20 Transport Actuals'!$F$357,'Data-Transport'!$E$4:$E$10000,'Mar20-Aug20 Transport Actuals'!$H$357,'Data-Transport'!$F$4:$F$10000,'Mar20-Aug20 Transport Actuals'!N$6)</f>
        <v>0</v>
      </c>
      <c r="O357" s="459">
        <f>SUMIFS('Data-Transport'!$AA$4:$AA$10000,'Data-Transport'!$A$4:$A$10000,'Mar20-Aug20 Transport Actuals'!O$4,'Data-Transport'!$B$4:$B$10000,'Mar20-Aug20 Transport Actuals'!$C$357,'Data-Transport'!$D$4:$D$10000,'Mar20-Aug20 Transport Actuals'!$F$357,'Data-Transport'!$E$4:$E$10000,'Mar20-Aug20 Transport Actuals'!$H$357,'Data-Transport'!$F$4:$F$10000,'Mar20-Aug20 Transport Actuals'!O$6)</f>
        <v>0</v>
      </c>
      <c r="P357" s="871">
        <f t="shared" si="122"/>
        <v>0</v>
      </c>
      <c r="Q357" s="869"/>
      <c r="R357" s="869"/>
    </row>
    <row r="358" spans="3:18" x14ac:dyDescent="0.25">
      <c r="C358" s="169" t="s">
        <v>491</v>
      </c>
      <c r="D358" s="169" t="str">
        <f>MID(C358,6,3)</f>
        <v>882</v>
      </c>
      <c r="E358" s="167" t="str">
        <f>VLOOKUP($C358,'Retail Rates'!$B$7:$P$40,2,FALSE)</f>
        <v>IGS TS-2</v>
      </c>
      <c r="F358" s="169" t="s">
        <v>319</v>
      </c>
      <c r="G358" s="170" t="s">
        <v>454</v>
      </c>
      <c r="H358" s="476" t="s">
        <v>357</v>
      </c>
      <c r="I358" s="472">
        <f>SUMIFS('Data-Transport'!$S$4:$S$10000,'Data-Transport'!$A$4:$A$10000,'Mar20-Aug20 Transport Actuals'!I$4,'Data-Transport'!$B$4:$B$10000,'Mar20-Aug20 Transport Actuals'!$C$358,'Data-Transport'!$D$4:$D$10000,'Mar20-Aug20 Transport Actuals'!$F$358,'Data-Transport'!$E$4:$E$10000,'Mar20-Aug20 Transport Actuals'!$H$358,'Data-Transport'!$F$4:$F$10000,'Mar20-Aug20 Transport Actuals'!I$6)</f>
        <v>0</v>
      </c>
      <c r="J358" s="472">
        <f>SUMIFS('Data-Transport'!$S$4:$S$10000,'Data-Transport'!$A$4:$A$10000,'Mar20-Aug20 Transport Actuals'!J$4,'Data-Transport'!$B$4:$B$10000,'Mar20-Aug20 Transport Actuals'!$C$358,'Data-Transport'!$D$4:$D$10000,'Mar20-Aug20 Transport Actuals'!$F$358,'Data-Transport'!$E$4:$E$10000,'Mar20-Aug20 Transport Actuals'!$H$358,'Data-Transport'!$F$4:$F$10000,'Mar20-Aug20 Transport Actuals'!J$6)</f>
        <v>0</v>
      </c>
      <c r="K358" s="472">
        <f>SUMIFS('Data-Transport'!$S$4:$S$10000,'Data-Transport'!$A$4:$A$10000,'Mar20-Aug20 Transport Actuals'!K$4,'Data-Transport'!$B$4:$B$10000,'Mar20-Aug20 Transport Actuals'!$C$358,'Data-Transport'!$D$4:$D$10000,'Mar20-Aug20 Transport Actuals'!$F$358,'Data-Transport'!$E$4:$E$10000,'Mar20-Aug20 Transport Actuals'!$H$358,'Data-Transport'!$F$4:$F$10000,'Mar20-Aug20 Transport Actuals'!K$6)</f>
        <v>0</v>
      </c>
      <c r="L358" s="472">
        <f>SUMIFS('Data-Transport'!$S$4:$S$10000,'Data-Transport'!$A$4:$A$10000,'Mar20-Aug20 Transport Actuals'!L$4,'Data-Transport'!$B$4:$B$10000,'Mar20-Aug20 Transport Actuals'!$C$358,'Data-Transport'!$D$4:$D$10000,'Mar20-Aug20 Transport Actuals'!$F$358,'Data-Transport'!$E$4:$E$10000,'Mar20-Aug20 Transport Actuals'!$H$358,'Data-Transport'!$F$4:$F$10000,'Mar20-Aug20 Transport Actuals'!L$6)</f>
        <v>0</v>
      </c>
      <c r="M358" s="472">
        <f>SUMIFS('Data-Transport'!$S$4:$S$10000,'Data-Transport'!$A$4:$A$10000,'Mar20-Aug20 Transport Actuals'!M$4,'Data-Transport'!$B$4:$B$10000,'Mar20-Aug20 Transport Actuals'!$C$358,'Data-Transport'!$D$4:$D$10000,'Mar20-Aug20 Transport Actuals'!$F$358,'Data-Transport'!$E$4:$E$10000,'Mar20-Aug20 Transport Actuals'!$H$358,'Data-Transport'!$F$4:$F$10000,'Mar20-Aug20 Transport Actuals'!M$6)</f>
        <v>0</v>
      </c>
      <c r="N358" s="472">
        <f>SUMIFS('Data-Transport'!$S$4:$S$10000,'Data-Transport'!$A$4:$A$10000,'Mar20-Aug20 Transport Actuals'!N$4,'Data-Transport'!$B$4:$B$10000,'Mar20-Aug20 Transport Actuals'!$C$358,'Data-Transport'!$D$4:$D$10000,'Mar20-Aug20 Transport Actuals'!$F$358,'Data-Transport'!$E$4:$E$10000,'Mar20-Aug20 Transport Actuals'!$H$358,'Data-Transport'!$F$4:$F$10000,'Mar20-Aug20 Transport Actuals'!N$6)</f>
        <v>0</v>
      </c>
      <c r="O358" s="472">
        <f>SUMIFS('Data-Transport'!$S$4:$S$10000,'Data-Transport'!$A$4:$A$10000,'Mar20-Aug20 Transport Actuals'!O$4,'Data-Transport'!$B$4:$B$10000,'Mar20-Aug20 Transport Actuals'!$C$358,'Data-Transport'!$D$4:$D$10000,'Mar20-Aug20 Transport Actuals'!$F$358,'Data-Transport'!$E$4:$E$10000,'Mar20-Aug20 Transport Actuals'!$H$358,'Data-Transport'!$F$4:$F$10000,'Mar20-Aug20 Transport Actuals'!O$6)</f>
        <v>0</v>
      </c>
      <c r="P358" s="871">
        <f t="shared" si="122"/>
        <v>0</v>
      </c>
      <c r="Q358" s="869"/>
      <c r="R358" s="869"/>
    </row>
    <row r="359" spans="3:18" x14ac:dyDescent="0.25">
      <c r="C359" s="169"/>
      <c r="D359" s="169"/>
      <c r="E359" s="167"/>
      <c r="F359" s="169"/>
      <c r="G359" s="170" t="s">
        <v>169</v>
      </c>
      <c r="H359" s="167"/>
      <c r="I359" s="466">
        <f t="shared" ref="I359:O359" si="125">SUM(I353:I358)</f>
        <v>0</v>
      </c>
      <c r="J359" s="466">
        <f t="shared" si="125"/>
        <v>0</v>
      </c>
      <c r="K359" s="466">
        <f t="shared" si="125"/>
        <v>0</v>
      </c>
      <c r="L359" s="466">
        <f t="shared" si="125"/>
        <v>0</v>
      </c>
      <c r="M359" s="466">
        <f t="shared" si="125"/>
        <v>0</v>
      </c>
      <c r="N359" s="466">
        <f t="shared" si="125"/>
        <v>0</v>
      </c>
      <c r="O359" s="466">
        <f t="shared" si="125"/>
        <v>0</v>
      </c>
      <c r="P359" s="871">
        <f t="shared" si="122"/>
        <v>0</v>
      </c>
      <c r="Q359" s="869"/>
      <c r="R359" s="869"/>
    </row>
    <row r="360" spans="3:18" x14ac:dyDescent="0.25">
      <c r="C360" s="169"/>
      <c r="D360" s="169"/>
      <c r="E360" s="167"/>
      <c r="F360" s="169"/>
      <c r="G360" s="174"/>
      <c r="H360" s="167"/>
      <c r="I360" s="169"/>
      <c r="J360" s="169"/>
      <c r="K360" s="169"/>
      <c r="L360" s="169"/>
      <c r="M360" s="169"/>
      <c r="N360" s="169"/>
      <c r="O360" s="169"/>
      <c r="P360" s="167"/>
      <c r="Q360" s="869"/>
      <c r="R360" s="869"/>
    </row>
    <row r="361" spans="3:18" x14ac:dyDescent="0.25">
      <c r="C361" s="169"/>
      <c r="D361" s="169"/>
      <c r="E361" s="167"/>
      <c r="F361" s="169"/>
      <c r="G361" s="174"/>
      <c r="H361" s="167"/>
      <c r="I361" s="169"/>
      <c r="J361" s="169"/>
      <c r="K361" s="169"/>
      <c r="L361" s="169"/>
      <c r="M361" s="169"/>
      <c r="N361" s="169"/>
      <c r="O361" s="169"/>
      <c r="P361" s="167"/>
      <c r="Q361" s="869"/>
      <c r="R361" s="869"/>
    </row>
    <row r="362" spans="3:18" x14ac:dyDescent="0.25">
      <c r="C362" s="169" t="s">
        <v>493</v>
      </c>
      <c r="D362" s="169" t="str">
        <f t="shared" ref="D362:D372" si="126">MID(C362,6,3)</f>
        <v>892</v>
      </c>
      <c r="E362" s="167" t="s">
        <v>458</v>
      </c>
      <c r="F362" s="169" t="s">
        <v>319</v>
      </c>
      <c r="G362" s="170" t="s">
        <v>157</v>
      </c>
      <c r="H362" s="167"/>
      <c r="I362" s="480">
        <f>ROUND(+I368/I365,0)</f>
        <v>0</v>
      </c>
      <c r="J362" s="480">
        <f t="shared" ref="J362:O362" si="127">ROUND(+J368/J365,0)</f>
        <v>0</v>
      </c>
      <c r="K362" s="480">
        <f t="shared" si="127"/>
        <v>0</v>
      </c>
      <c r="L362" s="480">
        <f t="shared" si="127"/>
        <v>0</v>
      </c>
      <c r="M362" s="480">
        <f t="shared" si="127"/>
        <v>0</v>
      </c>
      <c r="N362" s="480">
        <f t="shared" si="127"/>
        <v>0</v>
      </c>
      <c r="O362" s="480">
        <f t="shared" si="127"/>
        <v>0</v>
      </c>
      <c r="P362" s="871">
        <f>SUM(I362:N362)</f>
        <v>0</v>
      </c>
      <c r="Q362" s="869"/>
      <c r="R362" s="869"/>
    </row>
    <row r="363" spans="3:18" x14ac:dyDescent="0.25">
      <c r="C363" s="169" t="s">
        <v>493</v>
      </c>
      <c r="D363" s="169" t="str">
        <f t="shared" si="126"/>
        <v>892</v>
      </c>
      <c r="E363" s="167" t="s">
        <v>458</v>
      </c>
      <c r="F363" s="169" t="s">
        <v>319</v>
      </c>
      <c r="G363" s="170" t="s">
        <v>246</v>
      </c>
      <c r="H363" s="156" t="s">
        <v>265</v>
      </c>
      <c r="I363" s="471">
        <f>SUMIFS('Data-Transport'!$H$4:$H$10000,'Data-Transport'!$A$4:$A$10000,'Mar20-Aug20 Transport Actuals'!I$4,'Data-Transport'!$B$4:$B$10000,'Mar20-Aug20 Transport Actuals'!$C$363,'Data-Transport'!$D$4:$D$10000,'Mar20-Aug20 Transport Actuals'!$F$363,'Data-Transport'!$E$4:$E$10000,'Mar20-Aug20 Transport Actuals'!$H$363,'Data-Transport'!$F$4:$F$10000,'Mar20-Aug20 Transport Actuals'!I$6)/10</f>
        <v>0</v>
      </c>
      <c r="J363" s="471">
        <f>SUMIFS('Data-Transport'!$H$4:$H$10000,'Data-Transport'!$A$4:$A$10000,'Mar20-Aug20 Transport Actuals'!J$4,'Data-Transport'!$B$4:$B$10000,'Mar20-Aug20 Transport Actuals'!$C$363,'Data-Transport'!$D$4:$D$10000,'Mar20-Aug20 Transport Actuals'!$F$363,'Data-Transport'!$E$4:$E$10000,'Mar20-Aug20 Transport Actuals'!$H$363,'Data-Transport'!$F$4:$F$10000,'Mar20-Aug20 Transport Actuals'!J$6)/10</f>
        <v>0</v>
      </c>
      <c r="K363" s="471">
        <f>SUMIFS('Data-Transport'!$H$4:$H$10000,'Data-Transport'!$A$4:$A$10000,'Mar20-Aug20 Transport Actuals'!K$4,'Data-Transport'!$B$4:$B$10000,'Mar20-Aug20 Transport Actuals'!$C$363,'Data-Transport'!$D$4:$D$10000,'Mar20-Aug20 Transport Actuals'!$F$363,'Data-Transport'!$E$4:$E$10000,'Mar20-Aug20 Transport Actuals'!$H$363,'Data-Transport'!$F$4:$F$10000,'Mar20-Aug20 Transport Actuals'!K$6)/10</f>
        <v>0</v>
      </c>
      <c r="L363" s="471">
        <f>SUMIFS('Data-Transport'!$H$4:$H$10000,'Data-Transport'!$A$4:$A$10000,'Mar20-Aug20 Transport Actuals'!L$4,'Data-Transport'!$B$4:$B$10000,'Mar20-Aug20 Transport Actuals'!$C$363,'Data-Transport'!$D$4:$D$10000,'Mar20-Aug20 Transport Actuals'!$F$363,'Data-Transport'!$E$4:$E$10000,'Mar20-Aug20 Transport Actuals'!$H$363,'Data-Transport'!$F$4:$F$10000,'Mar20-Aug20 Transport Actuals'!L$6)/10</f>
        <v>0</v>
      </c>
      <c r="M363" s="471">
        <f>SUMIFS('Data-Transport'!$H$4:$H$10000,'Data-Transport'!$A$4:$A$10000,'Mar20-Aug20 Transport Actuals'!M$4,'Data-Transport'!$B$4:$B$10000,'Mar20-Aug20 Transport Actuals'!$C$363,'Data-Transport'!$D$4:$D$10000,'Mar20-Aug20 Transport Actuals'!$F$363,'Data-Transport'!$E$4:$E$10000,'Mar20-Aug20 Transport Actuals'!$H$363,'Data-Transport'!$F$4:$F$10000,'Mar20-Aug20 Transport Actuals'!M$6)/10</f>
        <v>0</v>
      </c>
      <c r="N363" s="471">
        <f>SUMIFS('Data-Transport'!$H$4:$H$10000,'Data-Transport'!$A$4:$A$10000,'Mar20-Aug20 Transport Actuals'!N$4,'Data-Transport'!$B$4:$B$10000,'Mar20-Aug20 Transport Actuals'!$C$363,'Data-Transport'!$D$4:$D$10000,'Mar20-Aug20 Transport Actuals'!$F$363,'Data-Transport'!$E$4:$E$10000,'Mar20-Aug20 Transport Actuals'!$H$363,'Data-Transport'!$F$4:$F$10000,'Mar20-Aug20 Transport Actuals'!N$6)/10</f>
        <v>0</v>
      </c>
      <c r="O363" s="471">
        <f>SUMIFS('Data-Transport'!$H$4:$H$10000,'Data-Transport'!$A$4:$A$10000,'Mar20-Aug20 Transport Actuals'!O$4,'Data-Transport'!$B$4:$B$10000,'Mar20-Aug20 Transport Actuals'!$C$363,'Data-Transport'!$D$4:$D$10000,'Mar20-Aug20 Transport Actuals'!$F$363,'Data-Transport'!$E$4:$E$10000,'Mar20-Aug20 Transport Actuals'!$H$363,'Data-Transport'!$F$4:$F$10000,'Mar20-Aug20 Transport Actuals'!O$6)/10</f>
        <v>0</v>
      </c>
      <c r="P363" s="871">
        <f>SUM(I363:N363)</f>
        <v>0</v>
      </c>
      <c r="Q363" s="869"/>
      <c r="R363" s="869"/>
    </row>
    <row r="364" spans="3:18" x14ac:dyDescent="0.25">
      <c r="C364" s="169" t="s">
        <v>493</v>
      </c>
      <c r="D364" s="169" t="str">
        <f t="shared" si="126"/>
        <v>892</v>
      </c>
      <c r="E364" s="167" t="s">
        <v>458</v>
      </c>
      <c r="F364" s="169" t="s">
        <v>319</v>
      </c>
      <c r="G364" s="171"/>
      <c r="H364" s="167"/>
      <c r="I364" s="477"/>
      <c r="J364" s="477"/>
      <c r="K364" s="477"/>
      <c r="L364" s="477"/>
      <c r="M364" s="477"/>
      <c r="N364" s="477"/>
      <c r="O364" s="477"/>
      <c r="P364" s="167"/>
      <c r="Q364" s="869"/>
      <c r="R364" s="869"/>
    </row>
    <row r="365" spans="3:18" x14ac:dyDescent="0.25">
      <c r="C365" s="169" t="s">
        <v>493</v>
      </c>
      <c r="D365" s="169" t="str">
        <f t="shared" si="126"/>
        <v>892</v>
      </c>
      <c r="E365" s="167" t="s">
        <v>458</v>
      </c>
      <c r="F365" s="169" t="s">
        <v>319</v>
      </c>
      <c r="G365" s="170" t="s">
        <v>159</v>
      </c>
      <c r="H365" s="167"/>
      <c r="I365" s="477">
        <f>VLOOKUP($C365,'Retail Rates'!$B$7:$P$40,6,FALSE)</f>
        <v>550</v>
      </c>
      <c r="J365" s="477">
        <f>VLOOKUP($C365,'Retail Rates'!$B$7:$P$40,6,FALSE)</f>
        <v>550</v>
      </c>
      <c r="K365" s="477">
        <f>VLOOKUP($C365,'Retail Rates'!$B$7:$P$40,6,FALSE)</f>
        <v>550</v>
      </c>
      <c r="L365" s="477">
        <f>VLOOKUP($C365,'Retail Rates'!$B$7:$P$40,6,FALSE)</f>
        <v>550</v>
      </c>
      <c r="M365" s="477">
        <f>VLOOKUP($C365,'Retail Rates'!$B$7:$P$40,6,FALSE)</f>
        <v>550</v>
      </c>
      <c r="N365" s="477">
        <f>VLOOKUP($C365,'Retail Rates'!$B$7:$P$40,6,FALSE)</f>
        <v>550</v>
      </c>
      <c r="O365" s="477">
        <f>VLOOKUP($C365,'Retail Rates'!$B$7:$P$40,6,FALSE)</f>
        <v>550</v>
      </c>
      <c r="P365" s="167"/>
      <c r="Q365" s="869"/>
      <c r="R365" s="869"/>
    </row>
    <row r="366" spans="3:18" x14ac:dyDescent="0.25">
      <c r="C366" s="169" t="s">
        <v>493</v>
      </c>
      <c r="D366" s="169" t="str">
        <f t="shared" si="126"/>
        <v>892</v>
      </c>
      <c r="E366" s="167" t="s">
        <v>458</v>
      </c>
      <c r="F366" s="169" t="s">
        <v>319</v>
      </c>
      <c r="G366" s="170" t="s">
        <v>459</v>
      </c>
      <c r="H366" s="167"/>
      <c r="I366" s="477">
        <f>VLOOKUP($C366,'Retail Rates'!$B$7:$P$40,10,FALSE)</f>
        <v>1.0644</v>
      </c>
      <c r="J366" s="477">
        <f>VLOOKUP($C366,'Retail Rates'!$B$7:$P$40,10,FALSE)</f>
        <v>1.0644</v>
      </c>
      <c r="K366" s="477">
        <f>VLOOKUP($C366,'Retail Rates'!$B$7:$P$40,10,FALSE)</f>
        <v>1.0644</v>
      </c>
      <c r="L366" s="477">
        <f>VLOOKUP($C366,'Retail Rates'!$B$7:$P$40,10,FALSE)</f>
        <v>1.0644</v>
      </c>
      <c r="M366" s="477">
        <f>VLOOKUP($C366,'Retail Rates'!$B$7:$P$40,10,FALSE)</f>
        <v>1.0644</v>
      </c>
      <c r="N366" s="477">
        <f>VLOOKUP($C366,'Retail Rates'!$B$7:$P$40,10,FALSE)</f>
        <v>1.0644</v>
      </c>
      <c r="O366" s="477">
        <f>VLOOKUP($C366,'Retail Rates'!$B$7:$P$40,10,FALSE)</f>
        <v>1.0644</v>
      </c>
      <c r="P366" s="167"/>
      <c r="Q366" s="869"/>
      <c r="R366" s="869"/>
    </row>
    <row r="367" spans="3:18" x14ac:dyDescent="0.25">
      <c r="C367" s="169" t="s">
        <v>493</v>
      </c>
      <c r="D367" s="169" t="str">
        <f t="shared" si="126"/>
        <v>892</v>
      </c>
      <c r="E367" s="167" t="s">
        <v>458</v>
      </c>
      <c r="F367" s="169" t="s">
        <v>319</v>
      </c>
      <c r="G367" s="172" t="s">
        <v>162</v>
      </c>
      <c r="H367" s="167"/>
      <c r="I367" s="169"/>
      <c r="J367" s="169"/>
      <c r="K367" s="169"/>
      <c r="L367" s="169"/>
      <c r="M367" s="169"/>
      <c r="N367" s="169"/>
      <c r="O367" s="169"/>
      <c r="P367" s="167"/>
      <c r="Q367" s="869"/>
      <c r="R367" s="869"/>
    </row>
    <row r="368" spans="3:18" x14ac:dyDescent="0.25">
      <c r="C368" s="169" t="s">
        <v>493</v>
      </c>
      <c r="D368" s="169" t="str">
        <f t="shared" si="126"/>
        <v>892</v>
      </c>
      <c r="E368" s="167" t="s">
        <v>458</v>
      </c>
      <c r="F368" s="169" t="s">
        <v>319</v>
      </c>
      <c r="G368" s="170" t="s">
        <v>159</v>
      </c>
      <c r="H368" s="156" t="s">
        <v>268</v>
      </c>
      <c r="I368" s="459">
        <f>SUMIFS('Data-Transport'!$K$4:$K$10000,'Data-Transport'!$A$4:$A$10000,'Mar20-Aug20 Transport Actuals'!I$4,'Data-Transport'!$B$4:$B$10000,'Mar20-Aug20 Transport Actuals'!$C$368,'Data-Transport'!$D$4:$D$10000,'Mar20-Aug20 Transport Actuals'!$F$368,'Data-Transport'!$E$4:$E$10000,'Mar20-Aug20 Transport Actuals'!$H$368,'Data-Transport'!$F$4:$F$10000,'Mar20-Aug20 Transport Actuals'!I$6)</f>
        <v>0</v>
      </c>
      <c r="J368" s="459">
        <f>SUMIFS('Data-Transport'!$K$4:$K$10000,'Data-Transport'!$A$4:$A$10000,'Mar20-Aug20 Transport Actuals'!J$4,'Data-Transport'!$B$4:$B$10000,'Mar20-Aug20 Transport Actuals'!$C$368,'Data-Transport'!$D$4:$D$10000,'Mar20-Aug20 Transport Actuals'!$F$368,'Data-Transport'!$E$4:$E$10000,'Mar20-Aug20 Transport Actuals'!$H$368,'Data-Transport'!$F$4:$F$10000,'Mar20-Aug20 Transport Actuals'!J$6)</f>
        <v>0</v>
      </c>
      <c r="K368" s="459">
        <f>SUMIFS('Data-Transport'!$K$4:$K$10000,'Data-Transport'!$A$4:$A$10000,'Mar20-Aug20 Transport Actuals'!K$4,'Data-Transport'!$B$4:$B$10000,'Mar20-Aug20 Transport Actuals'!$C$368,'Data-Transport'!$D$4:$D$10000,'Mar20-Aug20 Transport Actuals'!$F$368,'Data-Transport'!$E$4:$E$10000,'Mar20-Aug20 Transport Actuals'!$H$368,'Data-Transport'!$F$4:$F$10000,'Mar20-Aug20 Transport Actuals'!K$6)</f>
        <v>0</v>
      </c>
      <c r="L368" s="459">
        <f>SUMIFS('Data-Transport'!$K$4:$K$10000,'Data-Transport'!$A$4:$A$10000,'Mar20-Aug20 Transport Actuals'!L$4,'Data-Transport'!$B$4:$B$10000,'Mar20-Aug20 Transport Actuals'!$C$368,'Data-Transport'!$D$4:$D$10000,'Mar20-Aug20 Transport Actuals'!$F$368,'Data-Transport'!$E$4:$E$10000,'Mar20-Aug20 Transport Actuals'!$H$368,'Data-Transport'!$F$4:$F$10000,'Mar20-Aug20 Transport Actuals'!L$6)</f>
        <v>0</v>
      </c>
      <c r="M368" s="459">
        <f>SUMIFS('Data-Transport'!$K$4:$K$10000,'Data-Transport'!$A$4:$A$10000,'Mar20-Aug20 Transport Actuals'!M$4,'Data-Transport'!$B$4:$B$10000,'Mar20-Aug20 Transport Actuals'!$C$368,'Data-Transport'!$D$4:$D$10000,'Mar20-Aug20 Transport Actuals'!$F$368,'Data-Transport'!$E$4:$E$10000,'Mar20-Aug20 Transport Actuals'!$H$368,'Data-Transport'!$F$4:$F$10000,'Mar20-Aug20 Transport Actuals'!M$6)</f>
        <v>0</v>
      </c>
      <c r="N368" s="459">
        <f>SUMIFS('Data-Transport'!$K$4:$K$10000,'Data-Transport'!$A$4:$A$10000,'Mar20-Aug20 Transport Actuals'!N$4,'Data-Transport'!$B$4:$B$10000,'Mar20-Aug20 Transport Actuals'!$C$368,'Data-Transport'!$D$4:$D$10000,'Mar20-Aug20 Transport Actuals'!$F$368,'Data-Transport'!$E$4:$E$10000,'Mar20-Aug20 Transport Actuals'!$H$368,'Data-Transport'!$F$4:$F$10000,'Mar20-Aug20 Transport Actuals'!N$6)</f>
        <v>0</v>
      </c>
      <c r="O368" s="459">
        <f>SUMIFS('Data-Transport'!$K$4:$K$10000,'Data-Transport'!$A$4:$A$10000,'Mar20-Aug20 Transport Actuals'!O$4,'Data-Transport'!$B$4:$B$10000,'Mar20-Aug20 Transport Actuals'!$C$368,'Data-Transport'!$D$4:$D$10000,'Mar20-Aug20 Transport Actuals'!$F$368,'Data-Transport'!$E$4:$E$10000,'Mar20-Aug20 Transport Actuals'!$H$368,'Data-Transport'!$F$4:$F$10000,'Mar20-Aug20 Transport Actuals'!O$6)</f>
        <v>0</v>
      </c>
      <c r="P368" s="871">
        <f>SUM(I368:N368)</f>
        <v>0</v>
      </c>
      <c r="Q368" s="869"/>
      <c r="R368" s="869"/>
    </row>
    <row r="369" spans="3:18" x14ac:dyDescent="0.25">
      <c r="C369" s="169" t="s">
        <v>493</v>
      </c>
      <c r="D369" s="169" t="str">
        <f t="shared" si="126"/>
        <v>892</v>
      </c>
      <c r="E369" s="167" t="s">
        <v>458</v>
      </c>
      <c r="F369" s="169" t="s">
        <v>319</v>
      </c>
      <c r="G369" s="170" t="s">
        <v>164</v>
      </c>
      <c r="H369" s="167"/>
      <c r="I369" s="464">
        <f>ROUND(I363*I366,2)</f>
        <v>0</v>
      </c>
      <c r="J369" s="464">
        <f t="shared" ref="J369:O369" si="128">ROUND(J363*J366,2)</f>
        <v>0</v>
      </c>
      <c r="K369" s="464">
        <f t="shared" si="128"/>
        <v>0</v>
      </c>
      <c r="L369" s="464">
        <f t="shared" si="128"/>
        <v>0</v>
      </c>
      <c r="M369" s="464">
        <f t="shared" si="128"/>
        <v>0</v>
      </c>
      <c r="N369" s="464">
        <f t="shared" si="128"/>
        <v>0</v>
      </c>
      <c r="O369" s="464">
        <f t="shared" si="128"/>
        <v>0</v>
      </c>
      <c r="P369" s="871">
        <f t="shared" ref="P369:P382" si="129">SUM(I369:N369)</f>
        <v>0</v>
      </c>
      <c r="Q369" s="869"/>
      <c r="R369" s="869"/>
    </row>
    <row r="370" spans="3:18" x14ac:dyDescent="0.25">
      <c r="C370" s="169" t="s">
        <v>493</v>
      </c>
      <c r="D370" s="169" t="str">
        <f t="shared" si="126"/>
        <v>892</v>
      </c>
      <c r="E370" s="167" t="s">
        <v>458</v>
      </c>
      <c r="F370" s="169" t="s">
        <v>319</v>
      </c>
      <c r="G370" s="170" t="s">
        <v>165</v>
      </c>
      <c r="H370" s="167"/>
      <c r="I370" s="466">
        <f>SUM(I368:I369)</f>
        <v>0</v>
      </c>
      <c r="J370" s="466">
        <f t="shared" ref="J370:O370" si="130">SUM(J368:J369)</f>
        <v>0</v>
      </c>
      <c r="K370" s="466">
        <f t="shared" si="130"/>
        <v>0</v>
      </c>
      <c r="L370" s="466">
        <f t="shared" si="130"/>
        <v>0</v>
      </c>
      <c r="M370" s="466">
        <f t="shared" si="130"/>
        <v>0</v>
      </c>
      <c r="N370" s="466">
        <f t="shared" si="130"/>
        <v>0</v>
      </c>
      <c r="O370" s="466">
        <f t="shared" si="130"/>
        <v>0</v>
      </c>
      <c r="P370" s="871">
        <f t="shared" si="129"/>
        <v>0</v>
      </c>
      <c r="Q370" s="869"/>
      <c r="R370" s="869"/>
    </row>
    <row r="371" spans="3:18" x14ac:dyDescent="0.25">
      <c r="C371" s="169" t="s">
        <v>493</v>
      </c>
      <c r="D371" s="169" t="str">
        <f t="shared" si="126"/>
        <v>892</v>
      </c>
      <c r="E371" s="167" t="s">
        <v>458</v>
      </c>
      <c r="F371" s="169" t="s">
        <v>319</v>
      </c>
      <c r="G371" s="170" t="s">
        <v>352</v>
      </c>
      <c r="H371" s="476" t="s">
        <v>109</v>
      </c>
      <c r="I371" s="459">
        <f>SUMIFS('Data-Transport'!$Q$4:$Q$10000,'Data-Transport'!$A$4:$A$10000,'Mar20-Aug20 Transport Actuals'!I$4,'Data-Transport'!$B$4:$B$10000,'Mar20-Aug20 Transport Actuals'!$C$371,'Data-Transport'!$D$4:$D$10000,'Mar20-Aug20 Transport Actuals'!$F$371,'Data-Transport'!$E$4:$E$10000,'Mar20-Aug20 Transport Actuals'!$H$371,'Data-Transport'!$F$4:$F$10000,'Mar20-Aug20 Transport Actuals'!I$6)</f>
        <v>0</v>
      </c>
      <c r="J371" s="459">
        <f>SUMIFS('Data-Transport'!$Q$4:$Q$10000,'Data-Transport'!$A$4:$A$10000,'Mar20-Aug20 Transport Actuals'!J$4,'Data-Transport'!$B$4:$B$10000,'Mar20-Aug20 Transport Actuals'!$C$371,'Data-Transport'!$D$4:$D$10000,'Mar20-Aug20 Transport Actuals'!$F$371,'Data-Transport'!$E$4:$E$10000,'Mar20-Aug20 Transport Actuals'!$H$371,'Data-Transport'!$F$4:$F$10000,'Mar20-Aug20 Transport Actuals'!J$6)</f>
        <v>0</v>
      </c>
      <c r="K371" s="459">
        <f>SUMIFS('Data-Transport'!$Q$4:$Q$10000,'Data-Transport'!$A$4:$A$10000,'Mar20-Aug20 Transport Actuals'!K$4,'Data-Transport'!$B$4:$B$10000,'Mar20-Aug20 Transport Actuals'!$C$371,'Data-Transport'!$D$4:$D$10000,'Mar20-Aug20 Transport Actuals'!$F$371,'Data-Transport'!$E$4:$E$10000,'Mar20-Aug20 Transport Actuals'!$H$371,'Data-Transport'!$F$4:$F$10000,'Mar20-Aug20 Transport Actuals'!K$6)</f>
        <v>0</v>
      </c>
      <c r="L371" s="459">
        <f>SUMIFS('Data-Transport'!$Q$4:$Q$10000,'Data-Transport'!$A$4:$A$10000,'Mar20-Aug20 Transport Actuals'!L$4,'Data-Transport'!$B$4:$B$10000,'Mar20-Aug20 Transport Actuals'!$C$371,'Data-Transport'!$D$4:$D$10000,'Mar20-Aug20 Transport Actuals'!$F$371,'Data-Transport'!$E$4:$E$10000,'Mar20-Aug20 Transport Actuals'!$H$371,'Data-Transport'!$F$4:$F$10000,'Mar20-Aug20 Transport Actuals'!L$6)</f>
        <v>0</v>
      </c>
      <c r="M371" s="459">
        <f>SUMIFS('Data-Transport'!$Q$4:$Q$10000,'Data-Transport'!$A$4:$A$10000,'Mar20-Aug20 Transport Actuals'!M$4,'Data-Transport'!$B$4:$B$10000,'Mar20-Aug20 Transport Actuals'!$C$371,'Data-Transport'!$D$4:$D$10000,'Mar20-Aug20 Transport Actuals'!$F$371,'Data-Transport'!$E$4:$E$10000,'Mar20-Aug20 Transport Actuals'!$H$371,'Data-Transport'!$F$4:$F$10000,'Mar20-Aug20 Transport Actuals'!M$6)</f>
        <v>0</v>
      </c>
      <c r="N371" s="459">
        <f>SUMIFS('Data-Transport'!$Q$4:$Q$10000,'Data-Transport'!$A$4:$A$10000,'Mar20-Aug20 Transport Actuals'!N$4,'Data-Transport'!$B$4:$B$10000,'Mar20-Aug20 Transport Actuals'!$C$371,'Data-Transport'!$D$4:$D$10000,'Mar20-Aug20 Transport Actuals'!$F$371,'Data-Transport'!$E$4:$E$10000,'Mar20-Aug20 Transport Actuals'!$H$371,'Data-Transport'!$F$4:$F$10000,'Mar20-Aug20 Transport Actuals'!N$6)</f>
        <v>0</v>
      </c>
      <c r="O371" s="459">
        <f>SUMIFS('Data-Transport'!$Q$4:$Q$10000,'Data-Transport'!$A$4:$A$10000,'Mar20-Aug20 Transport Actuals'!O$4,'Data-Transport'!$B$4:$B$10000,'Mar20-Aug20 Transport Actuals'!$C$371,'Data-Transport'!$D$4:$D$10000,'Mar20-Aug20 Transport Actuals'!$F$371,'Data-Transport'!$E$4:$E$10000,'Mar20-Aug20 Transport Actuals'!$H$371,'Data-Transport'!$F$4:$F$10000,'Mar20-Aug20 Transport Actuals'!O$6)</f>
        <v>0</v>
      </c>
      <c r="P371" s="871">
        <f t="shared" si="129"/>
        <v>0</v>
      </c>
      <c r="Q371" s="869"/>
      <c r="R371" s="869"/>
    </row>
    <row r="372" spans="3:18" x14ac:dyDescent="0.25">
      <c r="C372" s="169" t="s">
        <v>493</v>
      </c>
      <c r="D372" s="169" t="str">
        <f t="shared" si="126"/>
        <v>892</v>
      </c>
      <c r="E372" s="167" t="s">
        <v>458</v>
      </c>
      <c r="F372" s="169" t="s">
        <v>319</v>
      </c>
      <c r="G372" s="170" t="s">
        <v>148</v>
      </c>
      <c r="H372" s="476" t="s">
        <v>273</v>
      </c>
      <c r="I372" s="459">
        <f>SUMIFS('Data-Transport'!$Y$4:$Y$10000,'Data-Transport'!$A$4:$A$10000,'Mar20-Aug20 Transport Actuals'!I$4,'Data-Transport'!$B$4:$B$10000,'Mar20-Aug20 Transport Actuals'!$C$372,'Data-Transport'!$D$4:$D$10000,'Mar20-Aug20 Transport Actuals'!$F$372,'Data-Transport'!$E$4:$E$10000,'Mar20-Aug20 Transport Actuals'!$H$372,'Data-Transport'!$F$4:$F$10000,'Mar20-Aug20 Transport Actuals'!I$6)</f>
        <v>0</v>
      </c>
      <c r="J372" s="459">
        <f>SUMIFS('Data-Transport'!$Y$4:$Y$10000,'Data-Transport'!$A$4:$A$10000,'Mar20-Aug20 Transport Actuals'!J$4,'Data-Transport'!$B$4:$B$10000,'Mar20-Aug20 Transport Actuals'!$C$372,'Data-Transport'!$D$4:$D$10000,'Mar20-Aug20 Transport Actuals'!$F$372,'Data-Transport'!$E$4:$E$10000,'Mar20-Aug20 Transport Actuals'!$H$372,'Data-Transport'!$F$4:$F$10000,'Mar20-Aug20 Transport Actuals'!J$6)</f>
        <v>0</v>
      </c>
      <c r="K372" s="459">
        <f>SUMIFS('Data-Transport'!$Y$4:$Y$10000,'Data-Transport'!$A$4:$A$10000,'Mar20-Aug20 Transport Actuals'!K$4,'Data-Transport'!$B$4:$B$10000,'Mar20-Aug20 Transport Actuals'!$C$372,'Data-Transport'!$D$4:$D$10000,'Mar20-Aug20 Transport Actuals'!$F$372,'Data-Transport'!$E$4:$E$10000,'Mar20-Aug20 Transport Actuals'!$H$372,'Data-Transport'!$F$4:$F$10000,'Mar20-Aug20 Transport Actuals'!K$6)</f>
        <v>0</v>
      </c>
      <c r="L372" s="459">
        <f>SUMIFS('Data-Transport'!$Y$4:$Y$10000,'Data-Transport'!$A$4:$A$10000,'Mar20-Aug20 Transport Actuals'!L$4,'Data-Transport'!$B$4:$B$10000,'Mar20-Aug20 Transport Actuals'!$C$372,'Data-Transport'!$D$4:$D$10000,'Mar20-Aug20 Transport Actuals'!$F$372,'Data-Transport'!$E$4:$E$10000,'Mar20-Aug20 Transport Actuals'!$H$372,'Data-Transport'!$F$4:$F$10000,'Mar20-Aug20 Transport Actuals'!L$6)</f>
        <v>0</v>
      </c>
      <c r="M372" s="459">
        <f>SUMIFS('Data-Transport'!$Y$4:$Y$10000,'Data-Transport'!$A$4:$A$10000,'Mar20-Aug20 Transport Actuals'!M$4,'Data-Transport'!$B$4:$B$10000,'Mar20-Aug20 Transport Actuals'!$C$372,'Data-Transport'!$D$4:$D$10000,'Mar20-Aug20 Transport Actuals'!$F$372,'Data-Transport'!$E$4:$E$10000,'Mar20-Aug20 Transport Actuals'!$H$372,'Data-Transport'!$F$4:$F$10000,'Mar20-Aug20 Transport Actuals'!M$6)</f>
        <v>0</v>
      </c>
      <c r="N372" s="459">
        <f>SUMIFS('Data-Transport'!$Y$4:$Y$10000,'Data-Transport'!$A$4:$A$10000,'Mar20-Aug20 Transport Actuals'!N$4,'Data-Transport'!$B$4:$B$10000,'Mar20-Aug20 Transport Actuals'!$C$372,'Data-Transport'!$D$4:$D$10000,'Mar20-Aug20 Transport Actuals'!$F$372,'Data-Transport'!$E$4:$E$10000,'Mar20-Aug20 Transport Actuals'!$H$372,'Data-Transport'!$F$4:$F$10000,'Mar20-Aug20 Transport Actuals'!N$6)</f>
        <v>0</v>
      </c>
      <c r="O372" s="459">
        <f>SUMIFS('Data-Transport'!$Y$4:$Y$10000,'Data-Transport'!$A$4:$A$10000,'Mar20-Aug20 Transport Actuals'!O$4,'Data-Transport'!$B$4:$B$10000,'Mar20-Aug20 Transport Actuals'!$C$372,'Data-Transport'!$D$4:$D$10000,'Mar20-Aug20 Transport Actuals'!$F$372,'Data-Transport'!$E$4:$E$10000,'Mar20-Aug20 Transport Actuals'!$H$372,'Data-Transport'!$F$4:$F$10000,'Mar20-Aug20 Transport Actuals'!O$6)</f>
        <v>0</v>
      </c>
      <c r="P372" s="871">
        <f t="shared" si="129"/>
        <v>0</v>
      </c>
      <c r="Q372" s="869"/>
      <c r="R372" s="869"/>
    </row>
    <row r="373" spans="3:18" x14ac:dyDescent="0.25">
      <c r="C373" s="169" t="s">
        <v>493</v>
      </c>
      <c r="D373" s="169" t="str">
        <f>MID(C373,6,3)</f>
        <v>892</v>
      </c>
      <c r="E373" s="167" t="s">
        <v>458</v>
      </c>
      <c r="F373" s="169" t="s">
        <v>319</v>
      </c>
      <c r="G373" s="170" t="s">
        <v>622</v>
      </c>
      <c r="H373" s="476" t="s">
        <v>620</v>
      </c>
      <c r="I373" s="459">
        <f>SUMIFS('Data-Transport'!$Z$4:$Z$10000,'Data-Transport'!$A$4:$A$10000,'Mar20-Aug20 Transport Actuals'!I$4,'Data-Transport'!$B$4:$B$10000,'Mar20-Aug20 Transport Actuals'!$C$373,'Data-Transport'!$D$4:$D$10000,'Mar20-Aug20 Transport Actuals'!$F$373,'Data-Transport'!$E$4:$E$10000,'Mar20-Aug20 Transport Actuals'!$H$373,'Data-Transport'!$F$4:$F$10000,'Mar20-Aug20 Transport Actuals'!I$6)</f>
        <v>0</v>
      </c>
      <c r="J373" s="459">
        <f>SUMIFS('Data-Transport'!$Z$4:$Z$10000,'Data-Transport'!$A$4:$A$10000,'Mar20-Aug20 Transport Actuals'!J$4,'Data-Transport'!$B$4:$B$10000,'Mar20-Aug20 Transport Actuals'!$C$373,'Data-Transport'!$D$4:$D$10000,'Mar20-Aug20 Transport Actuals'!$F$373,'Data-Transport'!$E$4:$E$10000,'Mar20-Aug20 Transport Actuals'!$H$373,'Data-Transport'!$F$4:$F$10000,'Mar20-Aug20 Transport Actuals'!J$6)</f>
        <v>0</v>
      </c>
      <c r="K373" s="459">
        <f>SUMIFS('Data-Transport'!$Z$4:$Z$10000,'Data-Transport'!$A$4:$A$10000,'Mar20-Aug20 Transport Actuals'!K$4,'Data-Transport'!$B$4:$B$10000,'Mar20-Aug20 Transport Actuals'!$C$373,'Data-Transport'!$D$4:$D$10000,'Mar20-Aug20 Transport Actuals'!$F$373,'Data-Transport'!$E$4:$E$10000,'Mar20-Aug20 Transport Actuals'!$H$373,'Data-Transport'!$F$4:$F$10000,'Mar20-Aug20 Transport Actuals'!K$6)</f>
        <v>0</v>
      </c>
      <c r="L373" s="459">
        <f>SUMIFS('Data-Transport'!$Z$4:$Z$10000,'Data-Transport'!$A$4:$A$10000,'Mar20-Aug20 Transport Actuals'!L$4,'Data-Transport'!$B$4:$B$10000,'Mar20-Aug20 Transport Actuals'!$C$373,'Data-Transport'!$D$4:$D$10000,'Mar20-Aug20 Transport Actuals'!$F$373,'Data-Transport'!$E$4:$E$10000,'Mar20-Aug20 Transport Actuals'!$H$373,'Data-Transport'!$F$4:$F$10000,'Mar20-Aug20 Transport Actuals'!L$6)</f>
        <v>0</v>
      </c>
      <c r="M373" s="459">
        <f>SUMIFS('Data-Transport'!$Z$4:$Z$10000,'Data-Transport'!$A$4:$A$10000,'Mar20-Aug20 Transport Actuals'!M$4,'Data-Transport'!$B$4:$B$10000,'Mar20-Aug20 Transport Actuals'!$C$373,'Data-Transport'!$D$4:$D$10000,'Mar20-Aug20 Transport Actuals'!$F$373,'Data-Transport'!$E$4:$E$10000,'Mar20-Aug20 Transport Actuals'!$H$373,'Data-Transport'!$F$4:$F$10000,'Mar20-Aug20 Transport Actuals'!M$6)</f>
        <v>0</v>
      </c>
      <c r="N373" s="459">
        <f>SUMIFS('Data-Transport'!$Z$4:$Z$10000,'Data-Transport'!$A$4:$A$10000,'Mar20-Aug20 Transport Actuals'!N$4,'Data-Transport'!$B$4:$B$10000,'Mar20-Aug20 Transport Actuals'!$C$373,'Data-Transport'!$D$4:$D$10000,'Mar20-Aug20 Transport Actuals'!$F$373,'Data-Transport'!$E$4:$E$10000,'Mar20-Aug20 Transport Actuals'!$H$373,'Data-Transport'!$F$4:$F$10000,'Mar20-Aug20 Transport Actuals'!N$6)</f>
        <v>0</v>
      </c>
      <c r="O373" s="459">
        <f>SUMIFS('Data-Transport'!$Z$4:$Z$10000,'Data-Transport'!$A$4:$A$10000,'Mar20-Aug20 Transport Actuals'!O$4,'Data-Transport'!$B$4:$B$10000,'Mar20-Aug20 Transport Actuals'!$C$373,'Data-Transport'!$D$4:$D$10000,'Mar20-Aug20 Transport Actuals'!$F$373,'Data-Transport'!$E$4:$E$10000,'Mar20-Aug20 Transport Actuals'!$H$373,'Data-Transport'!$F$4:$F$10000,'Mar20-Aug20 Transport Actuals'!O$6)</f>
        <v>0</v>
      </c>
      <c r="P373" s="871">
        <f t="shared" si="129"/>
        <v>0</v>
      </c>
      <c r="Q373" s="869"/>
      <c r="R373" s="869"/>
    </row>
    <row r="374" spans="3:18" x14ac:dyDescent="0.25">
      <c r="C374" s="169" t="s">
        <v>493</v>
      </c>
      <c r="D374" s="169" t="str">
        <f>MID(C374,6,3)</f>
        <v>892</v>
      </c>
      <c r="E374" s="167" t="s">
        <v>458</v>
      </c>
      <c r="F374" s="169" t="s">
        <v>319</v>
      </c>
      <c r="G374" s="170" t="s">
        <v>623</v>
      </c>
      <c r="H374" s="476" t="s">
        <v>621</v>
      </c>
      <c r="I374" s="459">
        <f>SUMIFS('Data-Transport'!$AA$4:$AA$10000,'Data-Transport'!$A$4:$A$10000,'Mar20-Aug20 Transport Actuals'!I$4,'Data-Transport'!$B$4:$B$10000,'Mar20-Aug20 Transport Actuals'!$C$373,'Data-Transport'!$D$4:$D$10000,'Mar20-Aug20 Transport Actuals'!$F$374,'Data-Transport'!$E$4:$E$10000,'Mar20-Aug20 Transport Actuals'!$H$374,'Data-Transport'!$F$4:$F$10000,'Mar20-Aug20 Transport Actuals'!I$6)</f>
        <v>0</v>
      </c>
      <c r="J374" s="459">
        <f>SUMIFS('Data-Transport'!$AA$4:$AA$10000,'Data-Transport'!$A$4:$A$10000,'Mar20-Aug20 Transport Actuals'!J$4,'Data-Transport'!$B$4:$B$10000,'Mar20-Aug20 Transport Actuals'!$C$373,'Data-Transport'!$D$4:$D$10000,'Mar20-Aug20 Transport Actuals'!$F$374,'Data-Transport'!$E$4:$E$10000,'Mar20-Aug20 Transport Actuals'!$H$374,'Data-Transport'!$F$4:$F$10000,'Mar20-Aug20 Transport Actuals'!J$6)</f>
        <v>0</v>
      </c>
      <c r="K374" s="459">
        <f>SUMIFS('Data-Transport'!$AA$4:$AA$10000,'Data-Transport'!$A$4:$A$10000,'Mar20-Aug20 Transport Actuals'!K$4,'Data-Transport'!$B$4:$B$10000,'Mar20-Aug20 Transport Actuals'!$C$373,'Data-Transport'!$D$4:$D$10000,'Mar20-Aug20 Transport Actuals'!$F$374,'Data-Transport'!$E$4:$E$10000,'Mar20-Aug20 Transport Actuals'!$H$374,'Data-Transport'!$F$4:$F$10000,'Mar20-Aug20 Transport Actuals'!K$6)</f>
        <v>0</v>
      </c>
      <c r="L374" s="459">
        <f>SUMIFS('Data-Transport'!$AA$4:$AA$10000,'Data-Transport'!$A$4:$A$10000,'Mar20-Aug20 Transport Actuals'!L$4,'Data-Transport'!$B$4:$B$10000,'Mar20-Aug20 Transport Actuals'!$C$373,'Data-Transport'!$D$4:$D$10000,'Mar20-Aug20 Transport Actuals'!$F$374,'Data-Transport'!$E$4:$E$10000,'Mar20-Aug20 Transport Actuals'!$H$374,'Data-Transport'!$F$4:$F$10000,'Mar20-Aug20 Transport Actuals'!L$6)</f>
        <v>0</v>
      </c>
      <c r="M374" s="459">
        <f>SUMIFS('Data-Transport'!$AA$4:$AA$10000,'Data-Transport'!$A$4:$A$10000,'Mar20-Aug20 Transport Actuals'!M$4,'Data-Transport'!$B$4:$B$10000,'Mar20-Aug20 Transport Actuals'!$C$373,'Data-Transport'!$D$4:$D$10000,'Mar20-Aug20 Transport Actuals'!$F$374,'Data-Transport'!$E$4:$E$10000,'Mar20-Aug20 Transport Actuals'!$H$374,'Data-Transport'!$F$4:$F$10000,'Mar20-Aug20 Transport Actuals'!M$6)</f>
        <v>0</v>
      </c>
      <c r="N374" s="459">
        <f>SUMIFS('Data-Transport'!$AA$4:$AA$10000,'Data-Transport'!$A$4:$A$10000,'Mar20-Aug20 Transport Actuals'!N$4,'Data-Transport'!$B$4:$B$10000,'Mar20-Aug20 Transport Actuals'!$C$373,'Data-Transport'!$D$4:$D$10000,'Mar20-Aug20 Transport Actuals'!$F$374,'Data-Transport'!$E$4:$E$10000,'Mar20-Aug20 Transport Actuals'!$H$374,'Data-Transport'!$F$4:$F$10000,'Mar20-Aug20 Transport Actuals'!N$6)</f>
        <v>0</v>
      </c>
      <c r="O374" s="459">
        <f>SUMIFS('Data-Transport'!$AA$4:$AA$10000,'Data-Transport'!$A$4:$A$10000,'Mar20-Aug20 Transport Actuals'!O$4,'Data-Transport'!$B$4:$B$10000,'Mar20-Aug20 Transport Actuals'!$C$373,'Data-Transport'!$D$4:$D$10000,'Mar20-Aug20 Transport Actuals'!$F$374,'Data-Transport'!$E$4:$E$10000,'Mar20-Aug20 Transport Actuals'!$H$374,'Data-Transport'!$F$4:$F$10000,'Mar20-Aug20 Transport Actuals'!O$6)</f>
        <v>0</v>
      </c>
      <c r="P374" s="871">
        <f t="shared" si="129"/>
        <v>0</v>
      </c>
      <c r="Q374" s="869"/>
      <c r="R374" s="869"/>
    </row>
    <row r="375" spans="3:18" x14ac:dyDescent="0.25">
      <c r="C375" s="169" t="s">
        <v>493</v>
      </c>
      <c r="D375" s="169" t="str">
        <f>MID(C375,6,3)</f>
        <v>892</v>
      </c>
      <c r="E375" s="167" t="s">
        <v>458</v>
      </c>
      <c r="F375" s="169" t="s">
        <v>319</v>
      </c>
      <c r="G375" s="170" t="s">
        <v>454</v>
      </c>
      <c r="H375" s="476" t="s">
        <v>357</v>
      </c>
      <c r="I375" s="472">
        <f>SUMIFS('Data-Transport'!$S$4:$S$10000,'Data-Transport'!$A$4:$A$10000,'Mar20-Aug20 Transport Actuals'!I$4,'Data-Transport'!$B$4:$B$10000,'Mar20-Aug20 Transport Actuals'!$C$375,'Data-Transport'!$D$4:$D$10000,'Mar20-Aug20 Transport Actuals'!$F$375,'Data-Transport'!$E$4:$E$10000,'Mar20-Aug20 Transport Actuals'!$H$375,'Data-Transport'!$F$4:$F$10000,'Mar20-Aug20 Transport Actuals'!I$6)</f>
        <v>0</v>
      </c>
      <c r="J375" s="472">
        <f>SUMIFS('Data-Transport'!$S$4:$S$10000,'Data-Transport'!$A$4:$A$10000,'Mar20-Aug20 Transport Actuals'!J$4,'Data-Transport'!$B$4:$B$10000,'Mar20-Aug20 Transport Actuals'!$C$375,'Data-Transport'!$D$4:$D$10000,'Mar20-Aug20 Transport Actuals'!$F$375,'Data-Transport'!$E$4:$E$10000,'Mar20-Aug20 Transport Actuals'!$H$375,'Data-Transport'!$F$4:$F$10000,'Mar20-Aug20 Transport Actuals'!J$6)</f>
        <v>0</v>
      </c>
      <c r="K375" s="472">
        <f>SUMIFS('Data-Transport'!$S$4:$S$10000,'Data-Transport'!$A$4:$A$10000,'Mar20-Aug20 Transport Actuals'!K$4,'Data-Transport'!$B$4:$B$10000,'Mar20-Aug20 Transport Actuals'!$C$375,'Data-Transport'!$D$4:$D$10000,'Mar20-Aug20 Transport Actuals'!$F$375,'Data-Transport'!$E$4:$E$10000,'Mar20-Aug20 Transport Actuals'!$H$375,'Data-Transport'!$F$4:$F$10000,'Mar20-Aug20 Transport Actuals'!K$6)</f>
        <v>0</v>
      </c>
      <c r="L375" s="472">
        <f>SUMIFS('Data-Transport'!$S$4:$S$10000,'Data-Transport'!$A$4:$A$10000,'Mar20-Aug20 Transport Actuals'!L$4,'Data-Transport'!$B$4:$B$10000,'Mar20-Aug20 Transport Actuals'!$C$375,'Data-Transport'!$D$4:$D$10000,'Mar20-Aug20 Transport Actuals'!$F$375,'Data-Transport'!$E$4:$E$10000,'Mar20-Aug20 Transport Actuals'!$H$375,'Data-Transport'!$F$4:$F$10000,'Mar20-Aug20 Transport Actuals'!L$6)</f>
        <v>0</v>
      </c>
      <c r="M375" s="472">
        <f>SUMIFS('Data-Transport'!$S$4:$S$10000,'Data-Transport'!$A$4:$A$10000,'Mar20-Aug20 Transport Actuals'!M$4,'Data-Transport'!$B$4:$B$10000,'Mar20-Aug20 Transport Actuals'!$C$375,'Data-Transport'!$D$4:$D$10000,'Mar20-Aug20 Transport Actuals'!$F$375,'Data-Transport'!$E$4:$E$10000,'Mar20-Aug20 Transport Actuals'!$H$375,'Data-Transport'!$F$4:$F$10000,'Mar20-Aug20 Transport Actuals'!M$6)</f>
        <v>0</v>
      </c>
      <c r="N375" s="472">
        <f>SUMIFS('Data-Transport'!$S$4:$S$10000,'Data-Transport'!$A$4:$A$10000,'Mar20-Aug20 Transport Actuals'!N$4,'Data-Transport'!$B$4:$B$10000,'Mar20-Aug20 Transport Actuals'!$C$375,'Data-Transport'!$D$4:$D$10000,'Mar20-Aug20 Transport Actuals'!$F$375,'Data-Transport'!$E$4:$E$10000,'Mar20-Aug20 Transport Actuals'!$H$375,'Data-Transport'!$F$4:$F$10000,'Mar20-Aug20 Transport Actuals'!N$6)</f>
        <v>0</v>
      </c>
      <c r="O375" s="472">
        <f>SUMIFS('Data-Transport'!$S$4:$S$10000,'Data-Transport'!$A$4:$A$10000,'Mar20-Aug20 Transport Actuals'!O$4,'Data-Transport'!$B$4:$B$10000,'Mar20-Aug20 Transport Actuals'!$C$375,'Data-Transport'!$D$4:$D$10000,'Mar20-Aug20 Transport Actuals'!$F$375,'Data-Transport'!$E$4:$E$10000,'Mar20-Aug20 Transport Actuals'!$H$375,'Data-Transport'!$F$4:$F$10000,'Mar20-Aug20 Transport Actuals'!O$6)</f>
        <v>0</v>
      </c>
      <c r="P375" s="871">
        <f t="shared" si="129"/>
        <v>0</v>
      </c>
      <c r="Q375" s="869"/>
      <c r="R375" s="869"/>
    </row>
    <row r="376" spans="3:18" x14ac:dyDescent="0.25">
      <c r="C376" s="169"/>
      <c r="D376" s="169"/>
      <c r="E376" s="167"/>
      <c r="F376" s="169"/>
      <c r="G376" s="170" t="s">
        <v>169</v>
      </c>
      <c r="H376" s="167"/>
      <c r="I376" s="466">
        <f t="shared" ref="I376:O376" si="131">SUM(I370:I375)</f>
        <v>0</v>
      </c>
      <c r="J376" s="466">
        <f t="shared" si="131"/>
        <v>0</v>
      </c>
      <c r="K376" s="466">
        <f t="shared" si="131"/>
        <v>0</v>
      </c>
      <c r="L376" s="466">
        <f t="shared" si="131"/>
        <v>0</v>
      </c>
      <c r="M376" s="466">
        <f t="shared" si="131"/>
        <v>0</v>
      </c>
      <c r="N376" s="466">
        <f t="shared" si="131"/>
        <v>0</v>
      </c>
      <c r="O376" s="466">
        <f t="shared" si="131"/>
        <v>0</v>
      </c>
      <c r="P376" s="871">
        <f t="shared" si="129"/>
        <v>0</v>
      </c>
      <c r="Q376" s="869"/>
      <c r="R376" s="869"/>
    </row>
    <row r="377" spans="3:18" x14ac:dyDescent="0.25">
      <c r="C377" s="169"/>
      <c r="D377" s="169"/>
      <c r="E377" s="167"/>
      <c r="F377" s="169"/>
      <c r="G377" s="170"/>
      <c r="H377" s="167"/>
      <c r="I377" s="466"/>
      <c r="J377" s="466"/>
      <c r="K377" s="466"/>
      <c r="L377" s="466"/>
      <c r="M377" s="466"/>
      <c r="N377" s="466"/>
      <c r="O377" s="466"/>
      <c r="P377" s="871"/>
      <c r="Q377" s="869"/>
      <c r="R377" s="869"/>
    </row>
    <row r="378" spans="3:18" x14ac:dyDescent="0.25">
      <c r="C378" s="169"/>
      <c r="D378" s="169"/>
      <c r="E378" s="167"/>
      <c r="F378" s="169"/>
      <c r="G378" s="170" t="s">
        <v>468</v>
      </c>
      <c r="H378" s="167"/>
      <c r="I378" s="466">
        <f t="shared" ref="I378:O378" si="132">I359+I376</f>
        <v>0</v>
      </c>
      <c r="J378" s="466">
        <f t="shared" si="132"/>
        <v>0</v>
      </c>
      <c r="K378" s="466">
        <f t="shared" si="132"/>
        <v>0</v>
      </c>
      <c r="L378" s="466">
        <f t="shared" si="132"/>
        <v>0</v>
      </c>
      <c r="M378" s="466">
        <f t="shared" si="132"/>
        <v>0</v>
      </c>
      <c r="N378" s="466">
        <f t="shared" si="132"/>
        <v>0</v>
      </c>
      <c r="O378" s="466">
        <f t="shared" si="132"/>
        <v>0</v>
      </c>
      <c r="P378" s="871">
        <f t="shared" si="129"/>
        <v>0</v>
      </c>
      <c r="Q378" s="869"/>
      <c r="R378" s="869"/>
    </row>
    <row r="379" spans="3:18" x14ac:dyDescent="0.25">
      <c r="C379" s="169"/>
      <c r="D379" s="169"/>
      <c r="E379" s="167"/>
      <c r="F379" s="169"/>
      <c r="G379" s="174"/>
      <c r="H379" s="167"/>
      <c r="I379" s="169"/>
      <c r="J379" s="169"/>
      <c r="K379" s="169"/>
      <c r="L379" s="169"/>
      <c r="M379" s="169"/>
      <c r="N379" s="169"/>
      <c r="O379" s="169"/>
      <c r="P379" s="871"/>
      <c r="Q379" s="869"/>
      <c r="R379" s="869"/>
    </row>
    <row r="380" spans="3:18" x14ac:dyDescent="0.25">
      <c r="C380" s="169"/>
      <c r="D380" s="169"/>
      <c r="E380" s="167"/>
      <c r="F380" s="169" t="s">
        <v>460</v>
      </c>
      <c r="G380" s="175" t="s">
        <v>274</v>
      </c>
      <c r="H380" s="167"/>
      <c r="I380" s="470">
        <f>SUMIFS('Bruise Report-Tariff'!$C$5:$C$2982,'Bruise Report-Tariff'!$A$5:$A$2982,'Mar20-Aug20 Transport Actuals'!I$4,'Bruise Report-Tariff'!$B$5:$B$2982,'Mar20-Aug20 Transport Actuals'!$F$380)</f>
        <v>0</v>
      </c>
      <c r="J380" s="470">
        <f>SUMIFS('Bruise Report-Tariff'!$C$5:$C$2982,'Bruise Report-Tariff'!$A$5:$A$2982,'Mar20-Aug20 Transport Actuals'!J$4,'Bruise Report-Tariff'!$B$5:$B$2982,'Mar20-Aug20 Transport Actuals'!$F$380)</f>
        <v>0</v>
      </c>
      <c r="K380" s="470">
        <f>SUMIFS('Bruise Report-Tariff'!$C$5:$C$2982,'Bruise Report-Tariff'!$A$5:$A$2982,'Mar20-Aug20 Transport Actuals'!K$4,'Bruise Report-Tariff'!$B$5:$B$2982,'Mar20-Aug20 Transport Actuals'!$F$380)</f>
        <v>0</v>
      </c>
      <c r="L380" s="470">
        <f>SUMIFS('Bruise Report-Tariff'!$C$5:$C$2982,'Bruise Report-Tariff'!$A$5:$A$2982,'Mar20-Aug20 Transport Actuals'!L$4,'Bruise Report-Tariff'!$B$5:$B$2982,'Mar20-Aug20 Transport Actuals'!$F$380)</f>
        <v>0</v>
      </c>
      <c r="M380" s="470">
        <f>SUMIFS('Bruise Report-Tariff'!$C$5:$C$2982,'Bruise Report-Tariff'!$A$5:$A$2982,'Mar20-Aug20 Transport Actuals'!M$4,'Bruise Report-Tariff'!$B$5:$B$2982,'Mar20-Aug20 Transport Actuals'!$F$380)</f>
        <v>0</v>
      </c>
      <c r="N380" s="470">
        <f>SUMIFS('Bruise Report-Tariff'!$C$5:$C$2982,'Bruise Report-Tariff'!$A$5:$A$2982,'Mar20-Aug20 Transport Actuals'!N$4,'Bruise Report-Tariff'!$B$5:$B$2982,'Mar20-Aug20 Transport Actuals'!$F$380)</f>
        <v>0</v>
      </c>
      <c r="O380" s="470">
        <f>SUMIFS('Bruise Report-Tariff'!$C$5:$C$2982,'Bruise Report-Tariff'!$A$5:$A$2982,'Mar20-Aug20 Transport Actuals'!O$4,'Bruise Report-Tariff'!$B$5:$B$2982,'Mar20-Aug20 Transport Actuals'!$F$380)</f>
        <v>0</v>
      </c>
      <c r="P380" s="871">
        <f t="shared" si="129"/>
        <v>0</v>
      </c>
      <c r="Q380" s="869"/>
      <c r="R380" s="869"/>
    </row>
    <row r="381" spans="3:18" x14ac:dyDescent="0.25">
      <c r="C381" s="169"/>
      <c r="D381" s="169"/>
      <c r="E381" s="167"/>
      <c r="F381" s="169"/>
      <c r="G381" s="167"/>
      <c r="H381" s="167"/>
      <c r="I381" s="169"/>
      <c r="J381" s="169"/>
      <c r="K381" s="169"/>
      <c r="L381" s="169"/>
      <c r="M381" s="169"/>
      <c r="N381" s="169"/>
      <c r="O381" s="169"/>
      <c r="P381" s="871"/>
      <c r="Q381" s="869"/>
      <c r="R381" s="869"/>
    </row>
    <row r="382" spans="3:18" x14ac:dyDescent="0.25">
      <c r="C382" s="169"/>
      <c r="D382" s="169"/>
      <c r="E382" s="167"/>
      <c r="F382" s="169"/>
      <c r="G382" s="175" t="s">
        <v>152</v>
      </c>
      <c r="H382" s="167"/>
      <c r="I382" s="466">
        <f>I378-I380</f>
        <v>0</v>
      </c>
      <c r="J382" s="466">
        <f t="shared" ref="J382:O382" si="133">J378-J380</f>
        <v>0</v>
      </c>
      <c r="K382" s="466">
        <f t="shared" si="133"/>
        <v>0</v>
      </c>
      <c r="L382" s="466">
        <f t="shared" si="133"/>
        <v>0</v>
      </c>
      <c r="M382" s="466">
        <f t="shared" si="133"/>
        <v>0</v>
      </c>
      <c r="N382" s="466">
        <f t="shared" si="133"/>
        <v>0</v>
      </c>
      <c r="O382" s="466">
        <f t="shared" si="133"/>
        <v>0</v>
      </c>
      <c r="P382" s="871">
        <f t="shared" si="129"/>
        <v>0</v>
      </c>
      <c r="Q382" s="869"/>
      <c r="R382" s="869"/>
    </row>
    <row r="383" spans="3:18" x14ac:dyDescent="0.25">
      <c r="C383" s="169"/>
      <c r="D383" s="169"/>
      <c r="E383" s="167"/>
      <c r="F383" s="169"/>
      <c r="G383" s="175"/>
      <c r="H383" s="167"/>
      <c r="I383" s="466"/>
      <c r="J383" s="209"/>
      <c r="K383" s="209"/>
      <c r="L383" s="209"/>
      <c r="M383" s="209"/>
      <c r="N383" s="209"/>
      <c r="O383" s="209"/>
      <c r="P383" s="466"/>
      <c r="Q383" s="869"/>
      <c r="R383" s="869"/>
    </row>
    <row r="384" spans="3:18" x14ac:dyDescent="0.25">
      <c r="C384" s="167"/>
      <c r="D384" s="167"/>
      <c r="E384" s="167"/>
      <c r="F384" s="167"/>
      <c r="G384" s="175"/>
      <c r="H384" s="167"/>
      <c r="I384" s="169"/>
      <c r="J384" s="167"/>
      <c r="K384" s="167"/>
      <c r="L384" s="167"/>
      <c r="M384" s="167"/>
      <c r="N384" s="167"/>
      <c r="O384" s="167"/>
      <c r="P384" s="167"/>
      <c r="Q384" s="869"/>
      <c r="R384" s="869"/>
    </row>
    <row r="385" spans="3:16" x14ac:dyDescent="0.25">
      <c r="C385" s="176"/>
      <c r="D385" s="176"/>
      <c r="E385" s="176"/>
      <c r="F385" s="176"/>
      <c r="G385" s="176"/>
      <c r="H385" s="873" t="s">
        <v>276</v>
      </c>
      <c r="I385" s="874">
        <f t="shared" ref="I385:O386" si="134">I4</f>
        <v>43891</v>
      </c>
      <c r="J385" s="874">
        <f t="shared" si="134"/>
        <v>43922</v>
      </c>
      <c r="K385" s="874">
        <f t="shared" si="134"/>
        <v>43952</v>
      </c>
      <c r="L385" s="874">
        <f t="shared" si="134"/>
        <v>43983</v>
      </c>
      <c r="M385" s="874">
        <f t="shared" si="134"/>
        <v>44013</v>
      </c>
      <c r="N385" s="874">
        <f t="shared" si="134"/>
        <v>44044</v>
      </c>
      <c r="O385" s="874">
        <f t="shared" si="134"/>
        <v>44075</v>
      </c>
      <c r="P385" s="176"/>
    </row>
    <row r="386" spans="3:16" ht="13.5" customHeight="1" x14ac:dyDescent="0.25">
      <c r="C386" s="176"/>
      <c r="D386" s="176"/>
      <c r="E386" s="176"/>
      <c r="F386" s="176"/>
      <c r="G386" s="176"/>
      <c r="H386" s="873" t="s">
        <v>275</v>
      </c>
      <c r="I386" s="874">
        <f t="shared" si="134"/>
        <v>43862</v>
      </c>
      <c r="J386" s="874">
        <f t="shared" si="134"/>
        <v>43891</v>
      </c>
      <c r="K386" s="874">
        <f t="shared" si="134"/>
        <v>43922</v>
      </c>
      <c r="L386" s="874">
        <f t="shared" si="134"/>
        <v>43952</v>
      </c>
      <c r="M386" s="874">
        <f t="shared" si="134"/>
        <v>43983</v>
      </c>
      <c r="N386" s="874">
        <f t="shared" si="134"/>
        <v>44013</v>
      </c>
      <c r="O386" s="874">
        <f t="shared" si="134"/>
        <v>44044</v>
      </c>
      <c r="P386" s="873" t="s">
        <v>536</v>
      </c>
    </row>
    <row r="387" spans="3:16" ht="18.75" customHeight="1" x14ac:dyDescent="0.35">
      <c r="C387" s="177" t="s">
        <v>8</v>
      </c>
      <c r="D387" s="177" t="s">
        <v>87</v>
      </c>
      <c r="E387" s="177" t="s">
        <v>88</v>
      </c>
      <c r="F387" s="177"/>
      <c r="G387" s="177"/>
      <c r="H387" s="156" t="s">
        <v>264</v>
      </c>
      <c r="I387" s="178" t="s">
        <v>364</v>
      </c>
      <c r="J387" s="178" t="s">
        <v>364</v>
      </c>
      <c r="K387" s="178" t="s">
        <v>364</v>
      </c>
      <c r="L387" s="178" t="s">
        <v>364</v>
      </c>
      <c r="M387" s="178" t="s">
        <v>364</v>
      </c>
      <c r="N387" s="178" t="s">
        <v>364</v>
      </c>
      <c r="O387" s="178" t="s">
        <v>364</v>
      </c>
      <c r="P387" s="176"/>
    </row>
    <row r="388" spans="3:16" ht="18" customHeight="1" x14ac:dyDescent="0.35">
      <c r="C388" s="177"/>
      <c r="D388" s="177"/>
      <c r="E388" s="177"/>
      <c r="F388" s="177"/>
      <c r="G388" s="177"/>
      <c r="H388" s="156" t="s">
        <v>264</v>
      </c>
      <c r="I388" s="178" t="s">
        <v>270</v>
      </c>
      <c r="J388" s="178" t="s">
        <v>270</v>
      </c>
      <c r="K388" s="178" t="s">
        <v>270</v>
      </c>
      <c r="L388" s="178" t="s">
        <v>270</v>
      </c>
      <c r="M388" s="178" t="s">
        <v>270</v>
      </c>
      <c r="N388" s="178" t="s">
        <v>270</v>
      </c>
      <c r="O388" s="178" t="s">
        <v>270</v>
      </c>
      <c r="P388" s="176"/>
    </row>
    <row r="389" spans="3:16" x14ac:dyDescent="0.25">
      <c r="C389" s="176"/>
      <c r="D389" s="176"/>
      <c r="E389" s="176"/>
      <c r="F389" s="176"/>
      <c r="G389" s="176"/>
      <c r="H389" s="176"/>
      <c r="I389" s="180"/>
      <c r="J389" s="176"/>
      <c r="K389" s="176"/>
      <c r="L389" s="176"/>
      <c r="M389" s="176"/>
      <c r="N389" s="176"/>
      <c r="O389" s="176"/>
      <c r="P389" s="176"/>
    </row>
    <row r="390" spans="3:16" x14ac:dyDescent="0.25">
      <c r="C390" s="176"/>
      <c r="D390" s="176"/>
      <c r="E390" s="176"/>
      <c r="F390" s="176"/>
      <c r="G390" s="179" t="s">
        <v>353</v>
      </c>
      <c r="H390" s="179"/>
      <c r="I390" s="180"/>
      <c r="J390" s="176"/>
      <c r="K390" s="176"/>
      <c r="L390" s="176"/>
      <c r="M390" s="176"/>
      <c r="N390" s="176"/>
      <c r="O390" s="176"/>
      <c r="P390" s="176"/>
    </row>
    <row r="391" spans="3:16" x14ac:dyDescent="0.25">
      <c r="C391" s="180"/>
      <c r="D391" s="180"/>
      <c r="E391" s="176"/>
      <c r="F391" s="180"/>
      <c r="G391" s="182"/>
      <c r="H391" s="182"/>
      <c r="I391" s="481"/>
      <c r="J391" s="176"/>
      <c r="K391" s="176"/>
      <c r="L391" s="176"/>
      <c r="M391" s="176"/>
      <c r="N391" s="176"/>
      <c r="O391" s="176"/>
      <c r="P391" s="176"/>
    </row>
    <row r="392" spans="3:16" x14ac:dyDescent="0.25">
      <c r="C392" s="180" t="s">
        <v>34</v>
      </c>
      <c r="D392" s="180" t="str">
        <f>MID(C392,6,3)</f>
        <v>895</v>
      </c>
      <c r="E392" s="176" t="str">
        <f>VLOOKUP($C392,'Retail Rates'!$B$7:$P$40,2,FALSE)</f>
        <v>FT-C</v>
      </c>
      <c r="F392" s="180" t="s">
        <v>318</v>
      </c>
      <c r="G392" s="181" t="s">
        <v>158</v>
      </c>
      <c r="H392" s="156" t="s">
        <v>265</v>
      </c>
      <c r="I392" s="494">
        <f>SUMIFS('Data-Cashout'!$G$3:$G$3100,'Data-Cashout'!$A$3:$A$3100,'Mar20-Aug20 Transport Actuals'!I$385,'Data-Cashout'!$B$3:$B$3100,'Mar20-Aug20 Transport Actuals'!$C$392,'Data-Cashout'!$D$3:$D$3100,'Mar20-Aug20 Transport Actuals'!$F$392,'Data-Cashout'!$E$3:$E$3100,'Mar20-Aug20 Transport Actuals'!$H$392,'Data-Cashout'!$F$3:$F$3100,'Mar20-Aug20 Transport Actuals'!I$388)/10</f>
        <v>0</v>
      </c>
      <c r="J392" s="494">
        <f>SUMIFS('Data-Cashout'!$H$3:$H$3100,'Data-Cashout'!$A$3:$A$3100,'Mar20-Aug20 Transport Actuals'!J$385,'Data-Cashout'!$B$3:$B$3100,'Mar20-Aug20 Transport Actuals'!$C$392,'Data-Cashout'!$D$3:$D$3100,'Mar20-Aug20 Transport Actuals'!$F$392,'Data-Cashout'!$E$3:$E$3100,'Mar20-Aug20 Transport Actuals'!$H$392,'Data-Cashout'!$F$3:$F$3100,'Mar20-Aug20 Transport Actuals'!J$388)/10</f>
        <v>0</v>
      </c>
      <c r="K392" s="494">
        <f>SUMIFS('Data-Cashout'!$H$3:$H$3100,'Data-Cashout'!$A$3:$A$3100,'Mar20-Aug20 Transport Actuals'!K$385,'Data-Cashout'!$B$3:$B$3100,'Mar20-Aug20 Transport Actuals'!$C$392,'Data-Cashout'!$D$3:$D$3100,'Mar20-Aug20 Transport Actuals'!$F$392,'Data-Cashout'!$E$3:$E$3100,'Mar20-Aug20 Transport Actuals'!$H$392,'Data-Cashout'!$F$3:$F$3100,'Mar20-Aug20 Transport Actuals'!K$388)/10</f>
        <v>0</v>
      </c>
      <c r="L392" s="494">
        <f>SUMIFS('Data-Cashout'!$H$3:$H$3100,'Data-Cashout'!$A$3:$A$3100,'Mar20-Aug20 Transport Actuals'!L$385,'Data-Cashout'!$B$3:$B$3100,'Mar20-Aug20 Transport Actuals'!$C$392,'Data-Cashout'!$D$3:$D$3100,'Mar20-Aug20 Transport Actuals'!$F$392,'Data-Cashout'!$E$3:$E$3100,'Mar20-Aug20 Transport Actuals'!$H$392,'Data-Cashout'!$F$3:$F$3100,'Mar20-Aug20 Transport Actuals'!L$388)/10</f>
        <v>0</v>
      </c>
      <c r="M392" s="494">
        <f>SUMIFS('Data-Cashout'!$H$3:$H$3100,'Data-Cashout'!$A$3:$A$3100,'Mar20-Aug20 Transport Actuals'!M$385,'Data-Cashout'!$B$3:$B$3100,'Mar20-Aug20 Transport Actuals'!$C$392,'Data-Cashout'!$D$3:$D$3100,'Mar20-Aug20 Transport Actuals'!$F$392,'Data-Cashout'!$E$3:$E$3100,'Mar20-Aug20 Transport Actuals'!$H$392,'Data-Cashout'!$F$3:$F$3100,'Mar20-Aug20 Transport Actuals'!M$388)/10</f>
        <v>0</v>
      </c>
      <c r="N392" s="494">
        <f>SUMIFS('Data-Cashout'!$H$3:$H$3100,'Data-Cashout'!$A$3:$A$3100,'Mar20-Aug20 Transport Actuals'!N$385,'Data-Cashout'!$B$3:$B$3100,'Mar20-Aug20 Transport Actuals'!$C$392,'Data-Cashout'!$D$3:$D$3100,'Mar20-Aug20 Transport Actuals'!$F$392,'Data-Cashout'!$E$3:$E$3100,'Mar20-Aug20 Transport Actuals'!$H$392,'Data-Cashout'!$F$3:$F$3100,'Mar20-Aug20 Transport Actuals'!N$388)/10</f>
        <v>0</v>
      </c>
      <c r="O392" s="494">
        <f>SUMIFS('Data-Cashout'!$H$3:$H$3100,'Data-Cashout'!$A$3:$A$3100,'Mar20-Aug20 Transport Actuals'!O$385,'Data-Cashout'!$B$3:$B$3100,'Mar20-Aug20 Transport Actuals'!$C$392,'Data-Cashout'!$D$3:$D$3100,'Mar20-Aug20 Transport Actuals'!$F$392,'Data-Cashout'!$E$3:$E$3100,'Mar20-Aug20 Transport Actuals'!$H$392,'Data-Cashout'!$F$3:$F$3100,'Mar20-Aug20 Transport Actuals'!O$388)/10</f>
        <v>0</v>
      </c>
      <c r="P392" s="288">
        <f>SUM(I392:N392)</f>
        <v>0</v>
      </c>
    </row>
    <row r="393" spans="3:16" x14ac:dyDescent="0.25">
      <c r="C393" s="180" t="s">
        <v>49</v>
      </c>
      <c r="D393" s="180" t="str">
        <f>MID(C393,6,3)</f>
        <v>895</v>
      </c>
      <c r="E393" s="176" t="str">
        <f>VLOOKUP($C393,'Retail Rates'!$B$7:$P$40,2,FALSE)</f>
        <v>FT-C-PM</v>
      </c>
      <c r="F393" s="180" t="s">
        <v>318</v>
      </c>
      <c r="G393" s="181" t="s">
        <v>158</v>
      </c>
      <c r="H393" s="156" t="s">
        <v>265</v>
      </c>
      <c r="I393" s="494">
        <f>SUMIFS('Data-Cashout'!$G$3:$G$3100,'Data-Cashout'!$A$3:$A$3100,'Mar20-Aug20 Transport Actuals'!I$385,'Data-Cashout'!$B$3:$B$3100,'Mar20-Aug20 Transport Actuals'!$C$393,'Data-Cashout'!$D$3:$D$3100,'Mar20-Aug20 Transport Actuals'!$F$393,'Data-Cashout'!$E$3:$E$3100,'Mar20-Aug20 Transport Actuals'!$H$393,'Data-Cashout'!$F$3:$F$3100,'Mar20-Aug20 Transport Actuals'!I$388)/10</f>
        <v>0</v>
      </c>
      <c r="J393" s="496">
        <f>SUMIFS('Data-Cashout'!$H$3:$H$3100,'Data-Cashout'!$A$3:$A$3100,'Mar20-Aug20 Transport Actuals'!J$385,'Data-Cashout'!$B$3:$B$3100,'Mar20-Aug20 Transport Actuals'!$C$393,'Data-Cashout'!$D$3:$D$3100,'Mar20-Aug20 Transport Actuals'!$F$393,'Data-Cashout'!$E$3:$E$3100,'Mar20-Aug20 Transport Actuals'!$H$393,'Data-Cashout'!$F$3:$F$3100,'Mar20-Aug20 Transport Actuals'!J$388)/10</f>
        <v>0</v>
      </c>
      <c r="K393" s="496">
        <f>SUMIFS('Data-Cashout'!$H$3:$H$3100,'Data-Cashout'!$A$3:$A$3100,'Mar20-Aug20 Transport Actuals'!K$385,'Data-Cashout'!$B$3:$B$3100,'Mar20-Aug20 Transport Actuals'!$C$393,'Data-Cashout'!$D$3:$D$3100,'Mar20-Aug20 Transport Actuals'!$F$393,'Data-Cashout'!$E$3:$E$3100,'Mar20-Aug20 Transport Actuals'!$H$393,'Data-Cashout'!$F$3:$F$3100,'Mar20-Aug20 Transport Actuals'!K$388)/10</f>
        <v>0</v>
      </c>
      <c r="L393" s="496">
        <f>SUMIFS('Data-Cashout'!$H$3:$H$3100,'Data-Cashout'!$A$3:$A$3100,'Mar20-Aug20 Transport Actuals'!L$385,'Data-Cashout'!$B$3:$B$3100,'Mar20-Aug20 Transport Actuals'!$C$393,'Data-Cashout'!$D$3:$D$3100,'Mar20-Aug20 Transport Actuals'!$F$393,'Data-Cashout'!$E$3:$E$3100,'Mar20-Aug20 Transport Actuals'!$H$393,'Data-Cashout'!$F$3:$F$3100,'Mar20-Aug20 Transport Actuals'!L$388)/10</f>
        <v>0</v>
      </c>
      <c r="M393" s="496">
        <f>SUMIFS('Data-Cashout'!$H$3:$H$3100,'Data-Cashout'!$A$3:$A$3100,'Mar20-Aug20 Transport Actuals'!M$385,'Data-Cashout'!$B$3:$B$3100,'Mar20-Aug20 Transport Actuals'!$C$393,'Data-Cashout'!$D$3:$D$3100,'Mar20-Aug20 Transport Actuals'!$F$393,'Data-Cashout'!$E$3:$E$3100,'Mar20-Aug20 Transport Actuals'!$H$393,'Data-Cashout'!$F$3:$F$3100,'Mar20-Aug20 Transport Actuals'!M$388)/10</f>
        <v>0</v>
      </c>
      <c r="N393" s="496">
        <f>SUMIFS('Data-Cashout'!$H$3:$H$3100,'Data-Cashout'!$A$3:$A$3100,'Mar20-Aug20 Transport Actuals'!N$385,'Data-Cashout'!$B$3:$B$3100,'Mar20-Aug20 Transport Actuals'!$C$393,'Data-Cashout'!$D$3:$D$3100,'Mar20-Aug20 Transport Actuals'!$F$393,'Data-Cashout'!$E$3:$E$3100,'Mar20-Aug20 Transport Actuals'!$H$393,'Data-Cashout'!$F$3:$F$3100,'Mar20-Aug20 Transport Actuals'!N$388)/10</f>
        <v>0</v>
      </c>
      <c r="O393" s="496">
        <f>SUMIFS('Data-Cashout'!$H$3:$H$3100,'Data-Cashout'!$A$3:$A$3100,'Mar20-Aug20 Transport Actuals'!O$385,'Data-Cashout'!$B$3:$B$3100,'Mar20-Aug20 Transport Actuals'!$C$393,'Data-Cashout'!$D$3:$D$3100,'Mar20-Aug20 Transport Actuals'!$F$393,'Data-Cashout'!$E$3:$E$3100,'Mar20-Aug20 Transport Actuals'!$H$393,'Data-Cashout'!$F$3:$F$3100,'Mar20-Aug20 Transport Actuals'!O$388)/10</f>
        <v>0</v>
      </c>
      <c r="P393" s="288">
        <f>SUM(I393:N393)</f>
        <v>0</v>
      </c>
    </row>
    <row r="394" spans="3:16" x14ac:dyDescent="0.25">
      <c r="C394" s="180"/>
      <c r="D394" s="180"/>
      <c r="E394" s="176"/>
      <c r="F394" s="180"/>
      <c r="G394" s="181" t="s">
        <v>160</v>
      </c>
      <c r="H394" s="182"/>
      <c r="I394" s="481">
        <f>VLOOKUP($C$392,'Retail Rates'!$B$7:$P$40,10,FALSE)</f>
        <v>3.7999999999999999E-2</v>
      </c>
      <c r="J394" s="481">
        <f>VLOOKUP($C$392,'Retail Rates'!$B$7:$P$40,10,FALSE)</f>
        <v>3.7999999999999999E-2</v>
      </c>
      <c r="K394" s="481">
        <f>VLOOKUP($C$392,'Retail Rates'!$B$7:$P$40,10,FALSE)</f>
        <v>3.7999999999999999E-2</v>
      </c>
      <c r="L394" s="481">
        <f>VLOOKUP($C$392,'Retail Rates'!$B$7:$P$40,10,FALSE)</f>
        <v>3.7999999999999999E-2</v>
      </c>
      <c r="M394" s="481">
        <f>VLOOKUP($C$392,'Retail Rates'!$B$7:$P$40,10,FALSE)</f>
        <v>3.7999999999999999E-2</v>
      </c>
      <c r="N394" s="481">
        <f>VLOOKUP($C$392,'Retail Rates'!$B$7:$P$40,10,FALSE)</f>
        <v>3.7999999999999999E-2</v>
      </c>
      <c r="O394" s="481">
        <f>VLOOKUP($C$392,'Retail Rates'!$B$7:$P$40,10,FALSE)</f>
        <v>3.7999999999999999E-2</v>
      </c>
      <c r="P394" s="176"/>
    </row>
    <row r="395" spans="3:16" x14ac:dyDescent="0.25">
      <c r="C395" s="180"/>
      <c r="D395" s="180"/>
      <c r="E395" s="176"/>
      <c r="F395" s="180"/>
      <c r="G395" s="181" t="s">
        <v>161</v>
      </c>
      <c r="H395" s="182"/>
      <c r="I395" s="500">
        <f>VLOOKUP(I$385,'GSC-DSM-GLT Factors'!$A$9:$P$52,6,FALSE)</f>
        <v>1.8000000000000001E-4</v>
      </c>
      <c r="J395" s="500">
        <f>VLOOKUP(J$385,'GSC-DSM-GLT Factors'!$A$9:$P$52,6,FALSE)</f>
        <v>4.8000000000000001E-4</v>
      </c>
      <c r="K395" s="500">
        <f>VLOOKUP(K$385,'GSC-DSM-GLT Factors'!$A$9:$P$52,6,FALSE)</f>
        <v>4.8000000000000001E-4</v>
      </c>
      <c r="L395" s="500">
        <f>VLOOKUP(L$385,'GSC-DSM-GLT Factors'!$A$9:$P$52,6,FALSE)</f>
        <v>4.8000000000000001E-4</v>
      </c>
      <c r="M395" s="500">
        <f>VLOOKUP(M$385,'GSC-DSM-GLT Factors'!$A$9:$P$52,6,FALSE)</f>
        <v>4.8000000000000001E-4</v>
      </c>
      <c r="N395" s="500">
        <f>VLOOKUP(N$385,'GSC-DSM-GLT Factors'!$A$9:$P$52,6,FALSE)</f>
        <v>4.8000000000000001E-4</v>
      </c>
      <c r="O395" s="500">
        <f>VLOOKUP(O$385,'GSC-DSM-GLT Factors'!$A$9:$P$52,6,FALSE)</f>
        <v>4.8000000000000001E-4</v>
      </c>
      <c r="P395" s="176"/>
    </row>
    <row r="396" spans="3:16" x14ac:dyDescent="0.25">
      <c r="C396" s="180"/>
      <c r="D396" s="180"/>
      <c r="E396" s="176"/>
      <c r="F396" s="180"/>
      <c r="G396" s="181" t="s">
        <v>366</v>
      </c>
      <c r="H396" s="182"/>
      <c r="I396" s="500">
        <f>VLOOKUP(I$385,'GSC-DSM-GLT Factors'!$A$9:$P$52,16,FALSE)</f>
        <v>4.8000000000000004E-3</v>
      </c>
      <c r="J396" s="500">
        <f>VLOOKUP(J$385,'GSC-DSM-GLT Factors'!$A$9:$P$52,16,FALSE)</f>
        <v>4.8000000000000004E-3</v>
      </c>
      <c r="K396" s="500">
        <f>VLOOKUP(K$385,'GSC-DSM-GLT Factors'!$A$9:$P$52,16,FALSE)</f>
        <v>9.7999999999999997E-3</v>
      </c>
      <c r="L396" s="500">
        <f>VLOOKUP(L$385,'GSC-DSM-GLT Factors'!$A$9:$P$52,16,FALSE)</f>
        <v>9.7999999999999997E-3</v>
      </c>
      <c r="M396" s="500">
        <f>VLOOKUP(M$385,'GSC-DSM-GLT Factors'!$A$9:$P$52,16,FALSE)</f>
        <v>9.7999999999999997E-3</v>
      </c>
      <c r="N396" s="500">
        <f>VLOOKUP(N$385,'GSC-DSM-GLT Factors'!$A$9:$P$52,16,FALSE)</f>
        <v>9.7999999999999997E-3</v>
      </c>
      <c r="O396" s="500">
        <f>VLOOKUP(O$385,'GSC-DSM-GLT Factors'!$A$9:$P$52,16,FALSE)</f>
        <v>9.7999999999999997E-3</v>
      </c>
      <c r="P396" s="176"/>
    </row>
    <row r="397" spans="3:16" x14ac:dyDescent="0.25">
      <c r="C397" s="180"/>
      <c r="D397" s="180"/>
      <c r="E397" s="176"/>
      <c r="F397" s="180"/>
      <c r="G397" s="182" t="s">
        <v>162</v>
      </c>
      <c r="H397" s="182"/>
      <c r="I397" s="500"/>
      <c r="J397" s="500"/>
      <c r="K397" s="500"/>
      <c r="L397" s="500"/>
      <c r="M397" s="500"/>
      <c r="N397" s="500"/>
      <c r="O397" s="500"/>
      <c r="P397" s="176"/>
    </row>
    <row r="398" spans="3:16" x14ac:dyDescent="0.25">
      <c r="C398" s="180"/>
      <c r="D398" s="180"/>
      <c r="E398" s="176"/>
      <c r="F398" s="180"/>
      <c r="G398" s="181" t="s">
        <v>637</v>
      </c>
      <c r="H398" s="182"/>
      <c r="I398" s="501">
        <f>SUM(I392:I393)*I394</f>
        <v>0</v>
      </c>
      <c r="J398" s="501">
        <f t="shared" ref="J398:O398" si="135">SUM(J392:J393)*J394</f>
        <v>0</v>
      </c>
      <c r="K398" s="501">
        <f t="shared" si="135"/>
        <v>0</v>
      </c>
      <c r="L398" s="501">
        <f t="shared" si="135"/>
        <v>0</v>
      </c>
      <c r="M398" s="501">
        <f t="shared" si="135"/>
        <v>0</v>
      </c>
      <c r="N398" s="501">
        <f t="shared" si="135"/>
        <v>0</v>
      </c>
      <c r="O398" s="501">
        <f t="shared" si="135"/>
        <v>0</v>
      </c>
      <c r="P398" s="288">
        <f t="shared" ref="P398:P406" si="136">SUM(I398:N398)</f>
        <v>0</v>
      </c>
    </row>
    <row r="399" spans="3:16" x14ac:dyDescent="0.25">
      <c r="C399" s="180"/>
      <c r="D399" s="180"/>
      <c r="E399" s="176"/>
      <c r="F399" s="180"/>
      <c r="G399" s="181" t="s">
        <v>352</v>
      </c>
      <c r="H399" s="182"/>
      <c r="I399" s="501">
        <f>SUM(I392:I393)*I395</f>
        <v>0</v>
      </c>
      <c r="J399" s="501">
        <f t="shared" ref="J399:O399" si="137">SUM(J392:J393)*J395</f>
        <v>0</v>
      </c>
      <c r="K399" s="501">
        <f t="shared" si="137"/>
        <v>0</v>
      </c>
      <c r="L399" s="501">
        <f t="shared" si="137"/>
        <v>0</v>
      </c>
      <c r="M399" s="501">
        <f t="shared" si="137"/>
        <v>0</v>
      </c>
      <c r="N399" s="501">
        <f t="shared" si="137"/>
        <v>0</v>
      </c>
      <c r="O399" s="501">
        <f t="shared" si="137"/>
        <v>0</v>
      </c>
      <c r="P399" s="288">
        <f t="shared" si="136"/>
        <v>0</v>
      </c>
    </row>
    <row r="400" spans="3:16" x14ac:dyDescent="0.25">
      <c r="C400" s="180"/>
      <c r="D400" s="180"/>
      <c r="E400" s="176"/>
      <c r="F400" s="180"/>
      <c r="G400" s="181" t="s">
        <v>638</v>
      </c>
      <c r="H400" s="182"/>
      <c r="I400" s="501">
        <f>SUM(I392:I393)*I396</f>
        <v>0</v>
      </c>
      <c r="J400" s="501">
        <f t="shared" ref="J400:O400" si="138">SUM(J392:J393)*J396</f>
        <v>0</v>
      </c>
      <c r="K400" s="501">
        <f t="shared" si="138"/>
        <v>0</v>
      </c>
      <c r="L400" s="501">
        <f t="shared" si="138"/>
        <v>0</v>
      </c>
      <c r="M400" s="501">
        <f t="shared" si="138"/>
        <v>0</v>
      </c>
      <c r="N400" s="501">
        <f t="shared" si="138"/>
        <v>0</v>
      </c>
      <c r="O400" s="501">
        <f t="shared" si="138"/>
        <v>0</v>
      </c>
      <c r="P400" s="288">
        <f t="shared" si="136"/>
        <v>0</v>
      </c>
    </row>
    <row r="401" spans="3:16" x14ac:dyDescent="0.25">
      <c r="C401" s="180" t="s">
        <v>34</v>
      </c>
      <c r="D401" s="180" t="str">
        <f>MID(C401,6,3)</f>
        <v>895</v>
      </c>
      <c r="E401" s="176" t="str">
        <f>VLOOKUP($C401,'Retail Rates'!$B$7:$P$40,2,FALSE)</f>
        <v>FT-C</v>
      </c>
      <c r="F401" s="180" t="s">
        <v>318</v>
      </c>
      <c r="G401" s="181" t="s">
        <v>629</v>
      </c>
      <c r="H401" s="476" t="s">
        <v>269</v>
      </c>
      <c r="I401" s="494">
        <f>SUMIFS('Data-Cashout'!$AA$3:$AA$3100,'Data-Cashout'!$A$3:$A$3100,'Mar20-Aug20 Transport Actuals'!I$385,'Data-Cashout'!$B$3:$B$3100,'Mar20-Aug20 Transport Actuals'!$C$401,'Data-Cashout'!$D$3:$D$3100,'Mar20-Aug20 Transport Actuals'!$F$401,'Data-Cashout'!$E$3:$E$3100,'Mar20-Aug20 Transport Actuals'!$H$401,'Data-Cashout'!$F$3:$F$3100,'Mar20-Aug20 Transport Actuals'!I$387)</f>
        <v>0</v>
      </c>
      <c r="J401" s="494">
        <f>SUMIFS('Data-Cashout'!$AA$3:$AA$3100,'Data-Cashout'!$A$3:$A$3100,'Mar20-Aug20 Transport Actuals'!J$385,'Data-Cashout'!$B$3:$B$3100,'Mar20-Aug20 Transport Actuals'!$C$401,'Data-Cashout'!$D$3:$D$3100,'Mar20-Aug20 Transport Actuals'!$F$401,'Data-Cashout'!$E$3:$E$3100,'Mar20-Aug20 Transport Actuals'!$H$401,'Data-Cashout'!$F$3:$F$3100,'Mar20-Aug20 Transport Actuals'!J$387)</f>
        <v>0</v>
      </c>
      <c r="K401" s="494">
        <f>SUMIFS('Data-Cashout'!$AA$3:$AA$3100,'Data-Cashout'!$A$3:$A$3100,'Mar20-Aug20 Transport Actuals'!K$385,'Data-Cashout'!$B$3:$B$3100,'Mar20-Aug20 Transport Actuals'!$C$401,'Data-Cashout'!$D$3:$D$3100,'Mar20-Aug20 Transport Actuals'!$F$401,'Data-Cashout'!$E$3:$E$3100,'Mar20-Aug20 Transport Actuals'!$H$401,'Data-Cashout'!$F$3:$F$3100,'Mar20-Aug20 Transport Actuals'!K$387)</f>
        <v>0</v>
      </c>
      <c r="L401" s="494">
        <f>SUMIFS('Data-Cashout'!$AA$3:$AA$3100,'Data-Cashout'!$A$3:$A$3100,'Mar20-Aug20 Transport Actuals'!L$385,'Data-Cashout'!$B$3:$B$3100,'Mar20-Aug20 Transport Actuals'!$C$401,'Data-Cashout'!$D$3:$D$3100,'Mar20-Aug20 Transport Actuals'!$F$401,'Data-Cashout'!$E$3:$E$3100,'Mar20-Aug20 Transport Actuals'!$H$401,'Data-Cashout'!$F$3:$F$3100,'Mar20-Aug20 Transport Actuals'!L$387)</f>
        <v>0</v>
      </c>
      <c r="M401" s="494">
        <f>SUMIFS('Data-Cashout'!$AA$3:$AA$3100,'Data-Cashout'!$A$3:$A$3100,'Mar20-Aug20 Transport Actuals'!M$385,'Data-Cashout'!$B$3:$B$3100,'Mar20-Aug20 Transport Actuals'!$C$401,'Data-Cashout'!$D$3:$D$3100,'Mar20-Aug20 Transport Actuals'!$F$401,'Data-Cashout'!$E$3:$E$3100,'Mar20-Aug20 Transport Actuals'!$H$401,'Data-Cashout'!$F$3:$F$3100,'Mar20-Aug20 Transport Actuals'!M$387)</f>
        <v>0</v>
      </c>
      <c r="N401" s="494">
        <f>SUMIFS('Data-Cashout'!$AA$3:$AA$3100,'Data-Cashout'!$A$3:$A$3100,'Mar20-Aug20 Transport Actuals'!N$385,'Data-Cashout'!$B$3:$B$3100,'Mar20-Aug20 Transport Actuals'!$C$401,'Data-Cashout'!$D$3:$D$3100,'Mar20-Aug20 Transport Actuals'!$F$401,'Data-Cashout'!$E$3:$E$3100,'Mar20-Aug20 Transport Actuals'!$H$401,'Data-Cashout'!$F$3:$F$3100,'Mar20-Aug20 Transport Actuals'!N$387)</f>
        <v>0</v>
      </c>
      <c r="O401" s="494">
        <f>SUMIFS('Data-Cashout'!$AA$3:$AA$3100,'Data-Cashout'!$A$3:$A$3100,'Mar20-Aug20 Transport Actuals'!O$385,'Data-Cashout'!$B$3:$B$3100,'Mar20-Aug20 Transport Actuals'!$C$401,'Data-Cashout'!$D$3:$D$3100,'Mar20-Aug20 Transport Actuals'!$F$401,'Data-Cashout'!$E$3:$E$3100,'Mar20-Aug20 Transport Actuals'!$H$401,'Data-Cashout'!$F$3:$F$3100,'Mar20-Aug20 Transport Actuals'!O$387)</f>
        <v>0</v>
      </c>
      <c r="P401" s="288">
        <f t="shared" si="136"/>
        <v>0</v>
      </c>
    </row>
    <row r="402" spans="3:16" x14ac:dyDescent="0.25">
      <c r="C402" s="180" t="s">
        <v>49</v>
      </c>
      <c r="D402" s="180" t="str">
        <f>MID(C402,6,3)</f>
        <v>895</v>
      </c>
      <c r="E402" s="176" t="str">
        <f>VLOOKUP($C402,'Retail Rates'!$B$7:$P$40,2,FALSE)</f>
        <v>FT-C-PM</v>
      </c>
      <c r="F402" s="180" t="s">
        <v>318</v>
      </c>
      <c r="G402" s="181" t="s">
        <v>629</v>
      </c>
      <c r="H402" s="476" t="s">
        <v>269</v>
      </c>
      <c r="I402" s="494">
        <f>SUMIFS('Data-Cashout'!$AA$3:$AA$3100,'Data-Cashout'!$A$3:$A$3100,'Mar20-Aug20 Transport Actuals'!I$385,'Data-Cashout'!$B$3:$B$3100,'Mar20-Aug20 Transport Actuals'!$C$402,'Data-Cashout'!$D$3:$D$3100,'Mar20-Aug20 Transport Actuals'!$F$402,'Data-Cashout'!$E$3:$E$3100,'Mar20-Aug20 Transport Actuals'!$H$402,'Data-Cashout'!$F$3:$F$3100,'Mar20-Aug20 Transport Actuals'!I$387)</f>
        <v>0</v>
      </c>
      <c r="J402" s="494">
        <f>SUMIFS('Data-Cashout'!$AA$3:$AA$3100,'Data-Cashout'!$A$3:$A$3100,'Mar20-Aug20 Transport Actuals'!J$385,'Data-Cashout'!$B$3:$B$3100,'Mar20-Aug20 Transport Actuals'!$C$402,'Data-Cashout'!$D$3:$D$3100,'Mar20-Aug20 Transport Actuals'!$F$402,'Data-Cashout'!$E$3:$E$3100,'Mar20-Aug20 Transport Actuals'!$H$402,'Data-Cashout'!$F$3:$F$3100,'Mar20-Aug20 Transport Actuals'!J$387)</f>
        <v>0</v>
      </c>
      <c r="K402" s="494">
        <f>SUMIFS('Data-Cashout'!$AA$3:$AA$3100,'Data-Cashout'!$A$3:$A$3100,'Mar20-Aug20 Transport Actuals'!K$385,'Data-Cashout'!$B$3:$B$3100,'Mar20-Aug20 Transport Actuals'!$C$402,'Data-Cashout'!$D$3:$D$3100,'Mar20-Aug20 Transport Actuals'!$F$402,'Data-Cashout'!$E$3:$E$3100,'Mar20-Aug20 Transport Actuals'!$H$402,'Data-Cashout'!$F$3:$F$3100,'Mar20-Aug20 Transport Actuals'!K$387)</f>
        <v>0</v>
      </c>
      <c r="L402" s="494">
        <f>SUMIFS('Data-Cashout'!$AA$3:$AA$3100,'Data-Cashout'!$A$3:$A$3100,'Mar20-Aug20 Transport Actuals'!L$385,'Data-Cashout'!$B$3:$B$3100,'Mar20-Aug20 Transport Actuals'!$C$402,'Data-Cashout'!$D$3:$D$3100,'Mar20-Aug20 Transport Actuals'!$F$402,'Data-Cashout'!$E$3:$E$3100,'Mar20-Aug20 Transport Actuals'!$H$402,'Data-Cashout'!$F$3:$F$3100,'Mar20-Aug20 Transport Actuals'!L$387)</f>
        <v>0</v>
      </c>
      <c r="M402" s="494">
        <f>SUMIFS('Data-Cashout'!$AA$3:$AA$3100,'Data-Cashout'!$A$3:$A$3100,'Mar20-Aug20 Transport Actuals'!M$385,'Data-Cashout'!$B$3:$B$3100,'Mar20-Aug20 Transport Actuals'!$C$402,'Data-Cashout'!$D$3:$D$3100,'Mar20-Aug20 Transport Actuals'!$F$402,'Data-Cashout'!$E$3:$E$3100,'Mar20-Aug20 Transport Actuals'!$H$402,'Data-Cashout'!$F$3:$F$3100,'Mar20-Aug20 Transport Actuals'!M$387)</f>
        <v>0</v>
      </c>
      <c r="N402" s="494">
        <f>SUMIFS('Data-Cashout'!$AA$3:$AA$3100,'Data-Cashout'!$A$3:$A$3100,'Mar20-Aug20 Transport Actuals'!N$385,'Data-Cashout'!$B$3:$B$3100,'Mar20-Aug20 Transport Actuals'!$C$402,'Data-Cashout'!$D$3:$D$3100,'Mar20-Aug20 Transport Actuals'!$F$402,'Data-Cashout'!$E$3:$E$3100,'Mar20-Aug20 Transport Actuals'!$H$402,'Data-Cashout'!$F$3:$F$3100,'Mar20-Aug20 Transport Actuals'!N$387)</f>
        <v>0</v>
      </c>
      <c r="O402" s="494">
        <f>SUMIFS('Data-Cashout'!$AA$3:$AA$3100,'Data-Cashout'!$A$3:$A$3100,'Mar20-Aug20 Transport Actuals'!O$385,'Data-Cashout'!$B$3:$B$3100,'Mar20-Aug20 Transport Actuals'!$C$402,'Data-Cashout'!$D$3:$D$3100,'Mar20-Aug20 Transport Actuals'!$F$402,'Data-Cashout'!$E$3:$E$3100,'Mar20-Aug20 Transport Actuals'!$H$402,'Data-Cashout'!$F$3:$F$3100,'Mar20-Aug20 Transport Actuals'!O$387)</f>
        <v>0</v>
      </c>
      <c r="P402" s="288">
        <f t="shared" si="136"/>
        <v>0</v>
      </c>
    </row>
    <row r="403" spans="3:16" x14ac:dyDescent="0.25">
      <c r="C403" s="180"/>
      <c r="D403" s="180"/>
      <c r="E403" s="176"/>
      <c r="F403" s="180"/>
      <c r="G403" s="181"/>
      <c r="H403" s="181"/>
      <c r="I403" s="181"/>
      <c r="J403" s="176"/>
      <c r="K403" s="176"/>
      <c r="L403" s="176"/>
      <c r="M403" s="176"/>
      <c r="N403" s="176"/>
      <c r="O403" s="176"/>
      <c r="P403" s="288">
        <f t="shared" si="136"/>
        <v>0</v>
      </c>
    </row>
    <row r="404" spans="3:16" x14ac:dyDescent="0.25">
      <c r="C404" s="180"/>
      <c r="D404" s="180"/>
      <c r="E404" s="176"/>
      <c r="F404" s="180"/>
      <c r="G404" s="181" t="s">
        <v>630</v>
      </c>
      <c r="H404" s="181"/>
      <c r="I404" s="502">
        <f>SUM(I398:I402)</f>
        <v>0</v>
      </c>
      <c r="J404" s="502">
        <f t="shared" ref="J404:O404" si="139">SUM(J398:J402)</f>
        <v>0</v>
      </c>
      <c r="K404" s="502">
        <f t="shared" si="139"/>
        <v>0</v>
      </c>
      <c r="L404" s="502">
        <f t="shared" si="139"/>
        <v>0</v>
      </c>
      <c r="M404" s="502">
        <f t="shared" si="139"/>
        <v>0</v>
      </c>
      <c r="N404" s="502">
        <f t="shared" si="139"/>
        <v>0</v>
      </c>
      <c r="O404" s="502">
        <f t="shared" si="139"/>
        <v>0</v>
      </c>
      <c r="P404" s="288">
        <f t="shared" si="136"/>
        <v>0</v>
      </c>
    </row>
    <row r="405" spans="3:16" x14ac:dyDescent="0.25">
      <c r="C405" s="180"/>
      <c r="D405" s="180"/>
      <c r="E405" s="176"/>
      <c r="F405" s="180" t="s">
        <v>261</v>
      </c>
      <c r="G405" s="181" t="s">
        <v>274</v>
      </c>
      <c r="H405" s="181"/>
      <c r="I405" s="481">
        <f>SUMIFS('Bruise Report-Cashouts'!$C$5:$C$64,'Bruise Report-Cashouts'!$A$5:$A$64,'Mar20-Aug20 Transport Actuals'!I$385,'Bruise Report-Cashouts'!$B$5:$B$64,'Mar20-Aug20 Transport Actuals'!$F$405)</f>
        <v>0</v>
      </c>
      <c r="J405" s="176">
        <f>SUMIFS('Bruise Report-Cashouts'!$C$5:$C$64,'Bruise Report-Cashouts'!$A$5:$A$64,'Mar20-Aug20 Transport Actuals'!J$385,'Bruise Report-Cashouts'!$B$5:$B$64,'Mar20-Aug20 Transport Actuals'!$F$405)</f>
        <v>0</v>
      </c>
      <c r="K405" s="176">
        <f>SUMIFS('Bruise Report-Cashouts'!$C$5:$C$64,'Bruise Report-Cashouts'!$A$5:$A$64,'Mar20-Aug20 Transport Actuals'!K$385,'Bruise Report-Cashouts'!$B$5:$B$64,'Mar20-Aug20 Transport Actuals'!$F$405)</f>
        <v>0</v>
      </c>
      <c r="L405" s="176">
        <f>SUMIFS('Bruise Report-Cashouts'!$C$5:$C$64,'Bruise Report-Cashouts'!$A$5:$A$64,'Mar20-Aug20 Transport Actuals'!L$385,'Bruise Report-Cashouts'!$B$5:$B$64,'Mar20-Aug20 Transport Actuals'!$F$405)</f>
        <v>0</v>
      </c>
      <c r="M405" s="176">
        <f>SUMIFS('Bruise Report-Cashouts'!$C$5:$C$64,'Bruise Report-Cashouts'!$A$5:$A$64,'Mar20-Aug20 Transport Actuals'!M$385,'Bruise Report-Cashouts'!$B$5:$B$64,'Mar20-Aug20 Transport Actuals'!$F$405)</f>
        <v>0</v>
      </c>
      <c r="N405" s="176">
        <f>SUMIFS('Bruise Report-Cashouts'!$C$5:$C$64,'Bruise Report-Cashouts'!$A$5:$A$64,'Mar20-Aug20 Transport Actuals'!N$385,'Bruise Report-Cashouts'!$B$5:$B$64,'Mar20-Aug20 Transport Actuals'!$F$405)</f>
        <v>0</v>
      </c>
      <c r="O405" s="176">
        <f>SUMIFS('Bruise Report-Cashouts'!$C$5:$C$64,'Bruise Report-Cashouts'!$A$5:$A$64,'Mar20-Aug20 Transport Actuals'!O$385,'Bruise Report-Cashouts'!$B$5:$B$64,'Mar20-Aug20 Transport Actuals'!$F$405)</f>
        <v>0</v>
      </c>
      <c r="P405" s="288">
        <f t="shared" si="136"/>
        <v>0</v>
      </c>
    </row>
    <row r="406" spans="3:16" x14ac:dyDescent="0.25">
      <c r="C406" s="180"/>
      <c r="D406" s="180"/>
      <c r="E406" s="176"/>
      <c r="F406" s="180"/>
      <c r="G406" s="181" t="s">
        <v>152</v>
      </c>
      <c r="H406" s="181"/>
      <c r="I406" s="481">
        <f t="shared" ref="I406:O406" si="140">I404-I405</f>
        <v>0</v>
      </c>
      <c r="J406" s="481">
        <f t="shared" si="140"/>
        <v>0</v>
      </c>
      <c r="K406" s="481">
        <f t="shared" si="140"/>
        <v>0</v>
      </c>
      <c r="L406" s="481">
        <f t="shared" si="140"/>
        <v>0</v>
      </c>
      <c r="M406" s="481">
        <f t="shared" si="140"/>
        <v>0</v>
      </c>
      <c r="N406" s="481">
        <f t="shared" si="140"/>
        <v>0</v>
      </c>
      <c r="O406" s="481">
        <f t="shared" si="140"/>
        <v>0</v>
      </c>
      <c r="P406" s="288">
        <f t="shared" si="136"/>
        <v>0</v>
      </c>
    </row>
    <row r="407" spans="3:16" x14ac:dyDescent="0.25">
      <c r="C407" s="176"/>
      <c r="D407" s="176"/>
      <c r="E407" s="176"/>
      <c r="F407" s="176"/>
      <c r="G407" s="181"/>
      <c r="H407" s="181"/>
      <c r="I407" s="481"/>
      <c r="J407" s="176"/>
      <c r="K407" s="176"/>
      <c r="L407" s="176"/>
      <c r="M407" s="176"/>
      <c r="N407" s="176"/>
      <c r="O407" s="176"/>
      <c r="P407" s="176"/>
    </row>
    <row r="408" spans="3:16" x14ac:dyDescent="0.25">
      <c r="C408" s="176"/>
      <c r="D408" s="176"/>
      <c r="E408" s="176"/>
      <c r="F408" s="176"/>
      <c r="G408" s="179" t="s">
        <v>354</v>
      </c>
      <c r="H408" s="220"/>
      <c r="I408" s="481"/>
      <c r="J408" s="176"/>
      <c r="K408" s="176"/>
      <c r="L408" s="176"/>
      <c r="M408" s="176"/>
      <c r="N408" s="176"/>
      <c r="O408" s="176"/>
      <c r="P408" s="176"/>
    </row>
    <row r="409" spans="3:16" x14ac:dyDescent="0.25">
      <c r="C409" s="180" t="s">
        <v>36</v>
      </c>
      <c r="D409" s="180" t="str">
        <f>MID(C409,6,3)</f>
        <v>896</v>
      </c>
      <c r="E409" s="176" t="str">
        <f>VLOOKUP($C409,'Retail Rates'!$B$7:$P$40,2,FALSE)</f>
        <v>FT-I</v>
      </c>
      <c r="F409" s="180" t="s">
        <v>320</v>
      </c>
      <c r="G409" s="181" t="s">
        <v>158</v>
      </c>
      <c r="H409" s="156" t="s">
        <v>265</v>
      </c>
      <c r="I409" s="482">
        <f>SUMIFS('Data-Cashout'!$H$1:$H$3100,'Data-Cashout'!$A$1:$A$3100,'Mar20-Aug20 Transport Actuals'!I$385,'Data-Cashout'!$B$1:$B$3100,'Mar20-Aug20 Transport Actuals'!$C$409,'Data-Cashout'!$D$1:$D$3100,'Mar20-Aug20 Transport Actuals'!$F$409,'Data-Cashout'!$E$1:$E$3100,'Mar20-Aug20 Transport Actuals'!$H$409,'Data-Cashout'!$F$1:$F$3100,'Mar20-Aug20 Transport Actuals'!I$388)/10</f>
        <v>29.1</v>
      </c>
      <c r="J409" s="482">
        <f>SUMIFS('Data-Cashout'!$H$1:$H$3100,'Data-Cashout'!$A$1:$A$3100,'Mar20-Aug20 Transport Actuals'!J$385,'Data-Cashout'!$B$1:$B$3100,'Mar20-Aug20 Transport Actuals'!$C$409,'Data-Cashout'!$D$1:$D$3100,'Mar20-Aug20 Transport Actuals'!$F$409,'Data-Cashout'!$E$1:$E$3100,'Mar20-Aug20 Transport Actuals'!$H$409,'Data-Cashout'!$F$1:$F$3100,'Mar20-Aug20 Transport Actuals'!J$388)/10</f>
        <v>6.5</v>
      </c>
      <c r="K409" s="482">
        <f>SUMIFS('Data-Cashout'!$H$1:$H$3100,'Data-Cashout'!$A$1:$A$3100,'Mar20-Aug20 Transport Actuals'!K$385,'Data-Cashout'!$B$1:$B$3100,'Mar20-Aug20 Transport Actuals'!$C$409,'Data-Cashout'!$D$1:$D$3100,'Mar20-Aug20 Transport Actuals'!$F$409,'Data-Cashout'!$E$1:$E$3100,'Mar20-Aug20 Transport Actuals'!$H$409,'Data-Cashout'!$F$1:$F$3100,'Mar20-Aug20 Transport Actuals'!K$388)/10</f>
        <v>1340.3</v>
      </c>
      <c r="L409" s="482">
        <f>SUMIFS('Data-Cashout'!$H$1:$H$3100,'Data-Cashout'!$A$1:$A$3100,'Mar20-Aug20 Transport Actuals'!L$385,'Data-Cashout'!$B$1:$B$3100,'Mar20-Aug20 Transport Actuals'!$C$409,'Data-Cashout'!$D$1:$D$3100,'Mar20-Aug20 Transport Actuals'!$F$409,'Data-Cashout'!$E$1:$E$3100,'Mar20-Aug20 Transport Actuals'!$H$409,'Data-Cashout'!$F$1:$F$3100,'Mar20-Aug20 Transport Actuals'!L$388)/10</f>
        <v>0</v>
      </c>
      <c r="M409" s="482">
        <f>SUMIFS('Data-Cashout'!$H$1:$H$3100,'Data-Cashout'!$A$1:$A$3100,'Mar20-Aug20 Transport Actuals'!M$385,'Data-Cashout'!$B$1:$B$3100,'Mar20-Aug20 Transport Actuals'!$C$409,'Data-Cashout'!$D$1:$D$3100,'Mar20-Aug20 Transport Actuals'!$F$409,'Data-Cashout'!$E$1:$E$3100,'Mar20-Aug20 Transport Actuals'!$H$409,'Data-Cashout'!$F$1:$F$3100,'Mar20-Aug20 Transport Actuals'!M$388)/10</f>
        <v>0</v>
      </c>
      <c r="N409" s="482">
        <f>SUMIFS('Data-Cashout'!$H$1:$H$3100,'Data-Cashout'!$A$1:$A$3100,'Mar20-Aug20 Transport Actuals'!N$385,'Data-Cashout'!$B$1:$B$3100,'Mar20-Aug20 Transport Actuals'!$C$409,'Data-Cashout'!$D$1:$D$3100,'Mar20-Aug20 Transport Actuals'!$F$409,'Data-Cashout'!$E$1:$E$3100,'Mar20-Aug20 Transport Actuals'!$H$409,'Data-Cashout'!$F$1:$F$3100,'Mar20-Aug20 Transport Actuals'!N$388)/10</f>
        <v>0</v>
      </c>
      <c r="O409" s="482">
        <f>SUMIFS('Data-Cashout'!$H$1:$H$3100,'Data-Cashout'!$A$1:$A$3100,'Mar20-Aug20 Transport Actuals'!O$385,'Data-Cashout'!$B$1:$B$3100,'Mar20-Aug20 Transport Actuals'!$C$409,'Data-Cashout'!$D$1:$D$3100,'Mar20-Aug20 Transport Actuals'!$F$409,'Data-Cashout'!$E$1:$E$3100,'Mar20-Aug20 Transport Actuals'!$H$409,'Data-Cashout'!$F$1:$F$3100,'Mar20-Aug20 Transport Actuals'!O$388)/10</f>
        <v>0</v>
      </c>
      <c r="P409" s="288">
        <f>SUM(I409:N409)</f>
        <v>1375.8999999999999</v>
      </c>
    </row>
    <row r="410" spans="3:16" x14ac:dyDescent="0.25">
      <c r="C410" s="180" t="s">
        <v>447</v>
      </c>
      <c r="D410" s="180" t="str">
        <f>MID(C410,6,3)</f>
        <v>896</v>
      </c>
      <c r="E410" s="176" t="str">
        <f>VLOOKUP($C410,'Retail Rates'!$B$7:$P$40,2,FALSE)</f>
        <v>FT-I-DSM</v>
      </c>
      <c r="F410" s="180" t="s">
        <v>320</v>
      </c>
      <c r="G410" s="181" t="s">
        <v>158</v>
      </c>
      <c r="H410" s="156" t="s">
        <v>265</v>
      </c>
      <c r="I410" s="482">
        <f>SUMIFS('Data-Cashout'!$H$1:$H$3100,'Data-Cashout'!$A$1:$A$3100,'Mar20-Aug20 Transport Actuals'!I$385,'Data-Cashout'!$B$1:$B$3100,'Mar20-Aug20 Transport Actuals'!$C$410,'Data-Cashout'!$D$1:$D$3100,'Mar20-Aug20 Transport Actuals'!$F$410,'Data-Cashout'!$E$1:$E$3100,'Mar20-Aug20 Transport Actuals'!$H$410,'Data-Cashout'!$F$1:$F$3100,'Mar20-Aug20 Transport Actuals'!I$388)/10</f>
        <v>0</v>
      </c>
      <c r="J410" s="482">
        <f>SUMIFS('Data-Cashout'!$H$1:$H$3100,'Data-Cashout'!$A$1:$A$3100,'Mar20-Aug20 Transport Actuals'!J$385,'Data-Cashout'!$B$1:$B$3100,'Mar20-Aug20 Transport Actuals'!$C$410,'Data-Cashout'!$D$1:$D$3100,'Mar20-Aug20 Transport Actuals'!$F$410,'Data-Cashout'!$E$1:$E$3100,'Mar20-Aug20 Transport Actuals'!$H$410,'Data-Cashout'!$F$1:$F$3100,'Mar20-Aug20 Transport Actuals'!J$388)/10</f>
        <v>0</v>
      </c>
      <c r="K410" s="482">
        <f>SUMIFS('Data-Cashout'!$H$1:$H$3100,'Data-Cashout'!$A$1:$A$3100,'Mar20-Aug20 Transport Actuals'!K$385,'Data-Cashout'!$B$1:$B$3100,'Mar20-Aug20 Transport Actuals'!$C$410,'Data-Cashout'!$D$1:$D$3100,'Mar20-Aug20 Transport Actuals'!$F$410,'Data-Cashout'!$E$1:$E$3100,'Mar20-Aug20 Transport Actuals'!$H$410,'Data-Cashout'!$F$1:$F$3100,'Mar20-Aug20 Transport Actuals'!K$388)/10</f>
        <v>0</v>
      </c>
      <c r="L410" s="482">
        <f>SUMIFS('Data-Cashout'!$H$1:$H$3100,'Data-Cashout'!$A$1:$A$3100,'Mar20-Aug20 Transport Actuals'!L$385,'Data-Cashout'!$B$1:$B$3100,'Mar20-Aug20 Transport Actuals'!$C$410,'Data-Cashout'!$D$1:$D$3100,'Mar20-Aug20 Transport Actuals'!$F$410,'Data-Cashout'!$E$1:$E$3100,'Mar20-Aug20 Transport Actuals'!$H$410,'Data-Cashout'!$F$1:$F$3100,'Mar20-Aug20 Transport Actuals'!L$388)/10</f>
        <v>0</v>
      </c>
      <c r="M410" s="482">
        <f>SUMIFS('Data-Cashout'!$H$1:$H$3100,'Data-Cashout'!$A$1:$A$3100,'Mar20-Aug20 Transport Actuals'!M$385,'Data-Cashout'!$B$1:$B$3100,'Mar20-Aug20 Transport Actuals'!$C$410,'Data-Cashout'!$D$1:$D$3100,'Mar20-Aug20 Transport Actuals'!$F$410,'Data-Cashout'!$E$1:$E$3100,'Mar20-Aug20 Transport Actuals'!$H$410,'Data-Cashout'!$F$1:$F$3100,'Mar20-Aug20 Transport Actuals'!M$388)/10</f>
        <v>0</v>
      </c>
      <c r="N410" s="482">
        <f>SUMIFS('Data-Cashout'!$H$1:$H$3100,'Data-Cashout'!$A$1:$A$3100,'Mar20-Aug20 Transport Actuals'!N$385,'Data-Cashout'!$B$1:$B$3100,'Mar20-Aug20 Transport Actuals'!$C$410,'Data-Cashout'!$D$1:$D$3100,'Mar20-Aug20 Transport Actuals'!$F$410,'Data-Cashout'!$E$1:$E$3100,'Mar20-Aug20 Transport Actuals'!$H$410,'Data-Cashout'!$F$1:$F$3100,'Mar20-Aug20 Transport Actuals'!N$388)/10</f>
        <v>0</v>
      </c>
      <c r="O410" s="482">
        <f>SUMIFS('Data-Cashout'!$H$1:$H$3100,'Data-Cashout'!$A$1:$A$3100,'Mar20-Aug20 Transport Actuals'!O$385,'Data-Cashout'!$B$1:$B$3100,'Mar20-Aug20 Transport Actuals'!$C$410,'Data-Cashout'!$D$1:$D$3100,'Mar20-Aug20 Transport Actuals'!$F$410,'Data-Cashout'!$E$1:$E$3100,'Mar20-Aug20 Transport Actuals'!$H$410,'Data-Cashout'!$F$1:$F$3100,'Mar20-Aug20 Transport Actuals'!O$388)/10</f>
        <v>0</v>
      </c>
      <c r="P410" s="288">
        <f>SUM(I410:N410)</f>
        <v>0</v>
      </c>
    </row>
    <row r="411" spans="3:16" x14ac:dyDescent="0.25">
      <c r="C411" s="180" t="s">
        <v>38</v>
      </c>
      <c r="D411" s="180" t="str">
        <f>MID(C411,6,3)</f>
        <v>896</v>
      </c>
      <c r="E411" s="176" t="str">
        <f>VLOOKUP($C411,'Retail Rates'!$B$7:$P$40,2,FALSE)</f>
        <v>FT-PM</v>
      </c>
      <c r="F411" s="180" t="s">
        <v>320</v>
      </c>
      <c r="G411" s="181" t="s">
        <v>158</v>
      </c>
      <c r="H411" s="156" t="s">
        <v>265</v>
      </c>
      <c r="I411" s="482">
        <f>SUMIFS('Data-Cashout'!$H$1:$H$3100,'Data-Cashout'!$A$1:$A$3100,'Mar20-Aug20 Transport Actuals'!I$385,'Data-Cashout'!$B$1:$B$3100,'Mar20-Aug20 Transport Actuals'!$C$411,'Data-Cashout'!$D$1:$D$3100,'Mar20-Aug20 Transport Actuals'!$F$411,'Data-Cashout'!$E$1:$E$3100,'Mar20-Aug20 Transport Actuals'!$H$411,'Data-Cashout'!$F$1:$F$3100,'Mar20-Aug20 Transport Actuals'!I$388)/10</f>
        <v>0</v>
      </c>
      <c r="J411" s="482">
        <f>SUMIFS('Data-Cashout'!$H$1:$H$3100,'Data-Cashout'!$A$1:$A$3100,'Mar20-Aug20 Transport Actuals'!J$385,'Data-Cashout'!$B$1:$B$3100,'Mar20-Aug20 Transport Actuals'!$C$411,'Data-Cashout'!$D$1:$D$3100,'Mar20-Aug20 Transport Actuals'!$F$411,'Data-Cashout'!$E$1:$E$3100,'Mar20-Aug20 Transport Actuals'!$H$411,'Data-Cashout'!$F$1:$F$3100,'Mar20-Aug20 Transport Actuals'!J$388)/10</f>
        <v>0</v>
      </c>
      <c r="K411" s="482">
        <f>SUMIFS('Data-Cashout'!$H$1:$H$3100,'Data-Cashout'!$A$1:$A$3100,'Mar20-Aug20 Transport Actuals'!K$385,'Data-Cashout'!$B$1:$B$3100,'Mar20-Aug20 Transport Actuals'!$C$411,'Data-Cashout'!$D$1:$D$3100,'Mar20-Aug20 Transport Actuals'!$F$411,'Data-Cashout'!$E$1:$E$3100,'Mar20-Aug20 Transport Actuals'!$H$411)</f>
        <v>0</v>
      </c>
      <c r="L411" s="482">
        <f>SUMIFS('Data-Cashout'!$H$1:$H$3100,'Data-Cashout'!$A$1:$A$3100,'Mar20-Aug20 Transport Actuals'!L$385,'Data-Cashout'!$B$1:$B$3100,'Mar20-Aug20 Transport Actuals'!$C$411,'Data-Cashout'!$D$1:$D$3100,'Mar20-Aug20 Transport Actuals'!$F$411,'Data-Cashout'!$E$1:$E$3100,'Mar20-Aug20 Transport Actuals'!$H$411,'Data-Cashout'!$F$1:$F$3100,'Mar20-Aug20 Transport Actuals'!L$388)/10</f>
        <v>0</v>
      </c>
      <c r="M411" s="482">
        <f>SUMIFS('Data-Cashout'!$H$1:$H$3100,'Data-Cashout'!$A$1:$A$3100,'Mar20-Aug20 Transport Actuals'!M$385,'Data-Cashout'!$B$1:$B$3100,'Mar20-Aug20 Transport Actuals'!$C$411,'Data-Cashout'!$D$1:$D$3100,'Mar20-Aug20 Transport Actuals'!$F$411,'Data-Cashout'!$E$1:$E$3100,'Mar20-Aug20 Transport Actuals'!$H$411,'Data-Cashout'!$F$1:$F$3100,'Mar20-Aug20 Transport Actuals'!M$388)/10</f>
        <v>0</v>
      </c>
      <c r="N411" s="482">
        <f>SUMIFS('Data-Cashout'!$H$1:$H$3100,'Data-Cashout'!$A$1:$A$3100,'Mar20-Aug20 Transport Actuals'!N$385,'Data-Cashout'!$B$1:$B$3100,'Mar20-Aug20 Transport Actuals'!$C$411,'Data-Cashout'!$D$1:$D$3100,'Mar20-Aug20 Transport Actuals'!$F$411,'Data-Cashout'!$E$1:$E$3100,'Mar20-Aug20 Transport Actuals'!$H$411,'Data-Cashout'!$F$1:$F$3100,'Mar20-Aug20 Transport Actuals'!N$388)/10</f>
        <v>0</v>
      </c>
      <c r="O411" s="482">
        <f>SUMIFS('Data-Cashout'!$H$1:$H$3100,'Data-Cashout'!$A$1:$A$3100,'Mar20-Aug20 Transport Actuals'!O$385,'Data-Cashout'!$B$1:$B$3100,'Mar20-Aug20 Transport Actuals'!$C$411,'Data-Cashout'!$D$1:$D$3100,'Mar20-Aug20 Transport Actuals'!$F$411,'Data-Cashout'!$E$1:$E$3100,'Mar20-Aug20 Transport Actuals'!$H$411,'Data-Cashout'!$F$1:$F$3100,'Mar20-Aug20 Transport Actuals'!O$388)/10</f>
        <v>0</v>
      </c>
      <c r="P411" s="288">
        <f>SUM(I411:N411)</f>
        <v>0</v>
      </c>
    </row>
    <row r="412" spans="3:16" x14ac:dyDescent="0.25">
      <c r="C412" s="180"/>
      <c r="D412" s="180"/>
      <c r="E412" s="176"/>
      <c r="F412" s="180"/>
      <c r="G412" s="181" t="s">
        <v>160</v>
      </c>
      <c r="H412" s="182"/>
      <c r="I412" s="481">
        <f>VLOOKUP($C$409,'Retail Rates'!$B$7:$P$40,10,FALSE)</f>
        <v>3.7999999999999999E-2</v>
      </c>
      <c r="J412" s="481">
        <f>VLOOKUP($C$409,'Retail Rates'!$B$7:$P$40,10,FALSE)</f>
        <v>3.7999999999999999E-2</v>
      </c>
      <c r="K412" s="481">
        <f>VLOOKUP($C$409,'Retail Rates'!$B$7:$P$40,10,FALSE)</f>
        <v>3.7999999999999999E-2</v>
      </c>
      <c r="L412" s="481">
        <f>VLOOKUP($C$409,'Retail Rates'!$B$7:$P$40,10,FALSE)</f>
        <v>3.7999999999999999E-2</v>
      </c>
      <c r="M412" s="481">
        <f>VLOOKUP($C$409,'Retail Rates'!$B$7:$P$40,10,FALSE)</f>
        <v>3.7999999999999999E-2</v>
      </c>
      <c r="N412" s="481">
        <f>VLOOKUP($C$409,'Retail Rates'!$B$7:$P$40,10,FALSE)</f>
        <v>3.7999999999999999E-2</v>
      </c>
      <c r="O412" s="481">
        <f>VLOOKUP($C$409,'Retail Rates'!$B$7:$P$40,10,FALSE)</f>
        <v>3.7999999999999999E-2</v>
      </c>
      <c r="P412" s="176"/>
    </row>
    <row r="413" spans="3:16" x14ac:dyDescent="0.25">
      <c r="C413" s="180"/>
      <c r="D413" s="180"/>
      <c r="E413" s="176"/>
      <c r="F413" s="180"/>
      <c r="G413" s="181" t="s">
        <v>161</v>
      </c>
      <c r="H413" s="182"/>
      <c r="I413" s="862">
        <f>VLOOKUP(I$385,'GSC-DSM-GLT Factors'!$A$9:$P$52,6,FALSE)</f>
        <v>1.8000000000000001E-4</v>
      </c>
      <c r="J413" s="862">
        <f>VLOOKUP(J$385,'GSC-DSM-GLT Factors'!$A$9:$P$52,6,FALSE)</f>
        <v>4.8000000000000001E-4</v>
      </c>
      <c r="K413" s="862">
        <f>VLOOKUP(K$385,'GSC-DSM-GLT Factors'!$A$9:$P$52,6,FALSE)</f>
        <v>4.8000000000000001E-4</v>
      </c>
      <c r="L413" s="500">
        <f>VLOOKUP(L$385,'GSC-DSM-GLT Factors'!$A$9:$P$52,6,FALSE)</f>
        <v>4.8000000000000001E-4</v>
      </c>
      <c r="M413" s="500">
        <f>VLOOKUP(M$385,'GSC-DSM-GLT Factors'!$A$9:$P$52,6,FALSE)</f>
        <v>4.8000000000000001E-4</v>
      </c>
      <c r="N413" s="500">
        <f>VLOOKUP(N$385,'GSC-DSM-GLT Factors'!$A$9:$P$52,6,FALSE)</f>
        <v>4.8000000000000001E-4</v>
      </c>
      <c r="O413" s="500">
        <f>VLOOKUP(O$385,'GSC-DSM-GLT Factors'!$A$9:$P$52,6,FALSE)</f>
        <v>4.8000000000000001E-4</v>
      </c>
      <c r="P413" s="176"/>
    </row>
    <row r="414" spans="3:16" x14ac:dyDescent="0.25">
      <c r="C414" s="180"/>
      <c r="D414" s="180"/>
      <c r="E414" s="176"/>
      <c r="F414" s="180"/>
      <c r="G414" s="181" t="s">
        <v>366</v>
      </c>
      <c r="H414" s="182"/>
      <c r="I414" s="500">
        <f>VLOOKUP(I$385,'GSC-DSM-GLT Factors'!$A$9:$P$52,16,FALSE)</f>
        <v>4.8000000000000004E-3</v>
      </c>
      <c r="J414" s="500">
        <f>VLOOKUP(J$385,'GSC-DSM-GLT Factors'!$A$9:$P$52,16,FALSE)</f>
        <v>4.8000000000000004E-3</v>
      </c>
      <c r="K414" s="500">
        <f>VLOOKUP(K$385,'GSC-DSM-GLT Factors'!$A$9:$P$52,16,FALSE)</f>
        <v>9.7999999999999997E-3</v>
      </c>
      <c r="L414" s="500">
        <f>VLOOKUP(L$385,'GSC-DSM-GLT Factors'!$A$9:$P$52,16,FALSE)</f>
        <v>9.7999999999999997E-3</v>
      </c>
      <c r="M414" s="500">
        <f>VLOOKUP(M$385,'GSC-DSM-GLT Factors'!$A$9:$P$52,16,FALSE)</f>
        <v>9.7999999999999997E-3</v>
      </c>
      <c r="N414" s="500">
        <f>VLOOKUP(N$385,'GSC-DSM-GLT Factors'!$A$9:$P$52,16,FALSE)</f>
        <v>9.7999999999999997E-3</v>
      </c>
      <c r="O414" s="500">
        <f>VLOOKUP(O$385,'GSC-DSM-GLT Factors'!$A$9:$P$52,16,FALSE)</f>
        <v>9.7999999999999997E-3</v>
      </c>
      <c r="P414" s="176"/>
    </row>
    <row r="415" spans="3:16" x14ac:dyDescent="0.25">
      <c r="C415" s="180"/>
      <c r="D415" s="180"/>
      <c r="E415" s="176"/>
      <c r="F415" s="180"/>
      <c r="G415" s="182" t="s">
        <v>162</v>
      </c>
      <c r="H415" s="182"/>
      <c r="I415" s="481"/>
      <c r="J415" s="176"/>
      <c r="K415" s="176"/>
      <c r="L415" s="176"/>
      <c r="M415" s="176"/>
      <c r="N415" s="176"/>
      <c r="O415" s="176"/>
      <c r="P415" s="176"/>
    </row>
    <row r="416" spans="3:16" x14ac:dyDescent="0.25">
      <c r="C416" s="180"/>
      <c r="D416" s="180"/>
      <c r="E416" s="176"/>
      <c r="F416" s="180"/>
      <c r="G416" s="181" t="s">
        <v>637</v>
      </c>
      <c r="H416" s="182"/>
      <c r="I416" s="484">
        <f>SUM(I409:I411)*I412</f>
        <v>1.1058000000000001</v>
      </c>
      <c r="J416" s="484">
        <f>SUM(J409:J411)*J412</f>
        <v>0.247</v>
      </c>
      <c r="K416" s="484">
        <f>SUM(K409:K411)*K412</f>
        <v>50.931399999999996</v>
      </c>
      <c r="L416" s="484">
        <f t="shared" ref="L416:O416" si="141">SUM(L409:L411)*L412</f>
        <v>0</v>
      </c>
      <c r="M416" s="484">
        <f t="shared" si="141"/>
        <v>0</v>
      </c>
      <c r="N416" s="484">
        <f t="shared" si="141"/>
        <v>0</v>
      </c>
      <c r="O416" s="484">
        <f t="shared" si="141"/>
        <v>0</v>
      </c>
      <c r="P416" s="176"/>
    </row>
    <row r="417" spans="3:16" x14ac:dyDescent="0.25">
      <c r="C417" s="180"/>
      <c r="D417" s="180"/>
      <c r="E417" s="176"/>
      <c r="F417" s="180"/>
      <c r="G417" s="181" t="s">
        <v>352</v>
      </c>
      <c r="H417" s="182"/>
      <c r="I417" s="484">
        <f>SUM(I409:I411)*I413</f>
        <v>5.2380000000000005E-3</v>
      </c>
      <c r="J417" s="484">
        <f>SUM(J409:J411)*J413</f>
        <v>3.1199999999999999E-3</v>
      </c>
      <c r="K417" s="484">
        <f>SUM(K409:K411)*K413</f>
        <v>0.64334400000000003</v>
      </c>
      <c r="L417" s="484">
        <f>SUM(L409:L411)*L413</f>
        <v>0</v>
      </c>
      <c r="M417" s="484">
        <f>SUM(M409:M411)*M413</f>
        <v>0</v>
      </c>
      <c r="N417" s="484">
        <f t="shared" ref="N417:O417" si="142">SUM(N409:N411)*N413</f>
        <v>0</v>
      </c>
      <c r="O417" s="484">
        <f t="shared" si="142"/>
        <v>0</v>
      </c>
      <c r="P417" s="176"/>
    </row>
    <row r="418" spans="3:16" x14ac:dyDescent="0.25">
      <c r="C418" s="180"/>
      <c r="D418" s="180"/>
      <c r="E418" s="176"/>
      <c r="F418" s="180"/>
      <c r="G418" s="181" t="s">
        <v>638</v>
      </c>
      <c r="H418" s="182"/>
      <c r="I418" s="484">
        <f>SUM(I409:I411)*I414</f>
        <v>0.13968000000000003</v>
      </c>
      <c r="J418" s="484">
        <f>SUM(J409:J411)*J414</f>
        <v>3.1200000000000002E-2</v>
      </c>
      <c r="K418" s="484">
        <f>SUM(K409:K411)*K414</f>
        <v>13.134939999999999</v>
      </c>
      <c r="L418" s="484">
        <f t="shared" ref="L418:O418" si="143">SUM(L409:L411)*L414</f>
        <v>0</v>
      </c>
      <c r="M418" s="484">
        <f t="shared" si="143"/>
        <v>0</v>
      </c>
      <c r="N418" s="484">
        <f t="shared" si="143"/>
        <v>0</v>
      </c>
      <c r="O418" s="484">
        <f t="shared" si="143"/>
        <v>0</v>
      </c>
      <c r="P418" s="176"/>
    </row>
    <row r="419" spans="3:16" x14ac:dyDescent="0.25">
      <c r="C419" s="180" t="s">
        <v>36</v>
      </c>
      <c r="D419" s="180" t="str">
        <f>MID(C419,6,3)</f>
        <v>896</v>
      </c>
      <c r="E419" s="176" t="str">
        <f>VLOOKUP($C419,'Retail Rates'!$B$7:$P$40,2,FALSE)</f>
        <v>FT-I</v>
      </c>
      <c r="F419" s="180" t="s">
        <v>320</v>
      </c>
      <c r="G419" s="181" t="s">
        <v>629</v>
      </c>
      <c r="H419" s="156" t="s">
        <v>269</v>
      </c>
      <c r="I419" s="482">
        <f>SUMIFS('Data-Cashout'!$AA$3:$AA$3100,'Data-Cashout'!$A$3:$A$3100,'Mar20-Aug20 Transport Actuals'!I$385,'Data-Cashout'!$B$3:$B$3100,'Mar20-Aug20 Transport Actuals'!$C$419,'Data-Cashout'!$D$3:$D$3100,'Mar20-Aug20 Transport Actuals'!$F$419,'Data-Cashout'!$E$3:$E$3100,'Mar20-Aug20 Transport Actuals'!$H$419,'Data-Cashout'!$F$3:$F$3100,'Mar20-Aug20 Transport Actuals'!I$387)</f>
        <v>57.92</v>
      </c>
      <c r="J419" s="482">
        <f>SUMIFS('Data-Cashout'!$AA$3:$AA$3100,'Data-Cashout'!$A$3:$A$3100,'Mar20-Aug20 Transport Actuals'!J$385,'Data-Cashout'!$B$3:$B$3100,'Mar20-Aug20 Transport Actuals'!$C$419,'Data-Cashout'!$D$3:$D$3100,'Mar20-Aug20 Transport Actuals'!$F$419,'Data-Cashout'!$E$3:$E$3100,'Mar20-Aug20 Transport Actuals'!$H$419,'Data-Cashout'!$F$3:$F$3100,'Mar20-Aug20 Transport Actuals'!J$387)</f>
        <v>11.75</v>
      </c>
      <c r="K419" s="482">
        <f>SUMIFS('Data-Cashout'!$AA$1:$AA$3100,'Data-Cashout'!$A$1:$A$3100,'Mar20-Aug20 Transport Actuals'!K$385,'Data-Cashout'!$B$1:$B$3100,'Mar20-Aug20 Transport Actuals'!$C$419,'Data-Cashout'!$D$1:$D$3100,'Mar20-Aug20 Transport Actuals'!$F$419,'Data-Cashout'!$E$1:$E$3100,'Mar20-Aug20 Transport Actuals'!$H$419)</f>
        <v>2632.06</v>
      </c>
      <c r="L419" s="482">
        <f>SUMIFS('Data-Cashout'!$AA$1:$AA$3100,'Data-Cashout'!$A$1:$A$3100,'Mar20-Aug20 Transport Actuals'!L$385,'Data-Cashout'!$B$1:$B$3100,'Mar20-Aug20 Transport Actuals'!$C$419,'Data-Cashout'!$D$1:$D$3100,'Mar20-Aug20 Transport Actuals'!$F$419,'Data-Cashout'!$E$1:$E$3100,'Mar20-Aug20 Transport Actuals'!$H$419)</f>
        <v>0</v>
      </c>
      <c r="M419" s="482">
        <f>SUMIFS('Data-Cashout'!$AA$1:$AA$3100,'Data-Cashout'!$A$1:$A$3100,'Mar20-Aug20 Transport Actuals'!M$385,'Data-Cashout'!$B$1:$B$3100,'Mar20-Aug20 Transport Actuals'!$C$419,'Data-Cashout'!$D$1:$D$3100,'Mar20-Aug20 Transport Actuals'!$F$419,'Data-Cashout'!$E$1:$E$3100,'Mar20-Aug20 Transport Actuals'!$H$419)</f>
        <v>0</v>
      </c>
      <c r="N419" s="482">
        <f>SUMIFS('Data-Cashout'!$AA$1:$AA$3100,'Data-Cashout'!$A$1:$A$3100,'Mar20-Aug20 Transport Actuals'!N$385,'Data-Cashout'!$B$1:$B$3100,'Mar20-Aug20 Transport Actuals'!$C$419,'Data-Cashout'!$D$1:$D$3100,'Mar20-Aug20 Transport Actuals'!$F$419,'Data-Cashout'!$E$1:$E$3100,'Mar20-Aug20 Transport Actuals'!$H$419,'Data-Cashout'!$F$1:$F$3100,'Mar20-Aug20 Transport Actuals'!N$387)</f>
        <v>0</v>
      </c>
      <c r="O419" s="482">
        <f>SUMIFS('Data-Cashout'!$AA$1:$AA$3100,'Data-Cashout'!$A$1:$A$3100,'Mar20-Aug20 Transport Actuals'!O$385,'Data-Cashout'!$B$1:$B$3100,'Mar20-Aug20 Transport Actuals'!$C$419,'Data-Cashout'!$D$1:$D$3100,'Mar20-Aug20 Transport Actuals'!$F$419,'Data-Cashout'!$E$1:$E$3100,'Mar20-Aug20 Transport Actuals'!$H$419,'Data-Cashout'!$F$1:$F$3100,'Mar20-Aug20 Transport Actuals'!O$387)</f>
        <v>0</v>
      </c>
      <c r="P419" s="288">
        <f>SUM(I419:N419)</f>
        <v>2701.73</v>
      </c>
    </row>
    <row r="420" spans="3:16" x14ac:dyDescent="0.25">
      <c r="C420" s="180" t="s">
        <v>447</v>
      </c>
      <c r="D420" s="180" t="str">
        <f>MID(C420,6,3)</f>
        <v>896</v>
      </c>
      <c r="E420" s="176" t="str">
        <f>VLOOKUP($C420,'Retail Rates'!$B$7:$P$40,2,FALSE)</f>
        <v>FT-I-DSM</v>
      </c>
      <c r="F420" s="180" t="s">
        <v>320</v>
      </c>
      <c r="G420" s="181" t="s">
        <v>629</v>
      </c>
      <c r="H420" s="156" t="s">
        <v>269</v>
      </c>
      <c r="I420" s="482">
        <f>SUMIFS('Data-Cashout'!$AA$3:$AA$3100,'Data-Cashout'!$A$3:$A$3100,'Mar20-Aug20 Transport Actuals'!I$385,'Data-Cashout'!$B$3:$B$3100,'Mar20-Aug20 Transport Actuals'!$C$420,'Data-Cashout'!$D$3:$D$3100,'Mar20-Aug20 Transport Actuals'!$F$420,'Data-Cashout'!$E$3:$E$3100,'Mar20-Aug20 Transport Actuals'!$H$420,'Data-Cashout'!$F$3:$F$3100,'Mar20-Aug20 Transport Actuals'!I$387)</f>
        <v>0</v>
      </c>
      <c r="J420" s="482">
        <f>SUMIFS('Data-Cashout'!$AA$3:$AA$3100,'Data-Cashout'!$A$3:$A$3100,'Mar20-Aug20 Transport Actuals'!J$385,'Data-Cashout'!$B$3:$B$3100,'Mar20-Aug20 Transport Actuals'!$C$420,'Data-Cashout'!$D$3:$D$3100,'Mar20-Aug20 Transport Actuals'!$F$420,'Data-Cashout'!$E$3:$E$3100,'Mar20-Aug20 Transport Actuals'!$H$420,'Data-Cashout'!$F$3:$F$3100,'Mar20-Aug20 Transport Actuals'!J$387)</f>
        <v>0</v>
      </c>
      <c r="K420" s="482">
        <f>SUMIFS('Data-Cashout'!$AA$1:$AA$3100,'Data-Cashout'!$A$1:$A$3100,'Mar20-Aug20 Transport Actuals'!K$385,'Data-Cashout'!$B$1:$B$3100,'Mar20-Aug20 Transport Actuals'!$C$420,'Data-Cashout'!$D$1:$D$3100,'Mar20-Aug20 Transport Actuals'!$F$420,'Data-Cashout'!$E$1:$E$3100,'Mar20-Aug20 Transport Actuals'!$H$420)</f>
        <v>0</v>
      </c>
      <c r="L420" s="482">
        <f>SUMIFS('Data-Cashout'!$AA$1:$AA$3100,'Data-Cashout'!$A$1:$A$3100,'Mar20-Aug20 Transport Actuals'!L$385,'Data-Cashout'!$B$1:$B$3100,'Mar20-Aug20 Transport Actuals'!$C$420,'Data-Cashout'!$D$1:$D$3100,'Mar20-Aug20 Transport Actuals'!$F$420,'Data-Cashout'!$E$1:$E$3100,'Mar20-Aug20 Transport Actuals'!$H$420,'Data-Cashout'!$F$1:$F$3100,'Mar20-Aug20 Transport Actuals'!L$387)</f>
        <v>0</v>
      </c>
      <c r="M420" s="482">
        <f>SUMIFS('Data-Cashout'!$AA$1:$AA$3100,'Data-Cashout'!$A$1:$A$3100,'Mar20-Aug20 Transport Actuals'!M$385,'Data-Cashout'!$B$1:$B$3100,'Mar20-Aug20 Transport Actuals'!$C$420,'Data-Cashout'!$D$1:$D$3100,'Mar20-Aug20 Transport Actuals'!$F$420,'Data-Cashout'!$E$1:$E$3100,'Mar20-Aug20 Transport Actuals'!$H$420,'Data-Cashout'!$F$1:$F$3100,'Mar20-Aug20 Transport Actuals'!M$387)</f>
        <v>0</v>
      </c>
      <c r="N420" s="482">
        <f>SUMIFS('Data-Cashout'!$AA$1:$AA$3100,'Data-Cashout'!$A$1:$A$3100,'Mar20-Aug20 Transport Actuals'!N$385,'Data-Cashout'!$B$1:$B$3100,'Mar20-Aug20 Transport Actuals'!$C$420,'Data-Cashout'!$D$1:$D$3100,'Mar20-Aug20 Transport Actuals'!$F$420,'Data-Cashout'!$E$1:$E$3100,'Mar20-Aug20 Transport Actuals'!$H$420,'Data-Cashout'!$F$1:$F$3100,'Mar20-Aug20 Transport Actuals'!N$387)</f>
        <v>0</v>
      </c>
      <c r="O420" s="482">
        <f>SUMIFS('Data-Cashout'!$AA$1:$AA$3100,'Data-Cashout'!$A$1:$A$3100,'Mar20-Aug20 Transport Actuals'!O$385,'Data-Cashout'!$B$1:$B$3100,'Mar20-Aug20 Transport Actuals'!$C$420,'Data-Cashout'!$D$1:$D$3100,'Mar20-Aug20 Transport Actuals'!$F$420,'Data-Cashout'!$E$1:$E$3100,'Mar20-Aug20 Transport Actuals'!$H$420,'Data-Cashout'!$F$1:$F$3100,'Mar20-Aug20 Transport Actuals'!O$387)</f>
        <v>0</v>
      </c>
      <c r="P420" s="288">
        <f>SUM(I420:N420)</f>
        <v>0</v>
      </c>
    </row>
    <row r="421" spans="3:16" x14ac:dyDescent="0.25">
      <c r="C421" s="180" t="s">
        <v>38</v>
      </c>
      <c r="D421" s="180" t="str">
        <f>MID(C421,6,3)</f>
        <v>896</v>
      </c>
      <c r="E421" s="176" t="str">
        <f>VLOOKUP($C421,'Retail Rates'!$B$7:$P$40,2,FALSE)</f>
        <v>FT-PM</v>
      </c>
      <c r="F421" s="180" t="s">
        <v>320</v>
      </c>
      <c r="G421" s="181" t="s">
        <v>629</v>
      </c>
      <c r="H421" s="156" t="s">
        <v>269</v>
      </c>
      <c r="I421" s="482">
        <f>SUMIFS('Data-Cashout'!$AA$3:$AA$3100,'Data-Cashout'!$A$3:$A$3100,'Mar20-Aug20 Transport Actuals'!I$385,'Data-Cashout'!$B$3:$B$3100,'Mar20-Aug20 Transport Actuals'!$C$421,'Data-Cashout'!$D$3:$D$3100,'Mar20-Aug20 Transport Actuals'!$F$421,'Data-Cashout'!$E$3:$E$3100,'Mar20-Aug20 Transport Actuals'!$H$421,'Data-Cashout'!$F$3:$F$3100,'Mar20-Aug20 Transport Actuals'!I$387)</f>
        <v>60240.49</v>
      </c>
      <c r="J421" s="482">
        <f>SUMIFS('Data-Cashout'!$AA$3:$AA$3100,'Data-Cashout'!$A$3:$A$3100,'Mar20-Aug20 Transport Actuals'!J$385,'Data-Cashout'!$B$3:$B$3100,'Mar20-Aug20 Transport Actuals'!$C$421,'Data-Cashout'!$D$3:$D$3100,'Mar20-Aug20 Transport Actuals'!$F$421,'Data-Cashout'!$E$3:$E$3100,'Mar20-Aug20 Transport Actuals'!$H$421,'Data-Cashout'!$F$3:$F$3100,'Mar20-Aug20 Transport Actuals'!J$387)</f>
        <v>12610.13</v>
      </c>
      <c r="K421" s="482">
        <f>SUMIFS('Data-Cashout'!$AA$1:$AA$3100,'Data-Cashout'!$A$1:$A$3100,'Mar20-Aug20 Transport Actuals'!K$385,'Data-Cashout'!$B$1:$B$3100,'Mar20-Aug20 Transport Actuals'!$C$421,'Data-Cashout'!$D$1:$D$3100,'Mar20-Aug20 Transport Actuals'!$F$421,'Data-Cashout'!$E$1:$E$3100,'Mar20-Aug20 Transport Actuals'!$H$421)</f>
        <v>5467.63</v>
      </c>
      <c r="L421" s="482">
        <f>SUMIFS('Data-Cashout'!$AA$1:$AA$3100,'Data-Cashout'!$A$1:$A$3100,'Mar20-Aug20 Transport Actuals'!L$385,'Data-Cashout'!$B$1:$B$3100,'Mar20-Aug20 Transport Actuals'!$C$421,'Data-Cashout'!$D$1:$D$3100,'Mar20-Aug20 Transport Actuals'!$F$421,'Data-Cashout'!$E$1:$E$3100,'Mar20-Aug20 Transport Actuals'!$H$421)</f>
        <v>2121.64</v>
      </c>
      <c r="M421" s="482">
        <f>SUMIFS('Data-Cashout'!$AA$1:$AA$3100,'Data-Cashout'!$A$1:$A$3100,'Mar20-Aug20 Transport Actuals'!M$385,'Data-Cashout'!$B$1:$B$3100,'Mar20-Aug20 Transport Actuals'!$C$421,'Data-Cashout'!$D$1:$D$3100,'Mar20-Aug20 Transport Actuals'!$F$421,'Data-Cashout'!$E$1:$E$3100,'Mar20-Aug20 Transport Actuals'!$H$421)</f>
        <v>13530.84</v>
      </c>
      <c r="N421" s="482">
        <f>SUMIFS('Data-Cashout'!$AA$1:$AA$3100,'Data-Cashout'!$A$1:$A$3100,'Mar20-Aug20 Transport Actuals'!N$385,'Data-Cashout'!$B$1:$B$3100,'Mar20-Aug20 Transport Actuals'!$C$421,'Data-Cashout'!$D$1:$D$3100,'Mar20-Aug20 Transport Actuals'!$F$421,'Data-Cashout'!$E$1:$E$3100,'Mar20-Aug20 Transport Actuals'!$H$421)</f>
        <v>1827.67</v>
      </c>
      <c r="O421" s="482">
        <f>SUMIFS('Data-Cashout'!$AA$1:$AA$3100,'Data-Cashout'!$A$1:$A$3100,'Mar20-Aug20 Transport Actuals'!O$385,'Data-Cashout'!$B$1:$B$3100,'Mar20-Aug20 Transport Actuals'!$C$421,'Data-Cashout'!$D$1:$D$3100,'Mar20-Aug20 Transport Actuals'!$F$421,'Data-Cashout'!$E$1:$E$3100,'Mar20-Aug20 Transport Actuals'!$H$421,'Data-Cashout'!$F$1:$F$3100,'Mar20-Aug20 Transport Actuals'!O$387)</f>
        <v>0</v>
      </c>
      <c r="P421" s="288">
        <f>SUM(I421:N421)</f>
        <v>95798.399999999994</v>
      </c>
    </row>
    <row r="422" spans="3:16" x14ac:dyDescent="0.25">
      <c r="C422" s="180"/>
      <c r="D422" s="180"/>
      <c r="E422" s="176"/>
      <c r="F422" s="180"/>
      <c r="G422" s="181"/>
      <c r="H422" s="176"/>
      <c r="I422" s="176"/>
      <c r="J422" s="217"/>
      <c r="K422" s="217"/>
      <c r="L422" s="217"/>
      <c r="M422" s="217"/>
      <c r="N422" s="217"/>
      <c r="O422" s="217"/>
      <c r="P422" s="288"/>
    </row>
    <row r="423" spans="3:16" x14ac:dyDescent="0.25">
      <c r="C423" s="180"/>
      <c r="D423" s="180"/>
      <c r="E423" s="176"/>
      <c r="F423" s="180"/>
      <c r="G423" s="181" t="s">
        <v>167</v>
      </c>
      <c r="H423" s="176"/>
      <c r="I423" s="483">
        <f>SUM(I416:I421)</f>
        <v>60299.660717999999</v>
      </c>
      <c r="J423" s="483">
        <f t="shared" ref="J423:O423" si="144">SUM(J416:J421)</f>
        <v>12622.161319999999</v>
      </c>
      <c r="K423" s="483">
        <f t="shared" si="144"/>
        <v>8164.399684</v>
      </c>
      <c r="L423" s="483">
        <f t="shared" si="144"/>
        <v>2121.64</v>
      </c>
      <c r="M423" s="483">
        <f t="shared" si="144"/>
        <v>13530.84</v>
      </c>
      <c r="N423" s="483">
        <f t="shared" si="144"/>
        <v>1827.67</v>
      </c>
      <c r="O423" s="483">
        <f t="shared" si="144"/>
        <v>0</v>
      </c>
      <c r="P423" s="288">
        <f>SUM(I423:N423)</f>
        <v>98566.371721999996</v>
      </c>
    </row>
    <row r="424" spans="3:16" x14ac:dyDescent="0.25">
      <c r="C424" s="180"/>
      <c r="D424" s="180"/>
      <c r="E424" s="176"/>
      <c r="F424" s="180" t="s">
        <v>262</v>
      </c>
      <c r="G424" s="181" t="s">
        <v>274</v>
      </c>
      <c r="H424" s="176"/>
      <c r="I424" s="483">
        <f>SUMIFS('Bruise Report-Cashouts'!$C$5:$C$64,'Bruise Report-Cashouts'!$A$5:$A$64,'Mar20-Aug20 Transport Actuals'!I$385,'Bruise Report-Cashouts'!$B$5:$B$64,'Mar20-Aug20 Transport Actuals'!$F$424)</f>
        <v>60299.66</v>
      </c>
      <c r="J424" s="483">
        <f>SUMIFS('Bruise Report-Cashouts'!$C$5:$C$64,'Bruise Report-Cashouts'!$A$5:$A$64,'Mar20-Aug20 Transport Actuals'!J$385,'Bruise Report-Cashouts'!$B$5:$B$64,'Mar20-Aug20 Transport Actuals'!$F$424)</f>
        <v>14743.8</v>
      </c>
      <c r="K424" s="483">
        <f>SUMIFS('Bruise Report-Cashouts'!$C$5:$C$64,'Bruise Report-Cashouts'!$A$5:$A$64,'Mar20-Aug20 Transport Actuals'!K$385,'Bruise Report-Cashouts'!$B$5:$B$64,'Mar20-Aug20 Transport Actuals'!$F$424)</f>
        <v>8157.05</v>
      </c>
      <c r="L424" s="483">
        <f>SUMIFS('Bruise Report-Cashouts'!$C$5:$C$64,'Bruise Report-Cashouts'!$A$5:$A$64,'Mar20-Aug20 Transport Actuals'!L$385,'Bruise Report-Cashouts'!$B$5:$B$64,'Mar20-Aug20 Transport Actuals'!$F$424)</f>
        <v>0</v>
      </c>
      <c r="M424" s="483">
        <f>SUMIFS('Bruise Report-Cashouts'!$C$5:$C$64,'Bruise Report-Cashouts'!$A$5:$A$64,'Mar20-Aug20 Transport Actuals'!M$385,'Bruise Report-Cashouts'!$B$5:$B$64,'Mar20-Aug20 Transport Actuals'!$F$424)</f>
        <v>13530.84</v>
      </c>
      <c r="N424" s="483">
        <f>SUMIFS('Bruise Report-Cashouts'!$C$5:$C$64,'Bruise Report-Cashouts'!$A$5:$A$64,'Mar20-Aug20 Transport Actuals'!N$385,'Bruise Report-Cashouts'!$B$5:$B$64,'Mar20-Aug20 Transport Actuals'!$F$424)</f>
        <v>1827.67</v>
      </c>
      <c r="O424" s="483">
        <f>SUMIFS('Bruise Report-Cashouts'!$C$5:$C$64,'Bruise Report-Cashouts'!$A$5:$A$64,'Mar20-Aug20 Transport Actuals'!O$385,'Bruise Report-Cashouts'!$B$5:$B$64,'Mar20-Aug20 Transport Actuals'!$F$424)</f>
        <v>0</v>
      </c>
      <c r="P424" s="288">
        <f t="shared" ref="P424:P425" si="145">SUM(I424:N424)</f>
        <v>98559.02</v>
      </c>
    </row>
    <row r="425" spans="3:16" x14ac:dyDescent="0.25">
      <c r="C425" s="180"/>
      <c r="D425" s="180"/>
      <c r="E425" s="176"/>
      <c r="F425" s="180"/>
      <c r="G425" s="181" t="s">
        <v>152</v>
      </c>
      <c r="H425" s="176"/>
      <c r="I425" s="483">
        <f>+I423-I424</f>
        <v>7.1799999568611383E-4</v>
      </c>
      <c r="J425" s="483">
        <f t="shared" ref="J425:O425" si="146">+J423-J424</f>
        <v>-2121.63868</v>
      </c>
      <c r="K425" s="483">
        <f t="shared" si="146"/>
        <v>7.3496839999997974</v>
      </c>
      <c r="L425" s="483">
        <f t="shared" si="146"/>
        <v>2121.64</v>
      </c>
      <c r="M425" s="483">
        <f>+M423-M424</f>
        <v>0</v>
      </c>
      <c r="N425" s="483">
        <f t="shared" si="146"/>
        <v>0</v>
      </c>
      <c r="O425" s="483">
        <f t="shared" si="146"/>
        <v>0</v>
      </c>
      <c r="P425" s="288">
        <f t="shared" si="145"/>
        <v>7.351721999995334</v>
      </c>
    </row>
    <row r="426" spans="3:16" x14ac:dyDescent="0.25">
      <c r="C426" s="180"/>
      <c r="D426" s="180"/>
      <c r="E426" s="176"/>
      <c r="F426" s="180"/>
      <c r="G426" s="181"/>
      <c r="H426" s="181"/>
      <c r="I426" s="481"/>
      <c r="J426" s="176"/>
      <c r="K426" s="176"/>
      <c r="L426" s="176"/>
      <c r="M426" s="176"/>
      <c r="N426" s="176"/>
      <c r="O426" s="176"/>
      <c r="P426" s="176"/>
    </row>
    <row r="427" spans="3:16" x14ac:dyDescent="0.25">
      <c r="C427" s="180"/>
      <c r="D427" s="180"/>
      <c r="E427" s="176"/>
      <c r="F427" s="180"/>
      <c r="G427" s="179" t="s">
        <v>365</v>
      </c>
      <c r="H427" s="181"/>
      <c r="I427" s="481"/>
      <c r="J427" s="176"/>
      <c r="K427" s="176"/>
      <c r="L427" s="176"/>
      <c r="M427" s="176"/>
      <c r="N427" s="176"/>
      <c r="O427" s="176"/>
      <c r="P427" s="176"/>
    </row>
    <row r="428" spans="3:16" x14ac:dyDescent="0.25">
      <c r="C428" s="180" t="s">
        <v>34</v>
      </c>
      <c r="D428" s="180" t="str">
        <f>MID(C428,6,3)</f>
        <v>895</v>
      </c>
      <c r="E428" s="176" t="str">
        <f>VLOOKUP($C428,'Retail Rates'!$B$7:$P$40,2,FALSE)</f>
        <v>FT-C</v>
      </c>
      <c r="F428" s="180" t="s">
        <v>319</v>
      </c>
      <c r="G428" s="181" t="s">
        <v>158</v>
      </c>
      <c r="H428" s="156" t="s">
        <v>265</v>
      </c>
      <c r="I428" s="482">
        <f>SUMIFS('Data-Cashout'!$AA$1:$AA$3100,'Data-Cashout'!$A$1:$A$3100,'Mar20-Aug20 Transport Actuals'!I$385,'Data-Cashout'!$B$1:$B$3100,'Mar20-Aug20 Transport Actuals'!$C$428,'Data-Cashout'!$D$1:$D$3100,'Mar20-Aug20 Transport Actuals'!$F$428,'Data-Cashout'!$E$1:$E$3100,'Mar20-Aug20 Transport Actuals'!$H$428,'Data-Cashout'!$F$1:$F$3100,'Mar20-Aug20 Transport Actuals'!I$388)</f>
        <v>0</v>
      </c>
      <c r="J428" s="482">
        <f>SUMIFS('Data-Cashout'!$AA$1:$AA$3100,'Data-Cashout'!$A$1:$A$3100,'Mar20-Aug20 Transport Actuals'!J$385,'Data-Cashout'!$B$1:$B$3100,'Mar20-Aug20 Transport Actuals'!$C$428,'Data-Cashout'!$D$1:$D$3100,'Mar20-Aug20 Transport Actuals'!$F$428,'Data-Cashout'!$E$1:$E$3100,'Mar20-Aug20 Transport Actuals'!$H$428,'Data-Cashout'!$F$1:$F$3100,'Mar20-Aug20 Transport Actuals'!J$388)</f>
        <v>0</v>
      </c>
      <c r="K428" s="482">
        <f>SUMIFS('Data-Cashout'!$H$1:$H$3100,'Data-Cashout'!$A$1:$A$3100,'Mar20-Aug20 Transport Actuals'!K$385,'Data-Cashout'!$B$1:$B$3100,'Mar20-Aug20 Transport Actuals'!$C$428,'Data-Cashout'!$D$1:$D$3100,'Mar20-Aug20 Transport Actuals'!$F$428,'Data-Cashout'!$E$1:$E$3100,'Mar20-Aug20 Transport Actuals'!$H$428,'Data-Cashout'!$F$1:$F$3100,'Mar20-Aug20 Transport Actuals'!K$388)/10</f>
        <v>0</v>
      </c>
      <c r="L428" s="482">
        <f>SUMIFS('Data-Cashout'!$H$1:$H$3100,'Data-Cashout'!$A$1:$A$3100,'Mar20-Aug20 Transport Actuals'!L$385,'Data-Cashout'!$B$1:$B$3100,'Mar20-Aug20 Transport Actuals'!$C$428,'Data-Cashout'!$D$1:$D$3100,'Mar20-Aug20 Transport Actuals'!$F$428,'Data-Cashout'!$E$1:$E$3100,'Mar20-Aug20 Transport Actuals'!$H$428,'Data-Cashout'!$F$1:$F$3100,'Mar20-Aug20 Transport Actuals'!L$388)/10</f>
        <v>98.1</v>
      </c>
      <c r="M428" s="482">
        <f>SUMIFS('Data-Cashout'!$H$1:$H$3100,'Data-Cashout'!$A$1:$A$3100,'Mar20-Aug20 Transport Actuals'!M$385,'Data-Cashout'!$B$1:$B$3100,'Mar20-Aug20 Transport Actuals'!$C$428,'Data-Cashout'!$D$1:$D$3100,'Mar20-Aug20 Transport Actuals'!$F$428,'Data-Cashout'!$E$1:$E$3100,'Mar20-Aug20 Transport Actuals'!$H$428,'Data-Cashout'!$F$1:$F$3100,'Mar20-Aug20 Transport Actuals'!M$388)/10</f>
        <v>707.6</v>
      </c>
      <c r="N428" s="482">
        <f>SUMIFS('Data-Cashout'!$H$1:$H$3100,'Data-Cashout'!$A$1:$A$3100,'Mar20-Aug20 Transport Actuals'!N$385,'Data-Cashout'!$B$1:$B$3100,'Mar20-Aug20 Transport Actuals'!$C$428,'Data-Cashout'!$D$1:$D$3100,'Mar20-Aug20 Transport Actuals'!$F$428,'Data-Cashout'!$E$1:$E$3100,'Mar20-Aug20 Transport Actuals'!$H$428,'Data-Cashout'!$F$1:$F$3100,'Mar20-Aug20 Transport Actuals'!N$388)/10</f>
        <v>0</v>
      </c>
      <c r="O428" s="482">
        <f>SUMIFS('Data-Cashout'!$H$1:$H$3100,'Data-Cashout'!$A$1:$A$3100,'Mar20-Aug20 Transport Actuals'!O$385,'Data-Cashout'!$B$1:$B$3100,'Mar20-Aug20 Transport Actuals'!$C$428,'Data-Cashout'!$D$1:$D$3100,'Mar20-Aug20 Transport Actuals'!$F$428,'Data-Cashout'!$E$1:$E$3100,'Mar20-Aug20 Transport Actuals'!$H$428,'Data-Cashout'!$F$1:$F$3100,'Mar20-Aug20 Transport Actuals'!O$388)/10</f>
        <v>0</v>
      </c>
      <c r="P428" s="288">
        <f>SUM(I428:N428)</f>
        <v>805.7</v>
      </c>
    </row>
    <row r="429" spans="3:16" x14ac:dyDescent="0.25">
      <c r="C429" s="180" t="s">
        <v>49</v>
      </c>
      <c r="D429" s="180" t="str">
        <f>MID(C429,6,3)</f>
        <v>895</v>
      </c>
      <c r="E429" s="176" t="str">
        <f>VLOOKUP($C429,'Retail Rates'!$B$7:$P$40,2,FALSE)</f>
        <v>FT-C-PM</v>
      </c>
      <c r="F429" s="180" t="s">
        <v>319</v>
      </c>
      <c r="G429" s="181" t="s">
        <v>158</v>
      </c>
      <c r="H429" s="156" t="s">
        <v>265</v>
      </c>
      <c r="I429" s="482">
        <f>SUMIFS('Data-Cashout'!$AA$1:$AA$3100,'Data-Cashout'!$A$1:$A$3100,'Mar20-Aug20 Transport Actuals'!I$385,'Data-Cashout'!$B$1:$B$3100,'Mar20-Aug20 Transport Actuals'!$C$429,'Data-Cashout'!$D$1:$D$3100,'Mar20-Aug20 Transport Actuals'!$F$429,'Data-Cashout'!$E$1:$E$3100,'Mar20-Aug20 Transport Actuals'!$H$429,'Data-Cashout'!$F$1:$F$3100,'Mar20-Aug20 Transport Actuals'!I$388)</f>
        <v>0</v>
      </c>
      <c r="J429" s="482">
        <f>SUMIFS('Data-Cashout'!$AA$1:$AA$3100,'Data-Cashout'!$A$1:$A$3100,'Mar20-Aug20 Transport Actuals'!J$385,'Data-Cashout'!$B$1:$B$3100,'Mar20-Aug20 Transport Actuals'!$C$429,'Data-Cashout'!$D$1:$D$3100,'Mar20-Aug20 Transport Actuals'!$F$429,'Data-Cashout'!$E$1:$E$3100,'Mar20-Aug20 Transport Actuals'!$H$429,'Data-Cashout'!$F$1:$F$3100,'Mar20-Aug20 Transport Actuals'!J$388)</f>
        <v>0</v>
      </c>
      <c r="K429" s="482">
        <f>SUMIFS('Data-Cashout'!$AA$1:$AA$3100,'Data-Cashout'!$A$1:$A$3100,'Mar20-Aug20 Transport Actuals'!K$385,'Data-Cashout'!$B$1:$B$3100,'Mar20-Aug20 Transport Actuals'!$C$429,'Data-Cashout'!$D$1:$D$3100,'Mar20-Aug20 Transport Actuals'!$F$429,'Data-Cashout'!$E$1:$E$3100,'Mar20-Aug20 Transport Actuals'!$H$429,'Data-Cashout'!$F$1:$F$3100,'Mar20-Aug20 Transport Actuals'!K$388)</f>
        <v>0</v>
      </c>
      <c r="L429" s="482">
        <f>SUMIFS('Data-Cashout'!$H$1:$H$3100,'Data-Cashout'!$A$1:$A$3100,'Mar20-Aug20 Transport Actuals'!L$385,'Data-Cashout'!$B$1:$B$3100,'Mar20-Aug20 Transport Actuals'!$C$429,'Data-Cashout'!$D$1:$D$3100,'Mar20-Aug20 Transport Actuals'!$F$429,'Data-Cashout'!$E$1:$E$3100,'Mar20-Aug20 Transport Actuals'!$H$429,'Data-Cashout'!$F$1:$F$3100,'Mar20-Aug20 Transport Actuals'!L$388)/10</f>
        <v>0</v>
      </c>
      <c r="M429" s="482">
        <f>SUMIFS('Data-Cashout'!$AA$1:$AA$3100,'Data-Cashout'!$A$1:$A$3100,'Mar20-Aug20 Transport Actuals'!M$385,'Data-Cashout'!$B$1:$B$3100,'Mar20-Aug20 Transport Actuals'!$C$429,'Data-Cashout'!$D$1:$D$3100,'Mar20-Aug20 Transport Actuals'!$F$429,'Data-Cashout'!$E$1:$E$3100,'Mar20-Aug20 Transport Actuals'!$H$429,'Data-Cashout'!$F$1:$F$3100,'Mar20-Aug20 Transport Actuals'!M$388)</f>
        <v>0</v>
      </c>
      <c r="N429" s="482">
        <f>SUMIFS('Data-Cashout'!$AA$1:$AA$3100,'Data-Cashout'!$A$1:$A$3100,'Mar20-Aug20 Transport Actuals'!N$385,'Data-Cashout'!$B$1:$B$3100,'Mar20-Aug20 Transport Actuals'!$C$429,'Data-Cashout'!$D$1:$D$3100,'Mar20-Aug20 Transport Actuals'!$F$429,'Data-Cashout'!$E$1:$E$3100,'Mar20-Aug20 Transport Actuals'!$H$429,'Data-Cashout'!$F$1:$F$3100,'Mar20-Aug20 Transport Actuals'!N$388)</f>
        <v>0</v>
      </c>
      <c r="O429" s="482">
        <f>SUMIFS('Data-Cashout'!$AA$1:$AA$3100,'Data-Cashout'!$A$1:$A$3100,'Mar20-Aug20 Transport Actuals'!O$385,'Data-Cashout'!$B$1:$B$3100,'Mar20-Aug20 Transport Actuals'!$C$429,'Data-Cashout'!$D$1:$D$3100,'Mar20-Aug20 Transport Actuals'!$F$429,'Data-Cashout'!$E$1:$E$3100,'Mar20-Aug20 Transport Actuals'!$H$429,'Data-Cashout'!$F$1:$F$3100,'Mar20-Aug20 Transport Actuals'!O$388)</f>
        <v>0</v>
      </c>
      <c r="P429" s="288">
        <f>SUM(I429:N429)</f>
        <v>0</v>
      </c>
    </row>
    <row r="430" spans="3:16" x14ac:dyDescent="0.25">
      <c r="C430" s="180"/>
      <c r="D430" s="180"/>
      <c r="E430" s="176"/>
      <c r="F430" s="180"/>
      <c r="G430" s="181" t="s">
        <v>160</v>
      </c>
      <c r="H430" s="181"/>
      <c r="I430" s="481">
        <f>VLOOKUP($C$428,'Retail Rates'!$B$7:$P$40,10,FALSE)</f>
        <v>3.7999999999999999E-2</v>
      </c>
      <c r="J430" s="481">
        <f>VLOOKUP($C$428,'Retail Rates'!$B$7:$P$40,10,FALSE)</f>
        <v>3.7999999999999999E-2</v>
      </c>
      <c r="K430" s="481">
        <f>VLOOKUP($C$428,'Retail Rates'!$B$7:$P$40,10,FALSE)</f>
        <v>3.7999999999999999E-2</v>
      </c>
      <c r="L430" s="481">
        <f>VLOOKUP($C$428,'Retail Rates'!$B$7:$P$40,10,FALSE)</f>
        <v>3.7999999999999999E-2</v>
      </c>
      <c r="M430" s="481">
        <f>VLOOKUP($C$428,'Retail Rates'!$B$7:$P$40,10,FALSE)</f>
        <v>3.7999999999999999E-2</v>
      </c>
      <c r="N430" s="481">
        <f>VLOOKUP($C$428,'Retail Rates'!$B$7:$P$40,10,FALSE)</f>
        <v>3.7999999999999999E-2</v>
      </c>
      <c r="O430" s="481">
        <f>VLOOKUP($C$428,'Retail Rates'!$B$7:$P$40,10,FALSE)</f>
        <v>3.7999999999999999E-2</v>
      </c>
      <c r="P430" s="176"/>
    </row>
    <row r="431" spans="3:16" x14ac:dyDescent="0.25">
      <c r="C431" s="176"/>
      <c r="D431" s="176"/>
      <c r="E431" s="176"/>
      <c r="F431" s="176"/>
      <c r="G431" s="181" t="s">
        <v>161</v>
      </c>
      <c r="H431" s="176"/>
      <c r="I431" s="500">
        <f>VLOOKUP(I$385,'GSC-DSM-GLT Factors'!$A$9:$P$52,6,FALSE)</f>
        <v>1.8000000000000001E-4</v>
      </c>
      <c r="J431" s="500">
        <f>VLOOKUP(J$385,'GSC-DSM-GLT Factors'!$A$9:$P$52,6,FALSE)</f>
        <v>4.8000000000000001E-4</v>
      </c>
      <c r="K431" s="500">
        <f>VLOOKUP(K$385,'GSC-DSM-GLT Factors'!$A$9:$P$52,6,FALSE)</f>
        <v>4.8000000000000001E-4</v>
      </c>
      <c r="L431" s="500">
        <f>VLOOKUP(L$385,'GSC-DSM-GLT Factors'!$A$9:$P$52,6,FALSE)</f>
        <v>4.8000000000000001E-4</v>
      </c>
      <c r="M431" s="500">
        <f>VLOOKUP(M$385,'GSC-DSM-GLT Factors'!$A$9:$P$52,6,FALSE)</f>
        <v>4.8000000000000001E-4</v>
      </c>
      <c r="N431" s="500">
        <f>VLOOKUP(N$385,'GSC-DSM-GLT Factors'!$A$9:$P$52,6,FALSE)</f>
        <v>4.8000000000000001E-4</v>
      </c>
      <c r="O431" s="500">
        <f>VLOOKUP(O$385,'GSC-DSM-GLT Factors'!$A$9:$P$52,6,FALSE)</f>
        <v>4.8000000000000001E-4</v>
      </c>
      <c r="P431" s="176"/>
    </row>
    <row r="432" spans="3:16" x14ac:dyDescent="0.25">
      <c r="C432" s="176"/>
      <c r="D432" s="176"/>
      <c r="E432" s="176"/>
      <c r="F432" s="176"/>
      <c r="G432" s="181" t="s">
        <v>366</v>
      </c>
      <c r="H432" s="179"/>
      <c r="I432" s="500">
        <f>VLOOKUP(I$385,'GSC-DSM-GLT Factors'!$A$9:$P$52,16,FALSE)</f>
        <v>4.8000000000000004E-3</v>
      </c>
      <c r="J432" s="500">
        <f>VLOOKUP(J$385,'GSC-DSM-GLT Factors'!$A$9:$P$52,16,FALSE)</f>
        <v>4.8000000000000004E-3</v>
      </c>
      <c r="K432" s="500">
        <f>VLOOKUP(K$385,'GSC-DSM-GLT Factors'!$A$9:$P$52,16,FALSE)</f>
        <v>9.7999999999999997E-3</v>
      </c>
      <c r="L432" s="500">
        <f>VLOOKUP(L$385,'GSC-DSM-GLT Factors'!$A$9:$P$52,16,FALSE)</f>
        <v>9.7999999999999997E-3</v>
      </c>
      <c r="M432" s="500">
        <f>VLOOKUP(M$385,'GSC-DSM-GLT Factors'!$A$9:$P$52,16,FALSE)</f>
        <v>9.7999999999999997E-3</v>
      </c>
      <c r="N432" s="500">
        <f>VLOOKUP(N$385,'GSC-DSM-GLT Factors'!$A$9:$P$52,16,FALSE)</f>
        <v>9.7999999999999997E-3</v>
      </c>
      <c r="O432" s="500">
        <f>VLOOKUP(O$385,'GSC-DSM-GLT Factors'!$A$9:$P$52,16,FALSE)</f>
        <v>9.7999999999999997E-3</v>
      </c>
      <c r="P432" s="176"/>
    </row>
    <row r="433" spans="3:16" x14ac:dyDescent="0.25">
      <c r="C433" s="180"/>
      <c r="D433" s="180"/>
      <c r="E433" s="176"/>
      <c r="F433" s="180"/>
      <c r="G433" s="182" t="s">
        <v>162</v>
      </c>
      <c r="H433" s="182"/>
      <c r="I433" s="481"/>
      <c r="J433" s="176"/>
      <c r="K433" s="176"/>
      <c r="L433" s="176"/>
      <c r="M433" s="176"/>
      <c r="N433" s="176"/>
      <c r="O433" s="176"/>
      <c r="P433" s="217"/>
    </row>
    <row r="434" spans="3:16" x14ac:dyDescent="0.25">
      <c r="C434" s="180"/>
      <c r="D434" s="180"/>
      <c r="E434" s="176"/>
      <c r="F434" s="180"/>
      <c r="G434" s="181" t="s">
        <v>637</v>
      </c>
      <c r="H434" s="182"/>
      <c r="I434" s="484">
        <f>SUM(I$428:I$429)*I$430</f>
        <v>0</v>
      </c>
      <c r="J434" s="484">
        <f t="shared" ref="J434:O434" si="147">SUM(J$428:J$429)*J$430</f>
        <v>0</v>
      </c>
      <c r="K434" s="484">
        <f t="shared" si="147"/>
        <v>0</v>
      </c>
      <c r="L434" s="484">
        <f>SUM(L$428:L$429)*L$430</f>
        <v>3.7277999999999998</v>
      </c>
      <c r="M434" s="484">
        <f t="shared" si="147"/>
        <v>26.8888</v>
      </c>
      <c r="N434" s="484">
        <f t="shared" si="147"/>
        <v>0</v>
      </c>
      <c r="O434" s="484">
        <f t="shared" si="147"/>
        <v>0</v>
      </c>
      <c r="P434" s="217"/>
    </row>
    <row r="435" spans="3:16" x14ac:dyDescent="0.25">
      <c r="C435" s="180"/>
      <c r="D435" s="180"/>
      <c r="E435" s="176"/>
      <c r="F435" s="180"/>
      <c r="G435" s="181" t="s">
        <v>352</v>
      </c>
      <c r="H435" s="182"/>
      <c r="I435" s="484">
        <f>SUM(I$428:I$429)*I$431</f>
        <v>0</v>
      </c>
      <c r="J435" s="484">
        <f t="shared" ref="J435:O435" si="148">SUM(J$428:J$429)*J$431</f>
        <v>0</v>
      </c>
      <c r="K435" s="484">
        <f t="shared" si="148"/>
        <v>0</v>
      </c>
      <c r="L435" s="484">
        <f t="shared" si="148"/>
        <v>4.7087999999999998E-2</v>
      </c>
      <c r="M435" s="484">
        <f t="shared" si="148"/>
        <v>0.33964800000000001</v>
      </c>
      <c r="N435" s="484">
        <f t="shared" si="148"/>
        <v>0</v>
      </c>
      <c r="O435" s="484">
        <f t="shared" si="148"/>
        <v>0</v>
      </c>
      <c r="P435" s="217"/>
    </row>
    <row r="436" spans="3:16" x14ac:dyDescent="0.25">
      <c r="C436" s="180"/>
      <c r="D436" s="180"/>
      <c r="E436" s="176"/>
      <c r="F436" s="180"/>
      <c r="G436" s="181" t="s">
        <v>638</v>
      </c>
      <c r="H436" s="182"/>
      <c r="I436" s="484">
        <f>SUM(I$428:I$429)*I$432</f>
        <v>0</v>
      </c>
      <c r="J436" s="484">
        <f t="shared" ref="J436:O436" si="149">SUM(J$428:J$429)*J$432</f>
        <v>0</v>
      </c>
      <c r="K436" s="484">
        <f t="shared" si="149"/>
        <v>0</v>
      </c>
      <c r="L436" s="484">
        <f t="shared" si="149"/>
        <v>0.9613799999999999</v>
      </c>
      <c r="M436" s="484">
        <f t="shared" si="149"/>
        <v>6.9344799999999998</v>
      </c>
      <c r="N436" s="484">
        <f t="shared" si="149"/>
        <v>0</v>
      </c>
      <c r="O436" s="484">
        <f t="shared" si="149"/>
        <v>0</v>
      </c>
      <c r="P436" s="217"/>
    </row>
    <row r="437" spans="3:16" x14ac:dyDescent="0.25">
      <c r="C437" s="180" t="s">
        <v>34</v>
      </c>
      <c r="D437" s="180" t="str">
        <f>MID(C437,6,3)</f>
        <v>895</v>
      </c>
      <c r="E437" s="176" t="str">
        <f>VLOOKUP($C437,'Retail Rates'!$B$7:$P$40,2,FALSE)</f>
        <v>FT-C</v>
      </c>
      <c r="F437" s="180" t="s">
        <v>319</v>
      </c>
      <c r="G437" s="181" t="s">
        <v>629</v>
      </c>
      <c r="H437" s="156" t="s">
        <v>269</v>
      </c>
      <c r="I437" s="482">
        <f>SUMIFS('Data-Cashout'!$AA$3:$AA$3100,'Data-Cashout'!$A$3:$A$3100,'Mar20-Aug20 Transport Actuals'!I$385,'Data-Cashout'!$B$3:$B$3100,'Mar20-Aug20 Transport Actuals'!$C$437,'Data-Cashout'!$D$3:$D$3100,'Mar20-Aug20 Transport Actuals'!$F$437,'Data-Cashout'!$E$3:$E$3100,'Mar20-Aug20 Transport Actuals'!$H$437,'Data-Cashout'!$F$3:$F$3100,'Mar20-Aug20 Transport Actuals'!I$387)</f>
        <v>0</v>
      </c>
      <c r="J437" s="482">
        <f>SUMIFS('Data-Cashout'!$AA$3:$AA$3100,'Data-Cashout'!$A$3:$A$3100,'Mar20-Aug20 Transport Actuals'!J$385,'Data-Cashout'!$B$3:$B$3100,'Mar20-Aug20 Transport Actuals'!$C$437,'Data-Cashout'!$D$3:$D$3100,'Mar20-Aug20 Transport Actuals'!$F$437,'Data-Cashout'!$E$3:$E$3100,'Mar20-Aug20 Transport Actuals'!$H$437,'Data-Cashout'!$F$3:$F$3100,'Mar20-Aug20 Transport Actuals'!J$387)</f>
        <v>0</v>
      </c>
      <c r="K437" s="482">
        <f>SUMIFS('Data-Cashout'!$AA$3:$AA$3100,'Data-Cashout'!$A$3:$A$3100,'Mar20-Aug20 Transport Actuals'!K$385,'Data-Cashout'!$B$3:$B$3100,'Mar20-Aug20 Transport Actuals'!$C$437,'Data-Cashout'!$D$3:$D$3100,'Mar20-Aug20 Transport Actuals'!$F$437,'Data-Cashout'!$E$3:$E$3100,'Mar20-Aug20 Transport Actuals'!$H$437,'Data-Cashout'!$F$3:$F$3100,'Mar20-Aug20 Transport Actuals'!K$387)</f>
        <v>0</v>
      </c>
      <c r="L437" s="482">
        <f>SUMIFS('Data-Cashout'!$AA$3:$AA$3100,'Data-Cashout'!$A$3:$A$3100,'Mar20-Aug20 Transport Actuals'!L$385,'Data-Cashout'!$B$3:$B$3100,'Mar20-Aug20 Transport Actuals'!$C$437,'Data-Cashout'!$D$3:$D$3100,'Mar20-Aug20 Transport Actuals'!$F$437,'Data-Cashout'!$E$3:$E$3100,'Mar20-Aug20 Transport Actuals'!$H$437,'Data-Cashout'!$F$3:$F$3100,'Mar20-Aug20 Transport Actuals'!L$387)</f>
        <v>196.76</v>
      </c>
      <c r="M437" s="482">
        <f>SUMIFS('Data-Cashout'!$AA$3:$AA$3100,'Data-Cashout'!$A$3:$A$3100,'Mar20-Aug20 Transport Actuals'!M$385,'Data-Cashout'!$B$3:$B$3100,'Mar20-Aug20 Transport Actuals'!$C$437,'Data-Cashout'!$D$3:$D$3100,'Mar20-Aug20 Transport Actuals'!$F$437,'Data-Cashout'!$E$3:$E$3100,'Mar20-Aug20 Transport Actuals'!$H$437,'Data-Cashout'!$F$3:$F$3100,'Mar20-Aug20 Transport Actuals'!M$387)</f>
        <v>1393.82</v>
      </c>
      <c r="N437" s="482">
        <f>SUMIFS('Data-Cashout'!$AA$3:$AA$3100,'Data-Cashout'!$A$3:$A$3100,'Mar20-Aug20 Transport Actuals'!N$385,'Data-Cashout'!$B$3:$B$3100,'Mar20-Aug20 Transport Actuals'!$C$437,'Data-Cashout'!$D$3:$D$3100,'Mar20-Aug20 Transport Actuals'!$F$437,'Data-Cashout'!$E$3:$E$3100,'Mar20-Aug20 Transport Actuals'!$H$437,'Data-Cashout'!$F$3:$F$3100,'Mar20-Aug20 Transport Actuals'!N$387)</f>
        <v>0</v>
      </c>
      <c r="O437" s="482">
        <f>SUMIFS('Data-Cashout'!$AA$3:$AA$3100,'Data-Cashout'!$A$3:$A$3100,'Mar20-Aug20 Transport Actuals'!O$385,'Data-Cashout'!$B$3:$B$3100,'Mar20-Aug20 Transport Actuals'!$C$437,'Data-Cashout'!$D$3:$D$3100,'Mar20-Aug20 Transport Actuals'!$F$437,'Data-Cashout'!$E$3:$E$3100,'Mar20-Aug20 Transport Actuals'!$H$437,'Data-Cashout'!$F$3:$F$3100,'Mar20-Aug20 Transport Actuals'!O$387)</f>
        <v>0</v>
      </c>
      <c r="P437" s="288">
        <f>SUM(I437:N437)</f>
        <v>1590.58</v>
      </c>
    </row>
    <row r="438" spans="3:16" x14ac:dyDescent="0.25">
      <c r="C438" s="180" t="s">
        <v>49</v>
      </c>
      <c r="D438" s="180" t="str">
        <f>MID(C438,6,3)</f>
        <v>895</v>
      </c>
      <c r="E438" s="176" t="str">
        <f>VLOOKUP($C438,'Retail Rates'!$B$7:$P$40,2,FALSE)</f>
        <v>FT-C-PM</v>
      </c>
      <c r="F438" s="180" t="s">
        <v>319</v>
      </c>
      <c r="G438" s="181" t="s">
        <v>629</v>
      </c>
      <c r="H438" s="156" t="s">
        <v>269</v>
      </c>
      <c r="I438" s="482">
        <f>SUMIFS('Data-Cashout'!$AA$3:$AA$3100,'Data-Cashout'!$A$3:$A$3100,'Mar20-Aug20 Transport Actuals'!I$385,'Data-Cashout'!$B$3:$B$3100,'Mar20-Aug20 Transport Actuals'!$C$438,'Data-Cashout'!$D$3:$D$3100,'Mar20-Aug20 Transport Actuals'!$F$438,'Data-Cashout'!$E$3:$E$3100,'Mar20-Aug20 Transport Actuals'!$H$438,'Data-Cashout'!$F$3:$F$3100,'Mar20-Aug20 Transport Actuals'!I$387)</f>
        <v>0</v>
      </c>
      <c r="J438" s="482">
        <f>SUMIFS('Data-Cashout'!$AA$3:$AA$3100,'Data-Cashout'!$A$3:$A$3100,'Mar20-Aug20 Transport Actuals'!J$385,'Data-Cashout'!$B$3:$B$3100,'Mar20-Aug20 Transport Actuals'!$C$438,'Data-Cashout'!$D$3:$D$3100,'Mar20-Aug20 Transport Actuals'!$F$438,'Data-Cashout'!$E$3:$E$3100,'Mar20-Aug20 Transport Actuals'!$H$438,'Data-Cashout'!$F$3:$F$3100,'Mar20-Aug20 Transport Actuals'!J$387)</f>
        <v>0</v>
      </c>
      <c r="K438" s="482">
        <f>SUMIFS('Data-Cashout'!$AA$3:$AA$3100,'Data-Cashout'!$A$3:$A$3100,'Mar20-Aug20 Transport Actuals'!K$385,'Data-Cashout'!$B$3:$B$3100,'Mar20-Aug20 Transport Actuals'!$C$438,'Data-Cashout'!$D$3:$D$3100,'Mar20-Aug20 Transport Actuals'!$F$438,'Data-Cashout'!$E$3:$E$3100,'Mar20-Aug20 Transport Actuals'!$H$438,'Data-Cashout'!$F$3:$F$3100,'Mar20-Aug20 Transport Actuals'!K$387)</f>
        <v>0</v>
      </c>
      <c r="L438" s="482">
        <f>SUMIFS('Data-Cashout'!$AA$3:$AA$3100,'Data-Cashout'!$A$3:$A$3100,'Mar20-Aug20 Transport Actuals'!L$385,'Data-Cashout'!$B$3:$B$3100,'Mar20-Aug20 Transport Actuals'!$C$438,'Data-Cashout'!$D$3:$D$3100,'Mar20-Aug20 Transport Actuals'!$F$438,'Data-Cashout'!$E$3:$E$3100,'Mar20-Aug20 Transport Actuals'!$H$438,'Data-Cashout'!$F$3:$F$3100,'Mar20-Aug20 Transport Actuals'!L$387)</f>
        <v>0</v>
      </c>
      <c r="M438" s="482">
        <f>SUMIFS('Data-Cashout'!$AA$3:$AA$3100,'Data-Cashout'!$A$3:$A$3100,'Mar20-Aug20 Transport Actuals'!M$385,'Data-Cashout'!$B$3:$B$3100,'Mar20-Aug20 Transport Actuals'!$C$438,'Data-Cashout'!$D$3:$D$3100,'Mar20-Aug20 Transport Actuals'!$F$438,'Data-Cashout'!$E$3:$E$3100,'Mar20-Aug20 Transport Actuals'!$H$438,'Data-Cashout'!$F$3:$F$3100,'Mar20-Aug20 Transport Actuals'!M$387)</f>
        <v>0</v>
      </c>
      <c r="N438" s="482">
        <f>SUMIFS('Data-Cashout'!$AA$3:$AA$3100,'Data-Cashout'!$A$3:$A$3100,'Mar20-Aug20 Transport Actuals'!N$385,'Data-Cashout'!$B$3:$B$3100,'Mar20-Aug20 Transport Actuals'!$C$438,'Data-Cashout'!$D$3:$D$3100,'Mar20-Aug20 Transport Actuals'!$F$438,'Data-Cashout'!$E$3:$E$3100,'Mar20-Aug20 Transport Actuals'!$H$438,'Data-Cashout'!$F$3:$F$3100,'Mar20-Aug20 Transport Actuals'!N$387)</f>
        <v>0</v>
      </c>
      <c r="O438" s="482">
        <f>SUMIFS('Data-Cashout'!$AA$3:$AA$3100,'Data-Cashout'!$A$3:$A$3100,'Mar20-Aug20 Transport Actuals'!O$385,'Data-Cashout'!$B$3:$B$3100,'Mar20-Aug20 Transport Actuals'!$C$438,'Data-Cashout'!$D$3:$D$3100,'Mar20-Aug20 Transport Actuals'!$F$438,'Data-Cashout'!$E$3:$E$3100,'Mar20-Aug20 Transport Actuals'!$H$438,'Data-Cashout'!$F$3:$F$3100,'Mar20-Aug20 Transport Actuals'!O$387)</f>
        <v>0</v>
      </c>
      <c r="P438" s="288">
        <f>SUM(I438:N438)</f>
        <v>0</v>
      </c>
    </row>
    <row r="439" spans="3:16" x14ac:dyDescent="0.25">
      <c r="C439" s="180"/>
      <c r="D439" s="180"/>
      <c r="E439" s="176"/>
      <c r="F439" s="180"/>
      <c r="G439" s="181" t="s">
        <v>131</v>
      </c>
      <c r="H439" s="181"/>
      <c r="I439" s="506">
        <f>SUM(I434:I438)</f>
        <v>0</v>
      </c>
      <c r="J439" s="506">
        <f t="shared" ref="J439:O439" si="150">SUM(J434:J438)</f>
        <v>0</v>
      </c>
      <c r="K439" s="506">
        <f t="shared" si="150"/>
        <v>0</v>
      </c>
      <c r="L439" s="506">
        <f>SUM(L434:L438)</f>
        <v>201.49626799999999</v>
      </c>
      <c r="M439" s="506">
        <f t="shared" si="150"/>
        <v>1427.9829279999999</v>
      </c>
      <c r="N439" s="506">
        <f t="shared" si="150"/>
        <v>0</v>
      </c>
      <c r="O439" s="506">
        <f t="shared" si="150"/>
        <v>0</v>
      </c>
      <c r="P439" s="288">
        <f>SUM(I439:N439)</f>
        <v>1629.4791959999998</v>
      </c>
    </row>
    <row r="440" spans="3:16" x14ac:dyDescent="0.25">
      <c r="C440" s="176"/>
      <c r="D440" s="176"/>
      <c r="E440" s="176"/>
      <c r="F440" s="180"/>
      <c r="G440" s="179" t="s">
        <v>369</v>
      </c>
      <c r="H440" s="179"/>
      <c r="I440" s="481"/>
      <c r="J440" s="176"/>
      <c r="K440" s="176"/>
      <c r="L440" s="176"/>
      <c r="M440" s="176"/>
      <c r="N440" s="176"/>
      <c r="O440" s="176"/>
      <c r="P440" s="176"/>
    </row>
    <row r="441" spans="3:16" x14ac:dyDescent="0.25">
      <c r="C441" s="180" t="s">
        <v>36</v>
      </c>
      <c r="D441" s="180" t="str">
        <f>MID(C441,6,3)</f>
        <v>896</v>
      </c>
      <c r="E441" s="176" t="str">
        <f>VLOOKUP($C441,'Retail Rates'!$B$7:$P$40,2,FALSE)</f>
        <v>FT-I</v>
      </c>
      <c r="F441" s="180" t="s">
        <v>319</v>
      </c>
      <c r="G441" s="181" t="s">
        <v>158</v>
      </c>
      <c r="H441" s="156" t="s">
        <v>265</v>
      </c>
      <c r="I441" s="482">
        <f>SUMIFS('Data-Cashout'!$AA$1:$AA$3100,'Data-Cashout'!$A$1:$A$3100,'Mar20-Aug20 Transport Actuals'!I$385,'Data-Cashout'!$B$1:$B$3100,'Mar20-Aug20 Transport Actuals'!$C$441,'Data-Cashout'!$D$1:$D$3100,'Mar20-Aug20 Transport Actuals'!$F$441,'Data-Cashout'!$E$1:$E$3100,'Mar20-Aug20 Transport Actuals'!$H$441,'Data-Cashout'!$F$1:$F$3100,'Mar20-Aug20 Transport Actuals'!I$388)</f>
        <v>0</v>
      </c>
      <c r="J441" s="482">
        <f>SUMIFS('Data-Cashout'!$AA$1:$AA$3100,'Data-Cashout'!$A$1:$A$3100,'Mar20-Aug20 Transport Actuals'!J$385,'Data-Cashout'!$B$1:$B$3100,'Mar20-Aug20 Transport Actuals'!$C$441,'Data-Cashout'!$D$1:$D$3100,'Mar20-Aug20 Transport Actuals'!$F$441,'Data-Cashout'!$E$1:$E$3100,'Mar20-Aug20 Transport Actuals'!$H$441,'Data-Cashout'!$F$1:$F$3100,'Mar20-Aug20 Transport Actuals'!J$388)</f>
        <v>0</v>
      </c>
      <c r="K441" s="482">
        <f>SUMIFS('Data-Cashout'!$AA$1:$AA$3100,'Data-Cashout'!$A$1:$A$3100,'Mar20-Aug20 Transport Actuals'!K$385,'Data-Cashout'!$B$1:$B$3100,'Mar20-Aug20 Transport Actuals'!$C$441,'Data-Cashout'!$D$1:$D$3100,'Mar20-Aug20 Transport Actuals'!$F$441,'Data-Cashout'!$E$1:$E$3100,'Mar20-Aug20 Transport Actuals'!$H$441,'Data-Cashout'!$F$1:$F$3100,'Mar20-Aug20 Transport Actuals'!K$388)</f>
        <v>0</v>
      </c>
      <c r="L441" s="482">
        <f>SUMIFS('Data-Cashout'!$AA$1:$AA$3100,'Data-Cashout'!$A$1:$A$3100,'Mar20-Aug20 Transport Actuals'!L$385,'Data-Cashout'!$B$1:$B$3100,'Mar20-Aug20 Transport Actuals'!$C$441,'Data-Cashout'!$D$1:$D$3100,'Mar20-Aug20 Transport Actuals'!$F$441,'Data-Cashout'!$E$1:$E$3100,'Mar20-Aug20 Transport Actuals'!$H$441,'Data-Cashout'!$F$1:$F$3100,'Mar20-Aug20 Transport Actuals'!L$388)</f>
        <v>0</v>
      </c>
      <c r="M441" s="482">
        <f>SUMIFS('Data-Cashout'!$AA$1:$AA$3100,'Data-Cashout'!$A$1:$A$3100,'Mar20-Aug20 Transport Actuals'!M$385,'Data-Cashout'!$B$1:$B$3100,'Mar20-Aug20 Transport Actuals'!$C$441,'Data-Cashout'!$D$1:$D$3100,'Mar20-Aug20 Transport Actuals'!$F$441,'Data-Cashout'!$E$1:$E$3100,'Mar20-Aug20 Transport Actuals'!$H$441,'Data-Cashout'!$F$1:$F$3100,'Mar20-Aug20 Transport Actuals'!M$388)</f>
        <v>0</v>
      </c>
      <c r="N441" s="482">
        <f>SUMIFS('Data-Cashout'!$AA$1:$AA$3100,'Data-Cashout'!$A$1:$A$3100,'Mar20-Aug20 Transport Actuals'!N$385,'Data-Cashout'!$B$1:$B$3100,'Mar20-Aug20 Transport Actuals'!$C$441,'Data-Cashout'!$D$1:$D$3100,'Mar20-Aug20 Transport Actuals'!$F$441,'Data-Cashout'!$E$1:$E$3100,'Mar20-Aug20 Transport Actuals'!$H$441,'Data-Cashout'!$F$1:$F$3100,'Mar20-Aug20 Transport Actuals'!N$388)</f>
        <v>0</v>
      </c>
      <c r="O441" s="482">
        <f>SUMIFS('Data-Cashout'!$AA$1:$AA$3100,'Data-Cashout'!$A$1:$A$3100,'Mar20-Aug20 Transport Actuals'!O$385,'Data-Cashout'!$B$1:$B$3100,'Mar20-Aug20 Transport Actuals'!$C$441,'Data-Cashout'!$D$1:$D$3100,'Mar20-Aug20 Transport Actuals'!$F$441,'Data-Cashout'!$E$1:$E$3100,'Mar20-Aug20 Transport Actuals'!$H$441,'Data-Cashout'!$F$1:$F$3100,'Mar20-Aug20 Transport Actuals'!O$388)</f>
        <v>0</v>
      </c>
      <c r="P441" s="288">
        <f>SUM(I441:N441)</f>
        <v>0</v>
      </c>
    </row>
    <row r="442" spans="3:16" x14ac:dyDescent="0.25">
      <c r="C442" s="180" t="s">
        <v>447</v>
      </c>
      <c r="D442" s="180" t="str">
        <f>MID(C442,6,3)</f>
        <v>896</v>
      </c>
      <c r="E442" s="176" t="str">
        <f>VLOOKUP($C442,'Retail Rates'!$B$7:$P$40,2,FALSE)</f>
        <v>FT-I-DSM</v>
      </c>
      <c r="F442" s="180" t="s">
        <v>319</v>
      </c>
      <c r="G442" s="181" t="s">
        <v>158</v>
      </c>
      <c r="H442" s="156" t="s">
        <v>265</v>
      </c>
      <c r="I442" s="482">
        <f>SUMIFS('Data-Cashout'!$AA$1:$AA$3100,'Data-Cashout'!$A$1:$A$3100,'Mar20-Aug20 Transport Actuals'!I$385,'Data-Cashout'!$B$1:$B$3100,'Mar20-Aug20 Transport Actuals'!$C$442,'Data-Cashout'!$D$1:$D$3100,'Mar20-Aug20 Transport Actuals'!$F$442,'Data-Cashout'!$E$1:$E$3100,'Mar20-Aug20 Transport Actuals'!$H$442,'Data-Cashout'!$F$1:$F$3100,'Mar20-Aug20 Transport Actuals'!I$388)</f>
        <v>0</v>
      </c>
      <c r="J442" s="482">
        <f>SUMIFS('Data-Cashout'!$AA$1:$AA$3100,'Data-Cashout'!$A$1:$A$3100,'Mar20-Aug20 Transport Actuals'!J$385,'Data-Cashout'!$B$1:$B$3100,'Mar20-Aug20 Transport Actuals'!$C$442,'Data-Cashout'!$D$1:$D$3100,'Mar20-Aug20 Transport Actuals'!$F$442,'Data-Cashout'!$E$1:$E$3100,'Mar20-Aug20 Transport Actuals'!$H$442,'Data-Cashout'!$F$1:$F$3100,'Mar20-Aug20 Transport Actuals'!J$388)</f>
        <v>0</v>
      </c>
      <c r="K442" s="482">
        <f>SUMIFS('Data-Cashout'!$AA$1:$AA$3100,'Data-Cashout'!$A$1:$A$3100,'Mar20-Aug20 Transport Actuals'!K$385,'Data-Cashout'!$B$1:$B$3100,'Mar20-Aug20 Transport Actuals'!$C$442,'Data-Cashout'!$D$1:$D$3100,'Mar20-Aug20 Transport Actuals'!$F$442,'Data-Cashout'!$E$1:$E$3100,'Mar20-Aug20 Transport Actuals'!$H$442,'Data-Cashout'!$F$1:$F$3100,'Mar20-Aug20 Transport Actuals'!K$388)</f>
        <v>0</v>
      </c>
      <c r="L442" s="482">
        <f>SUMIFS('Data-Cashout'!$AA$1:$AA$3100,'Data-Cashout'!$A$1:$A$3100,'Mar20-Aug20 Transport Actuals'!L$385,'Data-Cashout'!$B$1:$B$3100,'Mar20-Aug20 Transport Actuals'!$C$442,'Data-Cashout'!$D$1:$D$3100,'Mar20-Aug20 Transport Actuals'!$F$442,'Data-Cashout'!$E$1:$E$3100,'Mar20-Aug20 Transport Actuals'!$H$442,'Data-Cashout'!$F$1:$F$3100,'Mar20-Aug20 Transport Actuals'!L$388)</f>
        <v>0</v>
      </c>
      <c r="M442" s="482">
        <f>SUMIFS('Data-Cashout'!$AA$1:$AA$3100,'Data-Cashout'!$A$1:$A$3100,'Mar20-Aug20 Transport Actuals'!M$385,'Data-Cashout'!$B$1:$B$3100,'Mar20-Aug20 Transport Actuals'!$C$442,'Data-Cashout'!$D$1:$D$3100,'Mar20-Aug20 Transport Actuals'!$F$442,'Data-Cashout'!$E$1:$E$3100,'Mar20-Aug20 Transport Actuals'!$H$442,'Data-Cashout'!$F$1:$F$3100,'Mar20-Aug20 Transport Actuals'!M$388)</f>
        <v>0</v>
      </c>
      <c r="N442" s="482">
        <f>SUMIFS('Data-Cashout'!$AA$1:$AA$3100,'Data-Cashout'!$A$1:$A$3100,'Mar20-Aug20 Transport Actuals'!N$385,'Data-Cashout'!$B$1:$B$3100,'Mar20-Aug20 Transport Actuals'!$C$442,'Data-Cashout'!$D$1:$D$3100,'Mar20-Aug20 Transport Actuals'!$F$442,'Data-Cashout'!$E$1:$E$3100,'Mar20-Aug20 Transport Actuals'!$H$442,'Data-Cashout'!$F$1:$F$3100,'Mar20-Aug20 Transport Actuals'!N$388)</f>
        <v>0</v>
      </c>
      <c r="O442" s="482">
        <f>SUMIFS('Data-Cashout'!$AA$1:$AA$3100,'Data-Cashout'!$A$1:$A$3100,'Mar20-Aug20 Transport Actuals'!O$385,'Data-Cashout'!$B$1:$B$3100,'Mar20-Aug20 Transport Actuals'!$C$442,'Data-Cashout'!$D$1:$D$3100,'Mar20-Aug20 Transport Actuals'!$F$442,'Data-Cashout'!$E$1:$E$3100,'Mar20-Aug20 Transport Actuals'!$H$442,'Data-Cashout'!$F$1:$F$3100,'Mar20-Aug20 Transport Actuals'!O$388)</f>
        <v>0</v>
      </c>
      <c r="P442" s="288">
        <f>SUM(I442:N442)</f>
        <v>0</v>
      </c>
    </row>
    <row r="443" spans="3:16" x14ac:dyDescent="0.25">
      <c r="C443" s="180" t="s">
        <v>38</v>
      </c>
      <c r="D443" s="180" t="str">
        <f>MID(C443,6,3)</f>
        <v>896</v>
      </c>
      <c r="E443" s="176" t="str">
        <f>VLOOKUP($C443,'Retail Rates'!$B$7:$P$40,2,FALSE)</f>
        <v>FT-PM</v>
      </c>
      <c r="F443" s="180" t="s">
        <v>319</v>
      </c>
      <c r="G443" s="181" t="s">
        <v>158</v>
      </c>
      <c r="H443" s="156" t="s">
        <v>265</v>
      </c>
      <c r="I443" s="482">
        <f>SUMIFS('Data-Cashout'!$AA$1:$AA$3100,'Data-Cashout'!$A$1:$A$3100,'Mar20-Aug20 Transport Actuals'!I$385,'Data-Cashout'!$B$1:$B$3100,'Mar20-Aug20 Transport Actuals'!$C$443,'Data-Cashout'!$D$1:$D$3100,'Mar20-Aug20 Transport Actuals'!$F$443,'Data-Cashout'!$E$1:$E$3100,'Mar20-Aug20 Transport Actuals'!$H$443,'Data-Cashout'!$F$1:$F$3100,'Mar20-Aug20 Transport Actuals'!I$388)</f>
        <v>0</v>
      </c>
      <c r="J443" s="482">
        <f>SUMIFS('Data-Cashout'!$AA$1:$AA$3100,'Data-Cashout'!$A$1:$A$3100,'Mar20-Aug20 Transport Actuals'!J$385,'Data-Cashout'!$B$1:$B$3100,'Mar20-Aug20 Transport Actuals'!$C$443,'Data-Cashout'!$D$1:$D$3100,'Mar20-Aug20 Transport Actuals'!$F$443,'Data-Cashout'!$E$1:$E$3100,'Mar20-Aug20 Transport Actuals'!$H$443,'Data-Cashout'!$F$1:$F$3100,'Mar20-Aug20 Transport Actuals'!J$388)</f>
        <v>0</v>
      </c>
      <c r="K443" s="482">
        <f>SUMIFS('Data-Cashout'!$AA$1:$AA$3100,'Data-Cashout'!$A$1:$A$3100,'Mar20-Aug20 Transport Actuals'!K$385,'Data-Cashout'!$B$1:$B$3100,'Mar20-Aug20 Transport Actuals'!$C$443,'Data-Cashout'!$D$1:$D$3100,'Mar20-Aug20 Transport Actuals'!$F$443,'Data-Cashout'!$E$1:$E$3100,'Mar20-Aug20 Transport Actuals'!$H$443,'Data-Cashout'!$F$1:$F$3100,'Mar20-Aug20 Transport Actuals'!K$388)</f>
        <v>0</v>
      </c>
      <c r="L443" s="482">
        <f>SUMIFS('Data-Cashout'!$AA$1:$AA$3100,'Data-Cashout'!$A$1:$A$3100,'Mar20-Aug20 Transport Actuals'!L$385,'Data-Cashout'!$B$1:$B$3100,'Mar20-Aug20 Transport Actuals'!$C$443,'Data-Cashout'!$D$1:$D$3100,'Mar20-Aug20 Transport Actuals'!$F$443,'Data-Cashout'!$E$1:$E$3100,'Mar20-Aug20 Transport Actuals'!$H$443,'Data-Cashout'!$F$1:$F$3100,'Mar20-Aug20 Transport Actuals'!L$388)</f>
        <v>0</v>
      </c>
      <c r="M443" s="482">
        <f>SUMIFS('Data-Cashout'!$AA$1:$AA$3100,'Data-Cashout'!$A$1:$A$3100,'Mar20-Aug20 Transport Actuals'!M$385,'Data-Cashout'!$B$1:$B$3100,'Mar20-Aug20 Transport Actuals'!$C$443,'Data-Cashout'!$D$1:$D$3100,'Mar20-Aug20 Transport Actuals'!$F$443,'Data-Cashout'!$E$1:$E$3100,'Mar20-Aug20 Transport Actuals'!$H$443,'Data-Cashout'!$F$1:$F$3100,'Mar20-Aug20 Transport Actuals'!M$388)</f>
        <v>0</v>
      </c>
      <c r="N443" s="482">
        <f>SUMIFS('Data-Cashout'!$AA$1:$AA$3100,'Data-Cashout'!$A$1:$A$3100,'Mar20-Aug20 Transport Actuals'!N$385,'Data-Cashout'!$B$1:$B$3100,'Mar20-Aug20 Transport Actuals'!$C$443,'Data-Cashout'!$D$1:$D$3100,'Mar20-Aug20 Transport Actuals'!$F$443,'Data-Cashout'!$E$1:$E$3100,'Mar20-Aug20 Transport Actuals'!$H$443,'Data-Cashout'!$F$1:$F$3100,'Mar20-Aug20 Transport Actuals'!N$388)</f>
        <v>0</v>
      </c>
      <c r="O443" s="482">
        <f>SUMIFS('Data-Cashout'!$AA$1:$AA$3100,'Data-Cashout'!$A$1:$A$3100,'Mar20-Aug20 Transport Actuals'!O$385,'Data-Cashout'!$B$1:$B$3100,'Mar20-Aug20 Transport Actuals'!$C$443,'Data-Cashout'!$D$1:$D$3100,'Mar20-Aug20 Transport Actuals'!$F$443,'Data-Cashout'!$E$1:$E$3100,'Mar20-Aug20 Transport Actuals'!$H$443,'Data-Cashout'!$F$1:$F$3100,'Mar20-Aug20 Transport Actuals'!O$388)</f>
        <v>0</v>
      </c>
      <c r="P443" s="288">
        <f>SUM(I443:N443)</f>
        <v>0</v>
      </c>
    </row>
    <row r="444" spans="3:16" x14ac:dyDescent="0.25">
      <c r="C444" s="176"/>
      <c r="D444" s="176"/>
      <c r="E444" s="176"/>
      <c r="F444" s="180"/>
      <c r="G444" s="181" t="s">
        <v>160</v>
      </c>
      <c r="H444" s="179"/>
      <c r="I444" s="484">
        <f>SUM(I441:I443)*I430</f>
        <v>0</v>
      </c>
      <c r="J444" s="484">
        <f t="shared" ref="J444:N444" si="151">SUM(J441:J443)*J430</f>
        <v>0</v>
      </c>
      <c r="K444" s="484">
        <f t="shared" si="151"/>
        <v>0</v>
      </c>
      <c r="L444" s="484">
        <f t="shared" si="151"/>
        <v>0</v>
      </c>
      <c r="M444" s="484">
        <f t="shared" si="151"/>
        <v>0</v>
      </c>
      <c r="N444" s="484">
        <f t="shared" si="151"/>
        <v>0</v>
      </c>
      <c r="O444" s="484"/>
      <c r="P444" s="176"/>
    </row>
    <row r="445" spans="3:16" x14ac:dyDescent="0.25">
      <c r="C445" s="176"/>
      <c r="D445" s="176"/>
      <c r="E445" s="176"/>
      <c r="F445" s="180"/>
      <c r="G445" s="181" t="s">
        <v>161</v>
      </c>
      <c r="H445" s="179"/>
      <c r="I445" s="484">
        <f t="shared" ref="I445:N445" si="152">SUM(I441:I443)*I431</f>
        <v>0</v>
      </c>
      <c r="J445" s="484">
        <f t="shared" si="152"/>
        <v>0</v>
      </c>
      <c r="K445" s="484">
        <f t="shared" si="152"/>
        <v>0</v>
      </c>
      <c r="L445" s="484">
        <f t="shared" si="152"/>
        <v>0</v>
      </c>
      <c r="M445" s="484">
        <f t="shared" si="152"/>
        <v>0</v>
      </c>
      <c r="N445" s="484">
        <f t="shared" si="152"/>
        <v>0</v>
      </c>
      <c r="O445" s="484"/>
      <c r="P445" s="176"/>
    </row>
    <row r="446" spans="3:16" x14ac:dyDescent="0.25">
      <c r="C446" s="176"/>
      <c r="D446" s="176"/>
      <c r="E446" s="176"/>
      <c r="F446" s="180"/>
      <c r="G446" s="181" t="s">
        <v>366</v>
      </c>
      <c r="H446" s="179"/>
      <c r="I446" s="484">
        <f t="shared" ref="I446:N446" si="153">SUM(I441:I443)*I432</f>
        <v>0</v>
      </c>
      <c r="J446" s="484">
        <f t="shared" si="153"/>
        <v>0</v>
      </c>
      <c r="K446" s="484">
        <f t="shared" si="153"/>
        <v>0</v>
      </c>
      <c r="L446" s="484">
        <f t="shared" si="153"/>
        <v>0</v>
      </c>
      <c r="M446" s="484">
        <f t="shared" si="153"/>
        <v>0</v>
      </c>
      <c r="N446" s="484">
        <f t="shared" si="153"/>
        <v>0</v>
      </c>
      <c r="O446" s="484"/>
      <c r="P446" s="176"/>
    </row>
    <row r="447" spans="3:16" x14ac:dyDescent="0.25">
      <c r="C447" s="176"/>
      <c r="D447" s="176"/>
      <c r="E447" s="176"/>
      <c r="F447" s="180"/>
      <c r="G447" s="181" t="s">
        <v>652</v>
      </c>
      <c r="H447" s="179"/>
      <c r="I447" s="484"/>
      <c r="J447" s="484"/>
      <c r="K447" s="484"/>
      <c r="L447" s="484"/>
      <c r="M447" s="484"/>
      <c r="N447" s="484"/>
      <c r="O447" s="484"/>
      <c r="P447" s="176"/>
    </row>
    <row r="448" spans="3:16" x14ac:dyDescent="0.25">
      <c r="C448" s="180"/>
      <c r="D448" s="180"/>
      <c r="E448" s="176"/>
      <c r="F448" s="180"/>
      <c r="G448" s="182" t="s">
        <v>162</v>
      </c>
      <c r="H448" s="182"/>
      <c r="I448" s="481"/>
      <c r="J448" s="176"/>
      <c r="K448" s="176"/>
      <c r="L448" s="176"/>
      <c r="M448" s="176"/>
      <c r="N448" s="176"/>
      <c r="O448" s="176"/>
      <c r="P448" s="217"/>
    </row>
    <row r="449" spans="3:16" x14ac:dyDescent="0.25">
      <c r="C449" s="180" t="s">
        <v>36</v>
      </c>
      <c r="D449" s="180" t="str">
        <f>MID(C449,6,3)</f>
        <v>896</v>
      </c>
      <c r="E449" s="176" t="str">
        <f>VLOOKUP($C449,'Retail Rates'!$B$7:$P$40,2,FALSE)</f>
        <v>FT-I</v>
      </c>
      <c r="F449" s="180" t="s">
        <v>319</v>
      </c>
      <c r="G449" s="181" t="s">
        <v>280</v>
      </c>
      <c r="H449" s="156" t="s">
        <v>269</v>
      </c>
      <c r="I449" s="858">
        <f>SUMIFS('Data-Cashout'!$AB$1:$AB$3100,'Data-Cashout'!$A$1:$A$3100,'Mar20-Aug20 Transport Actuals'!I$385,'Data-Cashout'!$B$1:$B$3100,'Mar20-Aug20 Transport Actuals'!$C$449,'Data-Cashout'!$D$1:$D$3100,'Mar20-Aug20 Transport Actuals'!$F$449,'Data-Cashout'!$E$1:$E$3100,'Mar20-Aug20 Transport Actuals'!$H$449,'Data-Cashout'!$E$1:$E$3100,'Mar20-Aug20 Transport Actuals'!I$387)</f>
        <v>0</v>
      </c>
      <c r="J449" s="858">
        <f>SUMIFS('Data-Cashout'!$AB$1:$AB$3100,'Data-Cashout'!$A$1:$A$3100,'Mar20-Aug20 Transport Actuals'!J$385,'Data-Cashout'!$B$1:$B$3100,'Mar20-Aug20 Transport Actuals'!$C$449,'Data-Cashout'!$D$1:$D$3100,'Mar20-Aug20 Transport Actuals'!$F$449,'Data-Cashout'!$E$1:$E$3100,'Mar20-Aug20 Transport Actuals'!$H$449,'Data-Cashout'!$E$1:$E$3100,'Mar20-Aug20 Transport Actuals'!J$387)</f>
        <v>0</v>
      </c>
      <c r="K449" s="858">
        <f>SUMIFS('Data-Cashout'!$AB$1:$AB$3100,'Data-Cashout'!$A$1:$A$3100,'Mar20-Aug20 Transport Actuals'!K$385,'Data-Cashout'!$B$1:$B$3100,'Mar20-Aug20 Transport Actuals'!$C$449,'Data-Cashout'!$D$1:$D$3100,'Mar20-Aug20 Transport Actuals'!$F$449,'Data-Cashout'!$E$1:$E$3100,'Mar20-Aug20 Transport Actuals'!$H$449,'Data-Cashout'!$E$1:$E$3100,'Mar20-Aug20 Transport Actuals'!K$387)</f>
        <v>0</v>
      </c>
      <c r="L449" s="858">
        <f>SUMIFS('Data-Cashout'!$AB$1:$AB$3100,'Data-Cashout'!$A$1:$A$3100,'Mar20-Aug20 Transport Actuals'!L$385,'Data-Cashout'!$B$1:$B$3100,'Mar20-Aug20 Transport Actuals'!$C$449,'Data-Cashout'!$D$1:$D$3100,'Mar20-Aug20 Transport Actuals'!$F$449,'Data-Cashout'!$E$1:$E$3100,'Mar20-Aug20 Transport Actuals'!$H$449,'Data-Cashout'!$E$1:$E$3100,'Mar20-Aug20 Transport Actuals'!L$387)</f>
        <v>0</v>
      </c>
      <c r="M449" s="858">
        <f>SUMIFS('Data-Cashout'!$AB$1:$AB$3100,'Data-Cashout'!$A$1:$A$3100,'Mar20-Aug20 Transport Actuals'!M$385,'Data-Cashout'!$B$1:$B$3100,'Mar20-Aug20 Transport Actuals'!$C$449,'Data-Cashout'!$D$1:$D$3100,'Mar20-Aug20 Transport Actuals'!$F$449,'Data-Cashout'!$E$1:$E$3100,'Mar20-Aug20 Transport Actuals'!$H$449,'Data-Cashout'!$E$1:$E$3100,'Mar20-Aug20 Transport Actuals'!M$387)</f>
        <v>0</v>
      </c>
      <c r="N449" s="858">
        <f>SUMIFS('Data-Cashout'!$AB$1:$AB$3100,'Data-Cashout'!$A$1:$A$3100,'Mar20-Aug20 Transport Actuals'!N$385,'Data-Cashout'!$B$1:$B$3100,'Mar20-Aug20 Transport Actuals'!$C$449,'Data-Cashout'!$D$1:$D$3100,'Mar20-Aug20 Transport Actuals'!$F$449,'Data-Cashout'!$E$1:$E$3100,'Mar20-Aug20 Transport Actuals'!$H$449,'Data-Cashout'!$E$1:$E$3100,'Mar20-Aug20 Transport Actuals'!N$387)</f>
        <v>0</v>
      </c>
      <c r="O449" s="858">
        <f>SUMIFS('Data-Cashout'!$AB$1:$AB$3100,'Data-Cashout'!$A$1:$A$3100,'Mar20-Aug20 Transport Actuals'!O$385,'Data-Cashout'!$B$1:$B$3100,'Mar20-Aug20 Transport Actuals'!$C$449,'Data-Cashout'!$D$1:$D$3100,'Mar20-Aug20 Transport Actuals'!$F$449,'Data-Cashout'!$E$1:$E$3100,'Mar20-Aug20 Transport Actuals'!$H$449,'Data-Cashout'!$E$1:$E$3100,'Mar20-Aug20 Transport Actuals'!O$387)</f>
        <v>0</v>
      </c>
      <c r="P449" s="288">
        <f>SUM(I449:N449)</f>
        <v>0</v>
      </c>
    </row>
    <row r="450" spans="3:16" x14ac:dyDescent="0.25">
      <c r="C450" s="180" t="s">
        <v>447</v>
      </c>
      <c r="D450" s="180" t="str">
        <f>MID(C450,6,3)</f>
        <v>896</v>
      </c>
      <c r="E450" s="176" t="str">
        <f>VLOOKUP($C450,'Retail Rates'!$B$7:$P$40,2,FALSE)</f>
        <v>FT-I-DSM</v>
      </c>
      <c r="F450" s="180" t="s">
        <v>319</v>
      </c>
      <c r="G450" s="181" t="s">
        <v>280</v>
      </c>
      <c r="H450" s="156" t="s">
        <v>269</v>
      </c>
      <c r="I450" s="858">
        <f>SUMIFS('Data-Cashout'!$AB$1:$AB$3100,'Data-Cashout'!$A$1:$A$3100,'Mar20-Aug20 Transport Actuals'!I$385,'Data-Cashout'!$B$1:$B$3100,'Mar20-Aug20 Transport Actuals'!$C$450,'Data-Cashout'!$D$1:$D$3100,'Mar20-Aug20 Transport Actuals'!$F$450,'Data-Cashout'!$E$1:$E$3100,'Mar20-Aug20 Transport Actuals'!$H$450,'Data-Cashout'!$E$1:$E$3100,'Mar20-Aug20 Transport Actuals'!I$387)</f>
        <v>0</v>
      </c>
      <c r="J450" s="858">
        <f>SUMIFS('Data-Cashout'!$AB$1:$AB$3100,'Data-Cashout'!$A$1:$A$3100,'Mar20-Aug20 Transport Actuals'!J$385,'Data-Cashout'!$B$1:$B$3100,'Mar20-Aug20 Transport Actuals'!$C$450,'Data-Cashout'!$D$1:$D$3100,'Mar20-Aug20 Transport Actuals'!$F$450,'Data-Cashout'!$E$1:$E$3100,'Mar20-Aug20 Transport Actuals'!$H$450,'Data-Cashout'!$E$1:$E$3100,'Mar20-Aug20 Transport Actuals'!J$387)</f>
        <v>0</v>
      </c>
      <c r="K450" s="858">
        <f>SUMIFS('Data-Cashout'!$AB$1:$AB$3100,'Data-Cashout'!$A$1:$A$3100,'Mar20-Aug20 Transport Actuals'!K$385,'Data-Cashout'!$B$1:$B$3100,'Mar20-Aug20 Transport Actuals'!$C$450,'Data-Cashout'!$D$1:$D$3100,'Mar20-Aug20 Transport Actuals'!$F$450,'Data-Cashout'!$E$1:$E$3100,'Mar20-Aug20 Transport Actuals'!$H$450,'Data-Cashout'!$E$1:$E$3100,'Mar20-Aug20 Transport Actuals'!K$387)</f>
        <v>0</v>
      </c>
      <c r="L450" s="858">
        <f>SUMIFS('Data-Cashout'!$AB$1:$AB$3100,'Data-Cashout'!$A$1:$A$3100,'Mar20-Aug20 Transport Actuals'!L$385,'Data-Cashout'!$B$1:$B$3100,'Mar20-Aug20 Transport Actuals'!$C$450,'Data-Cashout'!$D$1:$D$3100,'Mar20-Aug20 Transport Actuals'!$F$450,'Data-Cashout'!$E$1:$E$3100,'Mar20-Aug20 Transport Actuals'!$H$450,'Data-Cashout'!$E$1:$E$3100,'Mar20-Aug20 Transport Actuals'!L$387)</f>
        <v>0</v>
      </c>
      <c r="M450" s="858">
        <f>SUMIFS('Data-Cashout'!$AB$1:$AB$3100,'Data-Cashout'!$A$1:$A$3100,'Mar20-Aug20 Transport Actuals'!M$385,'Data-Cashout'!$B$1:$B$3100,'Mar20-Aug20 Transport Actuals'!$C$450,'Data-Cashout'!$D$1:$D$3100,'Mar20-Aug20 Transport Actuals'!$F$450,'Data-Cashout'!$E$1:$E$3100,'Mar20-Aug20 Transport Actuals'!$H$450,'Data-Cashout'!$E$1:$E$3100,'Mar20-Aug20 Transport Actuals'!M$387)</f>
        <v>0</v>
      </c>
      <c r="N450" s="858">
        <f>SUMIFS('Data-Cashout'!$AB$1:$AB$3100,'Data-Cashout'!$A$1:$A$3100,'Mar20-Aug20 Transport Actuals'!N$385,'Data-Cashout'!$B$1:$B$3100,'Mar20-Aug20 Transport Actuals'!$C$450,'Data-Cashout'!$D$1:$D$3100,'Mar20-Aug20 Transport Actuals'!$F$450,'Data-Cashout'!$E$1:$E$3100,'Mar20-Aug20 Transport Actuals'!$H$450,'Data-Cashout'!$E$1:$E$3100,'Mar20-Aug20 Transport Actuals'!N$387)</f>
        <v>0</v>
      </c>
      <c r="O450" s="858">
        <f>SUMIFS('Data-Cashout'!$AB$1:$AB$3100,'Data-Cashout'!$A$1:$A$3100,'Mar20-Aug20 Transport Actuals'!O$385,'Data-Cashout'!$B$1:$B$3100,'Mar20-Aug20 Transport Actuals'!$C$450,'Data-Cashout'!$D$1:$D$3100,'Mar20-Aug20 Transport Actuals'!$F$450,'Data-Cashout'!$E$1:$E$3100,'Mar20-Aug20 Transport Actuals'!$H$450,'Data-Cashout'!$E$1:$E$3100,'Mar20-Aug20 Transport Actuals'!O$387)</f>
        <v>0</v>
      </c>
      <c r="P450" s="288">
        <f>SUM(I450:N450)</f>
        <v>0</v>
      </c>
    </row>
    <row r="451" spans="3:16" x14ac:dyDescent="0.25">
      <c r="C451" s="180"/>
      <c r="D451" s="180"/>
      <c r="E451" s="176"/>
      <c r="F451" s="180"/>
      <c r="G451" s="481" t="s">
        <v>131</v>
      </c>
      <c r="H451" s="176"/>
      <c r="I451" s="484">
        <f>SUM(I444:I450)</f>
        <v>0</v>
      </c>
      <c r="J451" s="484">
        <f t="shared" ref="J451:O451" si="154">SUM(J444:J450)</f>
        <v>0</v>
      </c>
      <c r="K451" s="484">
        <f t="shared" si="154"/>
        <v>0</v>
      </c>
      <c r="L451" s="484">
        <f t="shared" si="154"/>
        <v>0</v>
      </c>
      <c r="M451" s="484">
        <f t="shared" si="154"/>
        <v>0</v>
      </c>
      <c r="N451" s="484">
        <f t="shared" si="154"/>
        <v>0</v>
      </c>
      <c r="O451" s="484">
        <f t="shared" si="154"/>
        <v>0</v>
      </c>
      <c r="P451" s="288">
        <f t="shared" ref="P451:P455" si="155">SUM(I451:N451)</f>
        <v>0</v>
      </c>
    </row>
    <row r="452" spans="3:16" x14ac:dyDescent="0.25">
      <c r="C452" s="180"/>
      <c r="D452" s="180"/>
      <c r="E452" s="176"/>
      <c r="F452" s="180"/>
      <c r="G452" s="176"/>
      <c r="H452" s="176"/>
      <c r="I452" s="481"/>
      <c r="J452" s="176"/>
      <c r="K452" s="176"/>
      <c r="L452" s="176"/>
      <c r="M452" s="176"/>
      <c r="N452" s="176"/>
      <c r="O452" s="176"/>
      <c r="P452" s="288"/>
    </row>
    <row r="453" spans="3:16" x14ac:dyDescent="0.25">
      <c r="C453" s="180"/>
      <c r="D453" s="180"/>
      <c r="E453" s="176"/>
      <c r="F453" s="180"/>
      <c r="G453" s="181" t="s">
        <v>465</v>
      </c>
      <c r="H453" s="176"/>
      <c r="I453" s="484">
        <f t="shared" ref="I453:M453" si="156">SUM(I434:I438)+SUM(I444:I450)</f>
        <v>0</v>
      </c>
      <c r="J453" s="484">
        <f t="shared" si="156"/>
        <v>0</v>
      </c>
      <c r="K453" s="484">
        <f t="shared" si="156"/>
        <v>0</v>
      </c>
      <c r="L453" s="484">
        <f t="shared" si="156"/>
        <v>201.49626799999999</v>
      </c>
      <c r="M453" s="484">
        <f t="shared" si="156"/>
        <v>1427.9829279999999</v>
      </c>
      <c r="N453" s="484">
        <f>SUM(N434:N438)+SUM(N444:N450)</f>
        <v>0</v>
      </c>
      <c r="O453" s="484">
        <f>SUM(O434:O438)+SUM(O444:O450)</f>
        <v>0</v>
      </c>
      <c r="P453" s="288">
        <f t="shared" si="155"/>
        <v>1629.4791959999998</v>
      </c>
    </row>
    <row r="454" spans="3:16" x14ac:dyDescent="0.25">
      <c r="C454" s="180"/>
      <c r="D454" s="180"/>
      <c r="E454" s="176"/>
      <c r="F454" s="180" t="s">
        <v>462</v>
      </c>
      <c r="G454" s="181" t="s">
        <v>274</v>
      </c>
      <c r="H454" s="176"/>
      <c r="I454" s="483">
        <f>SUMIFS('Bruise Report-Cashouts'!$C$5:$C$64,'Bruise Report-Cashouts'!$A$5:$A$64,'Mar20-Aug20 Transport Actuals'!I$385,'Bruise Report-Cashouts'!$B$5:$B$64,'Mar20-Aug20 Transport Actuals'!$F$454)</f>
        <v>0</v>
      </c>
      <c r="J454" s="217">
        <f>SUMIFS('Bruise Report-Cashouts'!$C$5:$C$64,'Bruise Report-Cashouts'!$A$5:$A$64,'Mar20-Aug20 Transport Actuals'!J$385,'Bruise Report-Cashouts'!$B$5:$B$64,'Mar20-Aug20 Transport Actuals'!$F$454)</f>
        <v>0</v>
      </c>
      <c r="K454" s="217">
        <f>SUMIFS('Bruise Report-Cashouts'!$C$5:$C$64,'Bruise Report-Cashouts'!$A$5:$A$64,'Mar20-Aug20 Transport Actuals'!K$385,'Bruise Report-Cashouts'!$B$5:$B$64,'Mar20-Aug20 Transport Actuals'!$F$454)</f>
        <v>0</v>
      </c>
      <c r="L454" s="217">
        <f>SUMIFS('Bruise Report-Cashouts'!$C$5:$C$64,'Bruise Report-Cashouts'!$A$5:$A$64,'Mar20-Aug20 Transport Actuals'!L$385,'Bruise Report-Cashouts'!$B$5:$B$64,'Mar20-Aug20 Transport Actuals'!$F$454)</f>
        <v>201.92</v>
      </c>
      <c r="M454" s="217">
        <f>SUMIFS('Bruise Report-Cashouts'!$C$5:$C$64,'Bruise Report-Cashouts'!$A$5:$A$64,'Mar20-Aug20 Transport Actuals'!M$385,'Bruise Report-Cashouts'!$B$5:$B$64,'Mar20-Aug20 Transport Actuals'!$F$454)</f>
        <v>1316.42</v>
      </c>
      <c r="N454" s="217">
        <f>SUMIFS('Bruise Report-Cashouts'!$C$5:$C$64,'Bruise Report-Cashouts'!$A$5:$A$64,'Mar20-Aug20 Transport Actuals'!N$385,'Bruise Report-Cashouts'!$B$5:$B$64,'Mar20-Aug20 Transport Actuals'!$F$454)</f>
        <v>0</v>
      </c>
      <c r="O454" s="217">
        <f>SUMIFS('Bruise Report-Cashouts'!$C$5:$C$64,'Bruise Report-Cashouts'!$A$5:$A$64,'Mar20-Aug20 Transport Actuals'!O$385,'Bruise Report-Cashouts'!$B$5:$B$64,'Mar20-Aug20 Transport Actuals'!$F$454)</f>
        <v>0</v>
      </c>
      <c r="P454" s="288">
        <f t="shared" si="155"/>
        <v>1518.3400000000001</v>
      </c>
    </row>
    <row r="455" spans="3:16" x14ac:dyDescent="0.25">
      <c r="C455" s="180"/>
      <c r="D455" s="180"/>
      <c r="E455" s="176"/>
      <c r="F455" s="180"/>
      <c r="G455" s="181" t="s">
        <v>152</v>
      </c>
      <c r="H455" s="181"/>
      <c r="I455" s="325">
        <f t="shared" ref="I455:O455" si="157">I453-I454</f>
        <v>0</v>
      </c>
      <c r="J455" s="325">
        <f t="shared" si="157"/>
        <v>0</v>
      </c>
      <c r="K455" s="325">
        <f t="shared" si="157"/>
        <v>0</v>
      </c>
      <c r="L455" s="325">
        <f t="shared" si="157"/>
        <v>-0.42373200000000111</v>
      </c>
      <c r="M455" s="325">
        <f t="shared" si="157"/>
        <v>111.56292799999983</v>
      </c>
      <c r="N455" s="325">
        <f t="shared" si="157"/>
        <v>0</v>
      </c>
      <c r="O455" s="325">
        <f t="shared" si="157"/>
        <v>0</v>
      </c>
      <c r="P455" s="288">
        <f t="shared" si="155"/>
        <v>111.13919599999983</v>
      </c>
    </row>
    <row r="456" spans="3:16" x14ac:dyDescent="0.25">
      <c r="C456" s="176"/>
      <c r="D456" s="176"/>
      <c r="E456" s="176"/>
      <c r="F456" s="180"/>
      <c r="G456" s="176"/>
      <c r="H456" s="176"/>
      <c r="I456" s="481"/>
      <c r="J456" s="176"/>
      <c r="K456" s="176"/>
      <c r="L456" s="176"/>
      <c r="M456" s="176"/>
      <c r="N456" s="176"/>
      <c r="O456" s="176"/>
      <c r="P456" s="217"/>
    </row>
    <row r="457" spans="3:16" x14ac:dyDescent="0.25">
      <c r="C457" s="176"/>
      <c r="D457" s="176"/>
      <c r="E457" s="176"/>
      <c r="F457" s="176"/>
      <c r="G457" s="176"/>
      <c r="H457" s="176"/>
      <c r="I457" s="481"/>
      <c r="J457" s="176"/>
      <c r="K457" s="176"/>
      <c r="L457" s="176"/>
      <c r="M457" s="176"/>
      <c r="N457" s="176"/>
      <c r="O457" s="176"/>
      <c r="P457" s="217"/>
    </row>
    <row r="458" spans="3:16" x14ac:dyDescent="0.25">
      <c r="C458" s="183"/>
      <c r="D458" s="183"/>
      <c r="E458" s="183"/>
      <c r="F458" s="183"/>
      <c r="G458" s="183"/>
      <c r="H458" s="183"/>
      <c r="I458" s="485"/>
      <c r="J458" s="183"/>
      <c r="K458" s="183"/>
      <c r="L458" s="183"/>
      <c r="M458" s="183"/>
      <c r="N458" s="183"/>
      <c r="O458" s="183"/>
      <c r="P458" s="183"/>
    </row>
    <row r="459" spans="3:16" x14ac:dyDescent="0.25">
      <c r="C459" s="183"/>
      <c r="D459" s="183"/>
      <c r="E459" s="183"/>
      <c r="F459" s="183"/>
      <c r="G459" s="184" t="s">
        <v>368</v>
      </c>
      <c r="H459" s="183"/>
      <c r="I459" s="485"/>
      <c r="J459" s="183"/>
      <c r="K459" s="183"/>
      <c r="L459" s="183"/>
      <c r="M459" s="183"/>
      <c r="N459" s="183"/>
      <c r="O459" s="183"/>
      <c r="P459" s="183"/>
    </row>
    <row r="460" spans="3:16" x14ac:dyDescent="0.25">
      <c r="C460" s="185" t="s">
        <v>30</v>
      </c>
      <c r="D460" s="185" t="str">
        <f t="shared" ref="D460:D482" si="158">MID(C460,6,3)</f>
        <v>881</v>
      </c>
      <c r="E460" s="183" t="str">
        <f>VLOOKUP($C460,'Retail Rates'!$B$7:$P$40,2,FALSE)</f>
        <v>CGS TS-2</v>
      </c>
      <c r="F460" s="185" t="s">
        <v>318</v>
      </c>
      <c r="G460" s="186" t="s">
        <v>157</v>
      </c>
      <c r="H460" s="183"/>
      <c r="I460" s="485">
        <f ca="1">I473/I465</f>
        <v>0</v>
      </c>
      <c r="J460" s="183">
        <f t="shared" ref="J460:O460" ca="1" si="159">J473/J465</f>
        <v>0</v>
      </c>
      <c r="K460" s="183">
        <f t="shared" ca="1" si="159"/>
        <v>0</v>
      </c>
      <c r="L460" s="183">
        <f t="shared" ca="1" si="159"/>
        <v>0</v>
      </c>
      <c r="M460" s="183">
        <f t="shared" ca="1" si="159"/>
        <v>0</v>
      </c>
      <c r="N460" s="183">
        <f t="shared" ca="1" si="159"/>
        <v>0</v>
      </c>
      <c r="O460" s="183">
        <f t="shared" ca="1" si="159"/>
        <v>0</v>
      </c>
      <c r="P460" s="221">
        <f ca="1">SUM(I460:L460)</f>
        <v>0</v>
      </c>
    </row>
    <row r="461" spans="3:16" x14ac:dyDescent="0.25">
      <c r="C461" s="185" t="s">
        <v>30</v>
      </c>
      <c r="D461" s="185" t="str">
        <f t="shared" si="158"/>
        <v>881</v>
      </c>
      <c r="E461" s="183" t="str">
        <f>VLOOKUP($C461,'Retail Rates'!$B$7:$P$40,2,FALSE)</f>
        <v>CGS TS-2</v>
      </c>
      <c r="F461" s="185" t="s">
        <v>318</v>
      </c>
      <c r="G461" s="186" t="s">
        <v>244</v>
      </c>
      <c r="H461" s="183"/>
      <c r="I461" s="485">
        <f t="shared" ref="I461:O461" si="160">IF(I463=0,I463,IF(I463&gt;=(I460*100),(I460*100),I463))</f>
        <v>0</v>
      </c>
      <c r="J461" s="183">
        <f t="shared" si="160"/>
        <v>0</v>
      </c>
      <c r="K461" s="183">
        <f t="shared" si="160"/>
        <v>0</v>
      </c>
      <c r="L461" s="183">
        <f t="shared" si="160"/>
        <v>0</v>
      </c>
      <c r="M461" s="183">
        <f t="shared" si="160"/>
        <v>0</v>
      </c>
      <c r="N461" s="183">
        <f t="shared" si="160"/>
        <v>0</v>
      </c>
      <c r="O461" s="183">
        <f t="shared" si="160"/>
        <v>0</v>
      </c>
      <c r="P461" s="221">
        <f>SUM(I461:L461)</f>
        <v>0</v>
      </c>
    </row>
    <row r="462" spans="3:16" x14ac:dyDescent="0.25">
      <c r="C462" s="185" t="s">
        <v>30</v>
      </c>
      <c r="D462" s="185" t="str">
        <f t="shared" si="158"/>
        <v>881</v>
      </c>
      <c r="E462" s="183" t="str">
        <f>VLOOKUP($C462,'Retail Rates'!$B$7:$P$40,2,FALSE)</f>
        <v>CGS TS-2</v>
      </c>
      <c r="F462" s="185" t="s">
        <v>318</v>
      </c>
      <c r="G462" s="186" t="s">
        <v>245</v>
      </c>
      <c r="H462" s="183"/>
      <c r="I462" s="485">
        <f t="shared" ref="I462:O462" si="161">+I463-I461</f>
        <v>0</v>
      </c>
      <c r="J462" s="183">
        <f t="shared" si="161"/>
        <v>0</v>
      </c>
      <c r="K462" s="183">
        <f t="shared" si="161"/>
        <v>0</v>
      </c>
      <c r="L462" s="183">
        <f t="shared" si="161"/>
        <v>0</v>
      </c>
      <c r="M462" s="183">
        <f t="shared" si="161"/>
        <v>0</v>
      </c>
      <c r="N462" s="183">
        <f t="shared" si="161"/>
        <v>0</v>
      </c>
      <c r="O462" s="183">
        <f t="shared" si="161"/>
        <v>0</v>
      </c>
      <c r="P462" s="221">
        <f>SUM(I462:L462)</f>
        <v>0</v>
      </c>
    </row>
    <row r="463" spans="3:16" x14ac:dyDescent="0.25">
      <c r="C463" s="185" t="s">
        <v>30</v>
      </c>
      <c r="D463" s="185" t="str">
        <f t="shared" si="158"/>
        <v>881</v>
      </c>
      <c r="E463" s="183" t="str">
        <f>VLOOKUP($C463,'Retail Rates'!$B$7:$P$40,2,FALSE)</f>
        <v>CGS TS-2</v>
      </c>
      <c r="F463" s="185" t="s">
        <v>318</v>
      </c>
      <c r="G463" s="186" t="s">
        <v>246</v>
      </c>
      <c r="H463" s="156" t="s">
        <v>265</v>
      </c>
      <c r="I463" s="195">
        <f>SUMIFS('Data-Cashout'!$J$3:$J$3050,'Data-Cashout'!$E$3:$E$3050,'Mar20-Aug20 Transport Actuals'!$H$463,'Data-Cashout'!$A$3:$A$3050,'Mar20-Aug20 Transport Actuals'!I$385,'Data-Cashout'!$B$3:$B$3050,'Mar20-Aug20 Transport Actuals'!$C$463,'Data-Cashout'!$F$3:$F$3050,'Mar20-Aug20 Transport Actuals'!I$388,'Data-Cashout'!$D$3:$D$3050,'Mar20-Aug20 Transport Actuals'!$F$463)/10</f>
        <v>0</v>
      </c>
      <c r="J463" s="195">
        <f>SUMIFS('Data-Cashout'!$J$3:$J$3050,'Data-Cashout'!$E$3:$E$3050,'Mar20-Aug20 Transport Actuals'!$H$463,'Data-Cashout'!$A$3:$A$3050,'Mar20-Aug20 Transport Actuals'!J$385,'Data-Cashout'!$B$3:$B$3050,'Mar20-Aug20 Transport Actuals'!$C$463,'Data-Cashout'!$F$3:$F$3050,'Mar20-Aug20 Transport Actuals'!J$388,'Data-Cashout'!$D$3:$D$3050,'Mar20-Aug20 Transport Actuals'!$F$463)/10</f>
        <v>0</v>
      </c>
      <c r="K463" s="195">
        <f>SUMIFS('Data-Cashout'!$J$3:$J$3050,'Data-Cashout'!$E$3:$E$3050,'Mar20-Aug20 Transport Actuals'!$H$463,'Data-Cashout'!$A$3:$A$3050,'Mar20-Aug20 Transport Actuals'!K$385,'Data-Cashout'!$B$3:$B$3050,'Mar20-Aug20 Transport Actuals'!$C$463,'Data-Cashout'!$F$3:$F$3050,'Mar20-Aug20 Transport Actuals'!K$388,'Data-Cashout'!$D$3:$D$3050,'Mar20-Aug20 Transport Actuals'!$F$463)/10</f>
        <v>0</v>
      </c>
      <c r="L463" s="195">
        <f>SUMIFS('Data-Cashout'!$J$3:$J$3050,'Data-Cashout'!$E$3:$E$3050,'Mar20-Aug20 Transport Actuals'!$H$463,'Data-Cashout'!$A$3:$A$3050,'Mar20-Aug20 Transport Actuals'!L$385,'Data-Cashout'!$B$3:$B$3050,'Mar20-Aug20 Transport Actuals'!$C$463,'Data-Cashout'!$F$3:$F$3050,'Mar20-Aug20 Transport Actuals'!L$388,'Data-Cashout'!$D$3:$D$3050,'Mar20-Aug20 Transport Actuals'!$F$463)/10</f>
        <v>0</v>
      </c>
      <c r="M463" s="195">
        <f>SUMIFS('Data-Cashout'!$J$3:$J$3050,'Data-Cashout'!$E$3:$E$3050,'Mar20-Aug20 Transport Actuals'!$H$463,'Data-Cashout'!$A$3:$A$3050,'Mar20-Aug20 Transport Actuals'!M$385,'Data-Cashout'!$B$3:$B$3050,'Mar20-Aug20 Transport Actuals'!$C$463,'Data-Cashout'!$F$3:$F$3050,'Mar20-Aug20 Transport Actuals'!M$388,'Data-Cashout'!$D$3:$D$3050,'Mar20-Aug20 Transport Actuals'!$F$463)/10</f>
        <v>0</v>
      </c>
      <c r="N463" s="195">
        <f>SUMIFS('Data-Cashout'!$J$3:$J$3050,'Data-Cashout'!$E$3:$E$3050,'Mar20-Aug20 Transport Actuals'!$H$463,'Data-Cashout'!$A$3:$A$3050,'Mar20-Aug20 Transport Actuals'!N$385,'Data-Cashout'!$B$3:$B$3050,'Mar20-Aug20 Transport Actuals'!$C$463,'Data-Cashout'!$F$3:$F$3050,'Mar20-Aug20 Transport Actuals'!N$388,'Data-Cashout'!$D$3:$D$3050,'Mar20-Aug20 Transport Actuals'!$F$463)/10</f>
        <v>0</v>
      </c>
      <c r="O463" s="195">
        <f>SUMIFS('Data-Cashout'!$J$3:$J$3050,'Data-Cashout'!$E$3:$E$3050,'Mar20-Aug20 Transport Actuals'!$H$463,'Data-Cashout'!$A$3:$A$3050,'Mar20-Aug20 Transport Actuals'!O$385,'Data-Cashout'!$B$3:$B$3050,'Mar20-Aug20 Transport Actuals'!$C$463,'Data-Cashout'!$F$3:$F$3050,'Mar20-Aug20 Transport Actuals'!O$388,'Data-Cashout'!$D$3:$D$3050,'Mar20-Aug20 Transport Actuals'!$F$463)/10</f>
        <v>0</v>
      </c>
      <c r="P463" s="221">
        <f>SUM(I463:L463)</f>
        <v>0</v>
      </c>
    </row>
    <row r="464" spans="3:16" x14ac:dyDescent="0.25">
      <c r="C464" s="185" t="s">
        <v>30</v>
      </c>
      <c r="D464" s="185" t="str">
        <f t="shared" si="158"/>
        <v>881</v>
      </c>
      <c r="E464" s="183" t="str">
        <f>VLOOKUP($C464,'Retail Rates'!$B$7:$P$40,2,FALSE)</f>
        <v>CGS TS-2</v>
      </c>
      <c r="F464" s="185" t="s">
        <v>318</v>
      </c>
      <c r="G464" s="187"/>
      <c r="H464" s="183"/>
      <c r="I464" s="485"/>
      <c r="J464" s="183"/>
      <c r="K464" s="183"/>
      <c r="L464" s="183"/>
      <c r="M464" s="183"/>
      <c r="N464" s="183"/>
      <c r="O464" s="183"/>
      <c r="P464" s="183"/>
    </row>
    <row r="465" spans="3:16" x14ac:dyDescent="0.25">
      <c r="C465" s="185" t="s">
        <v>30</v>
      </c>
      <c r="D465" s="185" t="str">
        <f t="shared" si="158"/>
        <v>881</v>
      </c>
      <c r="E465" s="183" t="str">
        <f>VLOOKUP($C465,'Retail Rates'!$B$7:$P$40,2,FALSE)</f>
        <v>CGS TS-2</v>
      </c>
      <c r="F465" s="185" t="s">
        <v>318</v>
      </c>
      <c r="G465" s="186" t="s">
        <v>291</v>
      </c>
      <c r="H465" s="183"/>
      <c r="I465" s="846">
        <f>VLOOKUP($C465,'Retail Rates'!$B$7:$P$40,4,FALSE)</f>
        <v>1.97</v>
      </c>
      <c r="J465" s="846">
        <f>VLOOKUP($C465,'Retail Rates'!$B$7:$P$40,4,FALSE)</f>
        <v>1.97</v>
      </c>
      <c r="K465" s="846">
        <f>VLOOKUP($C465,'Retail Rates'!$B$7:$P$40,4,FALSE)</f>
        <v>1.97</v>
      </c>
      <c r="L465" s="846">
        <f>VLOOKUP($C465,'Retail Rates'!$B$7:$P$40,4,FALSE)</f>
        <v>1.97</v>
      </c>
      <c r="M465" s="846">
        <f>VLOOKUP($C465,'Retail Rates'!$B$7:$P$40,4,FALSE)</f>
        <v>1.97</v>
      </c>
      <c r="N465" s="846">
        <f>VLOOKUP($C465,'Retail Rates'!$B$7:$P$40,4,FALSE)</f>
        <v>1.97</v>
      </c>
      <c r="O465" s="846">
        <f>VLOOKUP($C465,'Retail Rates'!$B$7:$P$40,4,FALSE)</f>
        <v>1.97</v>
      </c>
      <c r="P465" s="183"/>
    </row>
    <row r="466" spans="3:16" x14ac:dyDescent="0.25">
      <c r="C466" s="185" t="s">
        <v>30</v>
      </c>
      <c r="D466" s="185" t="str">
        <f t="shared" si="158"/>
        <v>881</v>
      </c>
      <c r="E466" s="183" t="str">
        <f>VLOOKUP($C466,'Retail Rates'!$B$7:$P$40,2,FALSE)</f>
        <v>CGS TS-2</v>
      </c>
      <c r="F466" s="185" t="s">
        <v>318</v>
      </c>
      <c r="G466" s="186" t="s">
        <v>247</v>
      </c>
      <c r="H466" s="183"/>
      <c r="I466" s="845">
        <f>VLOOKUP($C466,'Retail Rates'!$B$7:$P$40,10,FALSE)</f>
        <v>3.0669999999999997</v>
      </c>
      <c r="J466" s="845">
        <f>VLOOKUP($C466,'Retail Rates'!$B$7:$P$40,10,FALSE)</f>
        <v>3.0669999999999997</v>
      </c>
      <c r="K466" s="845">
        <f>VLOOKUP($C466,'Retail Rates'!$B$7:$P$40,10,FALSE)</f>
        <v>3.0669999999999997</v>
      </c>
      <c r="L466" s="845">
        <f>VLOOKUP($C466,'Retail Rates'!$B$7:$P$40,10,FALSE)</f>
        <v>3.0669999999999997</v>
      </c>
      <c r="M466" s="845">
        <f>VLOOKUP($C466,'Retail Rates'!$B$7:$P$40,10,FALSE)</f>
        <v>3.0669999999999997</v>
      </c>
      <c r="N466" s="845">
        <f>VLOOKUP($C466,'Retail Rates'!$B$7:$P$40,10,FALSE)</f>
        <v>3.0669999999999997</v>
      </c>
      <c r="O466" s="845">
        <f>VLOOKUP($C466,'Retail Rates'!$B$7:$P$40,10,FALSE)</f>
        <v>3.0669999999999997</v>
      </c>
      <c r="P466" s="183"/>
    </row>
    <row r="467" spans="3:16" x14ac:dyDescent="0.25">
      <c r="C467" s="185" t="s">
        <v>30</v>
      </c>
      <c r="D467" s="185" t="str">
        <f t="shared" si="158"/>
        <v>881</v>
      </c>
      <c r="E467" s="183" t="str">
        <f>VLOOKUP($C467,'Retail Rates'!$B$7:$P$40,2,FALSE)</f>
        <v>CGS TS-2</v>
      </c>
      <c r="F467" s="185" t="s">
        <v>318</v>
      </c>
      <c r="G467" s="186" t="s">
        <v>248</v>
      </c>
      <c r="H467" s="183"/>
      <c r="I467" s="845">
        <f>VLOOKUP($C467,'Retail Rates'!$B$7:$P$40,10,FALSE)</f>
        <v>3.0669999999999997</v>
      </c>
      <c r="J467" s="183">
        <f>+J466</f>
        <v>3.0669999999999997</v>
      </c>
      <c r="K467" s="183">
        <f>+K466-0.5</f>
        <v>2.5669999999999997</v>
      </c>
      <c r="L467" s="183">
        <f>+L466-0.5</f>
        <v>2.5669999999999997</v>
      </c>
      <c r="M467" s="183">
        <f>+M466-0.5</f>
        <v>2.5669999999999997</v>
      </c>
      <c r="N467" s="183">
        <f>+N466-0.5</f>
        <v>2.5669999999999997</v>
      </c>
      <c r="O467" s="183">
        <f>+O466-0.5</f>
        <v>2.5669999999999997</v>
      </c>
      <c r="P467" s="183"/>
    </row>
    <row r="468" spans="3:16" x14ac:dyDescent="0.25">
      <c r="C468" s="185" t="s">
        <v>30</v>
      </c>
      <c r="D468" s="185" t="str">
        <f t="shared" si="158"/>
        <v>881</v>
      </c>
      <c r="E468" s="183" t="str">
        <f>VLOOKUP($C468,'Retail Rates'!$B$7:$P$40,2,FALSE)</f>
        <v>CGS TS-2</v>
      </c>
      <c r="F468" s="185" t="s">
        <v>318</v>
      </c>
      <c r="G468" s="186" t="s">
        <v>281</v>
      </c>
      <c r="H468" s="183"/>
      <c r="I468" s="485">
        <f>SUMIF('GSC-DSM-GLT Factors'!$A$1:$A$58,'Mar20-Aug20 Transport Actuals'!I$5,'GSC-DSM-GLT Factors'!$H$1:$H$58)</f>
        <v>3.4000999999999997</v>
      </c>
      <c r="J468" s="183">
        <f>SUMIF('GSC-DSM-GLT Factors'!$A$1:$A$58,'Mar20-Aug20 Transport Actuals'!J$5,'GSC-DSM-GLT Factors'!$H$1:$H$58)</f>
        <v>3.4000999999999997</v>
      </c>
      <c r="K468" s="183">
        <f>SUMIF('GSC-DSM-GLT Factors'!$A$1:$A$58,'Mar20-Aug20 Transport Actuals'!K$5,'GSC-DSM-GLT Factors'!$H$1:$H$58)</f>
        <v>3.4000999999999997</v>
      </c>
      <c r="L468" s="183">
        <f>SUMIF('GSC-DSM-GLT Factors'!$A$1:$A$58,'Mar20-Aug20 Transport Actuals'!L$5,'GSC-DSM-GLT Factors'!$H$1:$H$58)</f>
        <v>2.5409999999999999</v>
      </c>
      <c r="M468" s="183">
        <f>SUMIF('GSC-DSM-GLT Factors'!$A$1:$A$58,'Mar20-Aug20 Transport Actuals'!M$5,'GSC-DSM-GLT Factors'!$H$1:$H$58)</f>
        <v>2.5409999999999999</v>
      </c>
      <c r="N468" s="183">
        <f>SUMIF('GSC-DSM-GLT Factors'!$A$1:$A$58,'Mar20-Aug20 Transport Actuals'!N$5,'GSC-DSM-GLT Factors'!$H$1:$H$58)</f>
        <v>2.5409999999999999</v>
      </c>
      <c r="O468" s="183">
        <f>SUMIF('GSC-DSM-GLT Factors'!$A$1:$A$58,'Mar20-Aug20 Transport Actuals'!O$5,'GSC-DSM-GLT Factors'!$H$1:$H$58)</f>
        <v>3.0515999999999996</v>
      </c>
      <c r="P468" s="183"/>
    </row>
    <row r="469" spans="3:16" x14ac:dyDescent="0.25">
      <c r="C469" s="185" t="s">
        <v>30</v>
      </c>
      <c r="D469" s="185" t="str">
        <f t="shared" si="158"/>
        <v>881</v>
      </c>
      <c r="E469" s="183" t="str">
        <f>VLOOKUP($C469,'Retail Rates'!$B$7:$P$40,2,FALSE)</f>
        <v>CGS TS-2</v>
      </c>
      <c r="F469" s="185" t="s">
        <v>318</v>
      </c>
      <c r="G469" s="186" t="s">
        <v>161</v>
      </c>
      <c r="H469" s="183"/>
      <c r="I469" s="485">
        <f>SUMIF('GSC-DSM-GLT Factors'!$A$1:$A$58,'Mar20-Aug20 Transport Actuals'!I$5,'GSC-DSM-GLT Factors'!$F$1:$F$58)</f>
        <v>1.8000000000000001E-4</v>
      </c>
      <c r="J469" s="183">
        <f>SUMIF('GSC-DSM-GLT Factors'!$A$1:$A$58,'Mar20-Aug20 Transport Actuals'!J$5,'GSC-DSM-GLT Factors'!$F$1:$F$58)</f>
        <v>1.8000000000000001E-4</v>
      </c>
      <c r="K469" s="183">
        <f>SUMIF('GSC-DSM-GLT Factors'!$A$1:$A$58,'Mar20-Aug20 Transport Actuals'!K$5,'GSC-DSM-GLT Factors'!$F$1:$F$58)</f>
        <v>4.8000000000000001E-4</v>
      </c>
      <c r="L469" s="183">
        <f>SUMIF('GSC-DSM-GLT Factors'!$A$1:$A$58,'Mar20-Aug20 Transport Actuals'!L$5,'GSC-DSM-GLT Factors'!$F$1:$F$58)</f>
        <v>4.8000000000000001E-4</v>
      </c>
      <c r="M469" s="183">
        <f>SUMIF('GSC-DSM-GLT Factors'!$A$1:$A$58,'Mar20-Aug20 Transport Actuals'!M$5,'GSC-DSM-GLT Factors'!$F$1:$F$58)</f>
        <v>4.8000000000000001E-4</v>
      </c>
      <c r="N469" s="183">
        <f>SUMIF('GSC-DSM-GLT Factors'!$A$1:$A$58,'Mar20-Aug20 Transport Actuals'!N$5,'GSC-DSM-GLT Factors'!$F$1:$F$58)</f>
        <v>4.8000000000000001E-4</v>
      </c>
      <c r="O469" s="183">
        <f>SUMIF('GSC-DSM-GLT Factors'!$A$1:$A$58,'Mar20-Aug20 Transport Actuals'!O$5,'GSC-DSM-GLT Factors'!$F$1:$F$58)</f>
        <v>4.8000000000000001E-4</v>
      </c>
      <c r="P469" s="183"/>
    </row>
    <row r="470" spans="3:16" x14ac:dyDescent="0.25">
      <c r="C470" s="185" t="s">
        <v>30</v>
      </c>
      <c r="D470" s="185" t="str">
        <f>MID(C470,6,3)</f>
        <v>881</v>
      </c>
      <c r="E470" s="183" t="str">
        <f>VLOOKUP($C470,'Retail Rates'!$B$7:$P$40,2,FALSE)</f>
        <v>CGS TS-2</v>
      </c>
      <c r="F470" s="185" t="s">
        <v>318</v>
      </c>
      <c r="G470" s="186" t="s">
        <v>366</v>
      </c>
      <c r="H470" s="183"/>
      <c r="I470" s="485">
        <f>VLOOKUP(I$385,'GSC-DSM-GLT Factors'!$A$11:$M$58,12,FALSE)</f>
        <v>6.8099999999999994E-2</v>
      </c>
      <c r="J470" s="183">
        <f>VLOOKUP(J$385,'GSC-DSM-GLT Factors'!$A$11:$M$58,12,FALSE)</f>
        <v>6.8099999999999994E-2</v>
      </c>
      <c r="K470" s="183">
        <f>VLOOKUP(K$385,'GSC-DSM-GLT Factors'!$A$11:$M$58,12,FALSE)</f>
        <v>0.19199999999999998</v>
      </c>
      <c r="L470" s="183">
        <f>VLOOKUP(L$385,'GSC-DSM-GLT Factors'!$A$11:$M$58,12,FALSE)</f>
        <v>0.19199999999999998</v>
      </c>
      <c r="M470" s="183">
        <f>VLOOKUP(M$385,'GSC-DSM-GLT Factors'!$A$11:$M$58,12,FALSE)</f>
        <v>0.19199999999999998</v>
      </c>
      <c r="N470" s="183">
        <f>VLOOKUP(N$385,'GSC-DSM-GLT Factors'!$A$11:$M$58,12,FALSE)</f>
        <v>0.19199999999999998</v>
      </c>
      <c r="O470" s="183">
        <f>VLOOKUP(O$385,'GSC-DSM-GLT Factors'!$A$11:$M$58,12,FALSE)</f>
        <v>0.19199999999999998</v>
      </c>
      <c r="P470" s="183"/>
    </row>
    <row r="471" spans="3:16" x14ac:dyDescent="0.25">
      <c r="C471" s="185"/>
      <c r="D471" s="185"/>
      <c r="E471" s="183"/>
      <c r="F471" s="185"/>
      <c r="G471" s="186"/>
      <c r="H471" s="183"/>
      <c r="I471" s="485"/>
      <c r="J471" s="183"/>
      <c r="K471" s="183"/>
      <c r="L471" s="183"/>
      <c r="M471" s="183"/>
      <c r="N471" s="183"/>
      <c r="O471" s="183"/>
      <c r="P471" s="183"/>
    </row>
    <row r="472" spans="3:16" x14ac:dyDescent="0.25">
      <c r="C472" s="185" t="s">
        <v>30</v>
      </c>
      <c r="D472" s="185" t="str">
        <f t="shared" si="158"/>
        <v>881</v>
      </c>
      <c r="E472" s="183" t="str">
        <f>VLOOKUP($C472,'Retail Rates'!$B$7:$P$40,2,FALSE)</f>
        <v>CGS TS-2</v>
      </c>
      <c r="F472" s="185" t="s">
        <v>318</v>
      </c>
      <c r="G472" s="188" t="s">
        <v>162</v>
      </c>
      <c r="H472" s="183"/>
      <c r="I472" s="485"/>
      <c r="J472" s="183"/>
      <c r="K472" s="183"/>
      <c r="L472" s="183"/>
      <c r="M472" s="183"/>
      <c r="N472" s="183"/>
      <c r="O472" s="183"/>
      <c r="P472" s="183"/>
    </row>
    <row r="473" spans="3:16" x14ac:dyDescent="0.25">
      <c r="C473" s="185" t="s">
        <v>30</v>
      </c>
      <c r="D473" s="185" t="str">
        <f t="shared" si="158"/>
        <v>881</v>
      </c>
      <c r="E473" s="183" t="str">
        <f>VLOOKUP($C473,'Retail Rates'!$B$7:$P$40,2,FALSE)</f>
        <v>CGS TS-2</v>
      </c>
      <c r="F473" s="185" t="s">
        <v>318</v>
      </c>
      <c r="G473" s="189" t="s">
        <v>89</v>
      </c>
      <c r="H473" s="156" t="s">
        <v>272</v>
      </c>
      <c r="I473" s="486">
        <f ca="1">SUMIFS('Data-Cashout'!$AI$3:$AI$3050,'Data-Cashout'!$E$3:$E$3050,'Mar20-Aug20 Transport Actuals'!$H473,'Data-Cashout'!$A$3:$A$3050,'Mar20-Aug20 Transport Actuals'!I$385,'Data-Cashout'!$B$3:$B$3050,'Mar20-Aug20 Transport Actuals'!$C473,'Data-Cashout'!$D$3:$D$3050,'Mar20-Aug20 Transport Actuals'!$F$473)</f>
        <v>0</v>
      </c>
      <c r="J473" s="165">
        <f ca="1">SUMIFS('Data-Cashout'!$AI$3:$AI$3050,'Data-Cashout'!$E$3:$E$3050,'Mar20-Aug20 Transport Actuals'!$H473,'Data-Cashout'!$A$3:$A$3050,'Mar20-Aug20 Transport Actuals'!J$385,'Data-Cashout'!$B$3:$B$3050,'Mar20-Aug20 Transport Actuals'!$C473,'Data-Cashout'!$D$3:$D$3050,'Mar20-Aug20 Transport Actuals'!$F$473)</f>
        <v>0</v>
      </c>
      <c r="K473" s="165">
        <f ca="1">SUMIFS('Data-Cashout'!$AI$3:$AI$3050,'Data-Cashout'!$E$3:$E$3050,'Mar20-Aug20 Transport Actuals'!$H473,'Data-Cashout'!$A$3:$A$3050,'Mar20-Aug20 Transport Actuals'!K$385,'Data-Cashout'!$B$3:$B$3050,'Mar20-Aug20 Transport Actuals'!$C473,'Data-Cashout'!$D$3:$D$3050,'Mar20-Aug20 Transport Actuals'!$F$473)</f>
        <v>0</v>
      </c>
      <c r="L473" s="165">
        <f ca="1">SUMIFS('Data-Cashout'!$AI$3:$AI$3050,'Data-Cashout'!$E$3:$E$3050,'Mar20-Aug20 Transport Actuals'!$H473,'Data-Cashout'!$A$3:$A$3050,'Mar20-Aug20 Transport Actuals'!L$385,'Data-Cashout'!$B$3:$B$3050,'Mar20-Aug20 Transport Actuals'!$C473,'Data-Cashout'!$D$3:$D$3050,'Mar20-Aug20 Transport Actuals'!$F$473)</f>
        <v>0</v>
      </c>
      <c r="M473" s="165">
        <f ca="1">SUMIFS('Data-Cashout'!$AI$3:$AI$3050,'Data-Cashout'!$E$3:$E$3050,'Mar20-Aug20 Transport Actuals'!$H473,'Data-Cashout'!$A$3:$A$3050,'Mar20-Aug20 Transport Actuals'!M$385,'Data-Cashout'!$B$3:$B$3050,'Mar20-Aug20 Transport Actuals'!$C473,'Data-Cashout'!$D$3:$D$3050,'Mar20-Aug20 Transport Actuals'!$F$473)</f>
        <v>0</v>
      </c>
      <c r="N473" s="165">
        <f ca="1">SUMIFS('Data-Cashout'!$AI$3:$AI$3050,'Data-Cashout'!$E$3:$E$3050,'Mar20-Aug20 Transport Actuals'!$H473,'Data-Cashout'!$A$3:$A$3050,'Mar20-Aug20 Transport Actuals'!N$385,'Data-Cashout'!$B$3:$B$3050,'Mar20-Aug20 Transport Actuals'!$C473,'Data-Cashout'!$D$3:$D$3050,'Mar20-Aug20 Transport Actuals'!$F$473)</f>
        <v>0</v>
      </c>
      <c r="O473" s="165">
        <f ca="1">SUMIFS('Data-Cashout'!$AI$3:$AI$3050,'Data-Cashout'!$E$3:$E$3050,'Mar20-Aug20 Transport Actuals'!$H473,'Data-Cashout'!$A$3:$A$3050,'Mar20-Aug20 Transport Actuals'!O$385,'Data-Cashout'!$B$3:$B$3050,'Mar20-Aug20 Transport Actuals'!$C473,'Data-Cashout'!$D$3:$D$3050,'Mar20-Aug20 Transport Actuals'!$F$473)</f>
        <v>0</v>
      </c>
      <c r="P473" s="221">
        <f ca="1">SUM(I473:L473)</f>
        <v>0</v>
      </c>
    </row>
    <row r="474" spans="3:16" x14ac:dyDescent="0.25">
      <c r="C474" s="185" t="s">
        <v>30</v>
      </c>
      <c r="D474" s="185" t="str">
        <f t="shared" si="158"/>
        <v>881</v>
      </c>
      <c r="E474" s="183" t="str">
        <f>VLOOKUP($C474,'Retail Rates'!$B$7:$P$40,2,FALSE)</f>
        <v>CGS TS-2</v>
      </c>
      <c r="F474" s="185" t="s">
        <v>318</v>
      </c>
      <c r="G474" s="186" t="s">
        <v>249</v>
      </c>
      <c r="H474" s="183"/>
      <c r="I474" s="485">
        <f t="shared" ref="I474:O474" si="162">ROUND(+I461*I466,2)</f>
        <v>0</v>
      </c>
      <c r="J474" s="183">
        <f t="shared" si="162"/>
        <v>0</v>
      </c>
      <c r="K474" s="183">
        <f t="shared" si="162"/>
        <v>0</v>
      </c>
      <c r="L474" s="183">
        <f t="shared" si="162"/>
        <v>0</v>
      </c>
      <c r="M474" s="183">
        <f t="shared" si="162"/>
        <v>0</v>
      </c>
      <c r="N474" s="183">
        <f t="shared" si="162"/>
        <v>0</v>
      </c>
      <c r="O474" s="183">
        <f t="shared" si="162"/>
        <v>0</v>
      </c>
      <c r="P474" s="221">
        <f>SUM(I474:L474)</f>
        <v>0</v>
      </c>
    </row>
    <row r="475" spans="3:16" x14ac:dyDescent="0.25">
      <c r="C475" s="185" t="s">
        <v>30</v>
      </c>
      <c r="D475" s="185" t="str">
        <f t="shared" si="158"/>
        <v>881</v>
      </c>
      <c r="E475" s="183" t="str">
        <f>VLOOKUP($C475,'Retail Rates'!$B$7:$P$40,2,FALSE)</f>
        <v>CGS TS-2</v>
      </c>
      <c r="F475" s="185" t="s">
        <v>318</v>
      </c>
      <c r="G475" s="186" t="s">
        <v>250</v>
      </c>
      <c r="H475" s="183"/>
      <c r="I475" s="487">
        <f t="shared" ref="I475:O475" si="163">ROUND(+I462*I467,2)</f>
        <v>0</v>
      </c>
      <c r="J475" s="218">
        <f t="shared" si="163"/>
        <v>0</v>
      </c>
      <c r="K475" s="218">
        <f t="shared" si="163"/>
        <v>0</v>
      </c>
      <c r="L475" s="218">
        <f t="shared" si="163"/>
        <v>0</v>
      </c>
      <c r="M475" s="218">
        <f t="shared" si="163"/>
        <v>0</v>
      </c>
      <c r="N475" s="218">
        <f t="shared" si="163"/>
        <v>0</v>
      </c>
      <c r="O475" s="218">
        <f t="shared" si="163"/>
        <v>0</v>
      </c>
      <c r="P475" s="221">
        <f>SUM(I475:L475)</f>
        <v>0</v>
      </c>
    </row>
    <row r="476" spans="3:16" x14ac:dyDescent="0.25">
      <c r="C476" s="185" t="s">
        <v>30</v>
      </c>
      <c r="D476" s="185" t="str">
        <f>MID(C476,6,3)</f>
        <v>881</v>
      </c>
      <c r="E476" s="183" t="str">
        <f>VLOOKUP($C476,'Retail Rates'!$B$7:$P$40,2,FALSE)</f>
        <v>CGS TS-2</v>
      </c>
      <c r="F476" s="185" t="s">
        <v>318</v>
      </c>
      <c r="G476" s="186" t="s">
        <v>171</v>
      </c>
      <c r="H476" s="156" t="s">
        <v>327</v>
      </c>
      <c r="I476" s="488">
        <f>SUMIFS('Data-Cashout'!$Q$3:$Q$3050,'Data-Cashout'!$A$3:$A$3050,'Mar20-Aug20 Transport Actuals'!I$385,'Data-Cashout'!$B$3:$B$3050,'Mar20-Aug20 Transport Actuals'!$C476,'Data-Cashout'!$D$3:$D$3050,'Mar20-Aug20 Transport Actuals'!$F476,'Data-Cashout'!$E$3:$E$3050,'Mar20-Aug20 Transport Actuals'!$H476)</f>
        <v>0</v>
      </c>
      <c r="J476" s="215">
        <f>SUMIFS('Data-Cashout'!$Q$3:$Q$3050,'Data-Cashout'!$A$3:$A$3050,'Mar20-Aug20 Transport Actuals'!J$385,'Data-Cashout'!$B$3:$B$3050,'Mar20-Aug20 Transport Actuals'!$C476,'Data-Cashout'!$D$3:$D$3050,'Mar20-Aug20 Transport Actuals'!$F476,'Data-Cashout'!$E$3:$E$3050,'Mar20-Aug20 Transport Actuals'!$H476)</f>
        <v>0</v>
      </c>
      <c r="K476" s="215">
        <f>SUMIFS('Data-Cashout'!$Q$3:$Q$3050,'Data-Cashout'!$A$3:$A$3050,'Mar20-Aug20 Transport Actuals'!K$385,'Data-Cashout'!$B$3:$B$3050,'Mar20-Aug20 Transport Actuals'!$C476,'Data-Cashout'!$D$3:$D$3050,'Mar20-Aug20 Transport Actuals'!$F476,'Data-Cashout'!$E$3:$E$3050,'Mar20-Aug20 Transport Actuals'!$H476)</f>
        <v>0</v>
      </c>
      <c r="L476" s="215">
        <f>SUMIFS('Data-Cashout'!$Q$3:$Q$3050,'Data-Cashout'!$A$3:$A$3050,'Mar20-Aug20 Transport Actuals'!L$385,'Data-Cashout'!$B$3:$B$3050,'Mar20-Aug20 Transport Actuals'!$C476,'Data-Cashout'!$D$3:$D$3050,'Mar20-Aug20 Transport Actuals'!$F476,'Data-Cashout'!$E$3:$E$3050,'Mar20-Aug20 Transport Actuals'!$H476)</f>
        <v>0</v>
      </c>
      <c r="M476" s="215">
        <f>SUMIFS('Data-Cashout'!$Q$3:$Q$3050,'Data-Cashout'!$A$3:$A$3050,'Mar20-Aug20 Transport Actuals'!M$385,'Data-Cashout'!$B$3:$B$3050,'Mar20-Aug20 Transport Actuals'!$C476,'Data-Cashout'!$D$3:$D$3050,'Mar20-Aug20 Transport Actuals'!$F476,'Data-Cashout'!$E$3:$E$3050,'Mar20-Aug20 Transport Actuals'!$H476)</f>
        <v>0</v>
      </c>
      <c r="N476" s="215">
        <f>SUMIFS('Data-Cashout'!$Q$3:$Q$3050,'Data-Cashout'!$A$3:$A$3050,'Mar20-Aug20 Transport Actuals'!N$385,'Data-Cashout'!$B$3:$B$3050,'Mar20-Aug20 Transport Actuals'!$C476,'Data-Cashout'!$D$3:$D$3050,'Mar20-Aug20 Transport Actuals'!$F476,'Data-Cashout'!$E$3:$E$3050,'Mar20-Aug20 Transport Actuals'!$H476)</f>
        <v>0</v>
      </c>
      <c r="O476" s="215">
        <f>SUMIFS('Data-Cashout'!$Q$3:$Q$3050,'Data-Cashout'!$A$3:$A$3050,'Mar20-Aug20 Transport Actuals'!O$385,'Data-Cashout'!$B$3:$B$3050,'Mar20-Aug20 Transport Actuals'!$C476,'Data-Cashout'!$D$3:$D$3050,'Mar20-Aug20 Transport Actuals'!$F476,'Data-Cashout'!$E$3:$E$3050,'Mar20-Aug20 Transport Actuals'!$H476)</f>
        <v>0</v>
      </c>
      <c r="P476" s="219">
        <f>SUMIFS('Data-Cashout'!$Q$3:$Q$3050,'Data-Cashout'!$A$3:$A$3050,'Mar20-Aug20 Transport Actuals'!P$385,'Data-Cashout'!$B$3:$B$3050,'Mar20-Aug20 Transport Actuals'!$C476,'Data-Cashout'!$D$3:$D$3050,'Mar20-Aug20 Transport Actuals'!$F476,'Data-Cashout'!$E$3:$E$3050,'Mar20-Aug20 Transport Actuals'!$H476)</f>
        <v>0</v>
      </c>
    </row>
    <row r="477" spans="3:16" x14ac:dyDescent="0.25">
      <c r="C477" s="185" t="s">
        <v>30</v>
      </c>
      <c r="D477" s="185" t="str">
        <f>MID(C477,6,3)</f>
        <v>881</v>
      </c>
      <c r="E477" s="183" t="str">
        <f>VLOOKUP($C477,'Retail Rates'!$B$7:$P$40,2,FALSE)</f>
        <v>CGS TS-2</v>
      </c>
      <c r="F477" s="185" t="s">
        <v>318</v>
      </c>
      <c r="G477" s="186" t="s">
        <v>324</v>
      </c>
      <c r="H477" s="183"/>
      <c r="I477" s="489">
        <f t="shared" ref="I477:O477" ca="1" si="164">I460*I470</f>
        <v>0</v>
      </c>
      <c r="J477" s="219">
        <f t="shared" ca="1" si="164"/>
        <v>0</v>
      </c>
      <c r="K477" s="219">
        <f t="shared" ca="1" si="164"/>
        <v>0</v>
      </c>
      <c r="L477" s="219">
        <f t="shared" ca="1" si="164"/>
        <v>0</v>
      </c>
      <c r="M477" s="219">
        <f t="shared" ca="1" si="164"/>
        <v>0</v>
      </c>
      <c r="N477" s="219">
        <f t="shared" ca="1" si="164"/>
        <v>0</v>
      </c>
      <c r="O477" s="219">
        <f t="shared" ca="1" si="164"/>
        <v>0</v>
      </c>
      <c r="P477" s="219">
        <f ca="1">P460*P470</f>
        <v>0</v>
      </c>
    </row>
    <row r="478" spans="3:16" x14ac:dyDescent="0.25">
      <c r="C478" s="185" t="s">
        <v>30</v>
      </c>
      <c r="D478" s="185" t="str">
        <f t="shared" si="158"/>
        <v>881</v>
      </c>
      <c r="E478" s="183" t="str">
        <f>VLOOKUP($C478,'Retail Rates'!$B$7:$P$40,2,FALSE)</f>
        <v>CGS TS-2</v>
      </c>
      <c r="F478" s="185" t="s">
        <v>318</v>
      </c>
      <c r="G478" s="186" t="s">
        <v>165</v>
      </c>
      <c r="H478" s="183"/>
      <c r="I478" s="490">
        <f ca="1">SUM(I473:I477)</f>
        <v>0</v>
      </c>
      <c r="J478" s="214">
        <f t="shared" ref="J478:O478" ca="1" si="165">SUM(J473:J477)</f>
        <v>0</v>
      </c>
      <c r="K478" s="214">
        <f t="shared" ca="1" si="165"/>
        <v>0</v>
      </c>
      <c r="L478" s="214">
        <f t="shared" ca="1" si="165"/>
        <v>0</v>
      </c>
      <c r="M478" s="214">
        <f t="shared" ca="1" si="165"/>
        <v>0</v>
      </c>
      <c r="N478" s="214">
        <f t="shared" ca="1" si="165"/>
        <v>0</v>
      </c>
      <c r="O478" s="214">
        <f t="shared" ca="1" si="165"/>
        <v>0</v>
      </c>
      <c r="P478" s="221">
        <f ca="1">SUM(I478:L478)</f>
        <v>0</v>
      </c>
    </row>
    <row r="479" spans="3:16" x14ac:dyDescent="0.25">
      <c r="C479" s="185" t="s">
        <v>30</v>
      </c>
      <c r="D479" s="185" t="str">
        <f t="shared" si="158"/>
        <v>881</v>
      </c>
      <c r="E479" s="183" t="str">
        <f>VLOOKUP($C479,'Retail Rates'!$B$7:$P$40,2,FALSE)</f>
        <v>CGS TS-2</v>
      </c>
      <c r="F479" s="185" t="s">
        <v>318</v>
      </c>
      <c r="G479" s="186" t="s">
        <v>107</v>
      </c>
      <c r="H479" s="156" t="s">
        <v>107</v>
      </c>
      <c r="I479" s="491">
        <f ca="1">SUMIFS('Data-Cashout'!$AI$3:$AI$3050,'Data-Cashout'!$E$3:$E$3050,'Mar20-Aug20 Transport Actuals'!$H$479,'Data-Cashout'!$A$3:$A$3050,'Mar20-Aug20 Transport Actuals'!I$385,'Data-Cashout'!$B$3:$B$3050,'Mar20-Aug20 Transport Actuals'!$C$479,'Data-Cashout'!$D$3:$D$3050,'Mar20-Aug20 Transport Actuals'!$F$479)</f>
        <v>0</v>
      </c>
      <c r="J479" s="211">
        <f ca="1">SUMIFS('Data-Cashout'!$AI$3:$AI$3050,'Data-Cashout'!$E$3:$E$3050,'Mar20-Aug20 Transport Actuals'!$H$479,'Data-Cashout'!$A$3:$A$3050,'Mar20-Aug20 Transport Actuals'!J$385,'Data-Cashout'!$B$3:$B$3050,'Mar20-Aug20 Transport Actuals'!$C$479,'Data-Cashout'!$D$3:$D$3050,'Mar20-Aug20 Transport Actuals'!$F$479)</f>
        <v>0</v>
      </c>
      <c r="K479" s="211">
        <f ca="1">SUMIFS('Data-Cashout'!$AI$3:$AI$3050,'Data-Cashout'!$E$3:$E$3050,'Mar20-Aug20 Transport Actuals'!$H$479,'Data-Cashout'!$A$3:$A$3050,'Mar20-Aug20 Transport Actuals'!K$385,'Data-Cashout'!$B$3:$B$3050,'Mar20-Aug20 Transport Actuals'!$C$479,'Data-Cashout'!$D$3:$D$3050,'Mar20-Aug20 Transport Actuals'!$F$479)</f>
        <v>0</v>
      </c>
      <c r="L479" s="211">
        <f ca="1">SUMIFS('Data-Cashout'!$AI$3:$AI$3050,'Data-Cashout'!$E$3:$E$3050,'Mar20-Aug20 Transport Actuals'!$H$479,'Data-Cashout'!$A$3:$A$3050,'Mar20-Aug20 Transport Actuals'!L$385,'Data-Cashout'!$B$3:$B$3050,'Mar20-Aug20 Transport Actuals'!$C$479,'Data-Cashout'!$D$3:$D$3050,'Mar20-Aug20 Transport Actuals'!$F$479)</f>
        <v>0</v>
      </c>
      <c r="M479" s="211">
        <f ca="1">SUMIFS('Data-Cashout'!$AI$3:$AI$3050,'Data-Cashout'!$E$3:$E$3050,'Mar20-Aug20 Transport Actuals'!$H$479,'Data-Cashout'!$A$3:$A$3050,'Mar20-Aug20 Transport Actuals'!M$385,'Data-Cashout'!$B$3:$B$3050,'Mar20-Aug20 Transport Actuals'!$C$479,'Data-Cashout'!$D$3:$D$3050,'Mar20-Aug20 Transport Actuals'!$F$479)</f>
        <v>0</v>
      </c>
      <c r="N479" s="211">
        <f ca="1">SUMIFS('Data-Cashout'!$AI$3:$AI$3050,'Data-Cashout'!$E$3:$E$3050,'Mar20-Aug20 Transport Actuals'!$H$479,'Data-Cashout'!$A$3:$A$3050,'Mar20-Aug20 Transport Actuals'!N$385,'Data-Cashout'!$B$3:$B$3050,'Mar20-Aug20 Transport Actuals'!$C$479,'Data-Cashout'!$D$3:$D$3050,'Mar20-Aug20 Transport Actuals'!$F$479)</f>
        <v>0</v>
      </c>
      <c r="O479" s="211">
        <f ca="1">SUMIFS('Data-Cashout'!$AI$3:$AI$3050,'Data-Cashout'!$E$3:$E$3050,'Mar20-Aug20 Transport Actuals'!$H$479,'Data-Cashout'!$A$3:$A$3050,'Mar20-Aug20 Transport Actuals'!O$385,'Data-Cashout'!$B$3:$B$3050,'Mar20-Aug20 Transport Actuals'!$C$479,'Data-Cashout'!$D$3:$D$3050,'Mar20-Aug20 Transport Actuals'!$F$479)</f>
        <v>0</v>
      </c>
      <c r="P479" s="221">
        <f ca="1">SUM(I479:L479)</f>
        <v>0</v>
      </c>
    </row>
    <row r="480" spans="3:16" x14ac:dyDescent="0.25">
      <c r="C480" s="185" t="s">
        <v>30</v>
      </c>
      <c r="D480" s="185" t="str">
        <f t="shared" si="158"/>
        <v>881</v>
      </c>
      <c r="E480" s="183" t="str">
        <f>VLOOKUP($C480,'Retail Rates'!$B$7:$P$40,2,FALSE)</f>
        <v>CGS TS-2</v>
      </c>
      <c r="F480" s="185" t="s">
        <v>318</v>
      </c>
      <c r="G480" s="186" t="s">
        <v>165</v>
      </c>
      <c r="H480" s="183"/>
      <c r="I480" s="485">
        <f t="shared" ref="I480:O480" ca="1" si="166">+I478+I479</f>
        <v>0</v>
      </c>
      <c r="J480" s="183">
        <f t="shared" ca="1" si="166"/>
        <v>0</v>
      </c>
      <c r="K480" s="183">
        <f t="shared" ca="1" si="166"/>
        <v>0</v>
      </c>
      <c r="L480" s="183">
        <f t="shared" ca="1" si="166"/>
        <v>0</v>
      </c>
      <c r="M480" s="183">
        <f t="shared" ca="1" si="166"/>
        <v>0</v>
      </c>
      <c r="N480" s="183">
        <f t="shared" ca="1" si="166"/>
        <v>0</v>
      </c>
      <c r="O480" s="183">
        <f t="shared" ca="1" si="166"/>
        <v>0</v>
      </c>
      <c r="P480" s="221">
        <f ca="1">SUM(I480:L480)</f>
        <v>0</v>
      </c>
    </row>
    <row r="481" spans="3:16" x14ac:dyDescent="0.25">
      <c r="C481" s="185" t="s">
        <v>30</v>
      </c>
      <c r="D481" s="185" t="str">
        <f t="shared" si="158"/>
        <v>881</v>
      </c>
      <c r="E481" s="183" t="str">
        <f>VLOOKUP($C481,'Retail Rates'!$B$7:$P$40,2,FALSE)</f>
        <v>CGS TS-2</v>
      </c>
      <c r="F481" s="185" t="s">
        <v>318</v>
      </c>
      <c r="G481" s="191" t="s">
        <v>161</v>
      </c>
      <c r="H481" s="183"/>
      <c r="I481" s="492">
        <f t="shared" ref="I481:O481" si="167">ROUND(I463*I469,2)</f>
        <v>0</v>
      </c>
      <c r="J481" s="190">
        <f t="shared" si="167"/>
        <v>0</v>
      </c>
      <c r="K481" s="190">
        <f t="shared" si="167"/>
        <v>0</v>
      </c>
      <c r="L481" s="190">
        <f t="shared" si="167"/>
        <v>0</v>
      </c>
      <c r="M481" s="190">
        <f t="shared" si="167"/>
        <v>0</v>
      </c>
      <c r="N481" s="190">
        <f t="shared" si="167"/>
        <v>0</v>
      </c>
      <c r="O481" s="190">
        <f t="shared" si="167"/>
        <v>0</v>
      </c>
      <c r="P481" s="221">
        <f>SUM(I481:L481)</f>
        <v>0</v>
      </c>
    </row>
    <row r="482" spans="3:16" x14ac:dyDescent="0.25">
      <c r="C482" s="185" t="s">
        <v>30</v>
      </c>
      <c r="D482" s="185" t="str">
        <f t="shared" si="158"/>
        <v>881</v>
      </c>
      <c r="E482" s="183" t="str">
        <f>VLOOKUP($C482,'Retail Rates'!$B$7:$P$40,2,FALSE)</f>
        <v>CGS TS-2</v>
      </c>
      <c r="F482" s="185" t="s">
        <v>318</v>
      </c>
      <c r="G482" s="186" t="s">
        <v>169</v>
      </c>
      <c r="H482" s="183"/>
      <c r="I482" s="485">
        <f t="shared" ref="I482:O482" ca="1" si="168">+I480+I481</f>
        <v>0</v>
      </c>
      <c r="J482" s="183">
        <f t="shared" ca="1" si="168"/>
        <v>0</v>
      </c>
      <c r="K482" s="183">
        <f t="shared" ca="1" si="168"/>
        <v>0</v>
      </c>
      <c r="L482" s="183">
        <f t="shared" ca="1" si="168"/>
        <v>0</v>
      </c>
      <c r="M482" s="183">
        <f t="shared" ca="1" si="168"/>
        <v>0</v>
      </c>
      <c r="N482" s="183">
        <f t="shared" ca="1" si="168"/>
        <v>0</v>
      </c>
      <c r="O482" s="183">
        <f t="shared" ca="1" si="168"/>
        <v>0</v>
      </c>
      <c r="P482" s="221">
        <f ca="1">SUM(I482:L482)</f>
        <v>0</v>
      </c>
    </row>
    <row r="483" spans="3:16" x14ac:dyDescent="0.25">
      <c r="C483" s="185"/>
      <c r="D483" s="185"/>
      <c r="E483" s="183"/>
      <c r="F483" s="185"/>
      <c r="G483" s="192"/>
      <c r="H483" s="183"/>
      <c r="I483" s="485"/>
      <c r="J483" s="183"/>
      <c r="K483" s="183"/>
      <c r="L483" s="183"/>
      <c r="M483" s="183"/>
      <c r="N483" s="183"/>
      <c r="O483" s="183"/>
      <c r="P483" s="214"/>
    </row>
    <row r="484" spans="3:16" x14ac:dyDescent="0.25">
      <c r="C484" s="185"/>
      <c r="D484" s="185"/>
      <c r="E484" s="183"/>
      <c r="F484" s="185"/>
      <c r="G484" s="193"/>
      <c r="H484" s="183"/>
      <c r="I484" s="485"/>
      <c r="J484" s="183"/>
      <c r="K484" s="183"/>
      <c r="L484" s="183"/>
      <c r="M484" s="183"/>
      <c r="N484" s="183"/>
      <c r="O484" s="183"/>
      <c r="P484" s="214"/>
    </row>
    <row r="485" spans="3:16" x14ac:dyDescent="0.25">
      <c r="C485" s="185"/>
      <c r="D485" s="185"/>
      <c r="E485" s="183"/>
      <c r="F485" s="185" t="s">
        <v>443</v>
      </c>
      <c r="G485" s="189" t="s">
        <v>274</v>
      </c>
      <c r="H485" s="183"/>
      <c r="I485" s="490">
        <f>SUMIFS('Bruise Report-Cashouts'!$C$5:$C$64,'Bruise Report-Cashouts'!$A$5:$A$64,'Mar20-Aug20 Transport Actuals'!I$385,'Bruise Report-Cashouts'!$B$5:$B$64,'Mar20-Aug20 Transport Actuals'!$F$485)</f>
        <v>0</v>
      </c>
      <c r="J485" s="214">
        <f>SUMIFS('Bruise Report-Cashouts'!$C$5:$C$64,'Bruise Report-Cashouts'!$A$5:$A$64,'Mar20-Aug20 Transport Actuals'!J$385,'Bruise Report-Cashouts'!$B$5:$B$64,'Mar20-Aug20 Transport Actuals'!$F$485)</f>
        <v>0</v>
      </c>
      <c r="K485" s="214">
        <f>SUMIFS('Bruise Report-Cashouts'!$C$5:$C$64,'Bruise Report-Cashouts'!$A$5:$A$64,'Mar20-Aug20 Transport Actuals'!K$385,'Bruise Report-Cashouts'!$B$5:$B$64,'Mar20-Aug20 Transport Actuals'!$F$485)</f>
        <v>0</v>
      </c>
      <c r="L485" s="214">
        <f>SUMIFS('Bruise Report-Cashouts'!$C$5:$C$64,'Bruise Report-Cashouts'!$A$5:$A$64,'Mar20-Aug20 Transport Actuals'!L$385,'Bruise Report-Cashouts'!$B$5:$B$64,'Mar20-Aug20 Transport Actuals'!$F$485)</f>
        <v>0</v>
      </c>
      <c r="M485" s="214">
        <f>SUMIFS('Bruise Report-Cashouts'!$C$5:$C$64,'Bruise Report-Cashouts'!$A$5:$A$64,'Mar20-Aug20 Transport Actuals'!M$385,'Bruise Report-Cashouts'!$B$5:$B$64,'Mar20-Aug20 Transport Actuals'!$F$485)</f>
        <v>0</v>
      </c>
      <c r="N485" s="214">
        <f>SUMIFS('Bruise Report-Cashouts'!$C$5:$C$64,'Bruise Report-Cashouts'!$A$5:$A$64,'Mar20-Aug20 Transport Actuals'!N$385,'Bruise Report-Cashouts'!$B$5:$B$64,'Mar20-Aug20 Transport Actuals'!$F$485)</f>
        <v>0</v>
      </c>
      <c r="O485" s="214">
        <f>SUMIFS('Bruise Report-Cashouts'!$C$5:$C$64,'Bruise Report-Cashouts'!$A$5:$A$64,'Mar20-Aug20 Transport Actuals'!O$385,'Bruise Report-Cashouts'!$B$5:$B$64,'Mar20-Aug20 Transport Actuals'!$F$485)</f>
        <v>0</v>
      </c>
      <c r="P485" s="221">
        <f>SUM(I485:L485)</f>
        <v>0</v>
      </c>
    </row>
    <row r="486" spans="3:16" x14ac:dyDescent="0.25">
      <c r="C486" s="185"/>
      <c r="D486" s="185"/>
      <c r="E486" s="183"/>
      <c r="F486" s="185"/>
      <c r="G486" s="183"/>
      <c r="H486" s="183"/>
      <c r="I486" s="485"/>
      <c r="J486" s="183"/>
      <c r="K486" s="183"/>
      <c r="L486" s="183"/>
      <c r="M486" s="183"/>
      <c r="N486" s="183"/>
      <c r="O486" s="183"/>
      <c r="P486" s="214"/>
    </row>
    <row r="487" spans="3:16" x14ac:dyDescent="0.25">
      <c r="C487" s="185"/>
      <c r="D487" s="185"/>
      <c r="E487" s="183"/>
      <c r="F487" s="185"/>
      <c r="G487" s="189" t="s">
        <v>152</v>
      </c>
      <c r="H487" s="183"/>
      <c r="I487" s="490">
        <f t="shared" ref="I487:O487" ca="1" si="169">+I482-I485</f>
        <v>0</v>
      </c>
      <c r="J487" s="214">
        <f t="shared" ca="1" si="169"/>
        <v>0</v>
      </c>
      <c r="K487" s="214">
        <f t="shared" ca="1" si="169"/>
        <v>0</v>
      </c>
      <c r="L487" s="214">
        <f t="shared" ca="1" si="169"/>
        <v>0</v>
      </c>
      <c r="M487" s="214">
        <f t="shared" ca="1" si="169"/>
        <v>0</v>
      </c>
      <c r="N487" s="214">
        <f t="shared" ca="1" si="169"/>
        <v>0</v>
      </c>
      <c r="O487" s="214">
        <f t="shared" ca="1" si="169"/>
        <v>0</v>
      </c>
      <c r="P487" s="214">
        <f ca="1">SUM(I487:L487)</f>
        <v>0</v>
      </c>
    </row>
    <row r="488" spans="3:16" x14ac:dyDescent="0.25">
      <c r="C488" s="185"/>
      <c r="D488" s="185"/>
      <c r="E488" s="183"/>
      <c r="F488" s="185"/>
      <c r="G488" s="189"/>
      <c r="H488" s="183"/>
      <c r="I488" s="485"/>
      <c r="J488" s="183"/>
      <c r="K488" s="183"/>
      <c r="L488" s="183"/>
      <c r="M488" s="183"/>
      <c r="N488" s="183"/>
      <c r="O488" s="183"/>
      <c r="P488" s="214"/>
    </row>
    <row r="489" spans="3:16" x14ac:dyDescent="0.25">
      <c r="C489" s="185"/>
      <c r="D489" s="185"/>
      <c r="E489" s="183"/>
      <c r="F489" s="185"/>
      <c r="G489" s="189"/>
      <c r="H489" s="183"/>
      <c r="I489" s="485"/>
      <c r="J489" s="183"/>
      <c r="K489" s="183"/>
      <c r="L489" s="183"/>
      <c r="M489" s="183"/>
      <c r="N489" s="183"/>
      <c r="O489" s="183"/>
      <c r="P489" s="214"/>
    </row>
    <row r="490" spans="3:16" x14ac:dyDescent="0.25">
      <c r="C490" s="185"/>
      <c r="D490" s="185"/>
      <c r="E490" s="183"/>
      <c r="F490" s="185"/>
      <c r="G490" s="183"/>
      <c r="H490" s="183"/>
      <c r="I490" s="485"/>
      <c r="J490" s="183"/>
      <c r="K490" s="183"/>
      <c r="L490" s="183"/>
      <c r="M490" s="183"/>
      <c r="N490" s="183"/>
      <c r="O490" s="183"/>
      <c r="P490" s="183"/>
    </row>
    <row r="491" spans="3:16" x14ac:dyDescent="0.25">
      <c r="C491" s="183"/>
      <c r="D491" s="183"/>
      <c r="E491" s="183"/>
      <c r="F491" s="185"/>
      <c r="G491" s="184" t="s">
        <v>367</v>
      </c>
      <c r="H491" s="183"/>
      <c r="I491" s="485"/>
      <c r="J491" s="183"/>
      <c r="K491" s="183"/>
      <c r="L491" s="183"/>
      <c r="M491" s="183"/>
      <c r="N491" s="183"/>
      <c r="O491" s="183"/>
      <c r="P491" s="183"/>
    </row>
    <row r="492" spans="3:16" x14ac:dyDescent="0.25">
      <c r="C492" s="185" t="s">
        <v>30</v>
      </c>
      <c r="D492" s="185" t="str">
        <f t="shared" ref="D492:D502" si="170">MID(C492,6,3)</f>
        <v>881</v>
      </c>
      <c r="E492" s="183" t="str">
        <f>VLOOKUP($C492,'Retail Rates'!$B$7:$P$40,2,FALSE)</f>
        <v>CGS TS-2</v>
      </c>
      <c r="F492" s="185" t="s">
        <v>319</v>
      </c>
      <c r="G492" s="186" t="s">
        <v>157</v>
      </c>
      <c r="H492" s="183"/>
      <c r="I492" s="485">
        <f t="shared" ref="I492:O492" ca="1" si="171">I505/I497</f>
        <v>0</v>
      </c>
      <c r="J492" s="183">
        <f t="shared" ca="1" si="171"/>
        <v>0</v>
      </c>
      <c r="K492" s="183">
        <f t="shared" ca="1" si="171"/>
        <v>0</v>
      </c>
      <c r="L492" s="183">
        <f t="shared" ca="1" si="171"/>
        <v>0</v>
      </c>
      <c r="M492" s="183">
        <f t="shared" ca="1" si="171"/>
        <v>0</v>
      </c>
      <c r="N492" s="183">
        <f t="shared" ca="1" si="171"/>
        <v>0</v>
      </c>
      <c r="O492" s="183">
        <f t="shared" ca="1" si="171"/>
        <v>0</v>
      </c>
      <c r="P492" s="221">
        <f ca="1">SUM(I492:L492)</f>
        <v>0</v>
      </c>
    </row>
    <row r="493" spans="3:16" x14ac:dyDescent="0.25">
      <c r="C493" s="185" t="s">
        <v>30</v>
      </c>
      <c r="D493" s="185" t="str">
        <f t="shared" si="170"/>
        <v>881</v>
      </c>
      <c r="E493" s="183" t="str">
        <f>VLOOKUP($C493,'Retail Rates'!$B$7:$P$40,2,FALSE)</f>
        <v>CGS TS-2</v>
      </c>
      <c r="F493" s="185" t="s">
        <v>319</v>
      </c>
      <c r="G493" s="186" t="s">
        <v>244</v>
      </c>
      <c r="H493" s="183"/>
      <c r="I493" s="485">
        <f t="shared" ref="I493:O493" si="172">IF(I495=0,I495,IF(I495&gt;=(I492*100),(I492*100),I495))</f>
        <v>0</v>
      </c>
      <c r="J493" s="183">
        <f t="shared" si="172"/>
        <v>0</v>
      </c>
      <c r="K493" s="183">
        <f t="shared" si="172"/>
        <v>0</v>
      </c>
      <c r="L493" s="183">
        <f t="shared" si="172"/>
        <v>0</v>
      </c>
      <c r="M493" s="183">
        <f t="shared" si="172"/>
        <v>0</v>
      </c>
      <c r="N493" s="183">
        <f t="shared" si="172"/>
        <v>0</v>
      </c>
      <c r="O493" s="183">
        <f t="shared" si="172"/>
        <v>0</v>
      </c>
      <c r="P493" s="221">
        <f>SUM(I493:L493)</f>
        <v>0</v>
      </c>
    </row>
    <row r="494" spans="3:16" x14ac:dyDescent="0.25">
      <c r="C494" s="185" t="s">
        <v>30</v>
      </c>
      <c r="D494" s="185" t="str">
        <f t="shared" si="170"/>
        <v>881</v>
      </c>
      <c r="E494" s="183" t="str">
        <f>VLOOKUP($C494,'Retail Rates'!$B$7:$P$40,2,FALSE)</f>
        <v>CGS TS-2</v>
      </c>
      <c r="F494" s="185" t="s">
        <v>319</v>
      </c>
      <c r="G494" s="186" t="s">
        <v>245</v>
      </c>
      <c r="H494" s="183"/>
      <c r="I494" s="485">
        <f t="shared" ref="I494:O494" si="173">+I495-I493</f>
        <v>0</v>
      </c>
      <c r="J494" s="183">
        <f t="shared" si="173"/>
        <v>0</v>
      </c>
      <c r="K494" s="183">
        <f t="shared" si="173"/>
        <v>0</v>
      </c>
      <c r="L494" s="183">
        <f t="shared" si="173"/>
        <v>0</v>
      </c>
      <c r="M494" s="183">
        <f t="shared" si="173"/>
        <v>0</v>
      </c>
      <c r="N494" s="183">
        <f t="shared" si="173"/>
        <v>0</v>
      </c>
      <c r="O494" s="183">
        <f t="shared" si="173"/>
        <v>0</v>
      </c>
      <c r="P494" s="221">
        <f>SUM(I494:L494)</f>
        <v>0</v>
      </c>
    </row>
    <row r="495" spans="3:16" x14ac:dyDescent="0.25">
      <c r="C495" s="185" t="s">
        <v>30</v>
      </c>
      <c r="D495" s="185" t="str">
        <f t="shared" si="170"/>
        <v>881</v>
      </c>
      <c r="E495" s="183" t="str">
        <f>VLOOKUP($C495,'Retail Rates'!$B$7:$P$40,2,FALSE)</f>
        <v>CGS TS-2</v>
      </c>
      <c r="F495" s="185" t="s">
        <v>319</v>
      </c>
      <c r="G495" s="186" t="s">
        <v>246</v>
      </c>
      <c r="H495" s="156" t="s">
        <v>265</v>
      </c>
      <c r="I495" s="195">
        <f>SUMIFS('Data-Cashout'!$J$3:$J$3050,'Data-Cashout'!$E$3:$E$3050,'Mar20-Aug20 Transport Actuals'!$H$495,'Data-Cashout'!$A$3:$A$3050,'Mar20-Aug20 Transport Actuals'!I$385,'Data-Cashout'!$B$3:$B$3050,'Mar20-Aug20 Transport Actuals'!$C$495,'Data-Cashout'!$F$3:$F$3050,'Mar20-Aug20 Transport Actuals'!I$388,'Data-Cashout'!$D$3:$D$3050,'Mar20-Aug20 Transport Actuals'!$F$495)/10</f>
        <v>0</v>
      </c>
      <c r="J495" s="195">
        <f>SUMIFS('Data-Cashout'!$J$3:$J$3050,'Data-Cashout'!$E$3:$E$3050,'Mar20-Aug20 Transport Actuals'!$H$495,'Data-Cashout'!$A$3:$A$3050,'Mar20-Aug20 Transport Actuals'!J$385,'Data-Cashout'!$B$3:$B$3050,'Mar20-Aug20 Transport Actuals'!$C$495,'Data-Cashout'!$F$3:$F$3050,'Mar20-Aug20 Transport Actuals'!J$388,'Data-Cashout'!$D$3:$D$3050,'Mar20-Aug20 Transport Actuals'!$F$495)/10</f>
        <v>0</v>
      </c>
      <c r="K495" s="195">
        <f>SUMIFS('Data-Cashout'!$J$3:$J$3050,'Data-Cashout'!$E$3:$E$3050,'Mar20-Aug20 Transport Actuals'!$H$495,'Data-Cashout'!$A$3:$A$3050,'Mar20-Aug20 Transport Actuals'!K$385,'Data-Cashout'!$B$3:$B$3050,'Mar20-Aug20 Transport Actuals'!$C$495,'Data-Cashout'!$F$3:$F$3050,'Mar20-Aug20 Transport Actuals'!K$388,'Data-Cashout'!$D$3:$D$3050,'Mar20-Aug20 Transport Actuals'!$F$495)/10</f>
        <v>0</v>
      </c>
      <c r="L495" s="195">
        <f>SUMIFS('Data-Cashout'!$J$3:$J$3050,'Data-Cashout'!$E$3:$E$3050,'Mar20-Aug20 Transport Actuals'!$H$495,'Data-Cashout'!$A$3:$A$3050,'Mar20-Aug20 Transport Actuals'!L$385,'Data-Cashout'!$B$3:$B$3050,'Mar20-Aug20 Transport Actuals'!$C$495,'Data-Cashout'!$F$3:$F$3050,'Mar20-Aug20 Transport Actuals'!L$388,'Data-Cashout'!$D$3:$D$3050,'Mar20-Aug20 Transport Actuals'!$F$495)/10</f>
        <v>0</v>
      </c>
      <c r="M495" s="195">
        <f>SUMIFS('Data-Cashout'!$J$3:$J$3050,'Data-Cashout'!$E$3:$E$3050,'Mar20-Aug20 Transport Actuals'!$H$495,'Data-Cashout'!$A$3:$A$3050,'Mar20-Aug20 Transport Actuals'!M$385,'Data-Cashout'!$B$3:$B$3050,'Mar20-Aug20 Transport Actuals'!$C$495,'Data-Cashout'!$F$3:$F$3050,'Mar20-Aug20 Transport Actuals'!M$388,'Data-Cashout'!$D$3:$D$3050,'Mar20-Aug20 Transport Actuals'!$F$495)/10</f>
        <v>0</v>
      </c>
      <c r="N495" s="195">
        <f>SUMIFS('Data-Cashout'!$J$3:$J$3050,'Data-Cashout'!$E$3:$E$3050,'Mar20-Aug20 Transport Actuals'!$H$495,'Data-Cashout'!$A$3:$A$3050,'Mar20-Aug20 Transport Actuals'!N$385,'Data-Cashout'!$B$3:$B$3050,'Mar20-Aug20 Transport Actuals'!$C$495,'Data-Cashout'!$F$3:$F$3050,'Mar20-Aug20 Transport Actuals'!N$388,'Data-Cashout'!$D$3:$D$3050,'Mar20-Aug20 Transport Actuals'!$F$495)/10</f>
        <v>0</v>
      </c>
      <c r="O495" s="195">
        <f>SUMIFS('Data-Cashout'!$J$3:$J$3050,'Data-Cashout'!$E$3:$E$3050,'Mar20-Aug20 Transport Actuals'!$H$495,'Data-Cashout'!$A$3:$A$3050,'Mar20-Aug20 Transport Actuals'!O$385,'Data-Cashout'!$B$3:$B$3050,'Mar20-Aug20 Transport Actuals'!$C$495,'Data-Cashout'!$F$3:$F$3050,'Mar20-Aug20 Transport Actuals'!O$388,'Data-Cashout'!$D$3:$D$3050,'Mar20-Aug20 Transport Actuals'!$F$495)/10</f>
        <v>0</v>
      </c>
      <c r="P495" s="221">
        <f>SUM(I495:L495)</f>
        <v>0</v>
      </c>
    </row>
    <row r="496" spans="3:16" x14ac:dyDescent="0.25">
      <c r="C496" s="185" t="s">
        <v>30</v>
      </c>
      <c r="D496" s="185" t="str">
        <f t="shared" si="170"/>
        <v>881</v>
      </c>
      <c r="E496" s="183" t="str">
        <f>VLOOKUP($C496,'Retail Rates'!$B$7:$P$40,2,FALSE)</f>
        <v>CGS TS-2</v>
      </c>
      <c r="F496" s="185" t="s">
        <v>319</v>
      </c>
      <c r="G496" s="187"/>
      <c r="H496" s="183"/>
      <c r="I496" s="485"/>
      <c r="J496" s="183"/>
      <c r="K496" s="183"/>
      <c r="L496" s="183"/>
      <c r="M496" s="183"/>
      <c r="N496" s="183"/>
      <c r="O496" s="183"/>
      <c r="P496" s="183"/>
    </row>
    <row r="497" spans="3:16" x14ac:dyDescent="0.25">
      <c r="C497" s="185" t="s">
        <v>30</v>
      </c>
      <c r="D497" s="185" t="str">
        <f t="shared" si="170"/>
        <v>881</v>
      </c>
      <c r="E497" s="183" t="str">
        <f>VLOOKUP($C497,'Retail Rates'!$B$7:$P$40,2,FALSE)</f>
        <v>CGS TS-2</v>
      </c>
      <c r="F497" s="185" t="s">
        <v>319</v>
      </c>
      <c r="G497" s="186" t="s">
        <v>291</v>
      </c>
      <c r="H497" s="183"/>
      <c r="I497" s="485">
        <f>VLOOKUP($C497,'Retail Rates'!$B$7:$P$40,4,FALSE)</f>
        <v>1.97</v>
      </c>
      <c r="J497" s="485">
        <f>VLOOKUP($C497,'Retail Rates'!$B$7:$P$40,4,FALSE)</f>
        <v>1.97</v>
      </c>
      <c r="K497" s="485">
        <f>VLOOKUP($C497,'Retail Rates'!$B$7:$P$40,4,FALSE)</f>
        <v>1.97</v>
      </c>
      <c r="L497" s="485">
        <f>VLOOKUP($C497,'Retail Rates'!$B$7:$P$40,4,FALSE)</f>
        <v>1.97</v>
      </c>
      <c r="M497" s="485">
        <f>VLOOKUP($C497,'Retail Rates'!$B$7:$P$40,4,FALSE)</f>
        <v>1.97</v>
      </c>
      <c r="N497" s="485">
        <f>VLOOKUP($C497,'Retail Rates'!$B$7:$P$40,4,FALSE)</f>
        <v>1.97</v>
      </c>
      <c r="O497" s="485">
        <f>VLOOKUP($C497,'Retail Rates'!$B$7:$P$40,4,FALSE)</f>
        <v>1.97</v>
      </c>
      <c r="P497" s="183"/>
    </row>
    <row r="498" spans="3:16" x14ac:dyDescent="0.25">
      <c r="C498" s="185" t="s">
        <v>30</v>
      </c>
      <c r="D498" s="185" t="str">
        <f t="shared" si="170"/>
        <v>881</v>
      </c>
      <c r="E498" s="183" t="str">
        <f>VLOOKUP($C498,'Retail Rates'!$B$7:$P$40,2,FALSE)</f>
        <v>CGS TS-2</v>
      </c>
      <c r="F498" s="185" t="s">
        <v>319</v>
      </c>
      <c r="G498" s="186" t="s">
        <v>247</v>
      </c>
      <c r="H498" s="183"/>
      <c r="I498" s="485">
        <f>VLOOKUP($C498,'Retail Rates'!$B$7:$P$40,8,FALSE)</f>
        <v>0.30669999999999997</v>
      </c>
      <c r="J498" s="485">
        <f>VLOOKUP($C498,'Retail Rates'!$B$7:$P$40,8,FALSE)</f>
        <v>0.30669999999999997</v>
      </c>
      <c r="K498" s="485">
        <f>VLOOKUP($C498,'Retail Rates'!$B$7:$P$40,8,FALSE)</f>
        <v>0.30669999999999997</v>
      </c>
      <c r="L498" s="485">
        <f>VLOOKUP($C498,'Retail Rates'!$B$7:$P$40,8,FALSE)</f>
        <v>0.30669999999999997</v>
      </c>
      <c r="M498" s="485">
        <f>VLOOKUP($C498,'Retail Rates'!$B$7:$P$40,8,FALSE)</f>
        <v>0.30669999999999997</v>
      </c>
      <c r="N498" s="485">
        <f>VLOOKUP($C498,'Retail Rates'!$B$7:$P$40,8,FALSE)</f>
        <v>0.30669999999999997</v>
      </c>
      <c r="O498" s="485">
        <f>VLOOKUP($C498,'Retail Rates'!$B$7:$P$40,8,FALSE)</f>
        <v>0.30669999999999997</v>
      </c>
      <c r="P498" s="183"/>
    </row>
    <row r="499" spans="3:16" x14ac:dyDescent="0.25">
      <c r="C499" s="185" t="s">
        <v>30</v>
      </c>
      <c r="D499" s="185" t="str">
        <f t="shared" si="170"/>
        <v>881</v>
      </c>
      <c r="E499" s="183" t="str">
        <f>VLOOKUP($C499,'Retail Rates'!$B$7:$P$40,2,FALSE)</f>
        <v>CGS TS-2</v>
      </c>
      <c r="F499" s="185" t="s">
        <v>319</v>
      </c>
      <c r="G499" s="186" t="s">
        <v>248</v>
      </c>
      <c r="H499" s="183"/>
      <c r="I499" s="485">
        <f>+I498</f>
        <v>0.30669999999999997</v>
      </c>
      <c r="J499" s="183">
        <f>+J498</f>
        <v>0.30669999999999997</v>
      </c>
      <c r="K499" s="183">
        <f>+K498-0.5</f>
        <v>-0.19330000000000003</v>
      </c>
      <c r="L499" s="183">
        <f>+L498-0.5</f>
        <v>-0.19330000000000003</v>
      </c>
      <c r="M499" s="183">
        <f>+M498-0.5</f>
        <v>-0.19330000000000003</v>
      </c>
      <c r="N499" s="183">
        <f>+N498-0.5</f>
        <v>-0.19330000000000003</v>
      </c>
      <c r="O499" s="183">
        <f>+O498-0.5</f>
        <v>-0.19330000000000003</v>
      </c>
      <c r="P499" s="183"/>
    </row>
    <row r="500" spans="3:16" x14ac:dyDescent="0.25">
      <c r="C500" s="185" t="s">
        <v>30</v>
      </c>
      <c r="D500" s="185" t="str">
        <f t="shared" si="170"/>
        <v>881</v>
      </c>
      <c r="E500" s="183" t="str">
        <f>VLOOKUP($C500,'Retail Rates'!$B$7:$P$40,2,FALSE)</f>
        <v>CGS TS-2</v>
      </c>
      <c r="F500" s="185" t="s">
        <v>319</v>
      </c>
      <c r="G500" s="186" t="s">
        <v>281</v>
      </c>
      <c r="H500" s="183"/>
      <c r="I500" s="485">
        <f>SUMIF('GSC-DSM-GLT Factors'!$A$1:$A$58,'Mar20-Aug20 Transport Actuals'!I$5,'GSC-DSM-GLT Factors'!$H$1:$H$58)</f>
        <v>3.4000999999999997</v>
      </c>
      <c r="J500" s="183">
        <f>SUMIF('GSC-DSM-GLT Factors'!$A$1:$A$58,'Mar20-Aug20 Transport Actuals'!J$5,'GSC-DSM-GLT Factors'!$H$1:$H$58)</f>
        <v>3.4000999999999997</v>
      </c>
      <c r="K500" s="183">
        <f>SUMIF('GSC-DSM-GLT Factors'!$A$1:$A$58,'Mar20-Aug20 Transport Actuals'!K$5,'GSC-DSM-GLT Factors'!$H$1:$H$58)</f>
        <v>3.4000999999999997</v>
      </c>
      <c r="L500" s="183">
        <f>SUMIF('GSC-DSM-GLT Factors'!$A$1:$A$58,'Mar20-Aug20 Transport Actuals'!L$5,'GSC-DSM-GLT Factors'!$H$1:$H$58)</f>
        <v>2.5409999999999999</v>
      </c>
      <c r="M500" s="183">
        <f>SUMIF('GSC-DSM-GLT Factors'!$A$1:$A$58,'Mar20-Aug20 Transport Actuals'!M$5,'GSC-DSM-GLT Factors'!$H$1:$H$58)</f>
        <v>2.5409999999999999</v>
      </c>
      <c r="N500" s="183">
        <f>SUMIF('GSC-DSM-GLT Factors'!$A$1:$A$58,'Mar20-Aug20 Transport Actuals'!N$5,'GSC-DSM-GLT Factors'!$H$1:$H$58)</f>
        <v>2.5409999999999999</v>
      </c>
      <c r="O500" s="183">
        <f>SUMIF('GSC-DSM-GLT Factors'!$A$1:$A$58,'Mar20-Aug20 Transport Actuals'!O$5,'GSC-DSM-GLT Factors'!$H$1:$H$58)</f>
        <v>3.0515999999999996</v>
      </c>
      <c r="P500" s="183"/>
    </row>
    <row r="501" spans="3:16" x14ac:dyDescent="0.25">
      <c r="C501" s="185" t="s">
        <v>30</v>
      </c>
      <c r="D501" s="185" t="str">
        <f t="shared" si="170"/>
        <v>881</v>
      </c>
      <c r="E501" s="183" t="str">
        <f>VLOOKUP($C501,'Retail Rates'!$B$7:$P$40,2,FALSE)</f>
        <v>CGS TS-2</v>
      </c>
      <c r="F501" s="185" t="s">
        <v>319</v>
      </c>
      <c r="G501" s="186" t="s">
        <v>161</v>
      </c>
      <c r="H501" s="183"/>
      <c r="I501" s="485">
        <f>SUMIF('GSC-DSM-GLT Factors'!$A$1:$A$58,'Mar20-Aug20 Transport Actuals'!I$5,'GSC-DSM-GLT Factors'!$F$1:$F$58)</f>
        <v>1.8000000000000001E-4</v>
      </c>
      <c r="J501" s="183">
        <f>SUMIF('GSC-DSM-GLT Factors'!$A$1:$A$58,'Mar20-Aug20 Transport Actuals'!J$5,'GSC-DSM-GLT Factors'!$F$1:$F$58)</f>
        <v>1.8000000000000001E-4</v>
      </c>
      <c r="K501" s="183">
        <f>SUMIF('GSC-DSM-GLT Factors'!$A$1:$A$58,'Mar20-Aug20 Transport Actuals'!K$5,'GSC-DSM-GLT Factors'!$F$1:$F$58)</f>
        <v>4.8000000000000001E-4</v>
      </c>
      <c r="L501" s="183">
        <f>SUMIF('GSC-DSM-GLT Factors'!$A$1:$A$58,'Mar20-Aug20 Transport Actuals'!L$5,'GSC-DSM-GLT Factors'!$F$1:$F$58)</f>
        <v>4.8000000000000001E-4</v>
      </c>
      <c r="M501" s="183">
        <f>SUMIF('GSC-DSM-GLT Factors'!$A$1:$A$58,'Mar20-Aug20 Transport Actuals'!M$5,'GSC-DSM-GLT Factors'!$F$1:$F$58)</f>
        <v>4.8000000000000001E-4</v>
      </c>
      <c r="N501" s="183">
        <f>SUMIF('GSC-DSM-GLT Factors'!$A$1:$A$58,'Mar20-Aug20 Transport Actuals'!N$5,'GSC-DSM-GLT Factors'!$F$1:$F$58)</f>
        <v>4.8000000000000001E-4</v>
      </c>
      <c r="O501" s="183">
        <f>SUMIF('GSC-DSM-GLT Factors'!$A$1:$A$58,'Mar20-Aug20 Transport Actuals'!O$5,'GSC-DSM-GLT Factors'!$F$1:$F$58)</f>
        <v>4.8000000000000001E-4</v>
      </c>
      <c r="P501" s="183"/>
    </row>
    <row r="502" spans="3:16" x14ac:dyDescent="0.25">
      <c r="C502" s="185" t="s">
        <v>30</v>
      </c>
      <c r="D502" s="185" t="str">
        <f t="shared" si="170"/>
        <v>881</v>
      </c>
      <c r="E502" s="183" t="str">
        <f>VLOOKUP($C502,'Retail Rates'!$B$7:$P$40,2,FALSE)</f>
        <v>CGS TS-2</v>
      </c>
      <c r="F502" s="185" t="s">
        <v>319</v>
      </c>
      <c r="G502" s="186" t="s">
        <v>366</v>
      </c>
      <c r="H502" s="183"/>
      <c r="I502" s="485">
        <f>VLOOKUP(I$385,'GSC-DSM-GLT Factors'!$A$11:$M$58,12,FALSE)</f>
        <v>6.8099999999999994E-2</v>
      </c>
      <c r="J502" s="183">
        <f>VLOOKUP(J$385,'GSC-DSM-GLT Factors'!$A$11:$M$58,12,FALSE)</f>
        <v>6.8099999999999994E-2</v>
      </c>
      <c r="K502" s="183">
        <f>VLOOKUP(K$385,'GSC-DSM-GLT Factors'!$A$11:$M$58,12,FALSE)</f>
        <v>0.19199999999999998</v>
      </c>
      <c r="L502" s="183">
        <f>VLOOKUP(L$385,'GSC-DSM-GLT Factors'!$A$11:$M$58,12,FALSE)</f>
        <v>0.19199999999999998</v>
      </c>
      <c r="M502" s="183">
        <f>VLOOKUP(M$385,'GSC-DSM-GLT Factors'!$A$11:$M$58,12,FALSE)</f>
        <v>0.19199999999999998</v>
      </c>
      <c r="N502" s="183">
        <f>VLOOKUP(N$385,'GSC-DSM-GLT Factors'!$A$11:$M$58,12,FALSE)</f>
        <v>0.19199999999999998</v>
      </c>
      <c r="O502" s="183">
        <f>VLOOKUP(O$385,'GSC-DSM-GLT Factors'!$A$11:$M$58,12,FALSE)</f>
        <v>0.19199999999999998</v>
      </c>
      <c r="P502" s="183"/>
    </row>
    <row r="503" spans="3:16" x14ac:dyDescent="0.25">
      <c r="C503" s="185"/>
      <c r="D503" s="185"/>
      <c r="E503" s="183"/>
      <c r="F503" s="185"/>
      <c r="G503" s="186"/>
      <c r="H503" s="183"/>
      <c r="I503" s="485"/>
      <c r="J503" s="183"/>
      <c r="K503" s="183"/>
      <c r="L503" s="183"/>
      <c r="M503" s="183"/>
      <c r="N503" s="183"/>
      <c r="O503" s="183"/>
      <c r="P503" s="183"/>
    </row>
    <row r="504" spans="3:16" x14ac:dyDescent="0.25">
      <c r="C504" s="185" t="s">
        <v>30</v>
      </c>
      <c r="D504" s="185" t="str">
        <f t="shared" ref="D504:D514" si="174">MID(C504,6,3)</f>
        <v>881</v>
      </c>
      <c r="E504" s="183" t="str">
        <f>VLOOKUP($C504,'Retail Rates'!$B$7:$P$40,2,FALSE)</f>
        <v>CGS TS-2</v>
      </c>
      <c r="F504" s="185" t="s">
        <v>319</v>
      </c>
      <c r="G504" s="188" t="s">
        <v>162</v>
      </c>
      <c r="H504" s="183"/>
      <c r="I504" s="485"/>
      <c r="J504" s="183"/>
      <c r="K504" s="183"/>
      <c r="L504" s="183"/>
      <c r="M504" s="183"/>
      <c r="N504" s="183"/>
      <c r="O504" s="183"/>
      <c r="P504" s="183"/>
    </row>
    <row r="505" spans="3:16" x14ac:dyDescent="0.25">
      <c r="C505" s="185" t="s">
        <v>30</v>
      </c>
      <c r="D505" s="185" t="str">
        <f t="shared" si="174"/>
        <v>881</v>
      </c>
      <c r="E505" s="183" t="str">
        <f>VLOOKUP($C505,'Retail Rates'!$B$7:$P$40,2,FALSE)</f>
        <v>CGS TS-2</v>
      </c>
      <c r="F505" s="185" t="s">
        <v>319</v>
      </c>
      <c r="G505" s="189" t="s">
        <v>89</v>
      </c>
      <c r="H505" s="156" t="s">
        <v>272</v>
      </c>
      <c r="I505" s="486">
        <f ca="1">SUMIFS('Data-Cashout'!$AI$3:$AI$3050,'Data-Cashout'!$E$3:$E$3050,'Mar20-Aug20 Transport Actuals'!$H505,'Data-Cashout'!$A$3:$A$3050,'Mar20-Aug20 Transport Actuals'!I$385,'Data-Cashout'!$B$3:$B$3050,'Mar20-Aug20 Transport Actuals'!$C505,'Data-Cashout'!$D$3:$D$3050,'Mar20-Aug20 Transport Actuals'!$F$505)</f>
        <v>0</v>
      </c>
      <c r="J505" s="165">
        <f ca="1">SUMIFS('Data-Cashout'!$AI$3:$AI$3050,'Data-Cashout'!$E$3:$E$3050,'Mar20-Aug20 Transport Actuals'!$H505,'Data-Cashout'!$A$3:$A$3050,'Mar20-Aug20 Transport Actuals'!J$385,'Data-Cashout'!$B$3:$B$3050,'Mar20-Aug20 Transport Actuals'!$C505,'Data-Cashout'!$D$3:$D$3050,'Mar20-Aug20 Transport Actuals'!$F$505)</f>
        <v>0</v>
      </c>
      <c r="K505" s="165">
        <f ca="1">SUMIFS('Data-Cashout'!$AI$3:$AI$3050,'Data-Cashout'!$E$3:$E$3050,'Mar20-Aug20 Transport Actuals'!$H505,'Data-Cashout'!$A$3:$A$3050,'Mar20-Aug20 Transport Actuals'!K$385,'Data-Cashout'!$B$3:$B$3050,'Mar20-Aug20 Transport Actuals'!$C505,'Data-Cashout'!$D$3:$D$3050,'Mar20-Aug20 Transport Actuals'!$F$505)</f>
        <v>0</v>
      </c>
      <c r="L505" s="165">
        <f ca="1">SUMIFS('Data-Cashout'!$AI$3:$AI$3050,'Data-Cashout'!$E$3:$E$3050,'Mar20-Aug20 Transport Actuals'!$H505,'Data-Cashout'!$A$3:$A$3050,'Mar20-Aug20 Transport Actuals'!L$385,'Data-Cashout'!$B$3:$B$3050,'Mar20-Aug20 Transport Actuals'!$C505,'Data-Cashout'!$D$3:$D$3050,'Mar20-Aug20 Transport Actuals'!$F$505)</f>
        <v>0</v>
      </c>
      <c r="M505" s="165">
        <f ca="1">SUMIFS('Data-Cashout'!$AI$3:$AI$3050,'Data-Cashout'!$E$3:$E$3050,'Mar20-Aug20 Transport Actuals'!$H505,'Data-Cashout'!$A$3:$A$3050,'Mar20-Aug20 Transport Actuals'!M$385,'Data-Cashout'!$B$3:$B$3050,'Mar20-Aug20 Transport Actuals'!$C505,'Data-Cashout'!$D$3:$D$3050,'Mar20-Aug20 Transport Actuals'!$F$505)</f>
        <v>0</v>
      </c>
      <c r="N505" s="165">
        <f ca="1">SUMIFS('Data-Cashout'!$AI$3:$AI$3050,'Data-Cashout'!$E$3:$E$3050,'Mar20-Aug20 Transport Actuals'!$H505,'Data-Cashout'!$A$3:$A$3050,'Mar20-Aug20 Transport Actuals'!N$385,'Data-Cashout'!$B$3:$B$3050,'Mar20-Aug20 Transport Actuals'!$C505,'Data-Cashout'!$D$3:$D$3050,'Mar20-Aug20 Transport Actuals'!$F$505)</f>
        <v>0</v>
      </c>
      <c r="O505" s="165">
        <f ca="1">SUMIFS('Data-Cashout'!$AI$3:$AI$3050,'Data-Cashout'!$E$3:$E$3050,'Mar20-Aug20 Transport Actuals'!$H505,'Data-Cashout'!$A$3:$A$3050,'Mar20-Aug20 Transport Actuals'!O$385,'Data-Cashout'!$B$3:$B$3050,'Mar20-Aug20 Transport Actuals'!$C505,'Data-Cashout'!$D$3:$D$3050,'Mar20-Aug20 Transport Actuals'!$F$505)</f>
        <v>0</v>
      </c>
      <c r="P505" s="221">
        <f t="shared" ref="P505:P514" ca="1" si="175">SUM(I505:L505)</f>
        <v>0</v>
      </c>
    </row>
    <row r="506" spans="3:16" x14ac:dyDescent="0.25">
      <c r="C506" s="185" t="s">
        <v>30</v>
      </c>
      <c r="D506" s="185" t="str">
        <f t="shared" si="174"/>
        <v>881</v>
      </c>
      <c r="E506" s="183" t="str">
        <f>VLOOKUP($C506,'Retail Rates'!$B$7:$P$40,2,FALSE)</f>
        <v>CGS TS-2</v>
      </c>
      <c r="F506" s="185" t="s">
        <v>319</v>
      </c>
      <c r="G506" s="186" t="s">
        <v>249</v>
      </c>
      <c r="H506" s="183"/>
      <c r="I506" s="485">
        <f t="shared" ref="I506:O507" si="176">ROUND(+I493*I498,2)</f>
        <v>0</v>
      </c>
      <c r="J506" s="183">
        <f t="shared" si="176"/>
        <v>0</v>
      </c>
      <c r="K506" s="183">
        <f t="shared" si="176"/>
        <v>0</v>
      </c>
      <c r="L506" s="183">
        <f t="shared" si="176"/>
        <v>0</v>
      </c>
      <c r="M506" s="183">
        <f t="shared" si="176"/>
        <v>0</v>
      </c>
      <c r="N506" s="183">
        <f t="shared" si="176"/>
        <v>0</v>
      </c>
      <c r="O506" s="183">
        <f t="shared" si="176"/>
        <v>0</v>
      </c>
      <c r="P506" s="221">
        <f t="shared" si="175"/>
        <v>0</v>
      </c>
    </row>
    <row r="507" spans="3:16" x14ac:dyDescent="0.25">
      <c r="C507" s="185" t="s">
        <v>30</v>
      </c>
      <c r="D507" s="185" t="str">
        <f t="shared" si="174"/>
        <v>881</v>
      </c>
      <c r="E507" s="183" t="str">
        <f>VLOOKUP($C507,'Retail Rates'!$B$7:$P$40,2,FALSE)</f>
        <v>CGS TS-2</v>
      </c>
      <c r="F507" s="185" t="s">
        <v>319</v>
      </c>
      <c r="G507" s="186" t="s">
        <v>250</v>
      </c>
      <c r="H507" s="183"/>
      <c r="I507" s="487">
        <f t="shared" si="176"/>
        <v>0</v>
      </c>
      <c r="J507" s="218">
        <f t="shared" si="176"/>
        <v>0</v>
      </c>
      <c r="K507" s="218">
        <f t="shared" si="176"/>
        <v>0</v>
      </c>
      <c r="L507" s="218">
        <f t="shared" si="176"/>
        <v>0</v>
      </c>
      <c r="M507" s="218">
        <f t="shared" si="176"/>
        <v>0</v>
      </c>
      <c r="N507" s="218">
        <f t="shared" si="176"/>
        <v>0</v>
      </c>
      <c r="O507" s="218">
        <f t="shared" si="176"/>
        <v>0</v>
      </c>
      <c r="P507" s="221">
        <f t="shared" si="175"/>
        <v>0</v>
      </c>
    </row>
    <row r="508" spans="3:16" x14ac:dyDescent="0.25">
      <c r="C508" s="185" t="s">
        <v>30</v>
      </c>
      <c r="D508" s="185" t="str">
        <f t="shared" si="174"/>
        <v>881</v>
      </c>
      <c r="E508" s="183" t="str">
        <f>VLOOKUP($C508,'Retail Rates'!$B$7:$P$40,2,FALSE)</f>
        <v>CGS TS-2</v>
      </c>
      <c r="F508" s="185" t="s">
        <v>319</v>
      </c>
      <c r="G508" s="186" t="s">
        <v>171</v>
      </c>
      <c r="H508" s="156" t="s">
        <v>327</v>
      </c>
      <c r="I508" s="488">
        <f>SUMIFS('Data-Cashout'!$Q$3:$Q$3050,'Data-Cashout'!$A$3:$A$3050,'Mar20-Aug20 Transport Actuals'!I$385,'Data-Cashout'!$B$3:$B$3050,'Mar20-Aug20 Transport Actuals'!$C508,'Data-Cashout'!$D$3:$D$3050,'Mar20-Aug20 Transport Actuals'!$F508,'Data-Cashout'!$E$3:$E$3050,'Mar20-Aug20 Transport Actuals'!$H508)</f>
        <v>0</v>
      </c>
      <c r="J508" s="215">
        <f>SUMIFS('Data-Cashout'!$Q$3:$Q$3050,'Data-Cashout'!$A$3:$A$3050,'Mar20-Aug20 Transport Actuals'!J$385,'Data-Cashout'!$B$3:$B$3050,'Mar20-Aug20 Transport Actuals'!$C508,'Data-Cashout'!$D$3:$D$3050,'Mar20-Aug20 Transport Actuals'!$F508,'Data-Cashout'!$E$3:$E$3050,'Mar20-Aug20 Transport Actuals'!$H508)</f>
        <v>0</v>
      </c>
      <c r="K508" s="215">
        <f>SUMIFS('Data-Cashout'!$Q$3:$Q$3050,'Data-Cashout'!$A$3:$A$3050,'Mar20-Aug20 Transport Actuals'!K$385,'Data-Cashout'!$B$3:$B$3050,'Mar20-Aug20 Transport Actuals'!$C508,'Data-Cashout'!$D$3:$D$3050,'Mar20-Aug20 Transport Actuals'!$F508,'Data-Cashout'!$E$3:$E$3050,'Mar20-Aug20 Transport Actuals'!$H508)</f>
        <v>0</v>
      </c>
      <c r="L508" s="215">
        <f>SUMIFS('Data-Cashout'!$Q$3:$Q$3050,'Data-Cashout'!$A$3:$A$3050,'Mar20-Aug20 Transport Actuals'!L$385,'Data-Cashout'!$B$3:$B$3050,'Mar20-Aug20 Transport Actuals'!$C508,'Data-Cashout'!$D$3:$D$3050,'Mar20-Aug20 Transport Actuals'!$F508,'Data-Cashout'!$E$3:$E$3050,'Mar20-Aug20 Transport Actuals'!$H508)</f>
        <v>0</v>
      </c>
      <c r="M508" s="215">
        <f>SUMIFS('Data-Cashout'!$Q$3:$Q$3050,'Data-Cashout'!$A$3:$A$3050,'Mar20-Aug20 Transport Actuals'!M$385,'Data-Cashout'!$B$3:$B$3050,'Mar20-Aug20 Transport Actuals'!$C508,'Data-Cashout'!$D$3:$D$3050,'Mar20-Aug20 Transport Actuals'!$F508,'Data-Cashout'!$E$3:$E$3050,'Mar20-Aug20 Transport Actuals'!$H508)</f>
        <v>0</v>
      </c>
      <c r="N508" s="215">
        <f>SUMIFS('Data-Cashout'!$Q$3:$Q$3050,'Data-Cashout'!$A$3:$A$3050,'Mar20-Aug20 Transport Actuals'!N$385,'Data-Cashout'!$B$3:$B$3050,'Mar20-Aug20 Transport Actuals'!$C508,'Data-Cashout'!$D$3:$D$3050,'Mar20-Aug20 Transport Actuals'!$F508,'Data-Cashout'!$E$3:$E$3050,'Mar20-Aug20 Transport Actuals'!$H508)</f>
        <v>0</v>
      </c>
      <c r="O508" s="215">
        <f>SUMIFS('Data-Cashout'!$Q$3:$Q$3050,'Data-Cashout'!$A$3:$A$3050,'Mar20-Aug20 Transport Actuals'!O$385,'Data-Cashout'!$B$3:$B$3050,'Mar20-Aug20 Transport Actuals'!$C508,'Data-Cashout'!$D$3:$D$3050,'Mar20-Aug20 Transport Actuals'!$F508,'Data-Cashout'!$E$3:$E$3050,'Mar20-Aug20 Transport Actuals'!$H508)</f>
        <v>0</v>
      </c>
      <c r="P508" s="221">
        <f t="shared" si="175"/>
        <v>0</v>
      </c>
    </row>
    <row r="509" spans="3:16" x14ac:dyDescent="0.25">
      <c r="C509" s="185" t="s">
        <v>30</v>
      </c>
      <c r="D509" s="185" t="str">
        <f t="shared" si="174"/>
        <v>881</v>
      </c>
      <c r="E509" s="183" t="str">
        <f>VLOOKUP($C509,'Retail Rates'!$B$7:$P$40,2,FALSE)</f>
        <v>CGS TS-2</v>
      </c>
      <c r="F509" s="185" t="s">
        <v>319</v>
      </c>
      <c r="G509" s="186" t="s">
        <v>324</v>
      </c>
      <c r="H509" s="183"/>
      <c r="I509" s="489">
        <f t="shared" ref="I509:O509" ca="1" si="177">I492*I502</f>
        <v>0</v>
      </c>
      <c r="J509" s="219">
        <f t="shared" ca="1" si="177"/>
        <v>0</v>
      </c>
      <c r="K509" s="219">
        <f t="shared" ca="1" si="177"/>
        <v>0</v>
      </c>
      <c r="L509" s="219">
        <f t="shared" ca="1" si="177"/>
        <v>0</v>
      </c>
      <c r="M509" s="219">
        <f t="shared" ca="1" si="177"/>
        <v>0</v>
      </c>
      <c r="N509" s="219">
        <f t="shared" ca="1" si="177"/>
        <v>0</v>
      </c>
      <c r="O509" s="219">
        <f t="shared" ca="1" si="177"/>
        <v>0</v>
      </c>
      <c r="P509" s="221">
        <f t="shared" ca="1" si="175"/>
        <v>0</v>
      </c>
    </row>
    <row r="510" spans="3:16" x14ac:dyDescent="0.25">
      <c r="C510" s="185" t="s">
        <v>30</v>
      </c>
      <c r="D510" s="185" t="str">
        <f t="shared" si="174"/>
        <v>881</v>
      </c>
      <c r="E510" s="183" t="str">
        <f>VLOOKUP($C510,'Retail Rates'!$B$7:$P$40,2,FALSE)</f>
        <v>CGS TS-2</v>
      </c>
      <c r="F510" s="185" t="s">
        <v>319</v>
      </c>
      <c r="G510" s="186" t="s">
        <v>165</v>
      </c>
      <c r="H510" s="183"/>
      <c r="I510" s="490">
        <f t="shared" ref="I510:O510" ca="1" si="178">SUM(I505:I509)</f>
        <v>0</v>
      </c>
      <c r="J510" s="214">
        <f t="shared" ca="1" si="178"/>
        <v>0</v>
      </c>
      <c r="K510" s="214">
        <f t="shared" ca="1" si="178"/>
        <v>0</v>
      </c>
      <c r="L510" s="214">
        <f t="shared" ca="1" si="178"/>
        <v>0</v>
      </c>
      <c r="M510" s="214">
        <f t="shared" ca="1" si="178"/>
        <v>0</v>
      </c>
      <c r="N510" s="214">
        <f t="shared" ca="1" si="178"/>
        <v>0</v>
      </c>
      <c r="O510" s="214">
        <f t="shared" ca="1" si="178"/>
        <v>0</v>
      </c>
      <c r="P510" s="221">
        <f t="shared" ca="1" si="175"/>
        <v>0</v>
      </c>
    </row>
    <row r="511" spans="3:16" x14ac:dyDescent="0.25">
      <c r="C511" s="185" t="s">
        <v>30</v>
      </c>
      <c r="D511" s="185" t="str">
        <f t="shared" si="174"/>
        <v>881</v>
      </c>
      <c r="E511" s="183" t="str">
        <f>VLOOKUP($C511,'Retail Rates'!$B$7:$P$40,2,FALSE)</f>
        <v>CGS TS-2</v>
      </c>
      <c r="F511" s="185" t="s">
        <v>319</v>
      </c>
      <c r="G511" s="186" t="s">
        <v>107</v>
      </c>
      <c r="H511" s="156" t="s">
        <v>107</v>
      </c>
      <c r="I511" s="491">
        <f ca="1">SUMIFS('Data-Cashout'!$AI$3:$AI$3050,'Data-Cashout'!$E$3:$E$3050,'Mar20-Aug20 Transport Actuals'!$H$511,'Data-Cashout'!$A$3:$A$3050,'Mar20-Aug20 Transport Actuals'!I$385,'Data-Cashout'!$B$3:$B$3050,'Mar20-Aug20 Transport Actuals'!$C$511,'Data-Cashout'!$D$3:$D$3050,'Mar20-Aug20 Transport Actuals'!$F$511)</f>
        <v>0</v>
      </c>
      <c r="J511" s="211">
        <f ca="1">SUMIFS('Data-Cashout'!$AI$3:$AI$3050,'Data-Cashout'!$E$3:$E$3050,'Mar20-Aug20 Transport Actuals'!$H$511,'Data-Cashout'!$A$3:$A$3050,'Mar20-Aug20 Transport Actuals'!J$385,'Data-Cashout'!$B$3:$B$3050,'Mar20-Aug20 Transport Actuals'!$C$511,'Data-Cashout'!$D$3:$D$3050,'Mar20-Aug20 Transport Actuals'!$F$511)</f>
        <v>0</v>
      </c>
      <c r="K511" s="211">
        <f ca="1">SUMIFS('Data-Cashout'!$AI$3:$AI$3050,'Data-Cashout'!$E$3:$E$3050,'Mar20-Aug20 Transport Actuals'!$H$511,'Data-Cashout'!$A$3:$A$3050,'Mar20-Aug20 Transport Actuals'!K$385,'Data-Cashout'!$B$3:$B$3050,'Mar20-Aug20 Transport Actuals'!$C$511,'Data-Cashout'!$D$3:$D$3050,'Mar20-Aug20 Transport Actuals'!$F$511)</f>
        <v>0</v>
      </c>
      <c r="L511" s="211">
        <f ca="1">SUMIFS('Data-Cashout'!$AI$3:$AI$3050,'Data-Cashout'!$E$3:$E$3050,'Mar20-Aug20 Transport Actuals'!$H$511,'Data-Cashout'!$A$3:$A$3050,'Mar20-Aug20 Transport Actuals'!L$385,'Data-Cashout'!$B$3:$B$3050,'Mar20-Aug20 Transport Actuals'!$C$511,'Data-Cashout'!$D$3:$D$3050,'Mar20-Aug20 Transport Actuals'!$F$511)</f>
        <v>0</v>
      </c>
      <c r="M511" s="211">
        <f ca="1">SUMIFS('Data-Cashout'!$AI$3:$AI$3050,'Data-Cashout'!$E$3:$E$3050,'Mar20-Aug20 Transport Actuals'!$H$511,'Data-Cashout'!$A$3:$A$3050,'Mar20-Aug20 Transport Actuals'!M$385,'Data-Cashout'!$B$3:$B$3050,'Mar20-Aug20 Transport Actuals'!$C$511,'Data-Cashout'!$D$3:$D$3050,'Mar20-Aug20 Transport Actuals'!$F$511)</f>
        <v>0</v>
      </c>
      <c r="N511" s="211">
        <f ca="1">SUMIFS('Data-Cashout'!$AI$3:$AI$3050,'Data-Cashout'!$E$3:$E$3050,'Mar20-Aug20 Transport Actuals'!$H$511,'Data-Cashout'!$A$3:$A$3050,'Mar20-Aug20 Transport Actuals'!N$385,'Data-Cashout'!$B$3:$B$3050,'Mar20-Aug20 Transport Actuals'!$C$511,'Data-Cashout'!$D$3:$D$3050,'Mar20-Aug20 Transport Actuals'!$F$511)</f>
        <v>0</v>
      </c>
      <c r="O511" s="211">
        <f ca="1">SUMIFS('Data-Cashout'!$AI$3:$AI$3050,'Data-Cashout'!$E$3:$E$3050,'Mar20-Aug20 Transport Actuals'!$H$511,'Data-Cashout'!$A$3:$A$3050,'Mar20-Aug20 Transport Actuals'!O$385,'Data-Cashout'!$B$3:$B$3050,'Mar20-Aug20 Transport Actuals'!$C$511,'Data-Cashout'!$D$3:$D$3050,'Mar20-Aug20 Transport Actuals'!$F$511)</f>
        <v>0</v>
      </c>
      <c r="P511" s="221">
        <f t="shared" ca="1" si="175"/>
        <v>0</v>
      </c>
    </row>
    <row r="512" spans="3:16" x14ac:dyDescent="0.25">
      <c r="C512" s="185" t="s">
        <v>30</v>
      </c>
      <c r="D512" s="185" t="str">
        <f t="shared" si="174"/>
        <v>881</v>
      </c>
      <c r="E512" s="183" t="str">
        <f>VLOOKUP($C512,'Retail Rates'!$B$7:$P$40,2,FALSE)</f>
        <v>CGS TS-2</v>
      </c>
      <c r="F512" s="185" t="s">
        <v>319</v>
      </c>
      <c r="G512" s="186" t="s">
        <v>165</v>
      </c>
      <c r="H512" s="183"/>
      <c r="I512" s="490">
        <f t="shared" ref="I512:O512" ca="1" si="179">+I510+I511</f>
        <v>0</v>
      </c>
      <c r="J512" s="214">
        <f t="shared" ca="1" si="179"/>
        <v>0</v>
      </c>
      <c r="K512" s="214">
        <f t="shared" ca="1" si="179"/>
        <v>0</v>
      </c>
      <c r="L512" s="214">
        <f t="shared" ca="1" si="179"/>
        <v>0</v>
      </c>
      <c r="M512" s="214">
        <f t="shared" ca="1" si="179"/>
        <v>0</v>
      </c>
      <c r="N512" s="214">
        <f t="shared" ca="1" si="179"/>
        <v>0</v>
      </c>
      <c r="O512" s="214">
        <f t="shared" ca="1" si="179"/>
        <v>0</v>
      </c>
      <c r="P512" s="221">
        <f t="shared" ca="1" si="175"/>
        <v>0</v>
      </c>
    </row>
    <row r="513" spans="3:16" x14ac:dyDescent="0.25">
      <c r="C513" s="185" t="s">
        <v>30</v>
      </c>
      <c r="D513" s="185" t="str">
        <f t="shared" si="174"/>
        <v>881</v>
      </c>
      <c r="E513" s="183" t="str">
        <f>VLOOKUP($C513,'Retail Rates'!$B$7:$P$40,2,FALSE)</f>
        <v>CGS TS-2</v>
      </c>
      <c r="F513" s="185" t="s">
        <v>319</v>
      </c>
      <c r="G513" s="191" t="s">
        <v>161</v>
      </c>
      <c r="H513" s="183"/>
      <c r="I513" s="493">
        <f t="shared" ref="I513:O513" si="180">ROUND(I495*I501,2)</f>
        <v>0</v>
      </c>
      <c r="J513" s="216">
        <f t="shared" si="180"/>
        <v>0</v>
      </c>
      <c r="K513" s="216">
        <f t="shared" si="180"/>
        <v>0</v>
      </c>
      <c r="L513" s="216">
        <f t="shared" si="180"/>
        <v>0</v>
      </c>
      <c r="M513" s="216">
        <f t="shared" si="180"/>
        <v>0</v>
      </c>
      <c r="N513" s="216">
        <f t="shared" si="180"/>
        <v>0</v>
      </c>
      <c r="O513" s="216">
        <f t="shared" si="180"/>
        <v>0</v>
      </c>
      <c r="P513" s="221">
        <f t="shared" si="175"/>
        <v>0</v>
      </c>
    </row>
    <row r="514" spans="3:16" x14ac:dyDescent="0.25">
      <c r="C514" s="185" t="s">
        <v>30</v>
      </c>
      <c r="D514" s="185" t="str">
        <f t="shared" si="174"/>
        <v>881</v>
      </c>
      <c r="E514" s="183" t="str">
        <f>VLOOKUP($C514,'Retail Rates'!$B$7:$P$40,2,FALSE)</f>
        <v>CGS TS-2</v>
      </c>
      <c r="F514" s="185" t="s">
        <v>319</v>
      </c>
      <c r="G514" s="186" t="s">
        <v>169</v>
      </c>
      <c r="H514" s="183"/>
      <c r="I514" s="490">
        <f t="shared" ref="I514:O514" ca="1" si="181">+I512+I513</f>
        <v>0</v>
      </c>
      <c r="J514" s="214">
        <f t="shared" ca="1" si="181"/>
        <v>0</v>
      </c>
      <c r="K514" s="214">
        <f t="shared" ca="1" si="181"/>
        <v>0</v>
      </c>
      <c r="L514" s="214">
        <f t="shared" ca="1" si="181"/>
        <v>0</v>
      </c>
      <c r="M514" s="214">
        <f t="shared" ca="1" si="181"/>
        <v>0</v>
      </c>
      <c r="N514" s="214">
        <f t="shared" ca="1" si="181"/>
        <v>0</v>
      </c>
      <c r="O514" s="214">
        <f t="shared" ca="1" si="181"/>
        <v>0</v>
      </c>
      <c r="P514" s="221">
        <f t="shared" ca="1" si="175"/>
        <v>0</v>
      </c>
    </row>
    <row r="515" spans="3:16" x14ac:dyDescent="0.25">
      <c r="C515" s="185"/>
      <c r="D515" s="185"/>
      <c r="E515" s="183"/>
      <c r="F515" s="185"/>
      <c r="G515" s="192"/>
      <c r="H515" s="183"/>
      <c r="I515" s="490"/>
      <c r="J515" s="214"/>
      <c r="K515" s="214"/>
      <c r="L515" s="214"/>
      <c r="M515" s="214"/>
      <c r="N515" s="214"/>
      <c r="O515" s="214"/>
      <c r="P515" s="183"/>
    </row>
    <row r="516" spans="3:16" x14ac:dyDescent="0.25">
      <c r="C516" s="185"/>
      <c r="D516" s="185"/>
      <c r="E516" s="183"/>
      <c r="F516" s="185"/>
      <c r="G516" s="193"/>
      <c r="H516" s="183"/>
      <c r="I516" s="490"/>
      <c r="J516" s="214"/>
      <c r="K516" s="214"/>
      <c r="L516" s="214"/>
      <c r="M516" s="214"/>
      <c r="N516" s="214"/>
      <c r="O516" s="214"/>
      <c r="P516" s="183"/>
    </row>
    <row r="517" spans="3:16" x14ac:dyDescent="0.25">
      <c r="C517" s="185"/>
      <c r="D517" s="185"/>
      <c r="E517" s="183"/>
      <c r="F517" s="185" t="s">
        <v>460</v>
      </c>
      <c r="G517" s="189" t="s">
        <v>274</v>
      </c>
      <c r="H517" s="183"/>
      <c r="I517" s="490">
        <f>SUMIFS('Bruise Report-Cashouts'!$C$5:$C$64,'Bruise Report-Cashouts'!$A$5:$A$64,'Mar20-Aug20 Transport Actuals'!I$385,'Bruise Report-Cashouts'!$B$5:$B$64,'Mar20-Aug20 Transport Actuals'!$F$517)</f>
        <v>0</v>
      </c>
      <c r="J517" s="490">
        <f>SUMIFS('Bruise Report-Cashouts'!$C$5:$C$64,'Bruise Report-Cashouts'!$A$5:$A$64,'Mar20-Aug20 Transport Actuals'!J$385,'Bruise Report-Cashouts'!$B$5:$B$64,'Mar20-Aug20 Transport Actuals'!$F$517)</f>
        <v>0</v>
      </c>
      <c r="K517" s="490">
        <f>SUMIFS('Bruise Report-Cashouts'!$C$5:$C$64,'Bruise Report-Cashouts'!$A$5:$A$64,'Mar20-Aug20 Transport Actuals'!K$385,'Bruise Report-Cashouts'!$B$5:$B$64,'Mar20-Aug20 Transport Actuals'!$F$517)</f>
        <v>0</v>
      </c>
      <c r="L517" s="490">
        <f>SUMIFS('Bruise Report-Cashouts'!$C$5:$C$64,'Bruise Report-Cashouts'!$A$5:$A$64,'Mar20-Aug20 Transport Actuals'!L$385,'Bruise Report-Cashouts'!$B$5:$B$64,'Mar20-Aug20 Transport Actuals'!$F$517)</f>
        <v>0</v>
      </c>
      <c r="M517" s="490">
        <f>SUMIFS('Bruise Report-Cashouts'!$C$5:$C$64,'Bruise Report-Cashouts'!$A$5:$A$64,'Mar20-Aug20 Transport Actuals'!M$385,'Bruise Report-Cashouts'!$B$5:$B$64,'Mar20-Aug20 Transport Actuals'!$F$517)</f>
        <v>0</v>
      </c>
      <c r="N517" s="490">
        <f>SUMIFS('Bruise Report-Cashouts'!$C$5:$C$64,'Bruise Report-Cashouts'!$A$5:$A$64,'Mar20-Aug20 Transport Actuals'!N$385,'Bruise Report-Cashouts'!$B$5:$B$64,'Mar20-Aug20 Transport Actuals'!$F$517)</f>
        <v>0</v>
      </c>
      <c r="O517" s="490">
        <f>SUMIFS('Bruise Report-Cashouts'!$C$5:$C$64,'Bruise Report-Cashouts'!$A$5:$A$64,'Mar20-Aug20 Transport Actuals'!O$385,'Bruise Report-Cashouts'!$B$5:$B$64,'Mar20-Aug20 Transport Actuals'!$F$517)</f>
        <v>0</v>
      </c>
      <c r="P517" s="221">
        <f>SUM(I517:L517)</f>
        <v>0</v>
      </c>
    </row>
    <row r="518" spans="3:16" x14ac:dyDescent="0.25">
      <c r="C518" s="185"/>
      <c r="D518" s="185"/>
      <c r="E518" s="183"/>
      <c r="F518" s="185"/>
      <c r="G518" s="183"/>
      <c r="H518" s="183"/>
      <c r="I518" s="490"/>
      <c r="J518" s="214"/>
      <c r="K518" s="214"/>
      <c r="L518" s="214"/>
      <c r="M518" s="214"/>
      <c r="N518" s="214"/>
      <c r="O518" s="214"/>
      <c r="P518" s="214"/>
    </row>
    <row r="519" spans="3:16" x14ac:dyDescent="0.25">
      <c r="C519" s="185"/>
      <c r="D519" s="185"/>
      <c r="E519" s="183"/>
      <c r="F519" s="185"/>
      <c r="G519" s="189" t="s">
        <v>152</v>
      </c>
      <c r="H519" s="183"/>
      <c r="I519" s="490">
        <f t="shared" ref="I519:O519" ca="1" si="182">+I510-I517</f>
        <v>0</v>
      </c>
      <c r="J519" s="214">
        <f t="shared" ca="1" si="182"/>
        <v>0</v>
      </c>
      <c r="K519" s="214">
        <f t="shared" ca="1" si="182"/>
        <v>0</v>
      </c>
      <c r="L519" s="214">
        <f t="shared" ca="1" si="182"/>
        <v>0</v>
      </c>
      <c r="M519" s="214">
        <f t="shared" ca="1" si="182"/>
        <v>0</v>
      </c>
      <c r="N519" s="214">
        <f t="shared" ca="1" si="182"/>
        <v>0</v>
      </c>
      <c r="O519" s="214">
        <f t="shared" ca="1" si="182"/>
        <v>0</v>
      </c>
      <c r="P519" s="214">
        <f ca="1">SUM(I519:L519)</f>
        <v>0</v>
      </c>
    </row>
    <row r="520" spans="3:16" x14ac:dyDescent="0.25">
      <c r="C520" s="185"/>
      <c r="D520" s="185"/>
      <c r="E520" s="183"/>
      <c r="F520" s="183"/>
      <c r="G520" s="183"/>
      <c r="H520" s="183"/>
      <c r="I520" s="485"/>
      <c r="J520" s="183"/>
      <c r="K520" s="183"/>
      <c r="L520" s="183"/>
      <c r="M520" s="183"/>
      <c r="N520" s="183"/>
      <c r="O520" s="183"/>
      <c r="P520" s="214"/>
    </row>
    <row r="521" spans="3:16" x14ac:dyDescent="0.25">
      <c r="C521" s="183"/>
      <c r="D521" s="183"/>
      <c r="E521" s="183"/>
      <c r="F521" s="183"/>
      <c r="G521" s="184" t="s">
        <v>368</v>
      </c>
      <c r="H521" s="183"/>
      <c r="I521" s="504" t="s">
        <v>641</v>
      </c>
      <c r="J521" s="504"/>
      <c r="K521" s="504"/>
      <c r="L521" s="183"/>
      <c r="M521" s="183"/>
      <c r="N521" s="183"/>
      <c r="O521" s="183"/>
      <c r="P521" s="183"/>
    </row>
    <row r="522" spans="3:16" x14ac:dyDescent="0.25">
      <c r="C522" s="185" t="s">
        <v>30</v>
      </c>
      <c r="D522" s="185" t="str">
        <f t="shared" ref="D522:D537" si="183">MID(C522,6,3)</f>
        <v>881</v>
      </c>
      <c r="E522" s="183" t="str">
        <f>VLOOKUP($C522,'Retail Rates'!$B$7:$P$40,2,FALSE)</f>
        <v>CGS TS-2</v>
      </c>
      <c r="F522" s="185" t="s">
        <v>318</v>
      </c>
      <c r="G522" s="186" t="s">
        <v>157</v>
      </c>
      <c r="H522" s="183"/>
      <c r="I522" s="183">
        <f>I532/I527</f>
        <v>0</v>
      </c>
      <c r="J522" s="183">
        <f t="shared" ref="J522:O522" si="184">J532/J527</f>
        <v>0</v>
      </c>
      <c r="K522" s="183">
        <f t="shared" si="184"/>
        <v>0</v>
      </c>
      <c r="L522" s="183">
        <f t="shared" si="184"/>
        <v>0</v>
      </c>
      <c r="M522" s="183">
        <f t="shared" si="184"/>
        <v>0</v>
      </c>
      <c r="N522" s="183">
        <f t="shared" si="184"/>
        <v>0</v>
      </c>
      <c r="O522" s="183">
        <f t="shared" si="184"/>
        <v>0</v>
      </c>
      <c r="P522" s="221">
        <f>SUM(I522:L522)</f>
        <v>0</v>
      </c>
    </row>
    <row r="523" spans="3:16" x14ac:dyDescent="0.25">
      <c r="C523" s="185" t="s">
        <v>30</v>
      </c>
      <c r="D523" s="185" t="str">
        <f t="shared" si="183"/>
        <v>881</v>
      </c>
      <c r="E523" s="183" t="str">
        <f>VLOOKUP($C523,'Retail Rates'!$B$7:$P$40,2,FALSE)</f>
        <v>CGS TS-2</v>
      </c>
      <c r="F523" s="185" t="s">
        <v>318</v>
      </c>
      <c r="G523" s="186" t="s">
        <v>244</v>
      </c>
      <c r="H523" s="183"/>
      <c r="I523" s="183">
        <f>IF(I525=0,I525,IF(I525&gt;=(I522*100),(I522*100),I525))</f>
        <v>0</v>
      </c>
      <c r="J523" s="183">
        <f t="shared" ref="J523:O523" si="185">IF(J525=0,J525,IF(J525&gt;=(J522*100),(J522*100),J525))</f>
        <v>0</v>
      </c>
      <c r="K523" s="183">
        <f t="shared" si="185"/>
        <v>0</v>
      </c>
      <c r="L523" s="183">
        <f t="shared" si="185"/>
        <v>0</v>
      </c>
      <c r="M523" s="183">
        <f t="shared" si="185"/>
        <v>0</v>
      </c>
      <c r="N523" s="183">
        <f t="shared" si="185"/>
        <v>0</v>
      </c>
      <c r="O523" s="183">
        <f t="shared" si="185"/>
        <v>0</v>
      </c>
      <c r="P523" s="221">
        <f>SUM(I523:L523)</f>
        <v>0</v>
      </c>
    </row>
    <row r="524" spans="3:16" x14ac:dyDescent="0.25">
      <c r="C524" s="185" t="s">
        <v>30</v>
      </c>
      <c r="D524" s="185" t="str">
        <f t="shared" si="183"/>
        <v>881</v>
      </c>
      <c r="E524" s="183" t="str">
        <f>VLOOKUP($C524,'Retail Rates'!$B$7:$P$40,2,FALSE)</f>
        <v>CGS TS-2</v>
      </c>
      <c r="F524" s="185" t="s">
        <v>318</v>
      </c>
      <c r="G524" s="186" t="s">
        <v>245</v>
      </c>
      <c r="H524" s="183"/>
      <c r="I524" s="183">
        <f>+I525-I523</f>
        <v>0</v>
      </c>
      <c r="J524" s="183">
        <f t="shared" ref="J524:O524" si="186">+J525-J523</f>
        <v>0</v>
      </c>
      <c r="K524" s="183">
        <f t="shared" si="186"/>
        <v>0</v>
      </c>
      <c r="L524" s="183">
        <f t="shared" si="186"/>
        <v>0</v>
      </c>
      <c r="M524" s="183">
        <f t="shared" si="186"/>
        <v>0</v>
      </c>
      <c r="N524" s="183">
        <f t="shared" si="186"/>
        <v>0</v>
      </c>
      <c r="O524" s="183">
        <f t="shared" si="186"/>
        <v>0</v>
      </c>
      <c r="P524" s="221">
        <f>SUM(I524:L524)</f>
        <v>0</v>
      </c>
    </row>
    <row r="525" spans="3:16" x14ac:dyDescent="0.25">
      <c r="C525" s="185" t="s">
        <v>30</v>
      </c>
      <c r="D525" s="185" t="str">
        <f t="shared" si="183"/>
        <v>881</v>
      </c>
      <c r="E525" s="183" t="str">
        <f>VLOOKUP($C525,'Retail Rates'!$B$7:$P$40,2,FALSE)</f>
        <v>CGS TS-2</v>
      </c>
      <c r="F525" s="185" t="s">
        <v>318</v>
      </c>
      <c r="G525" s="186" t="s">
        <v>246</v>
      </c>
      <c r="H525" s="156" t="s">
        <v>265</v>
      </c>
      <c r="I525" s="482">
        <f>SUMIFS('Data-Cashout'!$H$1:$H$3100,'Data-Cashout'!$A$1:$A$3100,'Mar20-Aug20 Transport Actuals'!I$385,'Data-Cashout'!$B$1:$B$3100,'Mar20-Aug20 Transport Actuals'!$C$525,'Data-Cashout'!$D$1:$D$3100,'Mar20-Aug20 Transport Actuals'!$F$525,'Data-Cashout'!$E$1:$E$3100,'Mar20-Aug20 Transport Actuals'!$H$525,'Data-Cashout'!$F$1:$F$3100,'Mar20-Aug20 Transport Actuals'!I$388)</f>
        <v>0</v>
      </c>
      <c r="J525" s="482">
        <f>SUMIFS('Data-Cashout'!$H$1:$H$3100,'Data-Cashout'!$A$1:$A$3100,'Mar20-Aug20 Transport Actuals'!J$385,'Data-Cashout'!$B$1:$B$3100,'Mar20-Aug20 Transport Actuals'!$C$525,'Data-Cashout'!$D$1:$D$3100,'Mar20-Aug20 Transport Actuals'!$F$525,'Data-Cashout'!$E$1:$E$3100,'Mar20-Aug20 Transport Actuals'!$H$525,'Data-Cashout'!$F$1:$F$3100,'Mar20-Aug20 Transport Actuals'!J$388)</f>
        <v>0</v>
      </c>
      <c r="K525" s="482">
        <f>SUMIFS('Data-Cashout'!$H$1:$H$3100,'Data-Cashout'!$A$1:$A$3100,'Mar20-Aug20 Transport Actuals'!K$385,'Data-Cashout'!$B$1:$B$3100,'Mar20-Aug20 Transport Actuals'!$C$525,'Data-Cashout'!$D$1:$D$3100,'Mar20-Aug20 Transport Actuals'!$F$525,'Data-Cashout'!$E$1:$E$3100,'Mar20-Aug20 Transport Actuals'!$H$525,'Data-Cashout'!$F$1:$F$3100,'Mar20-Aug20 Transport Actuals'!K$388)</f>
        <v>0</v>
      </c>
      <c r="L525" s="482">
        <f>SUMIFS('Data-Cashout'!$H$1:$H$3100,'Data-Cashout'!$A$1:$A$3100,'Mar20-Aug20 Transport Actuals'!L$385,'Data-Cashout'!$B$1:$B$3100,'Mar20-Aug20 Transport Actuals'!$C$525,'Data-Cashout'!$D$1:$D$3100,'Mar20-Aug20 Transport Actuals'!$F$525,'Data-Cashout'!$E$1:$E$3100,'Mar20-Aug20 Transport Actuals'!$H$525,'Data-Cashout'!$F$1:$F$3100,'Mar20-Aug20 Transport Actuals'!L$388)</f>
        <v>0</v>
      </c>
      <c r="M525" s="482">
        <f>SUMIFS('Data-Cashout'!$H$1:$H$3100,'Data-Cashout'!$A$1:$A$3100,'Mar20-Aug20 Transport Actuals'!M$385,'Data-Cashout'!$B$1:$B$3100,'Mar20-Aug20 Transport Actuals'!$C$525,'Data-Cashout'!$D$1:$D$3100,'Mar20-Aug20 Transport Actuals'!$F$525,'Data-Cashout'!$E$1:$E$3100,'Mar20-Aug20 Transport Actuals'!$H$525,'Data-Cashout'!$F$1:$F$3100,'Mar20-Aug20 Transport Actuals'!M$388)</f>
        <v>0</v>
      </c>
      <c r="N525" s="482">
        <f>SUMIFS('Data-Cashout'!$H$1:$H$3100,'Data-Cashout'!$A$1:$A$3100,'Mar20-Aug20 Transport Actuals'!N$385,'Data-Cashout'!$B$1:$B$3100,'Mar20-Aug20 Transport Actuals'!$C$525,'Data-Cashout'!$D$1:$D$3100,'Mar20-Aug20 Transport Actuals'!$F$525,'Data-Cashout'!$E$1:$E$3100,'Mar20-Aug20 Transport Actuals'!$H$525,'Data-Cashout'!$F$1:$F$3100,'Mar20-Aug20 Transport Actuals'!N$388)</f>
        <v>0</v>
      </c>
      <c r="O525" s="482">
        <f>SUMIFS('Data-Cashout'!$H$1:$H$3100,'Data-Cashout'!$A$1:$A$3100,'Mar20-Aug20 Transport Actuals'!O$385,'Data-Cashout'!$B$1:$B$3100,'Mar20-Aug20 Transport Actuals'!$C$525,'Data-Cashout'!$D$1:$D$3100,'Mar20-Aug20 Transport Actuals'!$F$525,'Data-Cashout'!$E$1:$E$3100,'Mar20-Aug20 Transport Actuals'!$H$525,'Data-Cashout'!$F$1:$F$3100,'Mar20-Aug20 Transport Actuals'!O$388)</f>
        <v>0</v>
      </c>
      <c r="P525" s="221">
        <f>SUM(I525:L525)</f>
        <v>0</v>
      </c>
    </row>
    <row r="526" spans="3:16" x14ac:dyDescent="0.25">
      <c r="C526" s="185" t="s">
        <v>30</v>
      </c>
      <c r="D526" s="185" t="str">
        <f t="shared" si="183"/>
        <v>881</v>
      </c>
      <c r="E526" s="183" t="str">
        <f>VLOOKUP($C526,'Retail Rates'!$B$7:$P$40,2,FALSE)</f>
        <v>CGS TS-2</v>
      </c>
      <c r="F526" s="185" t="s">
        <v>318</v>
      </c>
      <c r="G526" s="187"/>
      <c r="H526" s="183"/>
      <c r="I526" s="183"/>
      <c r="J526" s="183"/>
      <c r="K526" s="183"/>
      <c r="L526" s="183"/>
      <c r="M526" s="183"/>
      <c r="N526" s="183"/>
      <c r="O526" s="183"/>
      <c r="P526" s="183"/>
    </row>
    <row r="527" spans="3:16" x14ac:dyDescent="0.25">
      <c r="C527" s="185" t="s">
        <v>30</v>
      </c>
      <c r="D527" s="185" t="str">
        <f t="shared" si="183"/>
        <v>881</v>
      </c>
      <c r="E527" s="183" t="str">
        <f>VLOOKUP($C527,'Retail Rates'!$B$7:$P$40,2,FALSE)</f>
        <v>CGS TS-2</v>
      </c>
      <c r="F527" s="185" t="s">
        <v>318</v>
      </c>
      <c r="G527" s="186" t="s">
        <v>291</v>
      </c>
      <c r="H527" s="183"/>
      <c r="I527" s="183">
        <f>VLOOKUP($C527,'Retail Rates'!$B$7:$P$40,4,FALSE)</f>
        <v>1.97</v>
      </c>
      <c r="J527" s="183">
        <f>VLOOKUP($C527,'Retail Rates'!$B$7:$P$40,4,FALSE)</f>
        <v>1.97</v>
      </c>
      <c r="K527" s="183">
        <f>VLOOKUP($C527,'Retail Rates'!$B$7:$P$40,4,FALSE)</f>
        <v>1.97</v>
      </c>
      <c r="L527" s="183">
        <f>VLOOKUP($C527,'Retail Rates'!$B$7:$P$40,4,FALSE)</f>
        <v>1.97</v>
      </c>
      <c r="M527" s="183">
        <f>VLOOKUP($C527,'Retail Rates'!$B$7:$P$40,4,FALSE)</f>
        <v>1.97</v>
      </c>
      <c r="N527" s="183">
        <f>VLOOKUP($C527,'Retail Rates'!$B$7:$P$40,4,FALSE)</f>
        <v>1.97</v>
      </c>
      <c r="O527" s="183">
        <f>VLOOKUP($C527,'Retail Rates'!$B$7:$P$40,4,FALSE)</f>
        <v>1.97</v>
      </c>
      <c r="P527" s="183"/>
    </row>
    <row r="528" spans="3:16" x14ac:dyDescent="0.25">
      <c r="C528" s="185" t="s">
        <v>30</v>
      </c>
      <c r="D528" s="185" t="str">
        <f t="shared" si="183"/>
        <v>881</v>
      </c>
      <c r="E528" s="183" t="str">
        <f>VLOOKUP($C528,'Retail Rates'!$B$7:$P$40,2,FALSE)</f>
        <v>CGS TS-2</v>
      </c>
      <c r="F528" s="185" t="s">
        <v>318</v>
      </c>
      <c r="G528" s="186" t="s">
        <v>247</v>
      </c>
      <c r="H528" s="183"/>
      <c r="I528" s="183">
        <f>VLOOKUP($C528,'Retail Rates'!$B$7:$P$40,11,FALSE)</f>
        <v>2.5669999999999997</v>
      </c>
      <c r="J528" s="183">
        <f>VLOOKUP($C528,'Retail Rates'!$B$7:$P$40,11,FALSE)</f>
        <v>2.5669999999999997</v>
      </c>
      <c r="K528" s="183">
        <f>VLOOKUP($C528,'Retail Rates'!$B$7:$P$40,11,FALSE)</f>
        <v>2.5669999999999997</v>
      </c>
      <c r="L528" s="183">
        <f>VLOOKUP($C528,'Retail Rates'!$B$7:$P$40,11,FALSE)</f>
        <v>2.5669999999999997</v>
      </c>
      <c r="M528" s="183">
        <f>VLOOKUP($C528,'Retail Rates'!$B$7:$P$40,11,FALSE)</f>
        <v>2.5669999999999997</v>
      </c>
      <c r="N528" s="183">
        <f>VLOOKUP($C528,'Retail Rates'!$B$7:$P$40,11,FALSE)</f>
        <v>2.5669999999999997</v>
      </c>
      <c r="O528" s="183">
        <f>VLOOKUP($C528,'Retail Rates'!$B$7:$P$40,11,FALSE)</f>
        <v>2.5669999999999997</v>
      </c>
      <c r="P528" s="183"/>
    </row>
    <row r="529" spans="3:16" x14ac:dyDescent="0.25">
      <c r="C529" s="185" t="s">
        <v>30</v>
      </c>
      <c r="D529" s="185" t="str">
        <f t="shared" si="183"/>
        <v>881</v>
      </c>
      <c r="E529" s="183" t="str">
        <f>VLOOKUP($C529,'Retail Rates'!$B$7:$P$40,2,FALSE)</f>
        <v>CGS TS-2</v>
      </c>
      <c r="F529" s="185" t="s">
        <v>318</v>
      </c>
      <c r="G529" s="186" t="s">
        <v>248</v>
      </c>
      <c r="H529" s="183"/>
      <c r="I529" s="183">
        <f>+I528</f>
        <v>2.5669999999999997</v>
      </c>
      <c r="J529" s="183">
        <f t="shared" ref="J529:O529" si="187">+J528</f>
        <v>2.5669999999999997</v>
      </c>
      <c r="K529" s="183">
        <f t="shared" si="187"/>
        <v>2.5669999999999997</v>
      </c>
      <c r="L529" s="183">
        <f t="shared" si="187"/>
        <v>2.5669999999999997</v>
      </c>
      <c r="M529" s="183">
        <f t="shared" si="187"/>
        <v>2.5669999999999997</v>
      </c>
      <c r="N529" s="183">
        <f t="shared" si="187"/>
        <v>2.5669999999999997</v>
      </c>
      <c r="O529" s="183">
        <f t="shared" si="187"/>
        <v>2.5669999999999997</v>
      </c>
      <c r="P529" s="183"/>
    </row>
    <row r="530" spans="3:16" x14ac:dyDescent="0.25">
      <c r="C530" s="185"/>
      <c r="D530" s="185"/>
      <c r="E530" s="183"/>
      <c r="F530" s="185"/>
      <c r="G530" s="186"/>
      <c r="H530" s="183"/>
      <c r="I530" s="183"/>
      <c r="J530" s="183"/>
      <c r="K530" s="183"/>
      <c r="L530" s="183"/>
      <c r="M530" s="183"/>
      <c r="N530" s="183"/>
      <c r="O530" s="183"/>
      <c r="P530" s="183"/>
    </row>
    <row r="531" spans="3:16" x14ac:dyDescent="0.25">
      <c r="C531" s="185" t="s">
        <v>30</v>
      </c>
      <c r="D531" s="185" t="str">
        <f t="shared" si="183"/>
        <v>881</v>
      </c>
      <c r="E531" s="183" t="str">
        <f>VLOOKUP($C531,'Retail Rates'!$B$7:$P$40,2,FALSE)</f>
        <v>CGS TS-2</v>
      </c>
      <c r="F531" s="185" t="s">
        <v>318</v>
      </c>
      <c r="G531" s="188" t="s">
        <v>162</v>
      </c>
      <c r="H531" s="183"/>
      <c r="I531" s="183"/>
      <c r="J531" s="183"/>
      <c r="K531" s="183"/>
      <c r="L531" s="183"/>
      <c r="M531" s="183"/>
      <c r="N531" s="183"/>
      <c r="O531" s="183"/>
      <c r="P531" s="183"/>
    </row>
    <row r="532" spans="3:16" x14ac:dyDescent="0.25">
      <c r="C532" s="185" t="s">
        <v>30</v>
      </c>
      <c r="D532" s="185" t="str">
        <f t="shared" si="183"/>
        <v>881</v>
      </c>
      <c r="E532" s="183" t="str">
        <f>VLOOKUP($C532,'Retail Rates'!$B$7:$P$40,2,FALSE)</f>
        <v>CGS TS-2</v>
      </c>
      <c r="F532" s="185" t="s">
        <v>318</v>
      </c>
      <c r="G532" s="189" t="s">
        <v>89</v>
      </c>
      <c r="H532" s="156" t="s">
        <v>272</v>
      </c>
      <c r="I532" s="482">
        <f>SUMIFS('Data-Transport'!$K$4:$K$10000,'Data-Transport'!$A$4:$A$10000,I$385,'Data-Transport'!$B$4:$B$10000,$C532,'Data-Transport'!$D$4:$D$10000,$F532,'Data-Transport'!$E$4:$E$10000,$H532)</f>
        <v>0</v>
      </c>
      <c r="J532" s="482">
        <f>SUMIFS('Data-Transport'!$K$4:$K$10000,'Data-Transport'!$A$4:$A$10000,J$385,'Data-Transport'!$B$4:$B$10000,$C532,'Data-Transport'!$D$4:$D$10000,$F532,'Data-Transport'!$E$4:$E$10000,$H532)</f>
        <v>0</v>
      </c>
      <c r="K532" s="482">
        <f>SUMIFS('Data-Transport'!$K$4:$K$10000,'Data-Transport'!$A$4:$A$10000,K$385,'Data-Transport'!$B$4:$B$10000,$C532,'Data-Transport'!$D$4:$D$10000,$F532,'Data-Transport'!$E$4:$E$10000,$H532)</f>
        <v>0</v>
      </c>
      <c r="L532" s="482">
        <f>SUMIFS('Data-Transport'!$K$4:$K$10000,'Data-Transport'!$A$4:$A$10000,L$385,'Data-Transport'!$B$4:$B$10000,$C532,'Data-Transport'!$D$4:$D$10000,$F532,'Data-Transport'!$E$4:$E$10000,$H532)</f>
        <v>0</v>
      </c>
      <c r="M532" s="482">
        <f>SUMIFS('Data-Transport'!$K$4:$K$10000,'Data-Transport'!$A$4:$A$10000,M$385,'Data-Transport'!$B$4:$B$10000,$C532,'Data-Transport'!$D$4:$D$10000,$F532,'Data-Transport'!$E$4:$E$10000,$H532)</f>
        <v>0</v>
      </c>
      <c r="N532" s="482">
        <f>SUMIFS('Data-Transport'!$K$4:$K$10000,'Data-Transport'!$A$4:$A$10000,N$385,'Data-Transport'!$B$4:$B$10000,$C532,'Data-Transport'!$D$4:$D$10000,$F532,'Data-Transport'!$E$4:$E$10000,$H532)</f>
        <v>0</v>
      </c>
      <c r="O532" s="482">
        <f>SUMIFS('Data-Transport'!$K$4:$K$10000,'Data-Transport'!$A$4:$A$10000,O$385,'Data-Transport'!$B$4:$B$10000,$C532,'Data-Transport'!$D$4:$D$10000,$F532,'Data-Transport'!$E$4:$E$10000,$H532)</f>
        <v>0</v>
      </c>
      <c r="P532" s="221">
        <f t="shared" ref="P532:P537" si="188">SUM(I532:L532)</f>
        <v>0</v>
      </c>
    </row>
    <row r="533" spans="3:16" x14ac:dyDescent="0.25">
      <c r="C533" s="185" t="s">
        <v>30</v>
      </c>
      <c r="D533" s="185" t="str">
        <f t="shared" si="183"/>
        <v>881</v>
      </c>
      <c r="E533" s="183" t="str">
        <f>VLOOKUP($C533,'Retail Rates'!$B$7:$P$40,2,FALSE)</f>
        <v>CGS TS-2</v>
      </c>
      <c r="F533" s="185" t="s">
        <v>318</v>
      </c>
      <c r="G533" s="186" t="s">
        <v>249</v>
      </c>
      <c r="H533" s="183"/>
      <c r="I533" s="183">
        <f>ROUND(+I523*I528,2)</f>
        <v>0</v>
      </c>
      <c r="J533" s="183">
        <f t="shared" ref="J533:O533" si="189">ROUND(+J523*J528,2)</f>
        <v>0</v>
      </c>
      <c r="K533" s="183">
        <f t="shared" si="189"/>
        <v>0</v>
      </c>
      <c r="L533" s="183">
        <f t="shared" si="189"/>
        <v>0</v>
      </c>
      <c r="M533" s="183">
        <f t="shared" si="189"/>
        <v>0</v>
      </c>
      <c r="N533" s="183">
        <f t="shared" si="189"/>
        <v>0</v>
      </c>
      <c r="O533" s="183">
        <f t="shared" si="189"/>
        <v>0</v>
      </c>
      <c r="P533" s="221">
        <f t="shared" si="188"/>
        <v>0</v>
      </c>
    </row>
    <row r="534" spans="3:16" x14ac:dyDescent="0.25">
      <c r="C534" s="185" t="s">
        <v>30</v>
      </c>
      <c r="D534" s="185" t="str">
        <f t="shared" si="183"/>
        <v>881</v>
      </c>
      <c r="E534" s="183" t="str">
        <f>VLOOKUP($C534,'Retail Rates'!$B$7:$P$40,2,FALSE)</f>
        <v>CGS TS-2</v>
      </c>
      <c r="F534" s="185" t="s">
        <v>318</v>
      </c>
      <c r="G534" s="186" t="s">
        <v>250</v>
      </c>
      <c r="H534" s="183"/>
      <c r="I534" s="218">
        <f>ROUND(+I524*I529,2)</f>
        <v>0</v>
      </c>
      <c r="J534" s="218">
        <f t="shared" ref="J534:O534" si="190">ROUND(+J524*J529,2)</f>
        <v>0</v>
      </c>
      <c r="K534" s="218">
        <f t="shared" si="190"/>
        <v>0</v>
      </c>
      <c r="L534" s="218">
        <f t="shared" si="190"/>
        <v>0</v>
      </c>
      <c r="M534" s="218">
        <f t="shared" si="190"/>
        <v>0</v>
      </c>
      <c r="N534" s="218">
        <f t="shared" si="190"/>
        <v>0</v>
      </c>
      <c r="O534" s="218">
        <f t="shared" si="190"/>
        <v>0</v>
      </c>
      <c r="P534" s="221">
        <f t="shared" si="188"/>
        <v>0</v>
      </c>
    </row>
    <row r="535" spans="3:16" x14ac:dyDescent="0.25">
      <c r="C535" s="185" t="s">
        <v>30</v>
      </c>
      <c r="D535" s="185" t="str">
        <f>MID(C535,6,3)</f>
        <v>881</v>
      </c>
      <c r="E535" s="183" t="str">
        <f>VLOOKUP($C535,'Retail Rates'!$B$7:$P$40,2,FALSE)</f>
        <v>CGS TS-2</v>
      </c>
      <c r="F535" s="185" t="s">
        <v>318</v>
      </c>
      <c r="G535" s="186" t="s">
        <v>171</v>
      </c>
      <c r="H535" s="156" t="s">
        <v>327</v>
      </c>
      <c r="I535" s="482">
        <f>SUMIFS('Data-Cashout'!$P$1:$P$3100,'Data-Cashout'!$A$1:$A$3100,'Mar20-Aug20 Transport Actuals'!I$385,'Data-Cashout'!$B$1:$B$3100,'Mar20-Aug20 Transport Actuals'!$C$535,'Data-Cashout'!$D$1:$D$3100,'Mar20-Aug20 Transport Actuals'!$F$535,'Data-Cashout'!$E$1:$E$3100,'Mar20-Aug20 Transport Actuals'!$H$535)</f>
        <v>0</v>
      </c>
      <c r="J535" s="482">
        <f>SUMIFS('Data-Cashout'!$P$1:$P$3100,'Data-Cashout'!$A$1:$A$3100,'Mar20-Aug20 Transport Actuals'!J$385,'Data-Cashout'!$B$1:$B$3100,'Mar20-Aug20 Transport Actuals'!$C$535,'Data-Cashout'!$D$1:$D$3100,'Mar20-Aug20 Transport Actuals'!$F$535,'Data-Cashout'!$E$1:$E$3100,'Mar20-Aug20 Transport Actuals'!$H$535)</f>
        <v>0</v>
      </c>
      <c r="K535" s="482">
        <f>SUMIFS('Data-Cashout'!$P$1:$P$3100,'Data-Cashout'!$A$1:$A$3100,'Mar20-Aug20 Transport Actuals'!K$385,'Data-Cashout'!$B$1:$B$3100,'Mar20-Aug20 Transport Actuals'!$C$535,'Data-Cashout'!$D$1:$D$3100,'Mar20-Aug20 Transport Actuals'!$F$535,'Data-Cashout'!$E$1:$E$3100,'Mar20-Aug20 Transport Actuals'!$H$535)</f>
        <v>0</v>
      </c>
      <c r="L535" s="482">
        <f>SUMIFS('Data-Cashout'!$P$1:$P$3100,'Data-Cashout'!$A$1:$A$3100,'Mar20-Aug20 Transport Actuals'!L$385,'Data-Cashout'!$B$1:$B$3100,'Mar20-Aug20 Transport Actuals'!$C$535,'Data-Cashout'!$D$1:$D$3100,'Mar20-Aug20 Transport Actuals'!$F$535,'Data-Cashout'!$E$1:$E$3100,'Mar20-Aug20 Transport Actuals'!$H$535)</f>
        <v>0</v>
      </c>
      <c r="M535" s="482">
        <f>SUMIFS('Data-Cashout'!$P$1:$P$3100,'Data-Cashout'!$A$1:$A$3100,'Mar20-Aug20 Transport Actuals'!M$385,'Data-Cashout'!$B$1:$B$3100,'Mar20-Aug20 Transport Actuals'!$C$535,'Data-Cashout'!$D$1:$D$3100,'Mar20-Aug20 Transport Actuals'!$F$535,'Data-Cashout'!$E$1:$E$3100,'Mar20-Aug20 Transport Actuals'!$H$535)</f>
        <v>0</v>
      </c>
      <c r="N535" s="482">
        <f>SUMIFS('Data-Cashout'!$P$1:$P$3100,'Data-Cashout'!$A$1:$A$3100,'Mar20-Aug20 Transport Actuals'!N$385,'Data-Cashout'!$B$1:$B$3100,'Mar20-Aug20 Transport Actuals'!$C$535,'Data-Cashout'!$D$1:$D$3100,'Mar20-Aug20 Transport Actuals'!$F$535,'Data-Cashout'!$E$1:$E$3100,'Mar20-Aug20 Transport Actuals'!$H$535)</f>
        <v>0</v>
      </c>
      <c r="O535" s="482">
        <f>SUMIFS('Data-Cashout'!$P$1:$P$3100,'Data-Cashout'!$A$1:$A$3100,'Mar20-Aug20 Transport Actuals'!O$385,'Data-Cashout'!$B$1:$B$3100,'Mar20-Aug20 Transport Actuals'!$C$535,'Data-Cashout'!$D$1:$D$3100,'Mar20-Aug20 Transport Actuals'!$F$535,'Data-Cashout'!$E$1:$E$3100,'Mar20-Aug20 Transport Actuals'!$H$535)</f>
        <v>0</v>
      </c>
      <c r="P535" s="221">
        <f t="shared" si="188"/>
        <v>0</v>
      </c>
    </row>
    <row r="536" spans="3:16" x14ac:dyDescent="0.25">
      <c r="C536" s="185" t="s">
        <v>30</v>
      </c>
      <c r="D536" s="185" t="str">
        <f t="shared" si="183"/>
        <v>881</v>
      </c>
      <c r="E536" s="183" t="str">
        <f>VLOOKUP($C536,'Retail Rates'!$B$7:$P$40,2,FALSE)</f>
        <v>CGS TS-2</v>
      </c>
      <c r="F536" s="185" t="s">
        <v>318</v>
      </c>
      <c r="G536" s="186" t="s">
        <v>107</v>
      </c>
      <c r="H536" s="156" t="s">
        <v>269</v>
      </c>
      <c r="I536" s="482">
        <f>SUMIFS('Data-Cashout'!$N$1:$N$3100,'Data-Cashout'!$A$1:$A$3100,'Mar20-Aug20 Transport Actuals'!I$385,'Data-Cashout'!$B$1:$B$3100,'Mar20-Aug20 Transport Actuals'!$C$536,'Data-Cashout'!$D$1:$D$3100,'Mar20-Aug20 Transport Actuals'!$F$536,'Data-Cashout'!$E$1:$E$3100,'Mar20-Aug20 Transport Actuals'!$H$536)</f>
        <v>0</v>
      </c>
      <c r="J536" s="482">
        <f>SUMIFS('Data-Cashout'!$N$1:$N$3100,'Data-Cashout'!$A$1:$A$3100,'Mar20-Aug20 Transport Actuals'!J$385,'Data-Cashout'!$B$1:$B$3100,'Mar20-Aug20 Transport Actuals'!$C$536,'Data-Cashout'!$D$1:$D$3100,'Mar20-Aug20 Transport Actuals'!$F$536,'Data-Cashout'!$E$1:$E$3100,'Mar20-Aug20 Transport Actuals'!$H$536)</f>
        <v>0</v>
      </c>
      <c r="K536" s="482">
        <f>SUMIFS('Data-Cashout'!$N$1:$N$3100,'Data-Cashout'!$A$1:$A$3100,'Mar20-Aug20 Transport Actuals'!K$385,'Data-Cashout'!$B$1:$B$3100,'Mar20-Aug20 Transport Actuals'!$C$536,'Data-Cashout'!$D$1:$D$3100,'Mar20-Aug20 Transport Actuals'!$F$536,'Data-Cashout'!$E$1:$E$3100,'Mar20-Aug20 Transport Actuals'!$H$536)</f>
        <v>0</v>
      </c>
      <c r="L536" s="482">
        <f>SUMIFS('Data-Cashout'!$N$1:$N$3100,'Data-Cashout'!$A$1:$A$3100,'Mar20-Aug20 Transport Actuals'!L$385,'Data-Cashout'!$B$1:$B$3100,'Mar20-Aug20 Transport Actuals'!$C$536,'Data-Cashout'!$D$1:$D$3100,'Mar20-Aug20 Transport Actuals'!$F$536,'Data-Cashout'!$E$1:$E$3100,'Mar20-Aug20 Transport Actuals'!$H$536)</f>
        <v>0</v>
      </c>
      <c r="M536" s="482">
        <f>SUMIFS('Data-Cashout'!$N$1:$N$3100,'Data-Cashout'!$A$1:$A$3100,'Mar20-Aug20 Transport Actuals'!M$385,'Data-Cashout'!$B$1:$B$3100,'Mar20-Aug20 Transport Actuals'!$C$536,'Data-Cashout'!$D$1:$D$3100,'Mar20-Aug20 Transport Actuals'!$F$536,'Data-Cashout'!$E$1:$E$3100,'Mar20-Aug20 Transport Actuals'!$H$536)</f>
        <v>0</v>
      </c>
      <c r="N536" s="482">
        <f>SUMIFS('Data-Cashout'!$N$1:$N$3100,'Data-Cashout'!$A$1:$A$3100,'Mar20-Aug20 Transport Actuals'!N$385,'Data-Cashout'!$B$1:$B$3100,'Mar20-Aug20 Transport Actuals'!$C$536,'Data-Cashout'!$D$1:$D$3100,'Mar20-Aug20 Transport Actuals'!$F$536,'Data-Cashout'!$E$1:$E$3100,'Mar20-Aug20 Transport Actuals'!$H$536)</f>
        <v>0</v>
      </c>
      <c r="O536" s="482">
        <f>SUMIFS('Data-Cashout'!$N$1:$N$3100,'Data-Cashout'!$A$1:$A$3100,'Mar20-Aug20 Transport Actuals'!O$385,'Data-Cashout'!$B$1:$B$3100,'Mar20-Aug20 Transport Actuals'!$C$536,'Data-Cashout'!$D$1:$D$3100,'Mar20-Aug20 Transport Actuals'!$F$536,'Data-Cashout'!$E$1:$E$3100,'Mar20-Aug20 Transport Actuals'!$H$536)</f>
        <v>0</v>
      </c>
      <c r="P536" s="221">
        <f t="shared" si="188"/>
        <v>0</v>
      </c>
    </row>
    <row r="537" spans="3:16" x14ac:dyDescent="0.25">
      <c r="C537" s="185" t="s">
        <v>30</v>
      </c>
      <c r="D537" s="185" t="str">
        <f t="shared" si="183"/>
        <v>881</v>
      </c>
      <c r="E537" s="183" t="str">
        <f>VLOOKUP($C537,'Retail Rates'!$B$7:$P$40,2,FALSE)</f>
        <v>CGS TS-2</v>
      </c>
      <c r="F537" s="185" t="s">
        <v>318</v>
      </c>
      <c r="G537" s="186" t="s">
        <v>169</v>
      </c>
      <c r="H537" s="183"/>
      <c r="I537" s="505">
        <f>SUM(I532:I536)</f>
        <v>0</v>
      </c>
      <c r="J537" s="505">
        <f t="shared" ref="J537:O537" si="191">SUM(J532:J536)</f>
        <v>0</v>
      </c>
      <c r="K537" s="505">
        <f t="shared" si="191"/>
        <v>0</v>
      </c>
      <c r="L537" s="505">
        <f t="shared" si="191"/>
        <v>0</v>
      </c>
      <c r="M537" s="505">
        <f t="shared" si="191"/>
        <v>0</v>
      </c>
      <c r="N537" s="505">
        <f t="shared" si="191"/>
        <v>0</v>
      </c>
      <c r="O537" s="505">
        <f t="shared" si="191"/>
        <v>0</v>
      </c>
      <c r="P537" s="221">
        <f t="shared" si="188"/>
        <v>0</v>
      </c>
    </row>
    <row r="538" spans="3:16" x14ac:dyDescent="0.25">
      <c r="C538" s="185"/>
      <c r="D538" s="185"/>
      <c r="E538" s="183"/>
      <c r="F538" s="185"/>
      <c r="G538" s="192"/>
      <c r="H538" s="183"/>
      <c r="I538" s="183"/>
      <c r="J538" s="183"/>
      <c r="K538" s="183"/>
      <c r="L538" s="183"/>
      <c r="M538" s="183"/>
      <c r="N538" s="183"/>
      <c r="O538" s="183"/>
      <c r="P538" s="214"/>
    </row>
    <row r="539" spans="3:16" x14ac:dyDescent="0.25">
      <c r="C539" s="185"/>
      <c r="D539" s="185"/>
      <c r="E539" s="183"/>
      <c r="F539" s="185" t="s">
        <v>443</v>
      </c>
      <c r="G539" s="189" t="s">
        <v>274</v>
      </c>
      <c r="H539" s="183"/>
      <c r="I539" s="214">
        <f>SUMIFS('Bruise Report-Cashouts'!$C$5:$C$64,'Bruise Report-Cashouts'!$A$5:$A$64,$I$385,'Bruise Report-Cashouts'!$B$5:$B$64,$F$539)</f>
        <v>0</v>
      </c>
      <c r="J539" s="214">
        <f>SUMIFS('Bruise Report-Cashouts'!$C$5:$C$64,'Bruise Report-Cashouts'!$A$5:$A$64,$I$385,'Bruise Report-Cashouts'!$B$5:$B$64,$F$539)</f>
        <v>0</v>
      </c>
      <c r="K539" s="214">
        <f>SUMIFS('Bruise Report-Cashouts'!$C$5:$C$64,'Bruise Report-Cashouts'!$A$5:$A$64,$I$385,'Bruise Report-Cashouts'!$B$5:$B$64,$F$539)</f>
        <v>0</v>
      </c>
      <c r="L539" s="214">
        <f>SUMIFS('Bruise Report-Cashouts'!$C$5:$C$64,'Bruise Report-Cashouts'!$A$5:$A$64,$I$385,'Bruise Report-Cashouts'!$B$5:$B$64,$F$539)</f>
        <v>0</v>
      </c>
      <c r="M539" s="214">
        <f>SUMIFS('Bruise Report-Cashouts'!$C$5:$C$64,'Bruise Report-Cashouts'!$A$5:$A$64,$I$385,'Bruise Report-Cashouts'!$B$5:$B$64,$F$539)</f>
        <v>0</v>
      </c>
      <c r="N539" s="214">
        <f>SUMIFS('Bruise Report-Cashouts'!$C$5:$C$64,'Bruise Report-Cashouts'!$A$5:$A$64,$I$385,'Bruise Report-Cashouts'!$B$5:$B$64,$F$539)</f>
        <v>0</v>
      </c>
      <c r="O539" s="214">
        <f>SUMIFS('Bruise Report-Cashouts'!$C$5:$C$64,'Bruise Report-Cashouts'!$A$5:$A$64,$I$385,'Bruise Report-Cashouts'!$B$5:$B$64,$F$539)</f>
        <v>0</v>
      </c>
      <c r="P539" s="221">
        <f>SUM(I539:L539)</f>
        <v>0</v>
      </c>
    </row>
    <row r="540" spans="3:16" x14ac:dyDescent="0.25">
      <c r="C540" s="185"/>
      <c r="D540" s="185"/>
      <c r="E540" s="183"/>
      <c r="F540" s="185"/>
      <c r="G540" s="183"/>
      <c r="H540" s="183"/>
      <c r="I540" s="183"/>
      <c r="J540" s="183"/>
      <c r="K540" s="183"/>
      <c r="L540" s="183"/>
      <c r="M540" s="183"/>
      <c r="N540" s="183"/>
      <c r="O540" s="183"/>
      <c r="P540" s="214"/>
    </row>
    <row r="541" spans="3:16" x14ac:dyDescent="0.25">
      <c r="C541" s="185"/>
      <c r="D541" s="185"/>
      <c r="E541" s="183"/>
      <c r="F541" s="185"/>
      <c r="G541" s="189" t="s">
        <v>152</v>
      </c>
      <c r="H541" s="183"/>
      <c r="I541" s="214">
        <f t="shared" ref="I541:O541" si="192">+I537-I539</f>
        <v>0</v>
      </c>
      <c r="J541" s="214">
        <f t="shared" si="192"/>
        <v>0</v>
      </c>
      <c r="K541" s="214">
        <f t="shared" si="192"/>
        <v>0</v>
      </c>
      <c r="L541" s="214">
        <f t="shared" si="192"/>
        <v>0</v>
      </c>
      <c r="M541" s="214">
        <f t="shared" si="192"/>
        <v>0</v>
      </c>
      <c r="N541" s="214">
        <f t="shared" si="192"/>
        <v>0</v>
      </c>
      <c r="O541" s="214">
        <f t="shared" si="192"/>
        <v>0</v>
      </c>
      <c r="P541" s="214">
        <f>SUM(I541:L541)</f>
        <v>0</v>
      </c>
    </row>
    <row r="542" spans="3:16" x14ac:dyDescent="0.25">
      <c r="C542" s="185"/>
      <c r="D542" s="185"/>
      <c r="E542" s="183"/>
      <c r="F542" s="185"/>
      <c r="G542" s="189"/>
      <c r="H542" s="183"/>
      <c r="I542" s="183"/>
      <c r="J542" s="183"/>
      <c r="K542" s="183"/>
      <c r="L542" s="183"/>
      <c r="M542" s="183"/>
      <c r="N542" s="183"/>
      <c r="O542" s="183"/>
      <c r="P542" s="214"/>
    </row>
    <row r="543" spans="3:16" x14ac:dyDescent="0.25">
      <c r="C543" s="185"/>
      <c r="D543" s="185"/>
      <c r="E543" s="183"/>
      <c r="F543" s="185"/>
      <c r="G543" s="189"/>
      <c r="H543" s="183"/>
      <c r="I543" s="183"/>
      <c r="J543" s="183"/>
      <c r="K543" s="183"/>
      <c r="L543" s="183"/>
      <c r="M543" s="183"/>
      <c r="N543" s="183"/>
      <c r="O543" s="183"/>
      <c r="P543" s="214"/>
    </row>
    <row r="544" spans="3:16" x14ac:dyDescent="0.25">
      <c r="C544" s="185"/>
      <c r="D544" s="185"/>
      <c r="E544" s="183"/>
      <c r="F544" s="185"/>
      <c r="G544" s="183"/>
      <c r="H544" s="183"/>
      <c r="I544" s="504" t="s">
        <v>641</v>
      </c>
      <c r="J544" s="504"/>
      <c r="K544" s="504"/>
      <c r="L544" s="504"/>
      <c r="M544" s="504"/>
      <c r="N544" s="504"/>
      <c r="O544" s="504"/>
      <c r="P544" s="183"/>
    </row>
    <row r="545" spans="3:16" x14ac:dyDescent="0.25">
      <c r="C545" s="183"/>
      <c r="D545" s="183"/>
      <c r="E545" s="183"/>
      <c r="F545" s="185"/>
      <c r="G545" s="184" t="s">
        <v>367</v>
      </c>
      <c r="H545" s="183"/>
      <c r="I545" s="183"/>
      <c r="J545" s="183"/>
      <c r="K545" s="183"/>
      <c r="L545" s="183"/>
      <c r="M545" s="183"/>
      <c r="N545" s="183"/>
      <c r="O545" s="183"/>
      <c r="P545" s="183"/>
    </row>
    <row r="546" spans="3:16" x14ac:dyDescent="0.25">
      <c r="C546" s="185" t="s">
        <v>30</v>
      </c>
      <c r="D546" s="185" t="str">
        <f t="shared" ref="D546:D553" si="193">MID(C546,6,3)</f>
        <v>881</v>
      </c>
      <c r="E546" s="183" t="str">
        <f>VLOOKUP($C546,'Retail Rates'!$B$7:$P$40,2,FALSE)</f>
        <v>CGS TS-2</v>
      </c>
      <c r="F546" s="185" t="s">
        <v>319</v>
      </c>
      <c r="G546" s="186" t="s">
        <v>157</v>
      </c>
      <c r="H546" s="183"/>
      <c r="I546" s="183">
        <f t="shared" ref="I546:O546" si="194">I556/I551</f>
        <v>0</v>
      </c>
      <c r="J546" s="183">
        <f t="shared" si="194"/>
        <v>0</v>
      </c>
      <c r="K546" s="183">
        <f t="shared" si="194"/>
        <v>0</v>
      </c>
      <c r="L546" s="183">
        <f t="shared" si="194"/>
        <v>0</v>
      </c>
      <c r="M546" s="183">
        <f t="shared" si="194"/>
        <v>0</v>
      </c>
      <c r="N546" s="183">
        <f t="shared" si="194"/>
        <v>0</v>
      </c>
      <c r="O546" s="183">
        <f t="shared" si="194"/>
        <v>0</v>
      </c>
      <c r="P546" s="221">
        <f>SUM(I546:L546)</f>
        <v>0</v>
      </c>
    </row>
    <row r="547" spans="3:16" x14ac:dyDescent="0.25">
      <c r="C547" s="185" t="s">
        <v>30</v>
      </c>
      <c r="D547" s="185" t="str">
        <f t="shared" si="193"/>
        <v>881</v>
      </c>
      <c r="E547" s="183" t="str">
        <f>VLOOKUP($C547,'Retail Rates'!$B$7:$P$40,2,FALSE)</f>
        <v>CGS TS-2</v>
      </c>
      <c r="F547" s="185" t="s">
        <v>319</v>
      </c>
      <c r="G547" s="186" t="s">
        <v>244</v>
      </c>
      <c r="H547" s="183"/>
      <c r="I547" s="183">
        <f t="shared" ref="I547:O547" si="195">IF(I549=0,I549,IF(I549&gt;=(I546*100),(I546*100),I549))</f>
        <v>0</v>
      </c>
      <c r="J547" s="183">
        <f t="shared" si="195"/>
        <v>0</v>
      </c>
      <c r="K547" s="183">
        <f t="shared" si="195"/>
        <v>0</v>
      </c>
      <c r="L547" s="183">
        <f t="shared" si="195"/>
        <v>0</v>
      </c>
      <c r="M547" s="183">
        <f t="shared" si="195"/>
        <v>0</v>
      </c>
      <c r="N547" s="183">
        <f t="shared" si="195"/>
        <v>0</v>
      </c>
      <c r="O547" s="183">
        <f t="shared" si="195"/>
        <v>0</v>
      </c>
      <c r="P547" s="221">
        <f>SUM(I547:L547)</f>
        <v>0</v>
      </c>
    </row>
    <row r="548" spans="3:16" customFormat="1" x14ac:dyDescent="0.25">
      <c r="C548" s="185" t="s">
        <v>30</v>
      </c>
      <c r="D548" s="185" t="str">
        <f t="shared" si="193"/>
        <v>881</v>
      </c>
      <c r="E548" s="183" t="str">
        <f>VLOOKUP($C548,'Retail Rates'!$B$7:$P$40,2,FALSE)</f>
        <v>CGS TS-2</v>
      </c>
      <c r="F548" s="185" t="s">
        <v>319</v>
      </c>
      <c r="G548" s="186" t="s">
        <v>245</v>
      </c>
      <c r="H548" s="183"/>
      <c r="I548" s="183">
        <f t="shared" ref="I548:O548" si="196">+I549-I547</f>
        <v>0</v>
      </c>
      <c r="J548" s="183">
        <f t="shared" si="196"/>
        <v>0</v>
      </c>
      <c r="K548" s="183">
        <f t="shared" si="196"/>
        <v>0</v>
      </c>
      <c r="L548" s="183">
        <f t="shared" si="196"/>
        <v>0</v>
      </c>
      <c r="M548" s="183">
        <f t="shared" si="196"/>
        <v>0</v>
      </c>
      <c r="N548" s="183">
        <f t="shared" si="196"/>
        <v>0</v>
      </c>
      <c r="O548" s="183">
        <f t="shared" si="196"/>
        <v>0</v>
      </c>
      <c r="P548" s="221">
        <f>SUM(I548:L548)</f>
        <v>0</v>
      </c>
    </row>
    <row r="549" spans="3:16" customFormat="1" x14ac:dyDescent="0.25">
      <c r="C549" s="185" t="s">
        <v>30</v>
      </c>
      <c r="D549" s="185" t="str">
        <f t="shared" si="193"/>
        <v>881</v>
      </c>
      <c r="E549" s="183" t="str">
        <f>VLOOKUP($C549,'Retail Rates'!$B$7:$P$40,2,FALSE)</f>
        <v>CGS TS-2</v>
      </c>
      <c r="F549" s="185" t="s">
        <v>319</v>
      </c>
      <c r="G549" s="186" t="s">
        <v>246</v>
      </c>
      <c r="H549" s="156" t="s">
        <v>265</v>
      </c>
      <c r="I549" s="482">
        <f>SUMIFS('Data-Cashout'!$H$1:$H$3100,'Data-Cashout'!$A$1:$A$3100,'Mar20-Aug20 Transport Actuals'!I$385,'Data-Cashout'!$B$1:$B$3100,'Mar20-Aug20 Transport Actuals'!$C$549,'Data-Cashout'!$D$1:$D$3100,'Mar20-Aug20 Transport Actuals'!$F$549,'Data-Cashout'!$E$1:$E$3100,'Mar20-Aug20 Transport Actuals'!$H$549,'Data-Cashout'!$F$1:$F$3100,'Mar20-Aug20 Transport Actuals'!I$388)</f>
        <v>0</v>
      </c>
      <c r="J549" s="482">
        <f>SUMIFS('Data-Cashout'!$H$1:$H$3100,'Data-Cashout'!$A$1:$A$3100,'Mar20-Aug20 Transport Actuals'!J$385,'Data-Cashout'!$B$1:$B$3100,'Mar20-Aug20 Transport Actuals'!$C$549,'Data-Cashout'!$D$1:$D$3100,'Mar20-Aug20 Transport Actuals'!$F$549,'Data-Cashout'!$E$1:$E$3100,'Mar20-Aug20 Transport Actuals'!$H$549,'Data-Cashout'!$F$1:$F$3100,'Mar20-Aug20 Transport Actuals'!J$388)</f>
        <v>0</v>
      </c>
      <c r="K549" s="482">
        <f>SUMIFS('Data-Cashout'!$H$1:$H$3100,'Data-Cashout'!$A$1:$A$3100,'Mar20-Aug20 Transport Actuals'!K$385,'Data-Cashout'!$B$1:$B$3100,'Mar20-Aug20 Transport Actuals'!$C$549,'Data-Cashout'!$D$1:$D$3100,'Mar20-Aug20 Transport Actuals'!$F$549,'Data-Cashout'!$E$1:$E$3100,'Mar20-Aug20 Transport Actuals'!$H$549,'Data-Cashout'!$F$1:$F$3100,'Mar20-Aug20 Transport Actuals'!K$388)</f>
        <v>0</v>
      </c>
      <c r="L549" s="482">
        <f>SUMIFS('Data-Cashout'!$H$1:$H$3100,'Data-Cashout'!$A$1:$A$3100,'Mar20-Aug20 Transport Actuals'!L$385,'Data-Cashout'!$B$1:$B$3100,'Mar20-Aug20 Transport Actuals'!$C$549,'Data-Cashout'!$D$1:$D$3100,'Mar20-Aug20 Transport Actuals'!$F$549,'Data-Cashout'!$E$1:$E$3100,'Mar20-Aug20 Transport Actuals'!$H$549,'Data-Cashout'!$F$1:$F$3100,'Mar20-Aug20 Transport Actuals'!L$388)</f>
        <v>0</v>
      </c>
      <c r="M549" s="482">
        <f>SUMIFS('Data-Cashout'!$H$1:$H$3100,'Data-Cashout'!$A$1:$A$3100,'Mar20-Aug20 Transport Actuals'!M$385,'Data-Cashout'!$B$1:$B$3100,'Mar20-Aug20 Transport Actuals'!$C$549,'Data-Cashout'!$D$1:$D$3100,'Mar20-Aug20 Transport Actuals'!$F$549,'Data-Cashout'!$E$1:$E$3100,'Mar20-Aug20 Transport Actuals'!$H$549,'Data-Cashout'!$F$1:$F$3100,'Mar20-Aug20 Transport Actuals'!M$388)</f>
        <v>0</v>
      </c>
      <c r="N549" s="482">
        <f>SUMIFS('Data-Cashout'!$H$1:$H$3100,'Data-Cashout'!$A$1:$A$3100,'Mar20-Aug20 Transport Actuals'!N$385,'Data-Cashout'!$B$1:$B$3100,'Mar20-Aug20 Transport Actuals'!$C$549,'Data-Cashout'!$D$1:$D$3100,'Mar20-Aug20 Transport Actuals'!$F$549,'Data-Cashout'!$E$1:$E$3100,'Mar20-Aug20 Transport Actuals'!$H$549,'Data-Cashout'!$F$1:$F$3100,'Mar20-Aug20 Transport Actuals'!N$388)</f>
        <v>0</v>
      </c>
      <c r="O549" s="482">
        <f>SUMIFS('Data-Cashout'!$H$1:$H$3100,'Data-Cashout'!$A$1:$A$3100,'Mar20-Aug20 Transport Actuals'!O$385,'Data-Cashout'!$B$1:$B$3100,'Mar20-Aug20 Transport Actuals'!$C$549,'Data-Cashout'!$D$1:$D$3100,'Mar20-Aug20 Transport Actuals'!$F$549,'Data-Cashout'!$E$1:$E$3100,'Mar20-Aug20 Transport Actuals'!$H$549,'Data-Cashout'!$F$1:$F$3100,'Mar20-Aug20 Transport Actuals'!O$388)</f>
        <v>0</v>
      </c>
      <c r="P549" s="221">
        <f>SUM(I549:L549)</f>
        <v>0</v>
      </c>
    </row>
    <row r="550" spans="3:16" customFormat="1" x14ac:dyDescent="0.25">
      <c r="C550" s="185" t="s">
        <v>30</v>
      </c>
      <c r="D550" s="185" t="str">
        <f t="shared" si="193"/>
        <v>881</v>
      </c>
      <c r="E550" s="183" t="str">
        <f>VLOOKUP($C550,'Retail Rates'!$B$7:$P$40,2,FALSE)</f>
        <v>CGS TS-2</v>
      </c>
      <c r="F550" s="185" t="s">
        <v>319</v>
      </c>
      <c r="G550" s="187"/>
      <c r="H550" s="183"/>
      <c r="I550" s="183"/>
      <c r="J550" s="183"/>
      <c r="K550" s="183"/>
      <c r="L550" s="183"/>
      <c r="M550" s="183"/>
      <c r="N550" s="183"/>
      <c r="O550" s="183"/>
      <c r="P550" s="183"/>
    </row>
    <row r="551" spans="3:16" customFormat="1" x14ac:dyDescent="0.25">
      <c r="C551" s="185" t="s">
        <v>30</v>
      </c>
      <c r="D551" s="185" t="str">
        <f t="shared" si="193"/>
        <v>881</v>
      </c>
      <c r="E551" s="183" t="str">
        <f>VLOOKUP($C551,'Retail Rates'!$B$7:$P$40,2,FALSE)</f>
        <v>CGS TS-2</v>
      </c>
      <c r="F551" s="185" t="s">
        <v>319</v>
      </c>
      <c r="G551" s="186" t="s">
        <v>291</v>
      </c>
      <c r="H551" s="183"/>
      <c r="I551" s="183">
        <f>VLOOKUP($C551,'Retail Rates'!$B$7:$P$40,4,FALSE)</f>
        <v>1.97</v>
      </c>
      <c r="J551" s="183">
        <f>VLOOKUP($C551,'Retail Rates'!$B$7:$P$40,4,FALSE)</f>
        <v>1.97</v>
      </c>
      <c r="K551" s="183">
        <f>VLOOKUP($C551,'Retail Rates'!$B$7:$P$40,4,FALSE)</f>
        <v>1.97</v>
      </c>
      <c r="L551" s="183">
        <f>VLOOKUP($C551,'Retail Rates'!$B$7:$P$40,4,FALSE)</f>
        <v>1.97</v>
      </c>
      <c r="M551" s="183">
        <f>VLOOKUP($C551,'Retail Rates'!$B$7:$P$40,4,FALSE)</f>
        <v>1.97</v>
      </c>
      <c r="N551" s="183">
        <f>VLOOKUP($C551,'Retail Rates'!$B$7:$P$40,4,FALSE)</f>
        <v>1.97</v>
      </c>
      <c r="O551" s="183">
        <f>VLOOKUP($C551,'Retail Rates'!$B$7:$P$40,4,FALSE)</f>
        <v>1.97</v>
      </c>
      <c r="P551" s="183"/>
    </row>
    <row r="552" spans="3:16" customFormat="1" x14ac:dyDescent="0.25">
      <c r="C552" s="185" t="s">
        <v>30</v>
      </c>
      <c r="D552" s="185" t="str">
        <f t="shared" si="193"/>
        <v>881</v>
      </c>
      <c r="E552" s="183" t="str">
        <f>VLOOKUP($C552,'Retail Rates'!$B$7:$P$40,2,FALSE)</f>
        <v>CGS TS-2</v>
      </c>
      <c r="F552" s="185" t="s">
        <v>319</v>
      </c>
      <c r="G552" s="186" t="s">
        <v>247</v>
      </c>
      <c r="H552" s="183"/>
      <c r="I552" s="183">
        <f>VLOOKUP($C552,'Retail Rates'!$B$7:$P$40,11,FALSE)</f>
        <v>2.5669999999999997</v>
      </c>
      <c r="J552" s="183">
        <f>VLOOKUP($C552,'Retail Rates'!$B$7:$P$40,11,FALSE)</f>
        <v>2.5669999999999997</v>
      </c>
      <c r="K552" s="183">
        <f>VLOOKUP($C552,'Retail Rates'!$B$7:$P$40,11,FALSE)</f>
        <v>2.5669999999999997</v>
      </c>
      <c r="L552" s="183">
        <f>VLOOKUP($C552,'Retail Rates'!$B$7:$P$40,11,FALSE)</f>
        <v>2.5669999999999997</v>
      </c>
      <c r="M552" s="183">
        <f>VLOOKUP($C552,'Retail Rates'!$B$7:$P$40,11,FALSE)</f>
        <v>2.5669999999999997</v>
      </c>
      <c r="N552" s="183">
        <f>VLOOKUP($C552,'Retail Rates'!$B$7:$P$40,11,FALSE)</f>
        <v>2.5669999999999997</v>
      </c>
      <c r="O552" s="183">
        <f>VLOOKUP($C552,'Retail Rates'!$B$7:$P$40,11,FALSE)</f>
        <v>2.5669999999999997</v>
      </c>
      <c r="P552" s="183"/>
    </row>
    <row r="553" spans="3:16" customFormat="1" x14ac:dyDescent="0.25">
      <c r="C553" s="185" t="s">
        <v>30</v>
      </c>
      <c r="D553" s="185" t="str">
        <f t="shared" si="193"/>
        <v>881</v>
      </c>
      <c r="E553" s="183" t="str">
        <f>VLOOKUP($C553,'Retail Rates'!$B$7:$P$40,2,FALSE)</f>
        <v>CGS TS-2</v>
      </c>
      <c r="F553" s="185" t="s">
        <v>319</v>
      </c>
      <c r="G553" s="186" t="s">
        <v>248</v>
      </c>
      <c r="H553" s="183"/>
      <c r="I553" s="183">
        <f>+I552</f>
        <v>2.5669999999999997</v>
      </c>
      <c r="J553" s="183">
        <f t="shared" ref="J553:O553" si="197">+J552</f>
        <v>2.5669999999999997</v>
      </c>
      <c r="K553" s="183">
        <f t="shared" si="197"/>
        <v>2.5669999999999997</v>
      </c>
      <c r="L553" s="183">
        <f t="shared" si="197"/>
        <v>2.5669999999999997</v>
      </c>
      <c r="M553" s="183">
        <f t="shared" si="197"/>
        <v>2.5669999999999997</v>
      </c>
      <c r="N553" s="183">
        <f t="shared" si="197"/>
        <v>2.5669999999999997</v>
      </c>
      <c r="O553" s="183">
        <f t="shared" si="197"/>
        <v>2.5669999999999997</v>
      </c>
      <c r="P553" s="183"/>
    </row>
    <row r="554" spans="3:16" customFormat="1" x14ac:dyDescent="0.25">
      <c r="C554" s="185"/>
      <c r="D554" s="185"/>
      <c r="E554" s="183"/>
      <c r="F554" s="185"/>
      <c r="G554" s="186"/>
      <c r="H554" s="183"/>
      <c r="I554" s="183"/>
      <c r="J554" s="183"/>
      <c r="K554" s="183"/>
      <c r="L554" s="183"/>
      <c r="M554" s="183"/>
      <c r="N554" s="183"/>
      <c r="O554" s="183"/>
      <c r="P554" s="183"/>
    </row>
    <row r="555" spans="3:16" customFormat="1" x14ac:dyDescent="0.25">
      <c r="C555" s="185" t="s">
        <v>30</v>
      </c>
      <c r="D555" s="185" t="str">
        <f t="shared" ref="D555:D561" si="198">MID(C555,6,3)</f>
        <v>881</v>
      </c>
      <c r="E555" s="183" t="str">
        <f>VLOOKUP($C555,'Retail Rates'!$B$7:$P$40,2,FALSE)</f>
        <v>CGS TS-2</v>
      </c>
      <c r="F555" s="185" t="s">
        <v>319</v>
      </c>
      <c r="G555" s="188" t="s">
        <v>162</v>
      </c>
      <c r="H555" s="183"/>
      <c r="I555" s="183"/>
      <c r="J555" s="183"/>
      <c r="K555" s="183"/>
      <c r="L555" s="183"/>
      <c r="M555" s="183"/>
      <c r="N555" s="183"/>
      <c r="O555" s="183"/>
      <c r="P555" s="183"/>
    </row>
    <row r="556" spans="3:16" customFormat="1" x14ac:dyDescent="0.25">
      <c r="C556" s="185" t="s">
        <v>30</v>
      </c>
      <c r="D556" s="185" t="str">
        <f t="shared" si="198"/>
        <v>881</v>
      </c>
      <c r="E556" s="183" t="str">
        <f>VLOOKUP($C556,'Retail Rates'!$B$7:$P$40,2,FALSE)</f>
        <v>CGS TS-2</v>
      </c>
      <c r="F556" s="185" t="s">
        <v>319</v>
      </c>
      <c r="G556" s="189" t="s">
        <v>89</v>
      </c>
      <c r="H556" s="156" t="s">
        <v>272</v>
      </c>
      <c r="I556" s="482">
        <f>SUMIFS('Data-Transport'!$K$4:$K$10000,'Data-Transport'!$A$4:$A$10000,I$385,'Data-Transport'!$B$4:$B$10000,$C556,'Data-Transport'!$D$4:$D$10000,$F556,'Data-Transport'!$E$4:$E$10000,$H556)</f>
        <v>0</v>
      </c>
      <c r="J556" s="482">
        <f>SUMIFS('Data-Transport'!$K$4:$K$10000,'Data-Transport'!$A$4:$A$10000,J$385,'Data-Transport'!$B$4:$B$10000,$C556,'Data-Transport'!$D$4:$D$10000,$F556,'Data-Transport'!$E$4:$E$10000,$H556)</f>
        <v>0</v>
      </c>
      <c r="K556" s="482">
        <f>SUMIFS('Data-Transport'!$K$4:$K$10000,'Data-Transport'!$A$4:$A$10000,K$385,'Data-Transport'!$B$4:$B$10000,$C556,'Data-Transport'!$D$4:$D$10000,$F556,'Data-Transport'!$E$4:$E$10000,$H556)</f>
        <v>0</v>
      </c>
      <c r="L556" s="482">
        <f>SUMIFS('Data-Transport'!$K$4:$K$10000,'Data-Transport'!$A$4:$A$10000,L$385,'Data-Transport'!$B$4:$B$10000,$C556,'Data-Transport'!$D$4:$D$10000,$F556,'Data-Transport'!$E$4:$E$10000,$H556)</f>
        <v>0</v>
      </c>
      <c r="M556" s="482">
        <f>SUMIFS('Data-Transport'!$K$4:$K$10000,'Data-Transport'!$A$4:$A$10000,M$385,'Data-Transport'!$B$4:$B$10000,$C556,'Data-Transport'!$D$4:$D$10000,$F556,'Data-Transport'!$E$4:$E$10000,$H556)</f>
        <v>0</v>
      </c>
      <c r="N556" s="482">
        <f>SUMIFS('Data-Transport'!$K$4:$K$10000,'Data-Transport'!$A$4:$A$10000,N$385,'Data-Transport'!$B$4:$B$10000,$C556,'Data-Transport'!$D$4:$D$10000,$F556,'Data-Transport'!$E$4:$E$10000,$H556)</f>
        <v>0</v>
      </c>
      <c r="O556" s="482">
        <f>SUMIFS('Data-Transport'!$K$4:$K$10000,'Data-Transport'!$A$4:$A$10000,O$385,'Data-Transport'!$B$4:$B$10000,$C556,'Data-Transport'!$D$4:$D$10000,$F556,'Data-Transport'!$E$4:$E$10000,$H556)</f>
        <v>0</v>
      </c>
      <c r="P556" s="221">
        <f t="shared" ref="P556:P561" si="199">SUM(I556:L556)</f>
        <v>0</v>
      </c>
    </row>
    <row r="557" spans="3:16" customFormat="1" x14ac:dyDescent="0.25">
      <c r="C557" s="185" t="s">
        <v>30</v>
      </c>
      <c r="D557" s="185" t="str">
        <f t="shared" si="198"/>
        <v>881</v>
      </c>
      <c r="E557" s="183" t="str">
        <f>VLOOKUP($C557,'Retail Rates'!$B$7:$P$40,2,FALSE)</f>
        <v>CGS TS-2</v>
      </c>
      <c r="F557" s="185" t="s">
        <v>319</v>
      </c>
      <c r="G557" s="186" t="s">
        <v>249</v>
      </c>
      <c r="H557" s="183"/>
      <c r="I557" s="183">
        <f t="shared" ref="I557:O558" si="200">ROUND(+I547*I552,2)</f>
        <v>0</v>
      </c>
      <c r="J557" s="183">
        <f t="shared" si="200"/>
        <v>0</v>
      </c>
      <c r="K557" s="183">
        <f t="shared" si="200"/>
        <v>0</v>
      </c>
      <c r="L557" s="183">
        <f t="shared" si="200"/>
        <v>0</v>
      </c>
      <c r="M557" s="183">
        <f t="shared" si="200"/>
        <v>0</v>
      </c>
      <c r="N557" s="183">
        <f t="shared" si="200"/>
        <v>0</v>
      </c>
      <c r="O557" s="183">
        <f t="shared" si="200"/>
        <v>0</v>
      </c>
      <c r="P557" s="221">
        <f t="shared" si="199"/>
        <v>0</v>
      </c>
    </row>
    <row r="558" spans="3:16" customFormat="1" x14ac:dyDescent="0.25">
      <c r="C558" s="185" t="s">
        <v>30</v>
      </c>
      <c r="D558" s="185" t="str">
        <f t="shared" si="198"/>
        <v>881</v>
      </c>
      <c r="E558" s="183" t="str">
        <f>VLOOKUP($C558,'Retail Rates'!$B$7:$P$40,2,FALSE)</f>
        <v>CGS TS-2</v>
      </c>
      <c r="F558" s="185" t="s">
        <v>319</v>
      </c>
      <c r="G558" s="186" t="s">
        <v>250</v>
      </c>
      <c r="H558" s="183"/>
      <c r="I558" s="218">
        <f t="shared" si="200"/>
        <v>0</v>
      </c>
      <c r="J558" s="218">
        <f t="shared" si="200"/>
        <v>0</v>
      </c>
      <c r="K558" s="218">
        <f t="shared" si="200"/>
        <v>0</v>
      </c>
      <c r="L558" s="218">
        <f t="shared" si="200"/>
        <v>0</v>
      </c>
      <c r="M558" s="218">
        <f t="shared" si="200"/>
        <v>0</v>
      </c>
      <c r="N558" s="218">
        <f t="shared" si="200"/>
        <v>0</v>
      </c>
      <c r="O558" s="218">
        <f t="shared" si="200"/>
        <v>0</v>
      </c>
      <c r="P558" s="221">
        <f t="shared" si="199"/>
        <v>0</v>
      </c>
    </row>
    <row r="559" spans="3:16" customFormat="1" x14ac:dyDescent="0.25">
      <c r="C559" s="185" t="s">
        <v>30</v>
      </c>
      <c r="D559" s="185" t="str">
        <f t="shared" si="198"/>
        <v>881</v>
      </c>
      <c r="E559" s="183" t="str">
        <f>VLOOKUP($C559,'Retail Rates'!$B$7:$P$40,2,FALSE)</f>
        <v>CGS TS-2</v>
      </c>
      <c r="F559" s="185" t="s">
        <v>319</v>
      </c>
      <c r="G559" s="186" t="s">
        <v>171</v>
      </c>
      <c r="H559" s="156" t="s">
        <v>327</v>
      </c>
      <c r="I559" s="482">
        <f>SUMIFS('Data-Cashout'!$P$1:$P$3100,'Data-Cashout'!$A$1:$A$3100,'Mar20-Aug20 Transport Actuals'!I$385,'Data-Cashout'!$B$1:$B$3100,'Mar20-Aug20 Transport Actuals'!$C$559,'Data-Cashout'!$D$1:$D$3100,'Mar20-Aug20 Transport Actuals'!$F$559,'Data-Cashout'!$E$1:$E$3100,'Mar20-Aug20 Transport Actuals'!$H$559)</f>
        <v>0</v>
      </c>
      <c r="J559" s="482">
        <f>SUMIFS('Data-Cashout'!$P$1:$P$3100,'Data-Cashout'!$A$1:$A$3100,'Mar20-Aug20 Transport Actuals'!J$385,'Data-Cashout'!$B$1:$B$3100,'Mar20-Aug20 Transport Actuals'!$C$559,'Data-Cashout'!$D$1:$D$3100,'Mar20-Aug20 Transport Actuals'!$F$559,'Data-Cashout'!$E$1:$E$3100,'Mar20-Aug20 Transport Actuals'!$H$559)</f>
        <v>0</v>
      </c>
      <c r="K559" s="482">
        <f>SUMIFS('Data-Cashout'!$P$1:$P$3100,'Data-Cashout'!$A$1:$A$3100,'Mar20-Aug20 Transport Actuals'!K$385,'Data-Cashout'!$B$1:$B$3100,'Mar20-Aug20 Transport Actuals'!$C$559,'Data-Cashout'!$D$1:$D$3100,'Mar20-Aug20 Transport Actuals'!$F$559,'Data-Cashout'!$E$1:$E$3100,'Mar20-Aug20 Transport Actuals'!$H$559)</f>
        <v>0</v>
      </c>
      <c r="L559" s="482">
        <f>SUMIFS('Data-Cashout'!$P$1:$P$3100,'Data-Cashout'!$A$1:$A$3100,'Mar20-Aug20 Transport Actuals'!L$385,'Data-Cashout'!$B$1:$B$3100,'Mar20-Aug20 Transport Actuals'!$C$559,'Data-Cashout'!$D$1:$D$3100,'Mar20-Aug20 Transport Actuals'!$F$559,'Data-Cashout'!$E$1:$E$3100,'Mar20-Aug20 Transport Actuals'!$H$559)</f>
        <v>0</v>
      </c>
      <c r="M559" s="482">
        <f>SUMIFS('Data-Cashout'!$P$1:$P$3100,'Data-Cashout'!$A$1:$A$3100,'Mar20-Aug20 Transport Actuals'!M$385,'Data-Cashout'!$B$1:$B$3100,'Mar20-Aug20 Transport Actuals'!$C$559,'Data-Cashout'!$D$1:$D$3100,'Mar20-Aug20 Transport Actuals'!$F$559,'Data-Cashout'!$E$1:$E$3100,'Mar20-Aug20 Transport Actuals'!$H$559)</f>
        <v>0</v>
      </c>
      <c r="N559" s="482">
        <f>SUMIFS('Data-Cashout'!$P$1:$P$3100,'Data-Cashout'!$A$1:$A$3100,'Mar20-Aug20 Transport Actuals'!N$385,'Data-Cashout'!$B$1:$B$3100,'Mar20-Aug20 Transport Actuals'!$C$559,'Data-Cashout'!$D$1:$D$3100,'Mar20-Aug20 Transport Actuals'!$F$559,'Data-Cashout'!$E$1:$E$3100,'Mar20-Aug20 Transport Actuals'!$H$559)</f>
        <v>0</v>
      </c>
      <c r="O559" s="482">
        <f>SUMIFS('Data-Cashout'!$P$1:$P$3100,'Data-Cashout'!$A$1:$A$3100,'Mar20-Aug20 Transport Actuals'!O$385,'Data-Cashout'!$B$1:$B$3100,'Mar20-Aug20 Transport Actuals'!$C$559,'Data-Cashout'!$D$1:$D$3100,'Mar20-Aug20 Transport Actuals'!$F$559,'Data-Cashout'!$E$1:$E$3100,'Mar20-Aug20 Transport Actuals'!$H$559)</f>
        <v>0</v>
      </c>
      <c r="P559" s="221">
        <f t="shared" si="199"/>
        <v>0</v>
      </c>
    </row>
    <row r="560" spans="3:16" customFormat="1" x14ac:dyDescent="0.25">
      <c r="C560" s="185" t="s">
        <v>30</v>
      </c>
      <c r="D560" s="185" t="str">
        <f t="shared" si="198"/>
        <v>881</v>
      </c>
      <c r="E560" s="183" t="str">
        <f>VLOOKUP($C560,'Retail Rates'!$B$7:$P$40,2,FALSE)</f>
        <v>CGS TS-2</v>
      </c>
      <c r="F560" s="185" t="s">
        <v>319</v>
      </c>
      <c r="G560" s="186" t="s">
        <v>107</v>
      </c>
      <c r="H560" s="156" t="s">
        <v>269</v>
      </c>
      <c r="I560" s="482">
        <f>SUMIFS('Data-Cashout'!$N$1:$N$3100,'Data-Cashout'!$A$1:$A$3100,'Mar20-Aug20 Transport Actuals'!I$385,'Data-Cashout'!$B$1:$B$3100,'Mar20-Aug20 Transport Actuals'!$C$560,'Data-Cashout'!$D$1:$D$3100,'Mar20-Aug20 Transport Actuals'!$F$560,'Data-Cashout'!$E$1:$E$3100,'Mar20-Aug20 Transport Actuals'!$H$560)</f>
        <v>0</v>
      </c>
      <c r="J560" s="482">
        <f>SUMIFS('Data-Cashout'!$N$1:$N$3100,'Data-Cashout'!$A$1:$A$3100,'Mar20-Aug20 Transport Actuals'!J$385,'Data-Cashout'!$B$1:$B$3100,'Mar20-Aug20 Transport Actuals'!$C$560,'Data-Cashout'!$D$1:$D$3100,'Mar20-Aug20 Transport Actuals'!$F$560,'Data-Cashout'!$E$1:$E$3100,'Mar20-Aug20 Transport Actuals'!$H$560)</f>
        <v>0</v>
      </c>
      <c r="K560" s="482">
        <f>SUMIFS('Data-Cashout'!$N$1:$N$3100,'Data-Cashout'!$A$1:$A$3100,'Mar20-Aug20 Transport Actuals'!K$385,'Data-Cashout'!$B$1:$B$3100,'Mar20-Aug20 Transport Actuals'!$C$560,'Data-Cashout'!$D$1:$D$3100,'Mar20-Aug20 Transport Actuals'!$F$560,'Data-Cashout'!$E$1:$E$3100,'Mar20-Aug20 Transport Actuals'!$H$560)</f>
        <v>0</v>
      </c>
      <c r="L560" s="482">
        <f>SUMIFS('Data-Cashout'!$N$1:$N$3100,'Data-Cashout'!$A$1:$A$3100,'Mar20-Aug20 Transport Actuals'!L$385,'Data-Cashout'!$B$1:$B$3100,'Mar20-Aug20 Transport Actuals'!$C$560,'Data-Cashout'!$D$1:$D$3100,'Mar20-Aug20 Transport Actuals'!$F$560,'Data-Cashout'!$E$1:$E$3100,'Mar20-Aug20 Transport Actuals'!$H$560)</f>
        <v>0</v>
      </c>
      <c r="M560" s="482">
        <f>SUMIFS('Data-Cashout'!$N$1:$N$3100,'Data-Cashout'!$A$1:$A$3100,'Mar20-Aug20 Transport Actuals'!M$385,'Data-Cashout'!$B$1:$B$3100,'Mar20-Aug20 Transport Actuals'!$C$560,'Data-Cashout'!$D$1:$D$3100,'Mar20-Aug20 Transport Actuals'!$F$560,'Data-Cashout'!$E$1:$E$3100,'Mar20-Aug20 Transport Actuals'!$H$560)</f>
        <v>0</v>
      </c>
      <c r="N560" s="482">
        <f>SUMIFS('Data-Cashout'!$N$1:$N$3100,'Data-Cashout'!$A$1:$A$3100,'Mar20-Aug20 Transport Actuals'!N$385,'Data-Cashout'!$B$1:$B$3100,'Mar20-Aug20 Transport Actuals'!$C$560,'Data-Cashout'!$D$1:$D$3100,'Mar20-Aug20 Transport Actuals'!$F$560,'Data-Cashout'!$E$1:$E$3100,'Mar20-Aug20 Transport Actuals'!$H$560)</f>
        <v>0</v>
      </c>
      <c r="O560" s="482">
        <f>SUMIFS('Data-Cashout'!$N$1:$N$3100,'Data-Cashout'!$A$1:$A$3100,'Mar20-Aug20 Transport Actuals'!O$385,'Data-Cashout'!$B$1:$B$3100,'Mar20-Aug20 Transport Actuals'!$C$560,'Data-Cashout'!$D$1:$D$3100,'Mar20-Aug20 Transport Actuals'!$F$560,'Data-Cashout'!$E$1:$E$3100,'Mar20-Aug20 Transport Actuals'!$H$560)</f>
        <v>0</v>
      </c>
      <c r="P560" s="221">
        <f t="shared" si="199"/>
        <v>0</v>
      </c>
    </row>
    <row r="561" spans="3:16" customFormat="1" x14ac:dyDescent="0.25">
      <c r="C561" s="185" t="s">
        <v>30</v>
      </c>
      <c r="D561" s="185" t="str">
        <f t="shared" si="198"/>
        <v>881</v>
      </c>
      <c r="E561" s="183" t="str">
        <f>VLOOKUP($C561,'Retail Rates'!$B$7:$P$40,2,FALSE)</f>
        <v>CGS TS-2</v>
      </c>
      <c r="F561" s="185" t="s">
        <v>319</v>
      </c>
      <c r="G561" s="186" t="s">
        <v>169</v>
      </c>
      <c r="H561" s="183"/>
      <c r="I561" s="214">
        <f>SUM(I556:I560)</f>
        <v>0</v>
      </c>
      <c r="J561" s="214">
        <f t="shared" ref="J561:O561" si="201">SUM(J556:J560)</f>
        <v>0</v>
      </c>
      <c r="K561" s="214">
        <f t="shared" si="201"/>
        <v>0</v>
      </c>
      <c r="L561" s="214">
        <f t="shared" si="201"/>
        <v>0</v>
      </c>
      <c r="M561" s="214">
        <f t="shared" si="201"/>
        <v>0</v>
      </c>
      <c r="N561" s="214">
        <f t="shared" si="201"/>
        <v>0</v>
      </c>
      <c r="O561" s="214">
        <f t="shared" si="201"/>
        <v>0</v>
      </c>
      <c r="P561" s="221">
        <f t="shared" si="199"/>
        <v>0</v>
      </c>
    </row>
    <row r="562" spans="3:16" customFormat="1" x14ac:dyDescent="0.25">
      <c r="C562" s="185"/>
      <c r="D562" s="185"/>
      <c r="E562" s="183"/>
      <c r="F562" s="185"/>
      <c r="G562" s="192"/>
      <c r="H562" s="183"/>
      <c r="I562" s="214"/>
      <c r="J562" s="214"/>
      <c r="K562" s="214"/>
      <c r="L562" s="214"/>
      <c r="M562" s="214"/>
      <c r="N562" s="214"/>
      <c r="O562" s="214"/>
      <c r="P562" s="183"/>
    </row>
    <row r="563" spans="3:16" customFormat="1" x14ac:dyDescent="0.25">
      <c r="C563" s="185"/>
      <c r="D563" s="185"/>
      <c r="E563" s="183"/>
      <c r="F563" s="183"/>
      <c r="G563" s="183"/>
      <c r="H563" s="183"/>
      <c r="I563" s="504" t="s">
        <v>641</v>
      </c>
      <c r="J563" s="504"/>
      <c r="K563" s="504"/>
      <c r="L563" s="504"/>
      <c r="M563" s="504"/>
      <c r="N563" s="504"/>
      <c r="O563" s="504"/>
      <c r="P563" s="183"/>
    </row>
    <row r="564" spans="3:16" customFormat="1" x14ac:dyDescent="0.25">
      <c r="C564" s="183"/>
      <c r="D564" s="183"/>
      <c r="E564" s="183"/>
      <c r="F564" s="183"/>
      <c r="G564" s="184" t="s">
        <v>282</v>
      </c>
      <c r="H564" s="183"/>
      <c r="I564" s="183"/>
      <c r="J564" s="183"/>
      <c r="K564" s="183"/>
      <c r="L564" s="183"/>
      <c r="M564" s="183"/>
      <c r="N564" s="183"/>
      <c r="O564" s="183"/>
      <c r="P564" s="183"/>
    </row>
    <row r="565" spans="3:16" customFormat="1" x14ac:dyDescent="0.25">
      <c r="C565" s="185" t="s">
        <v>31</v>
      </c>
      <c r="D565" s="185" t="str">
        <f t="shared" ref="D565:D578" si="202">MID(C565,6,3)</f>
        <v>882</v>
      </c>
      <c r="E565" s="183" t="str">
        <f>VLOOKUP($C565,'Retail Rates'!$B$7:$P$40,2,FALSE)</f>
        <v>IGS TS-2</v>
      </c>
      <c r="F565" s="185" t="s">
        <v>320</v>
      </c>
      <c r="G565" s="186" t="s">
        <v>157</v>
      </c>
      <c r="H565" s="183"/>
      <c r="I565" s="183">
        <f t="shared" ref="I565:O565" si="203">+I574/I570</f>
        <v>0</v>
      </c>
      <c r="J565" s="183">
        <f t="shared" si="203"/>
        <v>0</v>
      </c>
      <c r="K565" s="183">
        <f t="shared" si="203"/>
        <v>0</v>
      </c>
      <c r="L565" s="183">
        <f t="shared" si="203"/>
        <v>0</v>
      </c>
      <c r="M565" s="183">
        <f t="shared" si="203"/>
        <v>0</v>
      </c>
      <c r="N565" s="183">
        <f t="shared" si="203"/>
        <v>0</v>
      </c>
      <c r="O565" s="183">
        <f t="shared" si="203"/>
        <v>0</v>
      </c>
      <c r="P565" s="288">
        <f>SUM(I565:N565)</f>
        <v>0</v>
      </c>
    </row>
    <row r="566" spans="3:16" customFormat="1" x14ac:dyDescent="0.25">
      <c r="C566" s="185" t="s">
        <v>31</v>
      </c>
      <c r="D566" s="185" t="str">
        <f t="shared" si="202"/>
        <v>882</v>
      </c>
      <c r="E566" s="183" t="str">
        <f>VLOOKUP($C566,'Retail Rates'!$B$7:$P$40,2,FALSE)</f>
        <v>IGS TS-2</v>
      </c>
      <c r="F566" s="185" t="s">
        <v>320</v>
      </c>
      <c r="G566" s="186" t="s">
        <v>244</v>
      </c>
      <c r="H566" s="183"/>
      <c r="I566" s="214">
        <f t="shared" ref="I566:O566" si="204">IF(I568=0,I568,IF(I568&gt;=(I565*100),(I565*100),I568))</f>
        <v>0</v>
      </c>
      <c r="J566" s="214">
        <f t="shared" si="204"/>
        <v>0</v>
      </c>
      <c r="K566" s="214">
        <f t="shared" si="204"/>
        <v>0</v>
      </c>
      <c r="L566" s="214">
        <f t="shared" si="204"/>
        <v>0</v>
      </c>
      <c r="M566" s="214">
        <f t="shared" si="204"/>
        <v>0</v>
      </c>
      <c r="N566" s="214">
        <f t="shared" si="204"/>
        <v>0</v>
      </c>
      <c r="O566" s="214">
        <f t="shared" si="204"/>
        <v>0</v>
      </c>
      <c r="P566" s="288">
        <f>SUM(I566:N566)</f>
        <v>0</v>
      </c>
    </row>
    <row r="567" spans="3:16" customFormat="1" x14ac:dyDescent="0.25">
      <c r="C567" s="185" t="s">
        <v>31</v>
      </c>
      <c r="D567" s="185" t="str">
        <f t="shared" si="202"/>
        <v>882</v>
      </c>
      <c r="E567" s="183" t="str">
        <f>VLOOKUP($C567,'Retail Rates'!$B$7:$P$40,2,FALSE)</f>
        <v>IGS TS-2</v>
      </c>
      <c r="F567" s="185" t="s">
        <v>320</v>
      </c>
      <c r="G567" s="186" t="s">
        <v>245</v>
      </c>
      <c r="H567" s="183"/>
      <c r="I567" s="214">
        <f t="shared" ref="I567:O567" si="205">+I568-I566</f>
        <v>0</v>
      </c>
      <c r="J567" s="214">
        <f t="shared" si="205"/>
        <v>0</v>
      </c>
      <c r="K567" s="214">
        <f t="shared" si="205"/>
        <v>0</v>
      </c>
      <c r="L567" s="214">
        <f t="shared" si="205"/>
        <v>0</v>
      </c>
      <c r="M567" s="214">
        <f t="shared" si="205"/>
        <v>0</v>
      </c>
      <c r="N567" s="214">
        <f t="shared" si="205"/>
        <v>0</v>
      </c>
      <c r="O567" s="214">
        <f t="shared" si="205"/>
        <v>0</v>
      </c>
      <c r="P567" s="288">
        <f>SUM(I567:N567)</f>
        <v>0</v>
      </c>
    </row>
    <row r="568" spans="3:16" customFormat="1" x14ac:dyDescent="0.25">
      <c r="C568" s="185" t="s">
        <v>31</v>
      </c>
      <c r="D568" s="185" t="str">
        <f t="shared" si="202"/>
        <v>882</v>
      </c>
      <c r="E568" s="183" t="str">
        <f>VLOOKUP($C568,'Retail Rates'!$B$7:$P$40,2,FALSE)</f>
        <v>IGS TS-2</v>
      </c>
      <c r="F568" s="185" t="s">
        <v>320</v>
      </c>
      <c r="G568" s="186" t="s">
        <v>246</v>
      </c>
      <c r="H568" s="156" t="s">
        <v>265</v>
      </c>
      <c r="I568" s="482">
        <f>SUMIFS('Data-Cashout'!$H$1:$H$3100,'Data-Cashout'!$A$1:$A$3100,'Mar20-Aug20 Transport Actuals'!I$385,'Data-Cashout'!$B$1:$B$3100,'Mar20-Aug20 Transport Actuals'!$C$568,'Data-Cashout'!$D$1:$D$3100,'Mar20-Aug20 Transport Actuals'!$F$568,'Data-Cashout'!$E$1:$E$3100,'Mar20-Aug20 Transport Actuals'!$H$568,'Data-Cashout'!$F$1:$F$3100,'Mar20-Aug20 Transport Actuals'!I$388)</f>
        <v>0</v>
      </c>
      <c r="J568" s="482">
        <f>SUMIFS('Data-Cashout'!$H$1:$H$3100,'Data-Cashout'!$A$1:$A$3100,'Mar20-Aug20 Transport Actuals'!J$385,'Data-Cashout'!$B$1:$B$3100,'Mar20-Aug20 Transport Actuals'!$C$568,'Data-Cashout'!$D$1:$D$3100,'Mar20-Aug20 Transport Actuals'!$F$568,'Data-Cashout'!$E$1:$E$3100,'Mar20-Aug20 Transport Actuals'!$H$568,'Data-Cashout'!$F$1:$F$3100,'Mar20-Aug20 Transport Actuals'!J$388)</f>
        <v>0</v>
      </c>
      <c r="K568" s="482">
        <f>SUMIFS('Data-Cashout'!$H$1:$H$3100,'Data-Cashout'!$A$1:$A$3100,'Mar20-Aug20 Transport Actuals'!K$385,'Data-Cashout'!$B$1:$B$3100,'Mar20-Aug20 Transport Actuals'!$C$568,'Data-Cashout'!$D$1:$D$3100,'Mar20-Aug20 Transport Actuals'!$F$568,'Data-Cashout'!$E$1:$E$3100,'Mar20-Aug20 Transport Actuals'!$H$568,'Data-Cashout'!$F$1:$F$3100,'Mar20-Aug20 Transport Actuals'!K$388)</f>
        <v>0</v>
      </c>
      <c r="L568" s="482">
        <f>SUMIFS('Data-Cashout'!$H$1:$H$3100,'Data-Cashout'!$A$1:$A$3100,'Mar20-Aug20 Transport Actuals'!L$385,'Data-Cashout'!$B$1:$B$3100,'Mar20-Aug20 Transport Actuals'!$C$568,'Data-Cashout'!$D$1:$D$3100,'Mar20-Aug20 Transport Actuals'!$F$568,'Data-Cashout'!$E$1:$E$3100,'Mar20-Aug20 Transport Actuals'!$H$568,'Data-Cashout'!$F$1:$F$3100,'Mar20-Aug20 Transport Actuals'!L$388)</f>
        <v>0</v>
      </c>
      <c r="M568" s="482">
        <f>SUMIFS('Data-Cashout'!$H$1:$H$3100,'Data-Cashout'!$A$1:$A$3100,'Mar20-Aug20 Transport Actuals'!M$385,'Data-Cashout'!$B$1:$B$3100,'Mar20-Aug20 Transport Actuals'!$C$568,'Data-Cashout'!$D$1:$D$3100,'Mar20-Aug20 Transport Actuals'!$F$568,'Data-Cashout'!$E$1:$E$3100,'Mar20-Aug20 Transport Actuals'!$H$568,'Data-Cashout'!$F$1:$F$3100,'Mar20-Aug20 Transport Actuals'!M$388)</f>
        <v>0</v>
      </c>
      <c r="N568" s="482">
        <f>SUMIFS('Data-Cashout'!$H$1:$H$3100,'Data-Cashout'!$A$1:$A$3100,'Mar20-Aug20 Transport Actuals'!N$385,'Data-Cashout'!$B$1:$B$3100,'Mar20-Aug20 Transport Actuals'!$C$568,'Data-Cashout'!$D$1:$D$3100,'Mar20-Aug20 Transport Actuals'!$F$568,'Data-Cashout'!$E$1:$E$3100,'Mar20-Aug20 Transport Actuals'!$H$568,'Data-Cashout'!$F$1:$F$3100,'Mar20-Aug20 Transport Actuals'!N$388)</f>
        <v>0</v>
      </c>
      <c r="O568" s="482">
        <f>SUMIFS('Data-Cashout'!$H$1:$H$3100,'Data-Cashout'!$A$1:$A$3100,'Mar20-Aug20 Transport Actuals'!O$385,'Data-Cashout'!$B$1:$B$3100,'Mar20-Aug20 Transport Actuals'!$C$568,'Data-Cashout'!$D$1:$D$3100,'Mar20-Aug20 Transport Actuals'!$F$568,'Data-Cashout'!$E$1:$E$3100,'Mar20-Aug20 Transport Actuals'!$H$568,'Data-Cashout'!$F$1:$F$3100,'Mar20-Aug20 Transport Actuals'!O$388)</f>
        <v>0</v>
      </c>
      <c r="P568" s="288">
        <f>SUM(I568:N568)</f>
        <v>0</v>
      </c>
    </row>
    <row r="569" spans="3:16" customFormat="1" x14ac:dyDescent="0.25">
      <c r="C569" s="185" t="s">
        <v>31</v>
      </c>
      <c r="D569" s="185" t="str">
        <f t="shared" si="202"/>
        <v>882</v>
      </c>
      <c r="E569" s="183" t="str">
        <f>VLOOKUP($C569,'Retail Rates'!$B$7:$P$40,2,FALSE)</f>
        <v>IGS TS-2</v>
      </c>
      <c r="F569" s="185" t="s">
        <v>320</v>
      </c>
      <c r="G569" s="187"/>
      <c r="H569" s="183"/>
      <c r="I569" s="183"/>
      <c r="J569" s="183"/>
      <c r="K569" s="183"/>
      <c r="L569" s="183"/>
      <c r="M569" s="183"/>
      <c r="N569" s="183"/>
      <c r="O569" s="183"/>
      <c r="P569" s="214"/>
    </row>
    <row r="570" spans="3:16" customFormat="1" x14ac:dyDescent="0.25">
      <c r="C570" s="185" t="s">
        <v>31</v>
      </c>
      <c r="D570" s="185" t="str">
        <f t="shared" si="202"/>
        <v>882</v>
      </c>
      <c r="E570" s="183" t="str">
        <f>VLOOKUP($C570,'Retail Rates'!$B$7:$P$40,2,FALSE)</f>
        <v>IGS TS-2</v>
      </c>
      <c r="F570" s="185" t="s">
        <v>320</v>
      </c>
      <c r="G570" s="186" t="s">
        <v>291</v>
      </c>
      <c r="H570" s="183"/>
      <c r="I570" s="183">
        <f>VLOOKUP($C570,'Retail Rates'!$B$7:$P$40,5,FALSE)</f>
        <v>24.64</v>
      </c>
      <c r="J570" s="183">
        <f>VLOOKUP($C570,'Retail Rates'!$B$7:$P$40,5,FALSE)</f>
        <v>24.64</v>
      </c>
      <c r="K570" s="183">
        <f>VLOOKUP($C570,'Retail Rates'!$B$7:$P$40,5,FALSE)</f>
        <v>24.64</v>
      </c>
      <c r="L570" s="183">
        <f>VLOOKUP($C570,'Retail Rates'!$B$7:$P$40,5,FALSE)</f>
        <v>24.64</v>
      </c>
      <c r="M570" s="183">
        <f>VLOOKUP($C570,'Retail Rates'!$B$7:$P$40,5,FALSE)</f>
        <v>24.64</v>
      </c>
      <c r="N570" s="183">
        <f>VLOOKUP($C570,'Retail Rates'!$B$7:$P$40,5,FALSE)</f>
        <v>24.64</v>
      </c>
      <c r="O570" s="183">
        <f>VLOOKUP($C570,'Retail Rates'!$B$7:$P$40,4,FALSE)</f>
        <v>5.42</v>
      </c>
      <c r="P570" s="214"/>
    </row>
    <row r="571" spans="3:16" customFormat="1" x14ac:dyDescent="0.25">
      <c r="C571" s="185" t="s">
        <v>31</v>
      </c>
      <c r="D571" s="185" t="str">
        <f t="shared" si="202"/>
        <v>882</v>
      </c>
      <c r="E571" s="183" t="str">
        <f>VLOOKUP($C571,'Retail Rates'!$B$7:$P$40,2,FALSE)</f>
        <v>IGS TS-2</v>
      </c>
      <c r="F571" s="185" t="s">
        <v>320</v>
      </c>
      <c r="G571" s="186" t="s">
        <v>247</v>
      </c>
      <c r="H571" s="183"/>
      <c r="I571" s="183">
        <f>VLOOKUP($C571,'Retail Rates'!$B$7:$P$40,11,FALSE)</f>
        <v>1.6928999999999998</v>
      </c>
      <c r="J571" s="183">
        <f>VLOOKUP($C571,'Retail Rates'!$B$7:$P$40,11,FALSE)</f>
        <v>1.6928999999999998</v>
      </c>
      <c r="K571" s="183">
        <f>VLOOKUP($C571,'Retail Rates'!$B$7:$P$40,11,FALSE)</f>
        <v>1.6928999999999998</v>
      </c>
      <c r="L571" s="183">
        <f>VLOOKUP($C571,'Retail Rates'!$B$7:$P$40,11,FALSE)</f>
        <v>1.6928999999999998</v>
      </c>
      <c r="M571" s="183">
        <f>VLOOKUP($C571,'Retail Rates'!$B$7:$P$40,11,FALSE)</f>
        <v>1.6928999999999998</v>
      </c>
      <c r="N571" s="183">
        <f>VLOOKUP($C571,'Retail Rates'!$B$7:$P$40,11,FALSE)</f>
        <v>1.6928999999999998</v>
      </c>
      <c r="O571" s="183">
        <f>VLOOKUP($C571,'Retail Rates'!$B$7:$P$40,11,FALSE)</f>
        <v>1.6928999999999998</v>
      </c>
      <c r="P571" s="214"/>
    </row>
    <row r="572" spans="3:16" customFormat="1" x14ac:dyDescent="0.25">
      <c r="C572" s="185" t="s">
        <v>31</v>
      </c>
      <c r="D572" s="185" t="str">
        <f t="shared" si="202"/>
        <v>882</v>
      </c>
      <c r="E572" s="183" t="str">
        <f>VLOOKUP($C572,'Retail Rates'!$B$7:$P$40,2,FALSE)</f>
        <v>IGS TS-2</v>
      </c>
      <c r="F572" s="185" t="s">
        <v>320</v>
      </c>
      <c r="G572" s="186" t="s">
        <v>248</v>
      </c>
      <c r="H572" s="183"/>
      <c r="I572" s="183">
        <f>+I571</f>
        <v>1.6928999999999998</v>
      </c>
      <c r="J572" s="183">
        <f t="shared" ref="J572:O572" si="206">+J571</f>
        <v>1.6928999999999998</v>
      </c>
      <c r="K572" s="183">
        <f t="shared" si="206"/>
        <v>1.6928999999999998</v>
      </c>
      <c r="L572" s="183">
        <f t="shared" si="206"/>
        <v>1.6928999999999998</v>
      </c>
      <c r="M572" s="183">
        <f t="shared" si="206"/>
        <v>1.6928999999999998</v>
      </c>
      <c r="N572" s="183">
        <f t="shared" si="206"/>
        <v>1.6928999999999998</v>
      </c>
      <c r="O572" s="183">
        <f t="shared" si="206"/>
        <v>1.6928999999999998</v>
      </c>
      <c r="P572" s="214"/>
    </row>
    <row r="573" spans="3:16" customFormat="1" x14ac:dyDescent="0.25">
      <c r="C573" s="185" t="s">
        <v>31</v>
      </c>
      <c r="D573" s="185" t="str">
        <f t="shared" si="202"/>
        <v>882</v>
      </c>
      <c r="E573" s="183" t="str">
        <f>VLOOKUP($C573,'Retail Rates'!$B$7:$P$40,2,FALSE)</f>
        <v>IGS TS-2</v>
      </c>
      <c r="F573" s="185" t="s">
        <v>320</v>
      </c>
      <c r="G573" s="188" t="s">
        <v>162</v>
      </c>
      <c r="H573" s="183"/>
      <c r="I573" s="183"/>
      <c r="J573" s="183"/>
      <c r="K573" s="183"/>
      <c r="L573" s="183"/>
      <c r="M573" s="183"/>
      <c r="N573" s="183"/>
      <c r="O573" s="183"/>
      <c r="P573" s="183"/>
    </row>
    <row r="574" spans="3:16" customFormat="1" x14ac:dyDescent="0.25">
      <c r="C574" s="185" t="s">
        <v>31</v>
      </c>
      <c r="D574" s="185" t="str">
        <f t="shared" si="202"/>
        <v>882</v>
      </c>
      <c r="E574" s="183" t="str">
        <f>VLOOKUP($C574,'Retail Rates'!$B$7:$P$40,2,FALSE)</f>
        <v>IGS TS-2</v>
      </c>
      <c r="F574" s="185" t="s">
        <v>320</v>
      </c>
      <c r="G574" s="189" t="s">
        <v>89</v>
      </c>
      <c r="H574" s="156" t="s">
        <v>272</v>
      </c>
      <c r="I574" s="482">
        <v>0</v>
      </c>
      <c r="J574" s="482">
        <v>0</v>
      </c>
      <c r="K574" s="482">
        <v>0</v>
      </c>
      <c r="L574" s="482">
        <v>0</v>
      </c>
      <c r="M574" s="482">
        <v>0</v>
      </c>
      <c r="N574" s="482">
        <v>0</v>
      </c>
      <c r="O574" s="482">
        <v>0</v>
      </c>
      <c r="P574" s="288">
        <f>SUM(I574:N574)</f>
        <v>0</v>
      </c>
    </row>
    <row r="575" spans="3:16" customFormat="1" x14ac:dyDescent="0.25">
      <c r="C575" s="185" t="s">
        <v>491</v>
      </c>
      <c r="D575" s="185" t="str">
        <f>MID(C575,6,3)</f>
        <v>882</v>
      </c>
      <c r="E575" s="183" t="str">
        <f>VLOOKUP($C575,'Retail Rates'!$B$7:$P$40,2,FALSE)</f>
        <v>IGS TS-2</v>
      </c>
      <c r="F575" s="185" t="s">
        <v>320</v>
      </c>
      <c r="G575" s="189" t="s">
        <v>89</v>
      </c>
      <c r="H575" s="156" t="s">
        <v>272</v>
      </c>
      <c r="I575" s="482">
        <v>0</v>
      </c>
      <c r="J575" s="482">
        <v>0</v>
      </c>
      <c r="K575" s="482">
        <v>0</v>
      </c>
      <c r="L575" s="482">
        <v>0</v>
      </c>
      <c r="M575" s="482">
        <v>0</v>
      </c>
      <c r="N575" s="482">
        <v>0</v>
      </c>
      <c r="O575" s="482">
        <v>0</v>
      </c>
      <c r="P575" s="288">
        <f t="shared" ref="P575:P583" si="207">SUM(I575:N575)</f>
        <v>0</v>
      </c>
    </row>
    <row r="576" spans="3:16" customFormat="1" x14ac:dyDescent="0.25">
      <c r="C576" s="185" t="s">
        <v>31</v>
      </c>
      <c r="D576" s="185" t="str">
        <f t="shared" si="202"/>
        <v>882</v>
      </c>
      <c r="E576" s="183" t="str">
        <f>VLOOKUP($C576,'Retail Rates'!$B$7:$P$40,2,FALSE)</f>
        <v>IGS TS-2</v>
      </c>
      <c r="F576" s="185" t="s">
        <v>320</v>
      </c>
      <c r="G576" s="186" t="s">
        <v>249</v>
      </c>
      <c r="H576" s="183"/>
      <c r="I576" s="214">
        <f>ROUND(+I566*I571,2)</f>
        <v>0</v>
      </c>
      <c r="J576" s="214">
        <f t="shared" ref="J576:O576" si="208">ROUND(+J566*J571,2)</f>
        <v>0</v>
      </c>
      <c r="K576" s="214">
        <f t="shared" si="208"/>
        <v>0</v>
      </c>
      <c r="L576" s="214">
        <f t="shared" si="208"/>
        <v>0</v>
      </c>
      <c r="M576" s="214">
        <f t="shared" si="208"/>
        <v>0</v>
      </c>
      <c r="N576" s="214">
        <f t="shared" si="208"/>
        <v>0</v>
      </c>
      <c r="O576" s="214">
        <f t="shared" si="208"/>
        <v>0</v>
      </c>
      <c r="P576" s="288">
        <f t="shared" si="207"/>
        <v>0</v>
      </c>
    </row>
    <row r="577" spans="3:16" customFormat="1" x14ac:dyDescent="0.25">
      <c r="C577" s="185" t="s">
        <v>31</v>
      </c>
      <c r="D577" s="185" t="str">
        <f t="shared" si="202"/>
        <v>882</v>
      </c>
      <c r="E577" s="183" t="str">
        <f>VLOOKUP($C577,'Retail Rates'!$B$7:$P$40,2,FALSE)</f>
        <v>IGS TS-2</v>
      </c>
      <c r="F577" s="185" t="s">
        <v>320</v>
      </c>
      <c r="G577" s="186" t="s">
        <v>250</v>
      </c>
      <c r="H577" s="183"/>
      <c r="I577" s="219">
        <f>ROUND(+I567*I572,2)</f>
        <v>0</v>
      </c>
      <c r="J577" s="219">
        <f t="shared" ref="J577:O577" si="209">ROUND(+J567*J572,2)</f>
        <v>0</v>
      </c>
      <c r="K577" s="219">
        <f t="shared" si="209"/>
        <v>0</v>
      </c>
      <c r="L577" s="219">
        <f t="shared" si="209"/>
        <v>0</v>
      </c>
      <c r="M577" s="219">
        <f t="shared" si="209"/>
        <v>0</v>
      </c>
      <c r="N577" s="219">
        <f t="shared" si="209"/>
        <v>0</v>
      </c>
      <c r="O577" s="219">
        <f t="shared" si="209"/>
        <v>0</v>
      </c>
      <c r="P577" s="288">
        <f t="shared" si="207"/>
        <v>0</v>
      </c>
    </row>
    <row r="578" spans="3:16" customFormat="1" x14ac:dyDescent="0.25">
      <c r="C578" s="185" t="s">
        <v>31</v>
      </c>
      <c r="D578" s="185" t="str">
        <f t="shared" si="202"/>
        <v>882</v>
      </c>
      <c r="E578" s="183" t="str">
        <f>VLOOKUP($C578,'Retail Rates'!$B$7:$P$40,2,FALSE)</f>
        <v>IGS TS-2</v>
      </c>
      <c r="F578" s="185" t="s">
        <v>320</v>
      </c>
      <c r="G578" s="186" t="s">
        <v>107</v>
      </c>
      <c r="H578" s="156" t="s">
        <v>269</v>
      </c>
      <c r="I578" s="482">
        <f>SUMIFS('Data-Cashout'!$AA$1:$AA$3100,'Data-Cashout'!$A$1:$A$3100,'Mar20-Aug20 Transport Actuals'!I$385,'Data-Cashout'!$B$1:$B$3100,'Mar20-Aug20 Transport Actuals'!$C$578,'Data-Cashout'!$D$1:$D$3100,'Mar20-Aug20 Transport Actuals'!$F$578,'Data-Cashout'!$E$1:$E$3100,'Mar20-Aug20 Transport Actuals'!$H$578)</f>
        <v>0</v>
      </c>
      <c r="J578" s="482">
        <f>SUMIFS('Data-Cashout'!$N$1:$N$3100,'Data-Cashout'!$A$1:$A$3100,'Mar20-Aug20 Transport Actuals'!J$385,'Data-Cashout'!$B$1:$B$3100,'Mar20-Aug20 Transport Actuals'!$C$578,'Data-Cashout'!$D$1:$D$3100,'Mar20-Aug20 Transport Actuals'!$F$578,'Data-Cashout'!$E$1:$E$3100,'Mar20-Aug20 Transport Actuals'!$H$578)</f>
        <v>0</v>
      </c>
      <c r="K578" s="482">
        <f>SUMIFS('Data-Cashout'!$N$1:$N$3100,'Data-Cashout'!$A$1:$A$3100,'Mar20-Aug20 Transport Actuals'!K$385,'Data-Cashout'!$B$1:$B$3100,'Mar20-Aug20 Transport Actuals'!$C$578,'Data-Cashout'!$D$1:$D$3100,'Mar20-Aug20 Transport Actuals'!$F$578,'Data-Cashout'!$E$1:$E$3100,'Mar20-Aug20 Transport Actuals'!$H$578)</f>
        <v>0</v>
      </c>
      <c r="L578" s="482">
        <f>SUMIFS('Data-Cashout'!$N$1:$N$3100,'Data-Cashout'!$A$1:$A$3100,'Mar20-Aug20 Transport Actuals'!L$385,'Data-Cashout'!$B$1:$B$3100,'Mar20-Aug20 Transport Actuals'!$C$578,'Data-Cashout'!$D$1:$D$3100,'Mar20-Aug20 Transport Actuals'!$F$578,'Data-Cashout'!$E$1:$E$3100,'Mar20-Aug20 Transport Actuals'!$H$578)</f>
        <v>0</v>
      </c>
      <c r="M578" s="482">
        <f>SUMIFS('Data-Cashout'!$N$1:$N$3100,'Data-Cashout'!$A$1:$A$3100,'Mar20-Aug20 Transport Actuals'!M$385,'Data-Cashout'!$B$1:$B$3100,'Mar20-Aug20 Transport Actuals'!$C$578,'Data-Cashout'!$D$1:$D$3100,'Mar20-Aug20 Transport Actuals'!$F$578,'Data-Cashout'!$E$1:$E$3100,'Mar20-Aug20 Transport Actuals'!$H$578)</f>
        <v>0</v>
      </c>
      <c r="N578" s="482">
        <f>SUMIFS('Data-Cashout'!$N$1:$N$3100,'Data-Cashout'!$A$1:$A$3100,'Mar20-Aug20 Transport Actuals'!N$385,'Data-Cashout'!$B$1:$B$3100,'Mar20-Aug20 Transport Actuals'!$C$578,'Data-Cashout'!$D$1:$D$3100,'Mar20-Aug20 Transport Actuals'!$F$578,'Data-Cashout'!$E$1:$E$3100,'Mar20-Aug20 Transport Actuals'!$H$578)</f>
        <v>0</v>
      </c>
      <c r="O578" s="482">
        <f>SUMIFS('Data-Cashout'!$N$1:$N$3100,'Data-Cashout'!$A$1:$A$3100,'Mar20-Aug20 Transport Actuals'!O$385,'Data-Cashout'!$B$1:$B$3100,'Mar20-Aug20 Transport Actuals'!$C$578,'Data-Cashout'!$D$1:$D$3100,'Mar20-Aug20 Transport Actuals'!$F$578,'Data-Cashout'!$E$1:$E$3100,'Mar20-Aug20 Transport Actuals'!$H$578)</f>
        <v>0</v>
      </c>
      <c r="P578" s="288">
        <f t="shared" si="207"/>
        <v>0</v>
      </c>
    </row>
    <row r="579" spans="3:16" customFormat="1" x14ac:dyDescent="0.25">
      <c r="C579" s="185" t="s">
        <v>52</v>
      </c>
      <c r="D579" s="185" t="str">
        <f>MID(C579,6,3)</f>
        <v>882</v>
      </c>
      <c r="E579" s="183" t="str">
        <f>VLOOKUP($C579,'Retail Rates'!$B$7:$P$40,2,FALSE)</f>
        <v>IGS TS-2-PM</v>
      </c>
      <c r="F579" s="185" t="s">
        <v>320</v>
      </c>
      <c r="G579" s="186" t="s">
        <v>639</v>
      </c>
      <c r="H579" s="156" t="s">
        <v>269</v>
      </c>
      <c r="I579" s="482">
        <f>SUMIFS('Data-Cashout'!$AA$1:$AA$3100,'Data-Cashout'!$A$1:$A$3100,'Mar20-Aug20 Transport Actuals'!I$385,'Data-Cashout'!$B$1:$B$3100,'Mar20-Aug20 Transport Actuals'!$C$579,'Data-Cashout'!$D$1:$D$3100,'Mar20-Aug20 Transport Actuals'!$F$579,'Data-Cashout'!$E$1:$E$3100,'Mar20-Aug20 Transport Actuals'!$H$579)</f>
        <v>107.49</v>
      </c>
      <c r="J579" s="482">
        <f>SUMIFS('Data-Cashout'!$AA$1:$AA$3100,'Data-Cashout'!$A$1:$A$3100,'Mar20-Aug20 Transport Actuals'!J$385,'Data-Cashout'!$B$1:$B$3100,'Mar20-Aug20 Transport Actuals'!$C$579,'Data-Cashout'!$D$1:$D$3100,'Mar20-Aug20 Transport Actuals'!$F$579,'Data-Cashout'!$E$1:$E$3100,'Mar20-Aug20 Transport Actuals'!$H$579)</f>
        <v>4839.1899999999996</v>
      </c>
      <c r="K579" s="482">
        <f>SUMIFS('Data-Cashout'!$AA$1:$AA$3100,'Data-Cashout'!$A$1:$A$3100,'Mar20-Aug20 Transport Actuals'!K$385,'Data-Cashout'!$B$1:$B$3100,'Mar20-Aug20 Transport Actuals'!$C$579,'Data-Cashout'!$D$1:$D$3100,'Mar20-Aug20 Transport Actuals'!$F$579,'Data-Cashout'!$E$1:$E$3100,'Mar20-Aug20 Transport Actuals'!$H$579)</f>
        <v>654.23</v>
      </c>
      <c r="L579" s="482">
        <f>SUMIFS('Data-Cashout'!$AA$1:$AA$3100,'Data-Cashout'!$A$1:$A$3100,'Mar20-Aug20 Transport Actuals'!L$385,'Data-Cashout'!$B$1:$B$3100,'Mar20-Aug20 Transport Actuals'!$C$579,'Data-Cashout'!$D$1:$D$3100,'Mar20-Aug20 Transport Actuals'!$F$579,'Data-Cashout'!$E$1:$E$3100,'Mar20-Aug20 Transport Actuals'!$H$579)</f>
        <v>0</v>
      </c>
      <c r="M579" s="482">
        <f>SUMIFS('Data-Cashout'!$AA$1:$AA$3100,'Data-Cashout'!$A$1:$A$3100,'Mar20-Aug20 Transport Actuals'!M$385,'Data-Cashout'!$B$1:$B$3100,'Mar20-Aug20 Transport Actuals'!$C$579,'Data-Cashout'!$D$1:$D$3100,'Mar20-Aug20 Transport Actuals'!$F$579,'Data-Cashout'!$E$1:$E$3100,'Mar20-Aug20 Transport Actuals'!$H$579)</f>
        <v>0</v>
      </c>
      <c r="N579" s="482">
        <f>SUMIFS('Data-Cashout'!$AA$1:$AA$3100,'Data-Cashout'!$A$1:$A$3100,'Mar20-Aug20 Transport Actuals'!N$385,'Data-Cashout'!$B$1:$B$3100,'Mar20-Aug20 Transport Actuals'!$C$579,'Data-Cashout'!$D$1:$D$3100,'Mar20-Aug20 Transport Actuals'!$F$579,'Data-Cashout'!$E$1:$E$3100,'Mar20-Aug20 Transport Actuals'!$H$579)</f>
        <v>0</v>
      </c>
      <c r="O579" s="482">
        <f>SUMIFS('Data-Cashout'!$AA$1:$AA$3100,'Data-Cashout'!$A$1:$A$3100,'Mar20-Aug20 Transport Actuals'!O$385,'Data-Cashout'!$B$1:$B$3100,'Mar20-Aug20 Transport Actuals'!$C$579,'Data-Cashout'!$D$1:$D$3100,'Mar20-Aug20 Transport Actuals'!$F$579,'Data-Cashout'!$E$1:$E$3100,'Mar20-Aug20 Transport Actuals'!$H$579)</f>
        <v>0</v>
      </c>
      <c r="P579" s="288">
        <f t="shared" si="207"/>
        <v>5600.91</v>
      </c>
    </row>
    <row r="580" spans="3:16" customFormat="1" x14ac:dyDescent="0.25">
      <c r="C580" s="185" t="s">
        <v>491</v>
      </c>
      <c r="D580" s="185" t="str">
        <f>MID(C580,6,3)</f>
        <v>882</v>
      </c>
      <c r="E580" s="183" t="str">
        <f>VLOOKUP($C580,'Retail Rates'!$B$7:$P$40,2,FALSE)</f>
        <v>IGS TS-2</v>
      </c>
      <c r="F580" s="185" t="s">
        <v>320</v>
      </c>
      <c r="G580" s="186" t="s">
        <v>169</v>
      </c>
      <c r="H580" s="183"/>
      <c r="I580" s="214">
        <f>SUM(I574:I579)</f>
        <v>107.49</v>
      </c>
      <c r="J580" s="214">
        <f t="shared" ref="J580:O580" si="210">SUM(J574:J579)</f>
        <v>4839.1899999999996</v>
      </c>
      <c r="K580" s="214">
        <f t="shared" si="210"/>
        <v>654.23</v>
      </c>
      <c r="L580" s="214">
        <f t="shared" si="210"/>
        <v>0</v>
      </c>
      <c r="M580" s="214">
        <f t="shared" si="210"/>
        <v>0</v>
      </c>
      <c r="N580" s="214">
        <f t="shared" si="210"/>
        <v>0</v>
      </c>
      <c r="O580" s="214">
        <f t="shared" si="210"/>
        <v>0</v>
      </c>
      <c r="P580" s="288">
        <f>SUM(I580:N580)</f>
        <v>5600.91</v>
      </c>
    </row>
    <row r="581" spans="3:16" customFormat="1" x14ac:dyDescent="0.25">
      <c r="C581" s="185"/>
      <c r="D581" s="185"/>
      <c r="E581" s="183"/>
      <c r="F581" s="185"/>
      <c r="G581" s="193"/>
      <c r="H581" s="183"/>
      <c r="I581" s="214"/>
      <c r="J581" s="214"/>
      <c r="K581" s="214"/>
      <c r="L581" s="214"/>
      <c r="M581" s="214"/>
      <c r="N581" s="214"/>
      <c r="O581" s="214"/>
      <c r="P581" s="214"/>
    </row>
    <row r="582" spans="3:16" customFormat="1" x14ac:dyDescent="0.25">
      <c r="C582" s="185" t="s">
        <v>53</v>
      </c>
      <c r="D582" s="185" t="str">
        <f t="shared" ref="D582:D591" si="211">MID(C582,6,3)</f>
        <v>892</v>
      </c>
      <c r="E582" s="183" t="s">
        <v>458</v>
      </c>
      <c r="F582" s="185" t="s">
        <v>320</v>
      </c>
      <c r="G582" s="186" t="s">
        <v>157</v>
      </c>
      <c r="H582" s="183"/>
      <c r="I582" s="183">
        <f t="shared" ref="I582:O582" si="212">+I588/I585</f>
        <v>0</v>
      </c>
      <c r="J582" s="183">
        <f t="shared" si="212"/>
        <v>0</v>
      </c>
      <c r="K582" s="183">
        <f t="shared" si="212"/>
        <v>0</v>
      </c>
      <c r="L582" s="183">
        <f t="shared" si="212"/>
        <v>0</v>
      </c>
      <c r="M582" s="183">
        <f t="shared" si="212"/>
        <v>0</v>
      </c>
      <c r="N582" s="183">
        <f t="shared" si="212"/>
        <v>0</v>
      </c>
      <c r="O582" s="183">
        <f t="shared" si="212"/>
        <v>0</v>
      </c>
      <c r="P582" s="288">
        <f t="shared" si="207"/>
        <v>0</v>
      </c>
    </row>
    <row r="583" spans="3:16" customFormat="1" x14ac:dyDescent="0.25">
      <c r="C583" s="185" t="s">
        <v>53</v>
      </c>
      <c r="D583" s="185" t="str">
        <f t="shared" si="211"/>
        <v>892</v>
      </c>
      <c r="E583" s="183" t="s">
        <v>458</v>
      </c>
      <c r="F583" s="185" t="s">
        <v>320</v>
      </c>
      <c r="G583" s="186" t="s">
        <v>246</v>
      </c>
      <c r="H583" s="156" t="s">
        <v>265</v>
      </c>
      <c r="I583" s="482">
        <f>SUMIFS('Data-Cashout'!$H$1:$H$3100,'Data-Cashout'!$A$1:$A$3100,'Mar20-Aug20 Transport Actuals'!I$385,'Data-Cashout'!$B$1:$B$3100,'Mar20-Aug20 Transport Actuals'!$C$583,'Data-Cashout'!$D$1:$D$3100,'Mar20-Aug20 Transport Actuals'!$F$583,'Data-Cashout'!$E$1:$E$3100,'Mar20-Aug20 Transport Actuals'!$H$583,'Data-Cashout'!$F$1:$F$3100,'Mar20-Aug20 Transport Actuals'!I$388)</f>
        <v>0</v>
      </c>
      <c r="J583" s="482">
        <f>SUMIFS('Data-Cashout'!$H$1:$H$3100,'Data-Cashout'!$A$1:$A$3100,'Mar20-Aug20 Transport Actuals'!J$385,'Data-Cashout'!$B$1:$B$3100,'Mar20-Aug20 Transport Actuals'!$C$583,'Data-Cashout'!$D$1:$D$3100,'Mar20-Aug20 Transport Actuals'!$F$583,'Data-Cashout'!$E$1:$E$3100,'Mar20-Aug20 Transport Actuals'!$H$583,'Data-Cashout'!$F$1:$F$3100,'Mar20-Aug20 Transport Actuals'!J$388)</f>
        <v>0</v>
      </c>
      <c r="K583" s="482">
        <f>SUMIFS('Data-Cashout'!$H$1:$H$3100,'Data-Cashout'!$A$1:$A$3100,'Mar20-Aug20 Transport Actuals'!K$385,'Data-Cashout'!$B$1:$B$3100,'Mar20-Aug20 Transport Actuals'!$C$583,'Data-Cashout'!$D$1:$D$3100,'Mar20-Aug20 Transport Actuals'!$F$583,'Data-Cashout'!$E$1:$E$3100,'Mar20-Aug20 Transport Actuals'!$H$583,'Data-Cashout'!$F$1:$F$3100,'Mar20-Aug20 Transport Actuals'!K$388)</f>
        <v>0</v>
      </c>
      <c r="L583" s="482">
        <f>SUMIFS('Data-Cashout'!$H$1:$H$3100,'Data-Cashout'!$A$1:$A$3100,'Mar20-Aug20 Transport Actuals'!L$385,'Data-Cashout'!$B$1:$B$3100,'Mar20-Aug20 Transport Actuals'!$C$583,'Data-Cashout'!$D$1:$D$3100,'Mar20-Aug20 Transport Actuals'!$F$583,'Data-Cashout'!$E$1:$E$3100,'Mar20-Aug20 Transport Actuals'!$H$583,'Data-Cashout'!$F$1:$F$3100,'Mar20-Aug20 Transport Actuals'!L$388)</f>
        <v>0</v>
      </c>
      <c r="M583" s="482">
        <f>SUMIFS('Data-Cashout'!$H$1:$H$3100,'Data-Cashout'!$A$1:$A$3100,'Mar20-Aug20 Transport Actuals'!M$385,'Data-Cashout'!$B$1:$B$3100,'Mar20-Aug20 Transport Actuals'!$C$583,'Data-Cashout'!$D$1:$D$3100,'Mar20-Aug20 Transport Actuals'!$F$583,'Data-Cashout'!$E$1:$E$3100,'Mar20-Aug20 Transport Actuals'!$H$583,'Data-Cashout'!$F$1:$F$3100,'Mar20-Aug20 Transport Actuals'!M$388)</f>
        <v>0</v>
      </c>
      <c r="N583" s="482">
        <f>SUMIFS('Data-Cashout'!$H$1:$H$3100,'Data-Cashout'!$A$1:$A$3100,'Mar20-Aug20 Transport Actuals'!N$385,'Data-Cashout'!$B$1:$B$3100,'Mar20-Aug20 Transport Actuals'!$C$583,'Data-Cashout'!$D$1:$D$3100,'Mar20-Aug20 Transport Actuals'!$F$583,'Data-Cashout'!$E$1:$E$3100,'Mar20-Aug20 Transport Actuals'!$H$583,'Data-Cashout'!$F$1:$F$3100,'Mar20-Aug20 Transport Actuals'!N$388)</f>
        <v>0</v>
      </c>
      <c r="O583" s="482">
        <f>SUMIFS('Data-Cashout'!$H$1:$H$3100,'Data-Cashout'!$A$1:$A$3100,'Mar20-Aug20 Transport Actuals'!O$385,'Data-Cashout'!$B$1:$B$3100,'Mar20-Aug20 Transport Actuals'!$C$583,'Data-Cashout'!$D$1:$D$3100,'Mar20-Aug20 Transport Actuals'!$F$583,'Data-Cashout'!$E$1:$E$3100,'Mar20-Aug20 Transport Actuals'!$H$583,'Data-Cashout'!$F$1:$F$3100,'Mar20-Aug20 Transport Actuals'!O$388)</f>
        <v>0</v>
      </c>
      <c r="P583" s="288">
        <f t="shared" si="207"/>
        <v>0</v>
      </c>
    </row>
    <row r="584" spans="3:16" customFormat="1" x14ac:dyDescent="0.25">
      <c r="C584" s="185" t="s">
        <v>53</v>
      </c>
      <c r="D584" s="185" t="str">
        <f t="shared" si="211"/>
        <v>892</v>
      </c>
      <c r="E584" s="183" t="s">
        <v>458</v>
      </c>
      <c r="F584" s="185" t="s">
        <v>320</v>
      </c>
      <c r="G584" s="187"/>
      <c r="H584" s="183"/>
      <c r="I584" s="183"/>
      <c r="J584" s="183"/>
      <c r="K584" s="183"/>
      <c r="L584" s="183"/>
      <c r="M584" s="183"/>
      <c r="N584" s="183"/>
      <c r="O584" s="183"/>
      <c r="P584" s="214"/>
    </row>
    <row r="585" spans="3:16" customFormat="1" x14ac:dyDescent="0.25">
      <c r="C585" s="185" t="s">
        <v>53</v>
      </c>
      <c r="D585" s="185" t="str">
        <f t="shared" si="211"/>
        <v>892</v>
      </c>
      <c r="E585" s="183" t="s">
        <v>458</v>
      </c>
      <c r="F585" s="185" t="s">
        <v>320</v>
      </c>
      <c r="G585" s="186" t="s">
        <v>291</v>
      </c>
      <c r="H585" s="183"/>
      <c r="I585" s="183">
        <f>VLOOKUP($C585,'Retail Rates'!$B$7:$P$40,4,FALSE)</f>
        <v>500</v>
      </c>
      <c r="J585" s="183">
        <f>VLOOKUP($C585,'Retail Rates'!$B$7:$P$40,4,FALSE)</f>
        <v>500</v>
      </c>
      <c r="K585" s="183">
        <f>VLOOKUP($C585,'Retail Rates'!$B$7:$P$40,4,FALSE)</f>
        <v>500</v>
      </c>
      <c r="L585" s="183">
        <f>VLOOKUP($C585,'Retail Rates'!$B$7:$P$40,4,FALSE)</f>
        <v>500</v>
      </c>
      <c r="M585" s="183">
        <f>VLOOKUP($C585,'Retail Rates'!$B$7:$P$40,4,FALSE)</f>
        <v>500</v>
      </c>
      <c r="N585" s="183">
        <f>VLOOKUP($C585,'Retail Rates'!$B$7:$P$40,4,FALSE)</f>
        <v>500</v>
      </c>
      <c r="O585" s="183">
        <f>VLOOKUP($C585,'Retail Rates'!$B$7:$P$40,4,FALSE)</f>
        <v>500</v>
      </c>
      <c r="P585" s="214"/>
    </row>
    <row r="586" spans="3:16" customFormat="1" x14ac:dyDescent="0.25">
      <c r="C586" s="185" t="s">
        <v>53</v>
      </c>
      <c r="D586" s="185" t="str">
        <f t="shared" si="211"/>
        <v>892</v>
      </c>
      <c r="E586" s="183" t="s">
        <v>458</v>
      </c>
      <c r="F586" s="185" t="s">
        <v>320</v>
      </c>
      <c r="G586" s="186" t="s">
        <v>459</v>
      </c>
      <c r="H586" s="183"/>
      <c r="I586" s="503">
        <f>VLOOKUP($C586,'Retail Rates'!$B$7:$P$40,10,FALSE)</f>
        <v>1.0644</v>
      </c>
      <c r="J586" s="503">
        <f>VLOOKUP($C586,'Retail Rates'!$B$7:$P$40,10,FALSE)</f>
        <v>1.0644</v>
      </c>
      <c r="K586" s="503">
        <f>VLOOKUP($C586,'Retail Rates'!$B$7:$P$40,10,FALSE)</f>
        <v>1.0644</v>
      </c>
      <c r="L586" s="503">
        <f>VLOOKUP($C586,'Retail Rates'!$B$7:$P$40,10,FALSE)</f>
        <v>1.0644</v>
      </c>
      <c r="M586" s="503">
        <f>VLOOKUP($C586,'Retail Rates'!$B$7:$P$40,10,FALSE)</f>
        <v>1.0644</v>
      </c>
      <c r="N586" s="503">
        <f>VLOOKUP($C586,'Retail Rates'!$B$7:$P$40,10,FALSE)</f>
        <v>1.0644</v>
      </c>
      <c r="O586" s="503">
        <f>VLOOKUP($C586,'Retail Rates'!$B$7:$P$40,10,FALSE)</f>
        <v>1.0644</v>
      </c>
      <c r="P586" s="214"/>
    </row>
    <row r="587" spans="3:16" customFormat="1" x14ac:dyDescent="0.25">
      <c r="C587" s="185" t="s">
        <v>53</v>
      </c>
      <c r="D587" s="185" t="str">
        <f t="shared" si="211"/>
        <v>892</v>
      </c>
      <c r="E587" s="183" t="s">
        <v>458</v>
      </c>
      <c r="F587" s="185" t="s">
        <v>320</v>
      </c>
      <c r="G587" s="188" t="s">
        <v>162</v>
      </c>
      <c r="H587" s="183"/>
      <c r="I587" s="183"/>
      <c r="J587" s="183"/>
      <c r="K587" s="183"/>
      <c r="L587" s="183"/>
      <c r="M587" s="183"/>
      <c r="N587" s="183"/>
      <c r="O587" s="183"/>
      <c r="P587" s="183"/>
    </row>
    <row r="588" spans="3:16" customFormat="1" x14ac:dyDescent="0.25">
      <c r="C588" s="185" t="s">
        <v>53</v>
      </c>
      <c r="D588" s="185" t="str">
        <f t="shared" si="211"/>
        <v>892</v>
      </c>
      <c r="E588" s="183" t="s">
        <v>458</v>
      </c>
      <c r="F588" s="185" t="s">
        <v>320</v>
      </c>
      <c r="G588" s="189" t="s">
        <v>89</v>
      </c>
      <c r="H588" s="156" t="s">
        <v>272</v>
      </c>
      <c r="I588" s="482"/>
      <c r="J588" s="482"/>
      <c r="K588" s="482"/>
      <c r="L588" s="482"/>
      <c r="M588" s="482"/>
      <c r="N588" s="482"/>
      <c r="O588" s="482">
        <f>SUMIFS('Data-Cashout'!$Y$1:$Y$3100,'Data-Cashout'!$A$1:$A$3100,'Mar20-Aug20 Transport Actuals'!O$385,'Data-Cashout'!$B$1:$B$3100,'Mar20-Aug20 Transport Actuals'!$C$588,'Data-Cashout'!$D$1:$D$3100,'Mar20-Aug20 Transport Actuals'!$F$588,'Data-Cashout'!$E$1:$E$3100,'Mar20-Aug20 Transport Actuals'!$H$588,'Data-Cashout'!$F$1:$F$3100,'Mar20-Aug20 Transport Actuals'!O$9)</f>
        <v>0</v>
      </c>
      <c r="P588" s="288">
        <f t="shared" ref="P588:P599" si="213">SUM(I588:N588)</f>
        <v>0</v>
      </c>
    </row>
    <row r="589" spans="3:16" customFormat="1" x14ac:dyDescent="0.25">
      <c r="C589" s="185" t="s">
        <v>493</v>
      </c>
      <c r="D589" s="185" t="str">
        <f>MID(C589,6,3)</f>
        <v>892</v>
      </c>
      <c r="E589" s="183" t="s">
        <v>458</v>
      </c>
      <c r="F589" s="185" t="s">
        <v>320</v>
      </c>
      <c r="G589" s="189" t="s">
        <v>89</v>
      </c>
      <c r="H589" s="156" t="s">
        <v>272</v>
      </c>
      <c r="I589" s="482">
        <f>SUMIFS('Data-Transport'!$K$4:$K$10000,'Data-Transport'!$A$4:$A$10000,I$385,'Data-Transport'!$B$4:$B$10000,$C589,'Data-Transport'!$D$4:$D$10000,$F589,'Data-Transport'!$E$4:$E$10000,$H589,'Data-Transport'!$F$4:$F$10000,I$8)</f>
        <v>0</v>
      </c>
      <c r="J589" s="482">
        <f>SUMIFS('Data-Transport'!$K$4:$K$10000,'Data-Transport'!$A$4:$A$10000,J$385,'Data-Transport'!$B$4:$B$10000,$C589,'Data-Transport'!$D$4:$D$10000,$F589,'Data-Transport'!$E$4:$E$10000,$H589,'Data-Transport'!$F$4:$F$10000,J$8)</f>
        <v>0</v>
      </c>
      <c r="K589" s="482">
        <f>SUMIFS('Data-Transport'!$K$4:$K$10000,'Data-Transport'!$A$4:$A$10000,K$385,'Data-Transport'!$B$4:$B$10000,$C589,'Data-Transport'!$D$4:$D$10000,$F589,'Data-Transport'!$E$4:$E$10000,$H589,'Data-Transport'!$F$4:$F$10000,K$8)</f>
        <v>0</v>
      </c>
      <c r="L589" s="482">
        <f>SUMIFS('Data-Transport'!$K$4:$K$10000,'Data-Transport'!$A$4:$A$10000,L$385,'Data-Transport'!$B$4:$B$10000,$C589,'Data-Transport'!$D$4:$D$10000,$F589,'Data-Transport'!$E$4:$E$10000,$H589,'Data-Transport'!$F$4:$F$10000,L$8)</f>
        <v>0</v>
      </c>
      <c r="M589" s="482">
        <f>SUMIFS('Data-Transport'!$K$4:$K$10000,'Data-Transport'!$A$4:$A$10000,M$385,'Data-Transport'!$B$4:$B$10000,$C589,'Data-Transport'!$D$4:$D$10000,$F589,'Data-Transport'!$E$4:$E$10000,$H589,'Data-Transport'!$F$4:$F$10000,M$8)</f>
        <v>0</v>
      </c>
      <c r="N589" s="482">
        <f>SUMIFS('Data-Transport'!$K$4:$K$10000,'Data-Transport'!$A$4:$A$10000,N$385,'Data-Transport'!$B$4:$B$10000,$C589,'Data-Transport'!$D$4:$D$10000,$F589,'Data-Transport'!$E$4:$E$10000,$H589,'Data-Transport'!$F$4:$F$10000,N$8)</f>
        <v>0</v>
      </c>
      <c r="O589" s="482">
        <f>SUMIFS('Data-Transport'!$K$4:$K$10000,'Data-Transport'!$A$4:$A$10000,O$385,'Data-Transport'!$B$4:$B$10000,$C589,'Data-Transport'!$D$4:$D$10000,$F589,'Data-Transport'!$E$4:$E$10000,$H589,'Data-Transport'!$F$4:$F$10000,O$8)</f>
        <v>0</v>
      </c>
      <c r="P589" s="288">
        <f t="shared" si="213"/>
        <v>0</v>
      </c>
    </row>
    <row r="590" spans="3:16" customFormat="1" x14ac:dyDescent="0.25">
      <c r="C590" s="185" t="s">
        <v>53</v>
      </c>
      <c r="D590" s="185" t="str">
        <f t="shared" si="211"/>
        <v>892</v>
      </c>
      <c r="E590" s="183" t="s">
        <v>458</v>
      </c>
      <c r="F590" s="185" t="s">
        <v>320</v>
      </c>
      <c r="G590" s="186" t="s">
        <v>164</v>
      </c>
      <c r="H590" s="183"/>
      <c r="I590" s="219">
        <f t="shared" ref="I590:O590" si="214">I583*I586</f>
        <v>0</v>
      </c>
      <c r="J590" s="219">
        <f t="shared" si="214"/>
        <v>0</v>
      </c>
      <c r="K590" s="219">
        <f t="shared" si="214"/>
        <v>0</v>
      </c>
      <c r="L590" s="219">
        <f t="shared" si="214"/>
        <v>0</v>
      </c>
      <c r="M590" s="219">
        <f t="shared" si="214"/>
        <v>0</v>
      </c>
      <c r="N590" s="219">
        <f t="shared" si="214"/>
        <v>0</v>
      </c>
      <c r="O590" s="219">
        <f t="shared" si="214"/>
        <v>0</v>
      </c>
      <c r="P590" s="288">
        <f t="shared" si="213"/>
        <v>0</v>
      </c>
    </row>
    <row r="591" spans="3:16" customFormat="1" x14ac:dyDescent="0.25">
      <c r="C591" s="185" t="s">
        <v>53</v>
      </c>
      <c r="D591" s="185" t="str">
        <f t="shared" si="211"/>
        <v>892</v>
      </c>
      <c r="E591" s="183" t="s">
        <v>458</v>
      </c>
      <c r="F591" s="185" t="s">
        <v>320</v>
      </c>
      <c r="G591" s="186" t="s">
        <v>107</v>
      </c>
      <c r="H591" s="156" t="s">
        <v>269</v>
      </c>
      <c r="I591" s="482">
        <f>SUMIFS('Data-Cashout'!$N$1:$N$3100,'Data-Cashout'!$A$1:$A$3100,'Mar20-Aug20 Transport Actuals'!I$385,'Data-Cashout'!$B$1:$B$3100,'Mar20-Aug20 Transport Actuals'!$C$591,'Data-Cashout'!$D$1:$D$3100,'Mar20-Aug20 Transport Actuals'!$F$591,'Data-Cashout'!$E$1:$E$3100,'Mar20-Aug20 Transport Actuals'!$H$591)</f>
        <v>0</v>
      </c>
      <c r="J591" s="482">
        <f>SUMIFS('Data-Cashout'!$N$1:$N$3100,'Data-Cashout'!$A$1:$A$3100,'Mar20-Aug20 Transport Actuals'!J$385,'Data-Cashout'!$B$1:$B$3100,'Mar20-Aug20 Transport Actuals'!$C$591,'Data-Cashout'!$D$1:$D$3100,'Mar20-Aug20 Transport Actuals'!$F$591,'Data-Cashout'!$E$1:$E$3100,'Mar20-Aug20 Transport Actuals'!$H$591)</f>
        <v>0</v>
      </c>
      <c r="K591" s="482">
        <f>SUMIFS('Data-Cashout'!$N$1:$N$3100,'Data-Cashout'!$A$1:$A$3100,'Mar20-Aug20 Transport Actuals'!K$385,'Data-Cashout'!$B$1:$B$3100,'Mar20-Aug20 Transport Actuals'!$C$591,'Data-Cashout'!$D$1:$D$3100,'Mar20-Aug20 Transport Actuals'!$F$591,'Data-Cashout'!$E$1:$E$3100,'Mar20-Aug20 Transport Actuals'!$H$591)</f>
        <v>0</v>
      </c>
      <c r="L591" s="482">
        <f>SUMIFS('Data-Cashout'!$N$1:$N$3100,'Data-Cashout'!$A$1:$A$3100,'Mar20-Aug20 Transport Actuals'!L$385,'Data-Cashout'!$B$1:$B$3100,'Mar20-Aug20 Transport Actuals'!$C$591,'Data-Cashout'!$D$1:$D$3100,'Mar20-Aug20 Transport Actuals'!$F$591,'Data-Cashout'!$E$1:$E$3100,'Mar20-Aug20 Transport Actuals'!$H$591)</f>
        <v>0</v>
      </c>
      <c r="M591" s="482">
        <f>SUMIFS('Data-Cashout'!$N$1:$N$3100,'Data-Cashout'!$A$1:$A$3100,'Mar20-Aug20 Transport Actuals'!M$385,'Data-Cashout'!$B$1:$B$3100,'Mar20-Aug20 Transport Actuals'!$C$591,'Data-Cashout'!$D$1:$D$3100,'Mar20-Aug20 Transport Actuals'!$F$591,'Data-Cashout'!$E$1:$E$3100,'Mar20-Aug20 Transport Actuals'!$H$591)</f>
        <v>0</v>
      </c>
      <c r="N591" s="482">
        <f>SUMIFS('Data-Cashout'!$N$1:$N$3100,'Data-Cashout'!$A$1:$A$3100,'Mar20-Aug20 Transport Actuals'!N$385,'Data-Cashout'!$B$1:$B$3100,'Mar20-Aug20 Transport Actuals'!$C$591,'Data-Cashout'!$D$1:$D$3100,'Mar20-Aug20 Transport Actuals'!$F$591,'Data-Cashout'!$E$1:$E$3100,'Mar20-Aug20 Transport Actuals'!$H$591)</f>
        <v>0</v>
      </c>
      <c r="O591" s="482">
        <f>SUMIFS('Data-Cashout'!$N$1:$N$3100,'Data-Cashout'!$A$1:$A$3100,'Mar20-Aug20 Transport Actuals'!O$385,'Data-Cashout'!$B$1:$B$3100,'Mar20-Aug20 Transport Actuals'!$C$591,'Data-Cashout'!$D$1:$D$3100,'Mar20-Aug20 Transport Actuals'!$F$591,'Data-Cashout'!$E$1:$E$3100,'Mar20-Aug20 Transport Actuals'!$H$591)</f>
        <v>0</v>
      </c>
      <c r="P591" s="288">
        <f t="shared" si="213"/>
        <v>0</v>
      </c>
    </row>
    <row r="592" spans="3:16" customFormat="1" x14ac:dyDescent="0.25">
      <c r="C592" s="185" t="s">
        <v>54</v>
      </c>
      <c r="D592" s="185" t="str">
        <f>MID(C592,6,3)</f>
        <v>892</v>
      </c>
      <c r="E592" s="183" t="s">
        <v>458</v>
      </c>
      <c r="F592" s="185" t="s">
        <v>320</v>
      </c>
      <c r="G592" s="186" t="s">
        <v>639</v>
      </c>
      <c r="H592" s="156" t="s">
        <v>269</v>
      </c>
      <c r="I592" s="482">
        <f>SUMIFS('Data-Cashout'!$N$1:$N$3100,'Data-Cashout'!$A$1:$A$3100,'Mar20-Aug20 Transport Actuals'!I$385,'Data-Cashout'!$B$1:$B$3100,'Mar20-Aug20 Transport Actuals'!$C$592,'Data-Cashout'!$D$1:$D$3100,'Mar20-Aug20 Transport Actuals'!$F$592,'Data-Cashout'!$E$1:$E$3100,'Mar20-Aug20 Transport Actuals'!$H$592)</f>
        <v>0</v>
      </c>
      <c r="J592" s="482">
        <f>SUMIFS('Data-Cashout'!$N$1:$N$3100,'Data-Cashout'!$A$1:$A$3100,'Mar20-Aug20 Transport Actuals'!J$385,'Data-Cashout'!$B$1:$B$3100,'Mar20-Aug20 Transport Actuals'!$C$592,'Data-Cashout'!$D$1:$D$3100,'Mar20-Aug20 Transport Actuals'!$F$592,'Data-Cashout'!$E$1:$E$3100,'Mar20-Aug20 Transport Actuals'!$H$592)</f>
        <v>0</v>
      </c>
      <c r="K592" s="482">
        <f>SUMIFS('Data-Cashout'!$N$1:$N$3100,'Data-Cashout'!$A$1:$A$3100,'Mar20-Aug20 Transport Actuals'!K$385,'Data-Cashout'!$B$1:$B$3100,'Mar20-Aug20 Transport Actuals'!$C$592,'Data-Cashout'!$D$1:$D$3100,'Mar20-Aug20 Transport Actuals'!$F$592,'Data-Cashout'!$E$1:$E$3100,'Mar20-Aug20 Transport Actuals'!$H$592)</f>
        <v>0</v>
      </c>
      <c r="L592" s="482">
        <f>SUMIFS('Data-Cashout'!$N$1:$N$3100,'Data-Cashout'!$A$1:$A$3100,'Mar20-Aug20 Transport Actuals'!L$385,'Data-Cashout'!$B$1:$B$3100,'Mar20-Aug20 Transport Actuals'!$C$592,'Data-Cashout'!$D$1:$D$3100,'Mar20-Aug20 Transport Actuals'!$F$592,'Data-Cashout'!$E$1:$E$3100,'Mar20-Aug20 Transport Actuals'!$H$592)</f>
        <v>0</v>
      </c>
      <c r="M592" s="482">
        <f>SUMIFS('Data-Cashout'!$N$1:$N$3100,'Data-Cashout'!$A$1:$A$3100,'Mar20-Aug20 Transport Actuals'!M$385,'Data-Cashout'!$B$1:$B$3100,'Mar20-Aug20 Transport Actuals'!$C$592,'Data-Cashout'!$D$1:$D$3100,'Mar20-Aug20 Transport Actuals'!$F$592,'Data-Cashout'!$E$1:$E$3100,'Mar20-Aug20 Transport Actuals'!$H$592)</f>
        <v>0</v>
      </c>
      <c r="N592" s="482">
        <f>SUMIFS('Data-Cashout'!$N$1:$N$3100,'Data-Cashout'!$A$1:$A$3100,'Mar20-Aug20 Transport Actuals'!N$385,'Data-Cashout'!$B$1:$B$3100,'Mar20-Aug20 Transport Actuals'!$C$592,'Data-Cashout'!$D$1:$D$3100,'Mar20-Aug20 Transport Actuals'!$F$592,'Data-Cashout'!$E$1:$E$3100,'Mar20-Aug20 Transport Actuals'!$H$592)</f>
        <v>0</v>
      </c>
      <c r="O592" s="482">
        <f>SUMIFS('Data-Cashout'!$N$1:$N$3100,'Data-Cashout'!$A$1:$A$3100,'Mar20-Aug20 Transport Actuals'!O$385,'Data-Cashout'!$B$1:$B$3100,'Mar20-Aug20 Transport Actuals'!$C$592,'Data-Cashout'!$D$1:$D$3100,'Mar20-Aug20 Transport Actuals'!$F$592,'Data-Cashout'!$E$1:$E$3100,'Mar20-Aug20 Transport Actuals'!$H$592)</f>
        <v>0</v>
      </c>
      <c r="P592" s="288">
        <f t="shared" si="213"/>
        <v>0</v>
      </c>
    </row>
    <row r="593" spans="3:16" customFormat="1" x14ac:dyDescent="0.25">
      <c r="C593" s="185" t="s">
        <v>493</v>
      </c>
      <c r="D593" s="185" t="str">
        <f>MID(C593,6,3)</f>
        <v>892</v>
      </c>
      <c r="E593" s="183" t="s">
        <v>458</v>
      </c>
      <c r="F593" s="185" t="s">
        <v>320</v>
      </c>
      <c r="G593" s="186" t="s">
        <v>169</v>
      </c>
      <c r="H593" s="183"/>
      <c r="I593" s="214">
        <f>SUM(I588:I592)</f>
        <v>0</v>
      </c>
      <c r="J593" s="214">
        <f t="shared" ref="J593:O593" si="215">SUM(J588:J592)</f>
        <v>0</v>
      </c>
      <c r="K593" s="214">
        <f t="shared" si="215"/>
        <v>0</v>
      </c>
      <c r="L593" s="214">
        <f>SUM(L588:L592)</f>
        <v>0</v>
      </c>
      <c r="M593" s="214">
        <f t="shared" si="215"/>
        <v>0</v>
      </c>
      <c r="N593" s="214">
        <f t="shared" si="215"/>
        <v>0</v>
      </c>
      <c r="O593" s="214">
        <f t="shared" si="215"/>
        <v>0</v>
      </c>
      <c r="P593" s="288">
        <f t="shared" si="213"/>
        <v>0</v>
      </c>
    </row>
    <row r="594" spans="3:16" customFormat="1" x14ac:dyDescent="0.25">
      <c r="C594" s="185"/>
      <c r="D594" s="185"/>
      <c r="E594" s="183"/>
      <c r="F594" s="185"/>
      <c r="G594" s="186"/>
      <c r="H594" s="183"/>
      <c r="I594" s="214"/>
      <c r="J594" s="214"/>
      <c r="K594" s="214"/>
      <c r="L594" s="214"/>
      <c r="M594" s="214"/>
      <c r="N594" s="214"/>
      <c r="O594" s="214"/>
      <c r="P594" s="288">
        <f t="shared" si="213"/>
        <v>0</v>
      </c>
    </row>
    <row r="595" spans="3:16" customFormat="1" x14ac:dyDescent="0.25">
      <c r="C595" s="185"/>
      <c r="D595" s="185"/>
      <c r="E595" s="183"/>
      <c r="F595" s="185"/>
      <c r="G595" s="186" t="s">
        <v>452</v>
      </c>
      <c r="H595" s="183"/>
      <c r="I595" s="214">
        <f t="shared" ref="I595:O595" si="216">I580+I593</f>
        <v>107.49</v>
      </c>
      <c r="J595" s="214">
        <f t="shared" si="216"/>
        <v>4839.1899999999996</v>
      </c>
      <c r="K595" s="214">
        <f t="shared" si="216"/>
        <v>654.23</v>
      </c>
      <c r="L595" s="214">
        <f t="shared" si="216"/>
        <v>0</v>
      </c>
      <c r="M595" s="214">
        <f t="shared" si="216"/>
        <v>0</v>
      </c>
      <c r="N595" s="214">
        <f t="shared" si="216"/>
        <v>0</v>
      </c>
      <c r="O595" s="214">
        <f t="shared" si="216"/>
        <v>0</v>
      </c>
      <c r="P595" s="288">
        <f t="shared" si="213"/>
        <v>5600.91</v>
      </c>
    </row>
    <row r="596" spans="3:16" customFormat="1" x14ac:dyDescent="0.25">
      <c r="C596" s="183"/>
      <c r="D596" s="183"/>
      <c r="E596" s="183"/>
      <c r="F596" s="183"/>
      <c r="G596" s="183"/>
      <c r="H596" s="183"/>
      <c r="I596" s="214"/>
      <c r="J596" s="214"/>
      <c r="K596" s="214"/>
      <c r="L596" s="214"/>
      <c r="M596" s="214"/>
      <c r="N596" s="214"/>
      <c r="O596" s="214"/>
      <c r="P596" s="214"/>
    </row>
    <row r="597" spans="3:16" customFormat="1" x14ac:dyDescent="0.25">
      <c r="C597" s="183"/>
      <c r="D597" s="183"/>
      <c r="E597" s="183"/>
      <c r="F597" s="185" t="s">
        <v>444</v>
      </c>
      <c r="G597" s="189" t="s">
        <v>274</v>
      </c>
      <c r="H597" s="183"/>
      <c r="I597" s="214">
        <f>SUMIFS('Bruise Report-Cashouts'!$C$5:$C$64,'Bruise Report-Cashouts'!$A$5:$A$64,$I$385,'Bruise Report-Cashouts'!$B$5:$B$64,$F$597)</f>
        <v>107.49</v>
      </c>
      <c r="J597" s="214">
        <f>SUMIFS('Bruise Report-Cashouts'!$C$5:$C$64,'Bruise Report-Cashouts'!$A$5:$A$64,$J$385,'Bruise Report-Cashouts'!$B$5:$B$64,$F$597)</f>
        <v>4839.1899999999996</v>
      </c>
      <c r="K597" s="214">
        <f>SUMIFS('Bruise Report-Cashouts'!$C$5:$C$64,'Bruise Report-Cashouts'!$A$5:$A$64,$K$385,'Bruise Report-Cashouts'!$B$5:$B$64,$F$597)</f>
        <v>654.23</v>
      </c>
      <c r="L597" s="214">
        <f>SUMIFS('Bruise Report-Cashouts'!$C$5:$C$64,'Bruise Report-Cashouts'!$A$5:$A$64,$L$385,'Bruise Report-Cashouts'!$B$5:$B$64,$F$597)</f>
        <v>0</v>
      </c>
      <c r="M597" s="214">
        <f>SUMIFS('Bruise Report-Cashouts'!$C$5:$C$64,'Bruise Report-Cashouts'!$A$5:$A$64,$M$385,'Bruise Report-Cashouts'!$B$5:$B$64,$F$597)</f>
        <v>0</v>
      </c>
      <c r="N597" s="214">
        <f>SUMIFS('Bruise Report-Cashouts'!$C$5:$C$64,'Bruise Report-Cashouts'!$A$5:$A$64,$N$385,'Bruise Report-Cashouts'!$B$5:$B$64,$F$597)</f>
        <v>0</v>
      </c>
      <c r="O597" s="214">
        <f>SUMIFS('Bruise Report-Cashouts'!$C$5:$C$64,'Bruise Report-Cashouts'!$A$5:$A$64,$O$385,'Bruise Report-Cashouts'!$B$5:$B$64,$F$597)</f>
        <v>0</v>
      </c>
      <c r="P597" s="288">
        <f t="shared" si="213"/>
        <v>5600.91</v>
      </c>
    </row>
    <row r="598" spans="3:16" customFormat="1" x14ac:dyDescent="0.25">
      <c r="C598" s="183"/>
      <c r="D598" s="183"/>
      <c r="E598" s="183"/>
      <c r="F598" s="183"/>
      <c r="G598" s="183"/>
      <c r="H598" s="183"/>
      <c r="I598" s="214"/>
      <c r="J598" s="214"/>
      <c r="K598" s="214"/>
      <c r="L598" s="214"/>
      <c r="M598" s="214"/>
      <c r="N598" s="214"/>
      <c r="O598" s="214"/>
      <c r="P598" s="183"/>
    </row>
    <row r="599" spans="3:16" customFormat="1" x14ac:dyDescent="0.25">
      <c r="C599" s="183"/>
      <c r="D599" s="183"/>
      <c r="E599" s="183"/>
      <c r="F599" s="183"/>
      <c r="G599" s="189" t="s">
        <v>152</v>
      </c>
      <c r="H599" s="183"/>
      <c r="I599" s="214">
        <f>I595-I597</f>
        <v>0</v>
      </c>
      <c r="J599" s="214">
        <f t="shared" ref="J599:O599" si="217">J595-J597</f>
        <v>0</v>
      </c>
      <c r="K599" s="214">
        <f t="shared" si="217"/>
        <v>0</v>
      </c>
      <c r="L599" s="214">
        <f t="shared" si="217"/>
        <v>0</v>
      </c>
      <c r="M599" s="214">
        <f t="shared" si="217"/>
        <v>0</v>
      </c>
      <c r="N599" s="214">
        <f t="shared" si="217"/>
        <v>0</v>
      </c>
      <c r="O599" s="214">
        <f t="shared" si="217"/>
        <v>0</v>
      </c>
      <c r="P599" s="288">
        <f t="shared" si="213"/>
        <v>0</v>
      </c>
    </row>
    <row r="600" spans="3:16" customFormat="1" x14ac:dyDescent="0.25">
      <c r="C600" s="183"/>
      <c r="D600" s="183"/>
      <c r="E600" s="183"/>
      <c r="F600" s="183"/>
      <c r="G600" s="189"/>
      <c r="H600" s="183"/>
      <c r="I600" s="183"/>
      <c r="J600" s="183"/>
      <c r="K600" s="183"/>
      <c r="L600" s="183"/>
      <c r="M600" s="183"/>
      <c r="N600" s="183"/>
      <c r="O600" s="183"/>
      <c r="P600" s="214"/>
    </row>
    <row r="601" spans="3:16" customFormat="1" x14ac:dyDescent="0.25">
      <c r="C601" s="183"/>
      <c r="D601" s="183"/>
      <c r="E601" s="183"/>
      <c r="F601" s="183"/>
      <c r="G601" s="189"/>
      <c r="H601" s="183"/>
      <c r="I601" s="504" t="s">
        <v>641</v>
      </c>
      <c r="J601" s="504"/>
      <c r="K601" s="504"/>
      <c r="L601" s="504"/>
      <c r="M601" s="504"/>
      <c r="N601" s="504"/>
      <c r="O601" s="504"/>
      <c r="P601" s="214"/>
    </row>
    <row r="602" spans="3:16" customFormat="1" x14ac:dyDescent="0.25">
      <c r="C602" s="183"/>
      <c r="D602" s="183"/>
      <c r="E602" s="183"/>
      <c r="F602" s="183"/>
      <c r="G602" s="184" t="s">
        <v>466</v>
      </c>
      <c r="H602" s="183"/>
      <c r="I602" s="183"/>
      <c r="J602" s="183"/>
      <c r="K602" s="183"/>
      <c r="L602" s="183"/>
      <c r="M602" s="183"/>
      <c r="N602" s="183"/>
      <c r="O602" s="183"/>
      <c r="P602" s="183"/>
    </row>
    <row r="603" spans="3:16" customFormat="1" x14ac:dyDescent="0.25">
      <c r="C603" s="185" t="s">
        <v>31</v>
      </c>
      <c r="D603" s="185" t="str">
        <f t="shared" ref="D603:D617" si="218">MID(C603,6,3)</f>
        <v>882</v>
      </c>
      <c r="E603" s="183" t="s">
        <v>439</v>
      </c>
      <c r="F603" s="185" t="s">
        <v>319</v>
      </c>
      <c r="G603" s="186" t="s">
        <v>157</v>
      </c>
      <c r="H603" s="183"/>
      <c r="I603" s="183">
        <f t="shared" ref="I603:O603" si="219">+I613/I609</f>
        <v>0</v>
      </c>
      <c r="J603" s="183">
        <f t="shared" si="219"/>
        <v>0</v>
      </c>
      <c r="K603" s="183">
        <f t="shared" si="219"/>
        <v>0</v>
      </c>
      <c r="L603" s="183">
        <f t="shared" si="219"/>
        <v>0</v>
      </c>
      <c r="M603" s="183">
        <f t="shared" si="219"/>
        <v>0</v>
      </c>
      <c r="N603" s="183">
        <f t="shared" si="219"/>
        <v>0</v>
      </c>
      <c r="O603" s="183">
        <f t="shared" si="219"/>
        <v>0</v>
      </c>
      <c r="P603" s="288">
        <f>SUM(I603:N603)</f>
        <v>0</v>
      </c>
    </row>
    <row r="604" spans="3:16" customFormat="1" x14ac:dyDescent="0.25">
      <c r="C604" s="185" t="s">
        <v>31</v>
      </c>
      <c r="D604" s="185" t="str">
        <f t="shared" si="218"/>
        <v>882</v>
      </c>
      <c r="E604" s="183" t="s">
        <v>439</v>
      </c>
      <c r="F604" s="185" t="s">
        <v>319</v>
      </c>
      <c r="G604" s="186" t="s">
        <v>244</v>
      </c>
      <c r="H604" s="183"/>
      <c r="I604" s="214">
        <f>IF(I606=0,I606,IF(I606&gt;=(I603*100),(I603*100),I606))</f>
        <v>0</v>
      </c>
      <c r="J604" s="214">
        <f t="shared" ref="J604:O604" si="220">IF(J606=0,J606,IF(J606&gt;=(J603*100),(J603*100),J606))</f>
        <v>0</v>
      </c>
      <c r="K604" s="214">
        <f t="shared" si="220"/>
        <v>0</v>
      </c>
      <c r="L604" s="214">
        <f t="shared" si="220"/>
        <v>0</v>
      </c>
      <c r="M604" s="214">
        <f t="shared" si="220"/>
        <v>0</v>
      </c>
      <c r="N604" s="214">
        <f t="shared" si="220"/>
        <v>0</v>
      </c>
      <c r="O604" s="214">
        <f t="shared" si="220"/>
        <v>0</v>
      </c>
      <c r="P604" s="288">
        <f>SUM(I604:N604)</f>
        <v>0</v>
      </c>
    </row>
    <row r="605" spans="3:16" customFormat="1" x14ac:dyDescent="0.25">
      <c r="C605" s="185" t="s">
        <v>31</v>
      </c>
      <c r="D605" s="185" t="str">
        <f t="shared" si="218"/>
        <v>882</v>
      </c>
      <c r="E605" s="183" t="s">
        <v>439</v>
      </c>
      <c r="F605" s="185" t="s">
        <v>319</v>
      </c>
      <c r="G605" s="186" t="s">
        <v>245</v>
      </c>
      <c r="H605" s="183"/>
      <c r="I605" s="214">
        <f>+I606-I604</f>
        <v>0</v>
      </c>
      <c r="J605" s="214">
        <f t="shared" ref="J605:O605" si="221">+J606-J604</f>
        <v>0</v>
      </c>
      <c r="K605" s="214">
        <f t="shared" si="221"/>
        <v>0</v>
      </c>
      <c r="L605" s="214">
        <f t="shared" si="221"/>
        <v>0</v>
      </c>
      <c r="M605" s="214">
        <f t="shared" si="221"/>
        <v>0</v>
      </c>
      <c r="N605" s="214">
        <f t="shared" si="221"/>
        <v>0</v>
      </c>
      <c r="O605" s="214">
        <f t="shared" si="221"/>
        <v>0</v>
      </c>
      <c r="P605" s="288">
        <f>SUM(I605:N605)</f>
        <v>0</v>
      </c>
    </row>
    <row r="606" spans="3:16" customFormat="1" x14ac:dyDescent="0.25">
      <c r="C606" s="185" t="s">
        <v>31</v>
      </c>
      <c r="D606" s="185" t="str">
        <f t="shared" si="218"/>
        <v>882</v>
      </c>
      <c r="E606" s="183" t="s">
        <v>439</v>
      </c>
      <c r="F606" s="185" t="s">
        <v>319</v>
      </c>
      <c r="G606" s="186" t="s">
        <v>246</v>
      </c>
      <c r="H606" s="156" t="s">
        <v>265</v>
      </c>
      <c r="I606" s="482">
        <f>SUMIFS('Data-Transport'!$K$4:$K$10000,'Data-Transport'!$A$4:$A$10000,I$385,'Data-Transport'!$B$4:$B$10000,$C606,'Data-Transport'!$D$4:$D$10000,$F606,'Data-Transport'!$E$4:$E$10000,$H606,'Data-Transport'!$F$4:$F$10000,I$8)</f>
        <v>0</v>
      </c>
      <c r="J606" s="482">
        <f>SUMIFS('Data-Transport'!$K$4:$K$10000,'Data-Transport'!$A$4:$A$10000,J$385,'Data-Transport'!$B$4:$B$10000,$C606,'Data-Transport'!$D$4:$D$10000,$F606,'Data-Transport'!$E$4:$E$10000,$H606,'Data-Transport'!$F$4:$F$10000,J$8)</f>
        <v>0</v>
      </c>
      <c r="K606" s="482">
        <f>SUMIFS('Data-Transport'!$K$4:$K$10000,'Data-Transport'!$A$4:$A$10000,K$385,'Data-Transport'!$B$4:$B$10000,$C606,'Data-Transport'!$D$4:$D$10000,$F606,'Data-Transport'!$E$4:$E$10000,$H606,'Data-Transport'!$F$4:$F$10000,K$8)</f>
        <v>0</v>
      </c>
      <c r="L606" s="482">
        <f>SUMIFS('Data-Transport'!$K$4:$K$10000,'Data-Transport'!$A$4:$A$10000,L$385,'Data-Transport'!$B$4:$B$10000,$C606,'Data-Transport'!$D$4:$D$10000,$F606,'Data-Transport'!$E$4:$E$10000,$H606,'Data-Transport'!$F$4:$F$10000,L$8)</f>
        <v>0</v>
      </c>
      <c r="M606" s="482">
        <f>SUMIFS('Data-Transport'!$K$4:$K$10000,'Data-Transport'!$A$4:$A$10000,M$385,'Data-Transport'!$B$4:$B$10000,$C606,'Data-Transport'!$D$4:$D$10000,$F606,'Data-Transport'!$E$4:$E$10000,$H606,'Data-Transport'!$F$4:$F$10000,M$8)</f>
        <v>0</v>
      </c>
      <c r="N606" s="482">
        <f>SUMIFS('Data-Transport'!$K$4:$K$10000,'Data-Transport'!$A$4:$A$10000,N$385,'Data-Transport'!$B$4:$B$10000,$C606,'Data-Transport'!$D$4:$D$10000,$F606,'Data-Transport'!$E$4:$E$10000,$H606,'Data-Transport'!$F$4:$F$10000,N$8)</f>
        <v>0</v>
      </c>
      <c r="O606" s="482">
        <f>SUMIFS('Data-Transport'!$K$4:$K$10000,'Data-Transport'!$A$4:$A$10000,O$385,'Data-Transport'!$B$4:$B$10000,$C606,'Data-Transport'!$D$4:$D$10000,$F606,'Data-Transport'!$E$4:$E$10000,$H606,'Data-Transport'!$F$4:$F$10000,O$8)</f>
        <v>0</v>
      </c>
      <c r="P606" s="288">
        <f>SUM(I606:N606)</f>
        <v>0</v>
      </c>
    </row>
    <row r="607" spans="3:16" customFormat="1" x14ac:dyDescent="0.25">
      <c r="C607" s="185" t="s">
        <v>491</v>
      </c>
      <c r="D607" s="185" t="str">
        <f>MID(C607,6,3)</f>
        <v>882</v>
      </c>
      <c r="E607" s="183" t="s">
        <v>439</v>
      </c>
      <c r="F607" s="185" t="s">
        <v>319</v>
      </c>
      <c r="G607" s="186" t="s">
        <v>246</v>
      </c>
      <c r="H607" s="156" t="s">
        <v>265</v>
      </c>
      <c r="I607" s="482">
        <f>SUMIFS('Data-Transport'!$K$4:$K$10000,'Data-Transport'!$A$4:$A$10000,I$385,'Data-Transport'!$B$4:$B$10000,$C607,'Data-Transport'!$D$4:$D$10000,$F607,'Data-Transport'!$E$4:$E$10000,$H607,'Data-Transport'!$F$4:$F$10000,I$8)</f>
        <v>0</v>
      </c>
      <c r="J607" s="482">
        <f>SUMIFS('Data-Transport'!$K$4:$K$10000,'Data-Transport'!$A$4:$A$10000,J$385,'Data-Transport'!$B$4:$B$10000,$C607,'Data-Transport'!$D$4:$D$10000,$F607,'Data-Transport'!$E$4:$E$10000,$H607,'Data-Transport'!$F$4:$F$10000,J$8)</f>
        <v>0</v>
      </c>
      <c r="K607" s="482">
        <f>SUMIFS('Data-Transport'!$K$4:$K$10000,'Data-Transport'!$A$4:$A$10000,K$385,'Data-Transport'!$B$4:$B$10000,$C607,'Data-Transport'!$D$4:$D$10000,$F607,'Data-Transport'!$E$4:$E$10000,$H607,'Data-Transport'!$F$4:$F$10000,K$8)</f>
        <v>0</v>
      </c>
      <c r="L607" s="482">
        <f>SUMIFS('Data-Transport'!$K$4:$K$10000,'Data-Transport'!$A$4:$A$10000,L$385,'Data-Transport'!$B$4:$B$10000,$C607,'Data-Transport'!$D$4:$D$10000,$F607,'Data-Transport'!$E$4:$E$10000,$H607,'Data-Transport'!$F$4:$F$10000,L$8)</f>
        <v>0</v>
      </c>
      <c r="M607" s="482">
        <f>SUMIFS('Data-Transport'!$K$4:$K$10000,'Data-Transport'!$A$4:$A$10000,M$385,'Data-Transport'!$B$4:$B$10000,$C607,'Data-Transport'!$D$4:$D$10000,$F607,'Data-Transport'!$E$4:$E$10000,$H607,'Data-Transport'!$F$4:$F$10000,M$8)</f>
        <v>0</v>
      </c>
      <c r="N607" s="482">
        <f>SUMIFS('Data-Transport'!$K$4:$K$10000,'Data-Transport'!$A$4:$A$10000,N$385,'Data-Transport'!$B$4:$B$10000,$C607,'Data-Transport'!$D$4:$D$10000,$F607,'Data-Transport'!$E$4:$E$10000,$H607,'Data-Transport'!$F$4:$F$10000,N$8)</f>
        <v>0</v>
      </c>
      <c r="O607" s="482">
        <f>SUMIFS('Data-Transport'!$K$4:$K$10000,'Data-Transport'!$A$4:$A$10000,O$385,'Data-Transport'!$B$4:$B$10000,$C607,'Data-Transport'!$D$4:$D$10000,$F607,'Data-Transport'!$E$4:$E$10000,$H607,'Data-Transport'!$F$4:$F$10000,O$8)</f>
        <v>0</v>
      </c>
      <c r="P607" s="288">
        <f>SUM(I607:N607)</f>
        <v>0</v>
      </c>
    </row>
    <row r="608" spans="3:16" customFormat="1" x14ac:dyDescent="0.25">
      <c r="C608" s="185" t="s">
        <v>31</v>
      </c>
      <c r="D608" s="185" t="str">
        <f t="shared" si="218"/>
        <v>882</v>
      </c>
      <c r="E608" s="183" t="s">
        <v>439</v>
      </c>
      <c r="F608" s="185" t="s">
        <v>319</v>
      </c>
      <c r="G608" s="187"/>
      <c r="H608" s="183"/>
      <c r="I608" s="183"/>
      <c r="J608" s="183"/>
      <c r="K608" s="183"/>
      <c r="L608" s="183"/>
      <c r="M608" s="183"/>
      <c r="N608" s="183"/>
      <c r="O608" s="183"/>
      <c r="P608" s="214"/>
    </row>
    <row r="609" spans="3:16" customFormat="1" x14ac:dyDescent="0.25">
      <c r="C609" s="185" t="s">
        <v>31</v>
      </c>
      <c r="D609" s="185" t="str">
        <f t="shared" si="218"/>
        <v>882</v>
      </c>
      <c r="E609" s="183" t="s">
        <v>439</v>
      </c>
      <c r="F609" s="185" t="s">
        <v>319</v>
      </c>
      <c r="G609" s="186" t="s">
        <v>291</v>
      </c>
      <c r="H609" s="183"/>
      <c r="I609" s="183">
        <f>VLOOKUP($C609,'Retail Rates'!$B$7:$P$40,4,FALSE)</f>
        <v>5.42</v>
      </c>
      <c r="J609" s="183">
        <f>VLOOKUP($C609,'Retail Rates'!$B$7:$P$40,4,FALSE)</f>
        <v>5.42</v>
      </c>
      <c r="K609" s="183">
        <f>VLOOKUP($C609,'Retail Rates'!$B$7:$P$40,4,FALSE)</f>
        <v>5.42</v>
      </c>
      <c r="L609" s="183">
        <f>VLOOKUP($C609,'Retail Rates'!$B$7:$P$40,4,FALSE)</f>
        <v>5.42</v>
      </c>
      <c r="M609" s="183">
        <f>VLOOKUP($C609,'Retail Rates'!$B$7:$P$40,4,FALSE)</f>
        <v>5.42</v>
      </c>
      <c r="N609" s="183">
        <f>VLOOKUP($C609,'Retail Rates'!$B$7:$P$40,4,FALSE)</f>
        <v>5.42</v>
      </c>
      <c r="O609" s="183">
        <f>VLOOKUP($C609,'Retail Rates'!$B$7:$P$40,4,FALSE)</f>
        <v>5.42</v>
      </c>
      <c r="P609" s="214"/>
    </row>
    <row r="610" spans="3:16" customFormat="1" x14ac:dyDescent="0.25">
      <c r="C610" s="185" t="s">
        <v>31</v>
      </c>
      <c r="D610" s="185" t="str">
        <f t="shared" si="218"/>
        <v>882</v>
      </c>
      <c r="E610" s="183" t="s">
        <v>439</v>
      </c>
      <c r="F610" s="185" t="s">
        <v>319</v>
      </c>
      <c r="G610" s="186" t="s">
        <v>247</v>
      </c>
      <c r="H610" s="183"/>
      <c r="I610" s="183">
        <f>VLOOKUP($C610,'Retail Rates'!$B$7:$P$40,11,FALSE)</f>
        <v>1.6928999999999998</v>
      </c>
      <c r="J610" s="183">
        <f>VLOOKUP($C610,'Retail Rates'!$B$7:$P$40,11,FALSE)</f>
        <v>1.6928999999999998</v>
      </c>
      <c r="K610" s="183">
        <f>VLOOKUP($C610,'Retail Rates'!$B$7:$P$40,11,FALSE)</f>
        <v>1.6928999999999998</v>
      </c>
      <c r="L610" s="183">
        <f>VLOOKUP($C610,'Retail Rates'!$B$7:$P$40,11,FALSE)</f>
        <v>1.6928999999999998</v>
      </c>
      <c r="M610" s="183">
        <f>VLOOKUP($C610,'Retail Rates'!$B$7:$P$40,11,FALSE)</f>
        <v>1.6928999999999998</v>
      </c>
      <c r="N610" s="183">
        <f>VLOOKUP($C610,'Retail Rates'!$B$7:$P$40,11,FALSE)</f>
        <v>1.6928999999999998</v>
      </c>
      <c r="O610" s="183">
        <f>VLOOKUP($C610,'Retail Rates'!$B$7:$P$40,11,FALSE)</f>
        <v>1.6928999999999998</v>
      </c>
      <c r="P610" s="214"/>
    </row>
    <row r="611" spans="3:16" customFormat="1" x14ac:dyDescent="0.25">
      <c r="C611" s="185" t="s">
        <v>31</v>
      </c>
      <c r="D611" s="185" t="str">
        <f t="shared" si="218"/>
        <v>882</v>
      </c>
      <c r="E611" s="183" t="s">
        <v>439</v>
      </c>
      <c r="F611" s="185" t="s">
        <v>319</v>
      </c>
      <c r="G611" s="186" t="s">
        <v>248</v>
      </c>
      <c r="H611" s="183"/>
      <c r="I611" s="183">
        <f>+I610</f>
        <v>1.6928999999999998</v>
      </c>
      <c r="J611" s="183">
        <f t="shared" ref="J611:O611" si="222">+J610</f>
        <v>1.6928999999999998</v>
      </c>
      <c r="K611" s="183">
        <f t="shared" si="222"/>
        <v>1.6928999999999998</v>
      </c>
      <c r="L611" s="183">
        <f t="shared" si="222"/>
        <v>1.6928999999999998</v>
      </c>
      <c r="M611" s="183">
        <f t="shared" si="222"/>
        <v>1.6928999999999998</v>
      </c>
      <c r="N611" s="183">
        <f t="shared" si="222"/>
        <v>1.6928999999999998</v>
      </c>
      <c r="O611" s="183">
        <f t="shared" si="222"/>
        <v>1.6928999999999998</v>
      </c>
      <c r="P611" s="214"/>
    </row>
    <row r="612" spans="3:16" customFormat="1" x14ac:dyDescent="0.25">
      <c r="C612" s="185" t="s">
        <v>31</v>
      </c>
      <c r="D612" s="185" t="str">
        <f t="shared" si="218"/>
        <v>882</v>
      </c>
      <c r="E612" s="183" t="s">
        <v>439</v>
      </c>
      <c r="F612" s="185" t="s">
        <v>319</v>
      </c>
      <c r="G612" s="188" t="s">
        <v>162</v>
      </c>
      <c r="H612" s="183"/>
      <c r="I612" s="183"/>
      <c r="J612" s="183"/>
      <c r="K612" s="183"/>
      <c r="L612" s="183"/>
      <c r="M612" s="183"/>
      <c r="N612" s="183"/>
      <c r="O612" s="183"/>
      <c r="P612" s="183"/>
    </row>
    <row r="613" spans="3:16" customFormat="1" x14ac:dyDescent="0.25">
      <c r="C613" s="185" t="s">
        <v>31</v>
      </c>
      <c r="D613" s="185" t="str">
        <f t="shared" si="218"/>
        <v>882</v>
      </c>
      <c r="E613" s="183" t="s">
        <v>439</v>
      </c>
      <c r="F613" s="185" t="s">
        <v>319</v>
      </c>
      <c r="G613" s="189" t="s">
        <v>89</v>
      </c>
      <c r="H613" s="156" t="s">
        <v>272</v>
      </c>
      <c r="I613" s="482">
        <f>SUMIFS('Data-Transport'!$K$4:$K$10000,'Data-Transport'!$A$4:$A$10000,I$385,'Data-Transport'!$B$4:$B$10000,$C613,'Data-Transport'!$D$4:$D$10000,$F613,'Data-Transport'!$E$4:$E$10000,$H613,'Data-Transport'!$F$4:$F$10000,I$8)</f>
        <v>0</v>
      </c>
      <c r="J613" s="482">
        <f>SUMIFS('Data-Transport'!$K$4:$K$10000,'Data-Transport'!$A$4:$A$10000,J$385,'Data-Transport'!$B$4:$B$10000,$C613,'Data-Transport'!$D$4:$D$10000,$F613,'Data-Transport'!$E$4:$E$10000,$H613,'Data-Transport'!$F$4:$F$10000,J$8)</f>
        <v>0</v>
      </c>
      <c r="K613" s="482">
        <f>SUMIFS('Data-Transport'!$K$4:$K$10000,'Data-Transport'!$A$4:$A$10000,K$385,'Data-Transport'!$B$4:$B$10000,$C613,'Data-Transport'!$D$4:$D$10000,$F613,'Data-Transport'!$E$4:$E$10000,$H613,'Data-Transport'!$F$4:$F$10000,K$8)</f>
        <v>0</v>
      </c>
      <c r="L613" s="482">
        <f>SUMIFS('Data-Transport'!$K$4:$K$10000,'Data-Transport'!$A$4:$A$10000,L$385,'Data-Transport'!$B$4:$B$10000,$C613,'Data-Transport'!$D$4:$D$10000,$F613,'Data-Transport'!$E$4:$E$10000,$H613,'Data-Transport'!$F$4:$F$10000,L$8)</f>
        <v>0</v>
      </c>
      <c r="M613" s="482">
        <f>SUMIFS('Data-Transport'!$K$4:$K$10000,'Data-Transport'!$A$4:$A$10000,M$385,'Data-Transport'!$B$4:$B$10000,$C613,'Data-Transport'!$D$4:$D$10000,$F613,'Data-Transport'!$E$4:$E$10000,$H613,'Data-Transport'!$F$4:$F$10000,M$8)</f>
        <v>0</v>
      </c>
      <c r="N613" s="482">
        <f>SUMIFS('Data-Transport'!$K$4:$K$10000,'Data-Transport'!$A$4:$A$10000,N$385,'Data-Transport'!$B$4:$B$10000,$C613,'Data-Transport'!$D$4:$D$10000,$F613,'Data-Transport'!$E$4:$E$10000,$H613,'Data-Transport'!$F$4:$F$10000,N$8)</f>
        <v>0</v>
      </c>
      <c r="O613" s="482">
        <f>SUMIFS('Data-Transport'!$K$4:$K$10000,'Data-Transport'!$A$4:$A$10000,O$385,'Data-Transport'!$B$4:$B$10000,$C613,'Data-Transport'!$D$4:$D$10000,$F613,'Data-Transport'!$E$4:$E$10000,$H613,'Data-Transport'!$F$4:$F$10000,O$8)</f>
        <v>0</v>
      </c>
      <c r="P613" s="288">
        <f t="shared" ref="P613:P619" si="223">SUM(I613:N613)</f>
        <v>0</v>
      </c>
    </row>
    <row r="614" spans="3:16" customFormat="1" x14ac:dyDescent="0.25">
      <c r="C614" s="185" t="s">
        <v>491</v>
      </c>
      <c r="D614" s="185" t="str">
        <f>MID(C614,6,3)</f>
        <v>882</v>
      </c>
      <c r="E614" s="183" t="s">
        <v>439</v>
      </c>
      <c r="F614" s="185" t="s">
        <v>319</v>
      </c>
      <c r="G614" s="189" t="s">
        <v>89</v>
      </c>
      <c r="H614" s="156" t="s">
        <v>272</v>
      </c>
      <c r="I614" s="482">
        <f>SUMIFS('Data-Transport'!$K$4:$K$10000,'Data-Transport'!$A$4:$A$10000,I$385,'Data-Transport'!$B$4:$B$10000,$C614,'Data-Transport'!$D$4:$D$10000,$F614,'Data-Transport'!$E$4:$E$10000,$H614,'Data-Transport'!$F$4:$F$10000,I$8)</f>
        <v>0</v>
      </c>
      <c r="J614" s="482">
        <f>SUMIFS('Data-Transport'!$K$4:$K$10000,'Data-Transport'!$A$4:$A$10000,J$385,'Data-Transport'!$B$4:$B$10000,$C614,'Data-Transport'!$D$4:$D$10000,$F614,'Data-Transport'!$E$4:$E$10000,$H614,'Data-Transport'!$F$4:$F$10000,J$8)</f>
        <v>0</v>
      </c>
      <c r="K614" s="482">
        <f>SUMIFS('Data-Transport'!$K$4:$K$10000,'Data-Transport'!$A$4:$A$10000,K$385,'Data-Transport'!$B$4:$B$10000,$C614,'Data-Transport'!$D$4:$D$10000,$F614,'Data-Transport'!$E$4:$E$10000,$H614,'Data-Transport'!$F$4:$F$10000,K$8)</f>
        <v>0</v>
      </c>
      <c r="L614" s="482">
        <f>SUMIFS('Data-Transport'!$K$4:$K$10000,'Data-Transport'!$A$4:$A$10000,L$385,'Data-Transport'!$B$4:$B$10000,$C614,'Data-Transport'!$D$4:$D$10000,$F614,'Data-Transport'!$E$4:$E$10000,$H614,'Data-Transport'!$F$4:$F$10000,L$8)</f>
        <v>0</v>
      </c>
      <c r="M614" s="482">
        <f>SUMIFS('Data-Transport'!$K$4:$K$10000,'Data-Transport'!$A$4:$A$10000,M$385,'Data-Transport'!$B$4:$B$10000,$C614,'Data-Transport'!$D$4:$D$10000,$F614,'Data-Transport'!$E$4:$E$10000,$H614,'Data-Transport'!$F$4:$F$10000,M$8)</f>
        <v>0</v>
      </c>
      <c r="N614" s="482">
        <f>SUMIFS('Data-Transport'!$K$4:$K$10000,'Data-Transport'!$A$4:$A$10000,N$385,'Data-Transport'!$B$4:$B$10000,$C614,'Data-Transport'!$D$4:$D$10000,$F614,'Data-Transport'!$E$4:$E$10000,$H614,'Data-Transport'!$F$4:$F$10000,N$8)</f>
        <v>0</v>
      </c>
      <c r="O614" s="482">
        <f>SUMIFS('Data-Transport'!$K$4:$K$10000,'Data-Transport'!$A$4:$A$10000,O$385,'Data-Transport'!$B$4:$B$10000,$C614,'Data-Transport'!$D$4:$D$10000,$F614,'Data-Transport'!$E$4:$E$10000,$H614,'Data-Transport'!$F$4:$F$10000,O$8)</f>
        <v>0</v>
      </c>
      <c r="P614" s="288">
        <f t="shared" si="223"/>
        <v>0</v>
      </c>
    </row>
    <row r="615" spans="3:16" customFormat="1" x14ac:dyDescent="0.25">
      <c r="C615" s="185" t="s">
        <v>31</v>
      </c>
      <c r="D615" s="185" t="str">
        <f t="shared" si="218"/>
        <v>882</v>
      </c>
      <c r="E615" s="183" t="s">
        <v>439</v>
      </c>
      <c r="F615" s="185" t="s">
        <v>319</v>
      </c>
      <c r="G615" s="186" t="s">
        <v>249</v>
      </c>
      <c r="H615" s="183"/>
      <c r="I615" s="214">
        <f>ROUND(+I604*I610,2)</f>
        <v>0</v>
      </c>
      <c r="J615" s="214">
        <f t="shared" ref="J615:O615" si="224">ROUND(+J604*J610,2)</f>
        <v>0</v>
      </c>
      <c r="K615" s="214">
        <f t="shared" si="224"/>
        <v>0</v>
      </c>
      <c r="L615" s="214">
        <f t="shared" si="224"/>
        <v>0</v>
      </c>
      <c r="M615" s="214">
        <f t="shared" si="224"/>
        <v>0</v>
      </c>
      <c r="N615" s="214">
        <f t="shared" si="224"/>
        <v>0</v>
      </c>
      <c r="O615" s="214">
        <f t="shared" si="224"/>
        <v>0</v>
      </c>
      <c r="P615" s="288">
        <f t="shared" si="223"/>
        <v>0</v>
      </c>
    </row>
    <row r="616" spans="3:16" customFormat="1" x14ac:dyDescent="0.25">
      <c r="C616" s="185" t="s">
        <v>31</v>
      </c>
      <c r="D616" s="185" t="str">
        <f t="shared" si="218"/>
        <v>882</v>
      </c>
      <c r="E616" s="183" t="s">
        <v>439</v>
      </c>
      <c r="F616" s="185" t="s">
        <v>319</v>
      </c>
      <c r="G616" s="186" t="s">
        <v>250</v>
      </c>
      <c r="H616" s="183"/>
      <c r="I616" s="219">
        <f>ROUND(+I605*I611,2)</f>
        <v>0</v>
      </c>
      <c r="J616" s="219">
        <f t="shared" ref="J616:O616" si="225">ROUND(+J605*J611,2)</f>
        <v>0</v>
      </c>
      <c r="K616" s="219">
        <f t="shared" si="225"/>
        <v>0</v>
      </c>
      <c r="L616" s="219">
        <f t="shared" si="225"/>
        <v>0</v>
      </c>
      <c r="M616" s="219">
        <f t="shared" si="225"/>
        <v>0</v>
      </c>
      <c r="N616" s="219">
        <f t="shared" si="225"/>
        <v>0</v>
      </c>
      <c r="O616" s="219">
        <f t="shared" si="225"/>
        <v>0</v>
      </c>
      <c r="P616" s="288">
        <f t="shared" si="223"/>
        <v>0</v>
      </c>
    </row>
    <row r="617" spans="3:16" customFormat="1" x14ac:dyDescent="0.25">
      <c r="C617" s="185" t="s">
        <v>31</v>
      </c>
      <c r="D617" s="185" t="str">
        <f t="shared" si="218"/>
        <v>882</v>
      </c>
      <c r="E617" s="183" t="s">
        <v>439</v>
      </c>
      <c r="F617" s="185" t="s">
        <v>319</v>
      </c>
      <c r="G617" s="186" t="s">
        <v>107</v>
      </c>
      <c r="H617" s="156" t="s">
        <v>269</v>
      </c>
      <c r="I617" s="482">
        <f>SUMIFS('Data-Cashout'!$N$1:$N$3100,'Data-Cashout'!$A$1:$A$3100,'Mar20-Aug20 Transport Actuals'!I$385,'Data-Cashout'!$B$1:$B$3100,'Mar20-Aug20 Transport Actuals'!$C$617,'Data-Cashout'!$D$1:$D$3100,'Mar20-Aug20 Transport Actuals'!$F$617,'Data-Cashout'!$E$1:$E$3100,'Mar20-Aug20 Transport Actuals'!$H$617)</f>
        <v>0</v>
      </c>
      <c r="J617" s="482">
        <f>SUMIFS('Data-Cashout'!$N$1:$N$3100,'Data-Cashout'!$A$1:$A$3100,'Mar20-Aug20 Transport Actuals'!J$385,'Data-Cashout'!$B$1:$B$3100,'Mar20-Aug20 Transport Actuals'!$C$617,'Data-Cashout'!$D$1:$D$3100,'Mar20-Aug20 Transport Actuals'!$F$617,'Data-Cashout'!$E$1:$E$3100,'Mar20-Aug20 Transport Actuals'!$H$617)</f>
        <v>0</v>
      </c>
      <c r="K617" s="482">
        <f>SUMIFS('Data-Cashout'!$N$1:$N$3100,'Data-Cashout'!$A$1:$A$3100,'Mar20-Aug20 Transport Actuals'!K$385,'Data-Cashout'!$B$1:$B$3100,'Mar20-Aug20 Transport Actuals'!$C$617,'Data-Cashout'!$D$1:$D$3100,'Mar20-Aug20 Transport Actuals'!$F$617,'Data-Cashout'!$E$1:$E$3100,'Mar20-Aug20 Transport Actuals'!$H$617)</f>
        <v>0</v>
      </c>
      <c r="L617" s="482">
        <f>SUMIFS('Data-Cashout'!$N$1:$N$3100,'Data-Cashout'!$A$1:$A$3100,'Mar20-Aug20 Transport Actuals'!L$385,'Data-Cashout'!$B$1:$B$3100,'Mar20-Aug20 Transport Actuals'!$C$617,'Data-Cashout'!$D$1:$D$3100,'Mar20-Aug20 Transport Actuals'!$F$617,'Data-Cashout'!$E$1:$E$3100,'Mar20-Aug20 Transport Actuals'!$H$617)</f>
        <v>0</v>
      </c>
      <c r="M617" s="482">
        <f>SUMIFS('Data-Cashout'!$N$1:$N$3100,'Data-Cashout'!$A$1:$A$3100,'Mar20-Aug20 Transport Actuals'!M$385,'Data-Cashout'!$B$1:$B$3100,'Mar20-Aug20 Transport Actuals'!$C$617,'Data-Cashout'!$D$1:$D$3100,'Mar20-Aug20 Transport Actuals'!$F$617,'Data-Cashout'!$E$1:$E$3100,'Mar20-Aug20 Transport Actuals'!$H$617)</f>
        <v>0</v>
      </c>
      <c r="N617" s="482">
        <f>SUMIFS('Data-Cashout'!$N$1:$N$3100,'Data-Cashout'!$A$1:$A$3100,'Mar20-Aug20 Transport Actuals'!N$385,'Data-Cashout'!$B$1:$B$3100,'Mar20-Aug20 Transport Actuals'!$C$617,'Data-Cashout'!$D$1:$D$3100,'Mar20-Aug20 Transport Actuals'!$F$617,'Data-Cashout'!$E$1:$E$3100,'Mar20-Aug20 Transport Actuals'!$H$617)</f>
        <v>0</v>
      </c>
      <c r="O617" s="482">
        <f>SUMIFS('Data-Cashout'!$N$1:$N$3100,'Data-Cashout'!$A$1:$A$3100,'Mar20-Aug20 Transport Actuals'!O$385,'Data-Cashout'!$B$1:$B$3100,'Mar20-Aug20 Transport Actuals'!$C$617,'Data-Cashout'!$D$1:$D$3100,'Mar20-Aug20 Transport Actuals'!$F$617,'Data-Cashout'!$E$1:$E$3100,'Mar20-Aug20 Transport Actuals'!$H$617)</f>
        <v>0</v>
      </c>
      <c r="P617" s="288">
        <f t="shared" si="223"/>
        <v>0</v>
      </c>
    </row>
    <row r="618" spans="3:16" customFormat="1" x14ac:dyDescent="0.25">
      <c r="C618" s="185" t="s">
        <v>52</v>
      </c>
      <c r="D618" s="185" t="str">
        <f>MID(C618,6,3)</f>
        <v>882</v>
      </c>
      <c r="E618" s="183" t="s">
        <v>439</v>
      </c>
      <c r="F618" s="185" t="s">
        <v>319</v>
      </c>
      <c r="G618" s="186" t="s">
        <v>639</v>
      </c>
      <c r="H618" s="156" t="s">
        <v>269</v>
      </c>
      <c r="I618" s="482">
        <f>SUMIFS('Data-Cashout'!$N$1:$N$3100,'Data-Cashout'!$A$1:$A$3100,'Mar20-Aug20 Transport Actuals'!I$385,'Data-Cashout'!$B$1:$B$3100,'Mar20-Aug20 Transport Actuals'!$C$618,'Data-Cashout'!$D$1:$D$3100,'Mar20-Aug20 Transport Actuals'!$F$618,'Data-Cashout'!$E$1:$E$3100,'Mar20-Aug20 Transport Actuals'!$H$618)</f>
        <v>0</v>
      </c>
      <c r="J618" s="482">
        <f>SUMIFS('Data-Cashout'!$N$1:$N$3100,'Data-Cashout'!$A$1:$A$3100,'Mar20-Aug20 Transport Actuals'!J$385,'Data-Cashout'!$B$1:$B$3100,'Mar20-Aug20 Transport Actuals'!$C$618,'Data-Cashout'!$D$1:$D$3100,'Mar20-Aug20 Transport Actuals'!$F$618,'Data-Cashout'!$E$1:$E$3100,'Mar20-Aug20 Transport Actuals'!$H$618)</f>
        <v>0</v>
      </c>
      <c r="K618" s="482">
        <f>SUMIFS('Data-Cashout'!$N$1:$N$3100,'Data-Cashout'!$A$1:$A$3100,'Mar20-Aug20 Transport Actuals'!K$385,'Data-Cashout'!$B$1:$B$3100,'Mar20-Aug20 Transport Actuals'!$C$618,'Data-Cashout'!$D$1:$D$3100,'Mar20-Aug20 Transport Actuals'!$F$618,'Data-Cashout'!$E$1:$E$3100,'Mar20-Aug20 Transport Actuals'!$H$618)</f>
        <v>0</v>
      </c>
      <c r="L618" s="482">
        <f>SUMIFS('Data-Cashout'!$N$1:$N$3100,'Data-Cashout'!$A$1:$A$3100,'Mar20-Aug20 Transport Actuals'!L$385,'Data-Cashout'!$B$1:$B$3100,'Mar20-Aug20 Transport Actuals'!$C$618,'Data-Cashout'!$D$1:$D$3100,'Mar20-Aug20 Transport Actuals'!$F$618,'Data-Cashout'!$E$1:$E$3100,'Mar20-Aug20 Transport Actuals'!$H$618)</f>
        <v>0</v>
      </c>
      <c r="M618" s="482">
        <f>SUMIFS('Data-Cashout'!$N$1:$N$3100,'Data-Cashout'!$A$1:$A$3100,'Mar20-Aug20 Transport Actuals'!M$385,'Data-Cashout'!$B$1:$B$3100,'Mar20-Aug20 Transport Actuals'!$C$618,'Data-Cashout'!$D$1:$D$3100,'Mar20-Aug20 Transport Actuals'!$F$618,'Data-Cashout'!$E$1:$E$3100,'Mar20-Aug20 Transport Actuals'!$H$618)</f>
        <v>0</v>
      </c>
      <c r="N618" s="482">
        <f>SUMIFS('Data-Cashout'!$N$1:$N$3100,'Data-Cashout'!$A$1:$A$3100,'Mar20-Aug20 Transport Actuals'!N$385,'Data-Cashout'!$B$1:$B$3100,'Mar20-Aug20 Transport Actuals'!$C$618,'Data-Cashout'!$D$1:$D$3100,'Mar20-Aug20 Transport Actuals'!$F$618,'Data-Cashout'!$E$1:$E$3100,'Mar20-Aug20 Transport Actuals'!$H$618)</f>
        <v>0</v>
      </c>
      <c r="O618" s="482">
        <f>SUMIFS('Data-Cashout'!$N$1:$N$3100,'Data-Cashout'!$A$1:$A$3100,'Mar20-Aug20 Transport Actuals'!O$385,'Data-Cashout'!$B$1:$B$3100,'Mar20-Aug20 Transport Actuals'!$C$618,'Data-Cashout'!$D$1:$D$3100,'Mar20-Aug20 Transport Actuals'!$F$618,'Data-Cashout'!$E$1:$E$3100,'Mar20-Aug20 Transport Actuals'!$H$618)</f>
        <v>0</v>
      </c>
      <c r="P618" s="288">
        <f t="shared" si="223"/>
        <v>0</v>
      </c>
    </row>
    <row r="619" spans="3:16" customFormat="1" x14ac:dyDescent="0.25">
      <c r="C619" s="185" t="s">
        <v>491</v>
      </c>
      <c r="D619" s="185" t="str">
        <f>MID(C619,6,3)</f>
        <v>882</v>
      </c>
      <c r="E619" s="183" t="s">
        <v>439</v>
      </c>
      <c r="F619" s="185" t="s">
        <v>319</v>
      </c>
      <c r="G619" s="186" t="s">
        <v>169</v>
      </c>
      <c r="H619" s="183"/>
      <c r="I619" s="214">
        <f>SUM(I613:I618)</f>
        <v>0</v>
      </c>
      <c r="J619" s="214">
        <f t="shared" ref="J619:O619" si="226">SUM(J613:J618)</f>
        <v>0</v>
      </c>
      <c r="K619" s="214">
        <f t="shared" si="226"/>
        <v>0</v>
      </c>
      <c r="L619" s="214">
        <f t="shared" si="226"/>
        <v>0</v>
      </c>
      <c r="M619" s="214">
        <f t="shared" si="226"/>
        <v>0</v>
      </c>
      <c r="N619" s="214">
        <f t="shared" si="226"/>
        <v>0</v>
      </c>
      <c r="O619" s="214">
        <f t="shared" si="226"/>
        <v>0</v>
      </c>
      <c r="P619" s="288">
        <f t="shared" si="223"/>
        <v>0</v>
      </c>
    </row>
    <row r="620" spans="3:16" customFormat="1" x14ac:dyDescent="0.25">
      <c r="C620" s="185"/>
      <c r="D620" s="185"/>
      <c r="E620" s="183"/>
      <c r="F620" s="185"/>
      <c r="G620" s="186"/>
      <c r="H620" s="183"/>
      <c r="I620" s="214"/>
      <c r="J620" s="214"/>
      <c r="K620" s="214"/>
      <c r="L620" s="214"/>
      <c r="M620" s="214"/>
      <c r="N620" s="214"/>
      <c r="O620" s="214"/>
      <c r="P620" s="198"/>
    </row>
    <row r="621" spans="3:16" customFormat="1" x14ac:dyDescent="0.25">
      <c r="C621" s="185"/>
      <c r="D621" s="185"/>
      <c r="E621" s="183"/>
      <c r="F621" s="185"/>
      <c r="G621" s="186"/>
      <c r="H621" s="183"/>
      <c r="I621" s="214"/>
      <c r="J621" s="214"/>
      <c r="K621" s="214"/>
      <c r="L621" s="214"/>
      <c r="M621" s="214"/>
      <c r="N621" s="214"/>
      <c r="O621" s="214"/>
      <c r="P621" s="198"/>
    </row>
    <row r="622" spans="3:16" customFormat="1" x14ac:dyDescent="0.25">
      <c r="C622" s="185" t="s">
        <v>53</v>
      </c>
      <c r="D622" s="185" t="str">
        <f t="shared" ref="D622:D631" si="227">MID(C622,6,3)</f>
        <v>892</v>
      </c>
      <c r="E622" s="183" t="s">
        <v>439</v>
      </c>
      <c r="F622" s="185" t="s">
        <v>319</v>
      </c>
      <c r="G622" s="186" t="s">
        <v>157</v>
      </c>
      <c r="H622" s="183"/>
      <c r="I622" s="183">
        <f>+I628/I625</f>
        <v>0</v>
      </c>
      <c r="J622" s="183">
        <f t="shared" ref="J622:O622" si="228">+J628/J625</f>
        <v>0</v>
      </c>
      <c r="K622" s="183">
        <f t="shared" si="228"/>
        <v>0</v>
      </c>
      <c r="L622" s="183">
        <f t="shared" si="228"/>
        <v>0</v>
      </c>
      <c r="M622" s="183">
        <f t="shared" si="228"/>
        <v>0</v>
      </c>
      <c r="N622" s="183">
        <f t="shared" si="228"/>
        <v>0</v>
      </c>
      <c r="O622" s="183">
        <f t="shared" si="228"/>
        <v>0</v>
      </c>
      <c r="P622" s="288">
        <f>SUM(I622:N622)</f>
        <v>0</v>
      </c>
    </row>
    <row r="623" spans="3:16" customFormat="1" x14ac:dyDescent="0.25">
      <c r="C623" s="185" t="s">
        <v>53</v>
      </c>
      <c r="D623" s="185" t="str">
        <f t="shared" si="227"/>
        <v>892</v>
      </c>
      <c r="E623" s="183" t="s">
        <v>439</v>
      </c>
      <c r="F623" s="185" t="s">
        <v>319</v>
      </c>
      <c r="G623" s="186" t="s">
        <v>246</v>
      </c>
      <c r="H623" s="156" t="s">
        <v>265</v>
      </c>
      <c r="I623" s="482">
        <f>SUMIFS('Data-Cashout'!$H$1:$H$3100,'Data-Cashout'!$A$1:$A$3100,'Mar20-Aug20 Transport Actuals'!I$385,'Data-Cashout'!$B$1:$B$3100,'Mar20-Aug20 Transport Actuals'!$C$623,'Data-Cashout'!$D$1:$D$3100,'Mar20-Aug20 Transport Actuals'!$F$623,'Data-Cashout'!$E$1:$E$3100,'Mar20-Aug20 Transport Actuals'!$H$623,'Data-Cashout'!$F$1:$F$3100,'Mar20-Aug20 Transport Actuals'!I$388)</f>
        <v>0</v>
      </c>
      <c r="J623" s="482">
        <f>SUMIFS('Data-Cashout'!$H$1:$H$3100,'Data-Cashout'!$A$1:$A$3100,'Mar20-Aug20 Transport Actuals'!J$385,'Data-Cashout'!$B$1:$B$3100,'Mar20-Aug20 Transport Actuals'!$C$623,'Data-Cashout'!$D$1:$D$3100,'Mar20-Aug20 Transport Actuals'!$F$623,'Data-Cashout'!$E$1:$E$3100,'Mar20-Aug20 Transport Actuals'!$H$623,'Data-Cashout'!$F$1:$F$3100,'Mar20-Aug20 Transport Actuals'!J$388)</f>
        <v>0</v>
      </c>
      <c r="K623" s="482">
        <f>SUMIFS('Data-Cashout'!$H$1:$H$3100,'Data-Cashout'!$A$1:$A$3100,'Mar20-Aug20 Transport Actuals'!K$385,'Data-Cashout'!$B$1:$B$3100,'Mar20-Aug20 Transport Actuals'!$C$623,'Data-Cashout'!$D$1:$D$3100,'Mar20-Aug20 Transport Actuals'!$F$623,'Data-Cashout'!$E$1:$E$3100,'Mar20-Aug20 Transport Actuals'!$H$623,'Data-Cashout'!$F$1:$F$3100,'Mar20-Aug20 Transport Actuals'!K$388)</f>
        <v>0</v>
      </c>
      <c r="L623" s="482">
        <f>SUMIFS('Data-Cashout'!$H$1:$H$3100,'Data-Cashout'!$A$1:$A$3100,'Mar20-Aug20 Transport Actuals'!L$385,'Data-Cashout'!$B$1:$B$3100,'Mar20-Aug20 Transport Actuals'!$C$623,'Data-Cashout'!$D$1:$D$3100,'Mar20-Aug20 Transport Actuals'!$F$623,'Data-Cashout'!$E$1:$E$3100,'Mar20-Aug20 Transport Actuals'!$H$623,'Data-Cashout'!$F$1:$F$3100,'Mar20-Aug20 Transport Actuals'!L$388)</f>
        <v>0</v>
      </c>
      <c r="M623" s="482">
        <f>SUMIFS('Data-Cashout'!$H$1:$H$3100,'Data-Cashout'!$A$1:$A$3100,'Mar20-Aug20 Transport Actuals'!M$385,'Data-Cashout'!$B$1:$B$3100,'Mar20-Aug20 Transport Actuals'!$C$623,'Data-Cashout'!$D$1:$D$3100,'Mar20-Aug20 Transport Actuals'!$F$623,'Data-Cashout'!$E$1:$E$3100,'Mar20-Aug20 Transport Actuals'!$H$623,'Data-Cashout'!$F$1:$F$3100,'Mar20-Aug20 Transport Actuals'!M$388)</f>
        <v>0</v>
      </c>
      <c r="N623" s="482">
        <f>SUMIFS('Data-Cashout'!$H$1:$H$3100,'Data-Cashout'!$A$1:$A$3100,'Mar20-Aug20 Transport Actuals'!N$385,'Data-Cashout'!$B$1:$B$3100,'Mar20-Aug20 Transport Actuals'!$C$623,'Data-Cashout'!$D$1:$D$3100,'Mar20-Aug20 Transport Actuals'!$F$623,'Data-Cashout'!$E$1:$E$3100,'Mar20-Aug20 Transport Actuals'!$H$623,'Data-Cashout'!$F$1:$F$3100,'Mar20-Aug20 Transport Actuals'!N$388)</f>
        <v>0</v>
      </c>
      <c r="O623" s="482">
        <f>SUMIFS('Data-Cashout'!$H$1:$H$3100,'Data-Cashout'!$A$1:$A$3100,'Mar20-Aug20 Transport Actuals'!O$385,'Data-Cashout'!$B$1:$B$3100,'Mar20-Aug20 Transport Actuals'!$C$623,'Data-Cashout'!$D$1:$D$3100,'Mar20-Aug20 Transport Actuals'!$F$623,'Data-Cashout'!$E$1:$E$3100,'Mar20-Aug20 Transport Actuals'!$H$623,'Data-Cashout'!$F$1:$F$3100,'Mar20-Aug20 Transport Actuals'!O$388)</f>
        <v>0</v>
      </c>
      <c r="P623" s="288">
        <f>SUM(I623:N623)</f>
        <v>0</v>
      </c>
    </row>
    <row r="624" spans="3:16" customFormat="1" x14ac:dyDescent="0.25">
      <c r="C624" s="185" t="s">
        <v>53</v>
      </c>
      <c r="D624" s="185" t="str">
        <f t="shared" si="227"/>
        <v>892</v>
      </c>
      <c r="E624" s="183" t="s">
        <v>439</v>
      </c>
      <c r="F624" s="185" t="s">
        <v>319</v>
      </c>
      <c r="G624" s="187"/>
      <c r="H624" s="183"/>
      <c r="I624" s="183"/>
      <c r="J624" s="183"/>
      <c r="K624" s="183"/>
      <c r="L624" s="183"/>
      <c r="M624" s="183"/>
      <c r="N624" s="183"/>
      <c r="O624" s="183"/>
      <c r="P624" s="198"/>
    </row>
    <row r="625" spans="3:16" customFormat="1" x14ac:dyDescent="0.25">
      <c r="C625" s="185" t="s">
        <v>53</v>
      </c>
      <c r="D625" s="185" t="str">
        <f t="shared" si="227"/>
        <v>892</v>
      </c>
      <c r="E625" s="183" t="s">
        <v>439</v>
      </c>
      <c r="F625" s="185" t="s">
        <v>319</v>
      </c>
      <c r="G625" s="186" t="s">
        <v>291</v>
      </c>
      <c r="H625" s="183"/>
      <c r="I625" s="183">
        <f>VLOOKUP($C625,'Retail Rates'!$B$7:$P$40,4,FALSE)</f>
        <v>500</v>
      </c>
      <c r="J625" s="183">
        <f>VLOOKUP($C625,'Retail Rates'!$B$7:$P$40,4,FALSE)</f>
        <v>500</v>
      </c>
      <c r="K625" s="183">
        <f>VLOOKUP($C625,'Retail Rates'!$B$7:$P$40,4,FALSE)</f>
        <v>500</v>
      </c>
      <c r="L625" s="183">
        <f>VLOOKUP($C625,'Retail Rates'!$B$7:$P$40,4,FALSE)</f>
        <v>500</v>
      </c>
      <c r="M625" s="183">
        <f>VLOOKUP($C625,'Retail Rates'!$B$7:$P$40,4,FALSE)</f>
        <v>500</v>
      </c>
      <c r="N625" s="183">
        <f>VLOOKUP($C625,'Retail Rates'!$B$7:$P$40,4,FALSE)</f>
        <v>500</v>
      </c>
      <c r="O625" s="183">
        <f>VLOOKUP($C625,'Retail Rates'!$B$7:$P$40,4,FALSE)</f>
        <v>500</v>
      </c>
      <c r="P625" s="198"/>
    </row>
    <row r="626" spans="3:16" x14ac:dyDescent="0.25">
      <c r="C626" s="185" t="s">
        <v>53</v>
      </c>
      <c r="D626" s="185" t="str">
        <f t="shared" si="227"/>
        <v>892</v>
      </c>
      <c r="E626" s="183" t="s">
        <v>439</v>
      </c>
      <c r="F626" s="185" t="s">
        <v>319</v>
      </c>
      <c r="G626" s="186" t="s">
        <v>640</v>
      </c>
      <c r="H626" s="183"/>
      <c r="I626" s="503">
        <f>VLOOKUP($C626,'Retail Rates'!$B$7:$P$40,10,FALSE)</f>
        <v>1.0644</v>
      </c>
      <c r="J626" s="503">
        <f>VLOOKUP($C626,'Retail Rates'!$B$7:$P$40,10,FALSE)</f>
        <v>1.0644</v>
      </c>
      <c r="K626" s="503">
        <f>VLOOKUP($C626,'Retail Rates'!$B$7:$P$40,10,FALSE)</f>
        <v>1.0644</v>
      </c>
      <c r="L626" s="503">
        <f>VLOOKUP($C626,'Retail Rates'!$B$7:$P$40,10,FALSE)</f>
        <v>1.0644</v>
      </c>
      <c r="M626" s="503">
        <f>VLOOKUP($C626,'Retail Rates'!$B$7:$P$40,10,FALSE)</f>
        <v>1.0644</v>
      </c>
      <c r="N626" s="503">
        <f>VLOOKUP($C626,'Retail Rates'!$B$7:$P$40,10,FALSE)</f>
        <v>1.0644</v>
      </c>
      <c r="O626" s="503">
        <f>VLOOKUP($C626,'Retail Rates'!$B$7:$P$40,10,FALSE)</f>
        <v>1.0644</v>
      </c>
      <c r="P626" s="198"/>
    </row>
    <row r="627" spans="3:16" x14ac:dyDescent="0.25">
      <c r="C627" s="185" t="s">
        <v>53</v>
      </c>
      <c r="D627" s="185" t="str">
        <f t="shared" si="227"/>
        <v>892</v>
      </c>
      <c r="E627" s="183" t="s">
        <v>439</v>
      </c>
      <c r="F627" s="185" t="s">
        <v>319</v>
      </c>
      <c r="G627" s="188" t="s">
        <v>162</v>
      </c>
      <c r="H627" s="183"/>
      <c r="I627" s="183"/>
      <c r="J627" s="183"/>
      <c r="K627" s="183"/>
      <c r="L627" s="183"/>
      <c r="M627" s="183"/>
      <c r="N627" s="183"/>
      <c r="O627" s="183"/>
      <c r="P627" s="198"/>
    </row>
    <row r="628" spans="3:16" x14ac:dyDescent="0.25">
      <c r="C628" s="185" t="s">
        <v>53</v>
      </c>
      <c r="D628" s="185" t="str">
        <f t="shared" si="227"/>
        <v>892</v>
      </c>
      <c r="E628" s="183" t="s">
        <v>439</v>
      </c>
      <c r="F628" s="185" t="s">
        <v>319</v>
      </c>
      <c r="G628" s="189" t="s">
        <v>89</v>
      </c>
      <c r="H628" s="156" t="s">
        <v>272</v>
      </c>
      <c r="I628" s="482">
        <f>SUMIFS('Data-Transport'!$K$4:$K$10000,'Data-Transport'!$A$4:$A$10000,I$385,'Data-Transport'!$B$4:$B$10000,$C628,'Data-Transport'!$D$4:$D$10000,$F628,'Data-Transport'!$E$4:$E$10000,$H628,'Data-Transport'!$F$4:$F$10000,I$8)</f>
        <v>0</v>
      </c>
      <c r="J628" s="482">
        <f>SUMIFS('Data-Transport'!$K$4:$K$10000,'Data-Transport'!$A$4:$A$10000,J$385,'Data-Transport'!$B$4:$B$10000,$C628,'Data-Transport'!$D$4:$D$10000,$F628,'Data-Transport'!$E$4:$E$10000,$H628,'Data-Transport'!$F$4:$F$10000,J$8)</f>
        <v>0</v>
      </c>
      <c r="K628" s="482">
        <f>SUMIFS('Data-Transport'!$K$4:$K$10000,'Data-Transport'!$A$4:$A$10000,K$385,'Data-Transport'!$B$4:$B$10000,$C628,'Data-Transport'!$D$4:$D$10000,$F628,'Data-Transport'!$E$4:$E$10000,$H628,'Data-Transport'!$F$4:$F$10000,K$8)</f>
        <v>0</v>
      </c>
      <c r="L628" s="482">
        <f>SUMIFS('Data-Transport'!$K$4:$K$10000,'Data-Transport'!$A$4:$A$10000,L$385,'Data-Transport'!$B$4:$B$10000,$C628,'Data-Transport'!$D$4:$D$10000,$F628,'Data-Transport'!$E$4:$E$10000,$H628,'Data-Transport'!$F$4:$F$10000,L$8)</f>
        <v>0</v>
      </c>
      <c r="M628" s="482">
        <f>SUMIFS('Data-Transport'!$K$4:$K$10000,'Data-Transport'!$A$4:$A$10000,M$385,'Data-Transport'!$B$4:$B$10000,$C628,'Data-Transport'!$D$4:$D$10000,$F628,'Data-Transport'!$E$4:$E$10000,$H628,'Data-Transport'!$F$4:$F$10000,M$8)</f>
        <v>0</v>
      </c>
      <c r="N628" s="482">
        <f>SUMIFS('Data-Transport'!$K$4:$K$10000,'Data-Transport'!$A$4:$A$10000,N$385,'Data-Transport'!$B$4:$B$10000,$C628,'Data-Transport'!$D$4:$D$10000,$F628,'Data-Transport'!$E$4:$E$10000,$H628,'Data-Transport'!$F$4:$F$10000,N$8)</f>
        <v>0</v>
      </c>
      <c r="O628" s="482">
        <f>SUMIFS('Data-Transport'!$K$4:$K$10000,'Data-Transport'!$A$4:$A$10000,O$385,'Data-Transport'!$B$4:$B$10000,$C628,'Data-Transport'!$D$4:$D$10000,$F628,'Data-Transport'!$E$4:$E$10000,$H628,'Data-Transport'!$F$4:$F$10000,O$8)</f>
        <v>0</v>
      </c>
      <c r="P628" s="288">
        <f t="shared" ref="P628:P639" si="229">SUM(I628:N628)</f>
        <v>0</v>
      </c>
    </row>
    <row r="629" spans="3:16" x14ac:dyDescent="0.25">
      <c r="C629" s="185" t="s">
        <v>493</v>
      </c>
      <c r="D629" s="185" t="str">
        <f>MID(C629,6,3)</f>
        <v>892</v>
      </c>
      <c r="E629" s="183" t="s">
        <v>439</v>
      </c>
      <c r="F629" s="185" t="s">
        <v>319</v>
      </c>
      <c r="G629" s="189" t="s">
        <v>89</v>
      </c>
      <c r="H629" s="156" t="s">
        <v>272</v>
      </c>
      <c r="I629" s="482">
        <f>SUMIFS('Data-Transport'!$K$4:$K$10000,'Data-Transport'!$A$4:$A$10000,I$385,'Data-Transport'!$B$4:$B$10000,$C629,'Data-Transport'!$D$4:$D$10000,$F629,'Data-Transport'!$E$4:$E$10000,$H629,'Data-Transport'!$F$4:$F$10000,I$8)</f>
        <v>0</v>
      </c>
      <c r="J629" s="482">
        <f>SUMIFS('Data-Transport'!$K$4:$K$10000,'Data-Transport'!$A$4:$A$10000,J$385,'Data-Transport'!$B$4:$B$10000,$C629,'Data-Transport'!$D$4:$D$10000,$F629,'Data-Transport'!$E$4:$E$10000,$H629,'Data-Transport'!$F$4:$F$10000,J$8)</f>
        <v>0</v>
      </c>
      <c r="K629" s="482">
        <f>SUMIFS('Data-Transport'!$K$4:$K$10000,'Data-Transport'!$A$4:$A$10000,K$385,'Data-Transport'!$B$4:$B$10000,$C629,'Data-Transport'!$D$4:$D$10000,$F629,'Data-Transport'!$E$4:$E$10000,$H629,'Data-Transport'!$F$4:$F$10000,K$8)</f>
        <v>0</v>
      </c>
      <c r="L629" s="482">
        <f>SUMIFS('Data-Transport'!$K$4:$K$10000,'Data-Transport'!$A$4:$A$10000,L$385,'Data-Transport'!$B$4:$B$10000,$C629,'Data-Transport'!$D$4:$D$10000,$F629,'Data-Transport'!$E$4:$E$10000,$H629,'Data-Transport'!$F$4:$F$10000,L$8)</f>
        <v>0</v>
      </c>
      <c r="M629" s="482">
        <f>SUMIFS('Data-Transport'!$K$4:$K$10000,'Data-Transport'!$A$4:$A$10000,M$385,'Data-Transport'!$B$4:$B$10000,$C629,'Data-Transport'!$D$4:$D$10000,$F629,'Data-Transport'!$E$4:$E$10000,$H629,'Data-Transport'!$F$4:$F$10000,M$8)</f>
        <v>0</v>
      </c>
      <c r="N629" s="482">
        <f>SUMIFS('Data-Transport'!$K$4:$K$10000,'Data-Transport'!$A$4:$A$10000,N$385,'Data-Transport'!$B$4:$B$10000,$C629,'Data-Transport'!$D$4:$D$10000,$F629,'Data-Transport'!$E$4:$E$10000,$H629,'Data-Transport'!$F$4:$F$10000,N$8)</f>
        <v>0</v>
      </c>
      <c r="O629" s="482">
        <f>SUMIFS('Data-Transport'!$K$4:$K$10000,'Data-Transport'!$A$4:$A$10000,O$385,'Data-Transport'!$B$4:$B$10000,$C629,'Data-Transport'!$D$4:$D$10000,$F629,'Data-Transport'!$E$4:$E$10000,$H629,'Data-Transport'!$F$4:$F$10000,O$8)</f>
        <v>0</v>
      </c>
      <c r="P629" s="288">
        <f t="shared" si="229"/>
        <v>0</v>
      </c>
    </row>
    <row r="630" spans="3:16" x14ac:dyDescent="0.25">
      <c r="C630" s="185" t="s">
        <v>53</v>
      </c>
      <c r="D630" s="185" t="str">
        <f t="shared" si="227"/>
        <v>892</v>
      </c>
      <c r="E630" s="183" t="s">
        <v>439</v>
      </c>
      <c r="F630" s="185" t="s">
        <v>319</v>
      </c>
      <c r="G630" s="186" t="s">
        <v>640</v>
      </c>
      <c r="H630" s="183"/>
      <c r="I630" s="219">
        <f>I623*I626</f>
        <v>0</v>
      </c>
      <c r="J630" s="219">
        <f t="shared" ref="J630:O630" si="230">J623*J626</f>
        <v>0</v>
      </c>
      <c r="K630" s="219">
        <f t="shared" si="230"/>
        <v>0</v>
      </c>
      <c r="L630" s="219">
        <f t="shared" si="230"/>
        <v>0</v>
      </c>
      <c r="M630" s="219">
        <f t="shared" si="230"/>
        <v>0</v>
      </c>
      <c r="N630" s="219">
        <f t="shared" si="230"/>
        <v>0</v>
      </c>
      <c r="O630" s="219">
        <f t="shared" si="230"/>
        <v>0</v>
      </c>
      <c r="P630" s="288">
        <f t="shared" si="229"/>
        <v>0</v>
      </c>
    </row>
    <row r="631" spans="3:16" x14ac:dyDescent="0.25">
      <c r="C631" s="185" t="s">
        <v>53</v>
      </c>
      <c r="D631" s="185" t="str">
        <f t="shared" si="227"/>
        <v>892</v>
      </c>
      <c r="E631" s="183" t="s">
        <v>439</v>
      </c>
      <c r="F631" s="185" t="s">
        <v>319</v>
      </c>
      <c r="G631" s="186" t="s">
        <v>107</v>
      </c>
      <c r="H631" s="156" t="s">
        <v>269</v>
      </c>
      <c r="I631" s="482">
        <f>SUMIFS('Data-Cashout'!$N$1:$N$3100,'Data-Cashout'!$A$1:$A$3100,'Mar20-Aug20 Transport Actuals'!I$385,'Data-Cashout'!$B$1:$B$3100,'Mar20-Aug20 Transport Actuals'!$C$631,'Data-Cashout'!$D$1:$D$3100,'Mar20-Aug20 Transport Actuals'!$F$631,'Data-Cashout'!$E$1:$E$3100,'Mar20-Aug20 Transport Actuals'!$H$631)</f>
        <v>0</v>
      </c>
      <c r="J631" s="482">
        <f>SUMIFS('Data-Cashout'!$N$1:$N$3100,'Data-Cashout'!$A$1:$A$3100,'Mar20-Aug20 Transport Actuals'!J$385,'Data-Cashout'!$B$1:$B$3100,'Mar20-Aug20 Transport Actuals'!$C$631,'Data-Cashout'!$D$1:$D$3100,'Mar20-Aug20 Transport Actuals'!$F$631,'Data-Cashout'!$E$1:$E$3100,'Mar20-Aug20 Transport Actuals'!$H$631)</f>
        <v>0</v>
      </c>
      <c r="K631" s="482">
        <f>SUMIFS('Data-Cashout'!$N$1:$N$3100,'Data-Cashout'!$A$1:$A$3100,'Mar20-Aug20 Transport Actuals'!K$385,'Data-Cashout'!$B$1:$B$3100,'Mar20-Aug20 Transport Actuals'!$C$631,'Data-Cashout'!$D$1:$D$3100,'Mar20-Aug20 Transport Actuals'!$F$631,'Data-Cashout'!$E$1:$E$3100,'Mar20-Aug20 Transport Actuals'!$H$631)</f>
        <v>0</v>
      </c>
      <c r="L631" s="482">
        <f>SUMIFS('Data-Cashout'!$N$1:$N$3100,'Data-Cashout'!$A$1:$A$3100,'Mar20-Aug20 Transport Actuals'!L$385,'Data-Cashout'!$B$1:$B$3100,'Mar20-Aug20 Transport Actuals'!$C$631,'Data-Cashout'!$D$1:$D$3100,'Mar20-Aug20 Transport Actuals'!$F$631,'Data-Cashout'!$E$1:$E$3100,'Mar20-Aug20 Transport Actuals'!$H$631)</f>
        <v>0</v>
      </c>
      <c r="M631" s="482">
        <f>SUMIFS('Data-Cashout'!$N$1:$N$3100,'Data-Cashout'!$A$1:$A$3100,'Mar20-Aug20 Transport Actuals'!M$385,'Data-Cashout'!$B$1:$B$3100,'Mar20-Aug20 Transport Actuals'!$C$631,'Data-Cashout'!$D$1:$D$3100,'Mar20-Aug20 Transport Actuals'!$F$631,'Data-Cashout'!$E$1:$E$3100,'Mar20-Aug20 Transport Actuals'!$H$631)</f>
        <v>0</v>
      </c>
      <c r="N631" s="482">
        <f>SUMIFS('Data-Cashout'!$N$1:$N$3100,'Data-Cashout'!$A$1:$A$3100,'Mar20-Aug20 Transport Actuals'!N$385,'Data-Cashout'!$B$1:$B$3100,'Mar20-Aug20 Transport Actuals'!$C$631,'Data-Cashout'!$D$1:$D$3100,'Mar20-Aug20 Transport Actuals'!$F$631,'Data-Cashout'!$E$1:$E$3100,'Mar20-Aug20 Transport Actuals'!$H$631)</f>
        <v>0</v>
      </c>
      <c r="O631" s="482">
        <f>SUMIFS('Data-Cashout'!$N$1:$N$3100,'Data-Cashout'!$A$1:$A$3100,'Mar20-Aug20 Transport Actuals'!O$385,'Data-Cashout'!$B$1:$B$3100,'Mar20-Aug20 Transport Actuals'!$C$631,'Data-Cashout'!$D$1:$D$3100,'Mar20-Aug20 Transport Actuals'!$F$631,'Data-Cashout'!$E$1:$E$3100,'Mar20-Aug20 Transport Actuals'!$H$631)</f>
        <v>0</v>
      </c>
      <c r="P631" s="288">
        <f t="shared" si="229"/>
        <v>0</v>
      </c>
    </row>
    <row r="632" spans="3:16" x14ac:dyDescent="0.25">
      <c r="C632" s="185" t="s">
        <v>54</v>
      </c>
      <c r="D632" s="185" t="str">
        <f>MID(C632,6,3)</f>
        <v>892</v>
      </c>
      <c r="E632" s="183" t="s">
        <v>439</v>
      </c>
      <c r="F632" s="185" t="s">
        <v>319</v>
      </c>
      <c r="G632" s="186" t="s">
        <v>639</v>
      </c>
      <c r="H632" s="156" t="s">
        <v>269</v>
      </c>
      <c r="I632" s="482">
        <f>SUMIFS('Data-Cashout'!$N$1:$N$3100,'Data-Cashout'!$A$1:$A$3100,'Mar20-Aug20 Transport Actuals'!I$385,'Data-Cashout'!$B$1:$B$3100,'Mar20-Aug20 Transport Actuals'!$C$632,'Data-Cashout'!$D$1:$D$3100,'Mar20-Aug20 Transport Actuals'!$F$632,'Data-Cashout'!$E$1:$E$3100,'Mar20-Aug20 Transport Actuals'!$H$632)</f>
        <v>0</v>
      </c>
      <c r="J632" s="482">
        <f>SUMIFS('Data-Cashout'!$N$1:$N$3100,'Data-Cashout'!$A$1:$A$3100,'Mar20-Aug20 Transport Actuals'!J$385,'Data-Cashout'!$B$1:$B$3100,'Mar20-Aug20 Transport Actuals'!$C$632,'Data-Cashout'!$D$1:$D$3100,'Mar20-Aug20 Transport Actuals'!$F$632,'Data-Cashout'!$E$1:$E$3100,'Mar20-Aug20 Transport Actuals'!$H$632)</f>
        <v>0</v>
      </c>
      <c r="K632" s="482">
        <f>SUMIFS('Data-Cashout'!$N$1:$N$3100,'Data-Cashout'!$A$1:$A$3100,'Mar20-Aug20 Transport Actuals'!K$385,'Data-Cashout'!$B$1:$B$3100,'Mar20-Aug20 Transport Actuals'!$C$632,'Data-Cashout'!$D$1:$D$3100,'Mar20-Aug20 Transport Actuals'!$F$632,'Data-Cashout'!$E$1:$E$3100,'Mar20-Aug20 Transport Actuals'!$H$632)</f>
        <v>0</v>
      </c>
      <c r="L632" s="482">
        <f>SUMIFS('Data-Cashout'!$N$1:$N$3100,'Data-Cashout'!$A$1:$A$3100,'Mar20-Aug20 Transport Actuals'!L$385,'Data-Cashout'!$B$1:$B$3100,'Mar20-Aug20 Transport Actuals'!$C$632,'Data-Cashout'!$D$1:$D$3100,'Mar20-Aug20 Transport Actuals'!$F$632,'Data-Cashout'!$E$1:$E$3100,'Mar20-Aug20 Transport Actuals'!$H$632)</f>
        <v>0</v>
      </c>
      <c r="M632" s="482">
        <f>SUMIFS('Data-Cashout'!$N$1:$N$3100,'Data-Cashout'!$A$1:$A$3100,'Mar20-Aug20 Transport Actuals'!M$385,'Data-Cashout'!$B$1:$B$3100,'Mar20-Aug20 Transport Actuals'!$C$632,'Data-Cashout'!$D$1:$D$3100,'Mar20-Aug20 Transport Actuals'!$F$632,'Data-Cashout'!$E$1:$E$3100,'Mar20-Aug20 Transport Actuals'!$H$632)</f>
        <v>0</v>
      </c>
      <c r="N632" s="482">
        <f>SUMIFS('Data-Cashout'!$N$1:$N$3100,'Data-Cashout'!$A$1:$A$3100,'Mar20-Aug20 Transport Actuals'!N$385,'Data-Cashout'!$B$1:$B$3100,'Mar20-Aug20 Transport Actuals'!$C$632,'Data-Cashout'!$D$1:$D$3100,'Mar20-Aug20 Transport Actuals'!$F$632,'Data-Cashout'!$E$1:$E$3100,'Mar20-Aug20 Transport Actuals'!$H$632)</f>
        <v>0</v>
      </c>
      <c r="O632" s="482">
        <f>SUMIFS('Data-Cashout'!$N$1:$N$3100,'Data-Cashout'!$A$1:$A$3100,'Mar20-Aug20 Transport Actuals'!O$385,'Data-Cashout'!$B$1:$B$3100,'Mar20-Aug20 Transport Actuals'!$C$632,'Data-Cashout'!$D$1:$D$3100,'Mar20-Aug20 Transport Actuals'!$F$632,'Data-Cashout'!$E$1:$E$3100,'Mar20-Aug20 Transport Actuals'!$H$632)</f>
        <v>0</v>
      </c>
      <c r="P632" s="288">
        <f t="shared" si="229"/>
        <v>0</v>
      </c>
    </row>
    <row r="633" spans="3:16" x14ac:dyDescent="0.25">
      <c r="C633" s="185" t="s">
        <v>493</v>
      </c>
      <c r="D633" s="185" t="str">
        <f>MID(C633,6,3)</f>
        <v>892</v>
      </c>
      <c r="E633" s="183" t="s">
        <v>439</v>
      </c>
      <c r="F633" s="185" t="s">
        <v>319</v>
      </c>
      <c r="G633" s="186" t="s">
        <v>167</v>
      </c>
      <c r="H633" s="183"/>
      <c r="I633" s="214">
        <f>SUM(I628:I632)</f>
        <v>0</v>
      </c>
      <c r="J633" s="214">
        <f t="shared" ref="J633:O633" si="231">SUM(J628:J632)</f>
        <v>0</v>
      </c>
      <c r="K633" s="214">
        <f t="shared" si="231"/>
        <v>0</v>
      </c>
      <c r="L633" s="214">
        <f t="shared" si="231"/>
        <v>0</v>
      </c>
      <c r="M633" s="214">
        <f t="shared" si="231"/>
        <v>0</v>
      </c>
      <c r="N633" s="214">
        <f t="shared" si="231"/>
        <v>0</v>
      </c>
      <c r="O633" s="214">
        <f t="shared" si="231"/>
        <v>0</v>
      </c>
      <c r="P633" s="288">
        <f t="shared" si="229"/>
        <v>0</v>
      </c>
    </row>
    <row r="634" spans="3:16" x14ac:dyDescent="0.25">
      <c r="C634" s="185"/>
      <c r="D634" s="185"/>
      <c r="E634" s="183"/>
      <c r="F634" s="185"/>
      <c r="G634" s="186"/>
      <c r="H634" s="183"/>
      <c r="I634" s="214"/>
      <c r="J634" s="214"/>
      <c r="K634" s="214"/>
      <c r="L634" s="214"/>
      <c r="M634" s="214"/>
      <c r="N634" s="214"/>
      <c r="O634" s="214"/>
      <c r="P634" s="198"/>
    </row>
    <row r="635" spans="3:16" x14ac:dyDescent="0.25">
      <c r="C635" s="185"/>
      <c r="D635" s="185"/>
      <c r="E635" s="183"/>
      <c r="F635" s="185"/>
      <c r="G635" s="186" t="s">
        <v>467</v>
      </c>
      <c r="H635" s="183"/>
      <c r="I635" s="214">
        <f>I619+I633</f>
        <v>0</v>
      </c>
      <c r="J635" s="214">
        <f t="shared" ref="J635:O635" si="232">J619+J633</f>
        <v>0</v>
      </c>
      <c r="K635" s="214">
        <f t="shared" si="232"/>
        <v>0</v>
      </c>
      <c r="L635" s="214">
        <f t="shared" si="232"/>
        <v>0</v>
      </c>
      <c r="M635" s="214">
        <f t="shared" si="232"/>
        <v>0</v>
      </c>
      <c r="N635" s="214">
        <f t="shared" si="232"/>
        <v>0</v>
      </c>
      <c r="O635" s="214">
        <f t="shared" si="232"/>
        <v>0</v>
      </c>
      <c r="P635" s="288">
        <f t="shared" si="229"/>
        <v>0</v>
      </c>
    </row>
    <row r="636" spans="3:16" x14ac:dyDescent="0.25">
      <c r="C636" s="185"/>
      <c r="D636" s="185"/>
      <c r="E636" s="183"/>
      <c r="F636" s="185"/>
      <c r="G636" s="186"/>
      <c r="H636" s="183"/>
      <c r="I636" s="214"/>
      <c r="J636" s="214"/>
      <c r="K636" s="214"/>
      <c r="L636" s="214"/>
      <c r="M636" s="214"/>
      <c r="N636" s="214"/>
      <c r="O636" s="214"/>
      <c r="P636" s="198"/>
    </row>
    <row r="637" spans="3:16" x14ac:dyDescent="0.25">
      <c r="C637" s="183"/>
      <c r="D637" s="183"/>
      <c r="E637" s="183"/>
      <c r="F637" s="185" t="s">
        <v>460</v>
      </c>
      <c r="G637" s="189" t="s">
        <v>274</v>
      </c>
      <c r="H637" s="183"/>
      <c r="I637" s="214">
        <f>SUMIFS('Bruise Report-Cashouts'!$C$5:$C$64,'Bruise Report-Cashouts'!$A$5:$A$64,$I$385,'Bruise Report-Cashouts'!$B$5:$B$64,$F$637)</f>
        <v>0</v>
      </c>
      <c r="J637" s="214">
        <f>SUMIFS('Bruise Report-Cashouts'!$C$5:$C$64,'Bruise Report-Cashouts'!$A$5:$A$64,$J$385,'Bruise Report-Cashouts'!$B$5:$B$64,$F$637)</f>
        <v>0</v>
      </c>
      <c r="K637" s="214">
        <f>SUMIFS('Bruise Report-Cashouts'!$C$5:$C$64,'Bruise Report-Cashouts'!$A$5:$A$64,$K$385,'Bruise Report-Cashouts'!$B$5:$B$64,$F$637)</f>
        <v>0</v>
      </c>
      <c r="L637" s="214">
        <f>SUMIFS('Bruise Report-Cashouts'!$C$5:$C$64,'Bruise Report-Cashouts'!$A$5:$A$64,$L$385,'Bruise Report-Cashouts'!$B$5:$B$64,$F$637)</f>
        <v>0</v>
      </c>
      <c r="M637" s="214">
        <f>SUMIFS('Bruise Report-Cashouts'!$C$5:$C$64,'Bruise Report-Cashouts'!$A$5:$A$64,$M$385,'Bruise Report-Cashouts'!$B$5:$B$64,$F$637)</f>
        <v>0</v>
      </c>
      <c r="N637" s="214">
        <f>SUMIFS('Bruise Report-Cashouts'!$C$5:$C$64,'Bruise Report-Cashouts'!$A$5:$A$64,$N$385,'Bruise Report-Cashouts'!$B$5:$B$64,$F$637)</f>
        <v>0</v>
      </c>
      <c r="O637" s="214">
        <f>SUMIFS('Bruise Report-Cashouts'!$C$5:$C$64,'Bruise Report-Cashouts'!$A$5:$A$64,$O$385,'Bruise Report-Cashouts'!$B$5:$B$64,$F$637)</f>
        <v>0</v>
      </c>
      <c r="P637" s="288">
        <f t="shared" si="229"/>
        <v>0</v>
      </c>
    </row>
    <row r="638" spans="3:16" x14ac:dyDescent="0.25">
      <c r="C638" s="183"/>
      <c r="D638" s="183"/>
      <c r="E638" s="183"/>
      <c r="F638" s="183"/>
      <c r="G638" s="189"/>
      <c r="H638" s="183"/>
      <c r="I638" s="214"/>
      <c r="J638" s="214"/>
      <c r="K638" s="214"/>
      <c r="L638" s="214"/>
      <c r="M638" s="214"/>
      <c r="N638" s="214"/>
      <c r="O638" s="214"/>
      <c r="P638" s="214"/>
    </row>
    <row r="639" spans="3:16" x14ac:dyDescent="0.25">
      <c r="C639" s="183"/>
      <c r="D639" s="183"/>
      <c r="E639" s="183"/>
      <c r="F639" s="183"/>
      <c r="G639" s="189" t="s">
        <v>152</v>
      </c>
      <c r="H639" s="183"/>
      <c r="I639" s="214">
        <f>I635-I637</f>
        <v>0</v>
      </c>
      <c r="J639" s="214">
        <f t="shared" ref="J639:O639" si="233">J635-J637</f>
        <v>0</v>
      </c>
      <c r="K639" s="214">
        <f t="shared" si="233"/>
        <v>0</v>
      </c>
      <c r="L639" s="214">
        <f t="shared" si="233"/>
        <v>0</v>
      </c>
      <c r="M639" s="214">
        <f t="shared" si="233"/>
        <v>0</v>
      </c>
      <c r="N639" s="214">
        <f t="shared" si="233"/>
        <v>0</v>
      </c>
      <c r="O639" s="214">
        <f t="shared" si="233"/>
        <v>0</v>
      </c>
      <c r="P639" s="288">
        <f t="shared" si="229"/>
        <v>0</v>
      </c>
    </row>
    <row r="640" spans="3:16" x14ac:dyDescent="0.25">
      <c r="C640" s="183"/>
      <c r="D640" s="183"/>
      <c r="E640" s="183"/>
      <c r="F640" s="183"/>
      <c r="G640" s="189"/>
      <c r="H640" s="183"/>
      <c r="I640" s="183"/>
      <c r="J640" s="183"/>
      <c r="K640" s="183"/>
      <c r="L640" s="183"/>
      <c r="M640" s="183"/>
      <c r="N640" s="183"/>
      <c r="O640" s="183"/>
      <c r="P640" s="214"/>
    </row>
    <row r="643" spans="7:15" x14ac:dyDescent="0.25">
      <c r="H643" s="516"/>
      <c r="J643" s="203"/>
      <c r="K643" s="203"/>
      <c r="L643" s="203"/>
      <c r="M643" s="203"/>
      <c r="N643" s="203"/>
      <c r="O643" s="203">
        <f>O423+O453+O595+O635</f>
        <v>0</v>
      </c>
    </row>
    <row r="644" spans="7:15" x14ac:dyDescent="0.25">
      <c r="G644" s="513"/>
      <c r="H644" s="298"/>
    </row>
    <row r="645" spans="7:15" x14ac:dyDescent="0.25">
      <c r="G645" s="513"/>
      <c r="H645" s="298"/>
    </row>
    <row r="646" spans="7:15" x14ac:dyDescent="0.25">
      <c r="G646" s="513"/>
    </row>
    <row r="647" spans="7:15" x14ac:dyDescent="0.25">
      <c r="G647" s="513"/>
    </row>
    <row r="648" spans="7:15" x14ac:dyDescent="0.25">
      <c r="G648" s="513"/>
      <c r="H648" s="298"/>
    </row>
    <row r="649" spans="7:15" x14ac:dyDescent="0.25">
      <c r="G649" s="513"/>
      <c r="H649" s="298"/>
    </row>
    <row r="650" spans="7:15" x14ac:dyDescent="0.25">
      <c r="G650" s="514"/>
      <c r="H650" s="298"/>
    </row>
    <row r="651" spans="7:15" x14ac:dyDescent="0.25">
      <c r="G651" s="514"/>
      <c r="H651" s="298"/>
    </row>
    <row r="652" spans="7:15" x14ac:dyDescent="0.25">
      <c r="G652" s="514"/>
      <c r="H652" s="298"/>
    </row>
    <row r="653" spans="7:15" x14ac:dyDescent="0.25">
      <c r="G653" s="514"/>
      <c r="H653" s="298"/>
    </row>
    <row r="654" spans="7:15" x14ac:dyDescent="0.25">
      <c r="G654" s="515"/>
      <c r="H654" s="298"/>
    </row>
    <row r="655" spans="7:15" x14ac:dyDescent="0.25">
      <c r="G655" s="514"/>
      <c r="H655" s="298"/>
    </row>
    <row r="656" spans="7:15" x14ac:dyDescent="0.25">
      <c r="G656" s="514"/>
      <c r="H656" s="298"/>
    </row>
    <row r="657" spans="7:7" x14ac:dyDescent="0.25">
      <c r="G657" s="514"/>
    </row>
    <row r="658" spans="7:7" x14ac:dyDescent="0.25">
      <c r="G658" s="514"/>
    </row>
    <row r="659" spans="7:7" x14ac:dyDescent="0.25">
      <c r="G659" s="514"/>
    </row>
    <row r="660" spans="7:7" x14ac:dyDescent="0.25">
      <c r="G660" s="514"/>
    </row>
  </sheetData>
  <phoneticPr fontId="95" type="noConversion"/>
  <pageMargins left="0.7" right="0.7" top="0.75" bottom="0.75" header="0.3" footer="0.3"/>
  <pageSetup scale="60" orientation="portrait" r:id="rId1"/>
  <rowBreaks count="2" manualBreakCount="2">
    <brk id="112" max="20" man="1"/>
    <brk id="54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9" tint="0.39997558519241921"/>
    <pageSetUpPr fitToPage="1"/>
  </sheetPr>
  <dimension ref="A1:V681"/>
  <sheetViews>
    <sheetView workbookViewId="0">
      <pane ySplit="2" topLeftCell="A119" activePane="bottomLeft" state="frozen"/>
      <selection activeCell="C1" sqref="C1"/>
      <selection pane="bottomLeft" activeCell="H120" sqref="H120"/>
    </sheetView>
  </sheetViews>
  <sheetFormatPr defaultRowHeight="15" x14ac:dyDescent="0.25"/>
  <cols>
    <col min="1" max="1" width="14" customWidth="1"/>
    <col min="2" max="2" width="12.42578125" customWidth="1"/>
    <col min="3" max="3" width="39.5703125" customWidth="1"/>
    <col min="4" max="4" width="23.42578125" customWidth="1"/>
    <col min="5" max="5" width="9.5703125" bestFit="1" customWidth="1"/>
    <col min="6" max="6" width="9" bestFit="1" customWidth="1"/>
    <col min="7" max="7" width="14.28515625" bestFit="1" customWidth="1"/>
    <col min="8" max="8" width="10" customWidth="1"/>
    <col min="9" max="9" width="14.5703125" customWidth="1"/>
    <col min="10" max="10" width="15.5703125" customWidth="1"/>
    <col min="11" max="11" width="10.85546875" bestFit="1" customWidth="1"/>
    <col min="12" max="12" width="14.28515625" bestFit="1" customWidth="1"/>
    <col min="13" max="13" width="13.28515625" bestFit="1" customWidth="1"/>
    <col min="14" max="14" width="10.85546875" bestFit="1" customWidth="1"/>
    <col min="15" max="15" width="10.28515625" bestFit="1" customWidth="1"/>
    <col min="16" max="16" width="10.5703125" bestFit="1" customWidth="1"/>
    <col min="17" max="17" width="7.42578125" bestFit="1" customWidth="1"/>
    <col min="18" max="18" width="9.5703125" customWidth="1"/>
    <col min="19" max="19" width="11.28515625" customWidth="1"/>
    <col min="20" max="20" width="11.28515625" bestFit="1" customWidth="1"/>
    <col min="21" max="21" width="8.7109375" bestFit="1" customWidth="1"/>
    <col min="22" max="22" width="10.85546875" bestFit="1" customWidth="1"/>
    <col min="23" max="24" width="9.7109375" bestFit="1" customWidth="1"/>
    <col min="25" max="27" width="11" bestFit="1" customWidth="1"/>
    <col min="28" max="28" width="7.7109375" bestFit="1" customWidth="1"/>
    <col min="29" max="29" width="10.7109375" bestFit="1" customWidth="1"/>
    <col min="30" max="30" width="11.5703125" customWidth="1"/>
    <col min="31" max="31" width="8.7109375" bestFit="1" customWidth="1"/>
    <col min="32" max="32" width="10" bestFit="1" customWidth="1"/>
    <col min="33" max="33" width="10.85546875" bestFit="1" customWidth="1"/>
    <col min="34" max="34" width="8.7109375" bestFit="1" customWidth="1"/>
    <col min="35" max="35" width="14.42578125" bestFit="1" customWidth="1"/>
    <col min="36" max="36" width="8.42578125" bestFit="1" customWidth="1"/>
  </cols>
  <sheetData>
    <row r="1" spans="1:22" ht="45.75" thickBot="1" x14ac:dyDescent="0.3">
      <c r="A1" s="939"/>
      <c r="B1" s="940"/>
      <c r="C1" s="940"/>
      <c r="D1" s="941"/>
      <c r="E1" s="52"/>
      <c r="F1" s="51" t="s">
        <v>807</v>
      </c>
      <c r="G1" s="51" t="s">
        <v>808</v>
      </c>
      <c r="H1" s="51" t="s">
        <v>809</v>
      </c>
      <c r="I1" s="51" t="s">
        <v>810</v>
      </c>
      <c r="J1" s="51" t="s">
        <v>811</v>
      </c>
      <c r="K1" s="51" t="s">
        <v>812</v>
      </c>
      <c r="L1" s="51" t="s">
        <v>3</v>
      </c>
      <c r="M1" s="51" t="s">
        <v>2</v>
      </c>
      <c r="N1" s="51" t="s">
        <v>4</v>
      </c>
      <c r="O1" s="51" t="s">
        <v>813</v>
      </c>
      <c r="P1" s="51" t="s">
        <v>814</v>
      </c>
      <c r="Q1" s="51" t="s">
        <v>815</v>
      </c>
      <c r="R1" s="51" t="s">
        <v>816</v>
      </c>
      <c r="S1" s="51" t="s">
        <v>817</v>
      </c>
      <c r="T1" s="51" t="s">
        <v>818</v>
      </c>
      <c r="U1" s="51" t="s">
        <v>819</v>
      </c>
      <c r="V1" s="51" t="s">
        <v>820</v>
      </c>
    </row>
    <row r="2" spans="1:22" ht="15.75" thickBot="1" x14ac:dyDescent="0.3">
      <c r="A2" s="51" t="s">
        <v>81</v>
      </c>
      <c r="B2" s="942" t="s">
        <v>8</v>
      </c>
      <c r="C2" s="943"/>
      <c r="D2" s="51" t="s">
        <v>7</v>
      </c>
      <c r="E2" s="51" t="s">
        <v>598</v>
      </c>
      <c r="F2" s="52"/>
      <c r="G2" s="52" t="s">
        <v>10</v>
      </c>
      <c r="H2" s="52" t="s">
        <v>10</v>
      </c>
      <c r="I2" s="52" t="s">
        <v>11</v>
      </c>
      <c r="J2" s="52" t="s">
        <v>11</v>
      </c>
      <c r="K2" s="52" t="s">
        <v>11</v>
      </c>
      <c r="L2" s="52" t="s">
        <v>11</v>
      </c>
      <c r="M2" s="52" t="s">
        <v>11</v>
      </c>
      <c r="N2" s="52" t="s">
        <v>11</v>
      </c>
      <c r="O2" s="52" t="s">
        <v>11</v>
      </c>
      <c r="P2" s="52" t="s">
        <v>11</v>
      </c>
      <c r="Q2" s="52" t="s">
        <v>11</v>
      </c>
      <c r="R2" s="52" t="s">
        <v>11</v>
      </c>
      <c r="S2" s="52" t="s">
        <v>11</v>
      </c>
      <c r="T2" s="52" t="s">
        <v>11</v>
      </c>
      <c r="U2" s="52" t="s">
        <v>11</v>
      </c>
      <c r="V2" s="52" t="s">
        <v>11</v>
      </c>
    </row>
    <row r="3" spans="1:22" ht="15.75" thickBot="1" x14ac:dyDescent="0.3">
      <c r="A3" s="51" t="s">
        <v>844</v>
      </c>
      <c r="B3" s="51" t="s">
        <v>19</v>
      </c>
      <c r="C3" s="51" t="s">
        <v>431</v>
      </c>
      <c r="D3" s="51" t="s">
        <v>12</v>
      </c>
      <c r="E3" s="51" t="s">
        <v>845</v>
      </c>
      <c r="F3" s="147">
        <v>1</v>
      </c>
      <c r="G3" s="54">
        <v>0</v>
      </c>
      <c r="H3" s="822"/>
      <c r="I3" s="54">
        <v>-40</v>
      </c>
      <c r="J3" s="822"/>
      <c r="K3" s="54">
        <v>0</v>
      </c>
      <c r="L3" s="54">
        <v>0</v>
      </c>
      <c r="M3" s="54">
        <v>0</v>
      </c>
      <c r="N3" s="822"/>
      <c r="O3" s="54">
        <v>-33.76</v>
      </c>
      <c r="P3" s="822"/>
      <c r="Q3" s="822"/>
      <c r="R3" s="822"/>
      <c r="S3" s="822"/>
      <c r="T3" s="822"/>
      <c r="U3" s="822"/>
      <c r="V3" s="822"/>
    </row>
    <row r="4" spans="1:22" ht="15.75" thickBot="1" x14ac:dyDescent="0.3">
      <c r="A4" s="51" t="s">
        <v>844</v>
      </c>
      <c r="B4" s="51" t="s">
        <v>19</v>
      </c>
      <c r="C4" s="51" t="s">
        <v>431</v>
      </c>
      <c r="D4" s="51" t="s">
        <v>12</v>
      </c>
      <c r="E4" s="51" t="s">
        <v>846</v>
      </c>
      <c r="F4" s="148">
        <v>1</v>
      </c>
      <c r="G4" s="56">
        <v>0</v>
      </c>
      <c r="H4" s="823"/>
      <c r="I4" s="56">
        <v>-40</v>
      </c>
      <c r="J4" s="823"/>
      <c r="K4" s="56">
        <v>0</v>
      </c>
      <c r="L4" s="56">
        <v>0</v>
      </c>
      <c r="M4" s="56">
        <v>0</v>
      </c>
      <c r="N4" s="823"/>
      <c r="O4" s="56">
        <v>-33.76</v>
      </c>
      <c r="P4" s="823"/>
      <c r="Q4" s="823"/>
      <c r="R4" s="823"/>
      <c r="S4" s="823"/>
      <c r="T4" s="823"/>
      <c r="U4" s="823"/>
      <c r="V4" s="823"/>
    </row>
    <row r="5" spans="1:22" ht="15.75" thickBot="1" x14ac:dyDescent="0.3">
      <c r="A5" s="51" t="s">
        <v>844</v>
      </c>
      <c r="B5" s="51" t="s">
        <v>19</v>
      </c>
      <c r="C5" s="51" t="s">
        <v>431</v>
      </c>
      <c r="D5" s="51" t="s">
        <v>12</v>
      </c>
      <c r="E5" s="51" t="s">
        <v>847</v>
      </c>
      <c r="F5" s="147">
        <v>1</v>
      </c>
      <c r="G5" s="54">
        <v>0</v>
      </c>
      <c r="H5" s="822"/>
      <c r="I5" s="54">
        <v>-40</v>
      </c>
      <c r="J5" s="822"/>
      <c r="K5" s="54">
        <v>0</v>
      </c>
      <c r="L5" s="54">
        <v>0</v>
      </c>
      <c r="M5" s="54">
        <v>0</v>
      </c>
      <c r="N5" s="822"/>
      <c r="O5" s="54">
        <v>-33.19</v>
      </c>
      <c r="P5" s="822"/>
      <c r="Q5" s="822"/>
      <c r="R5" s="822"/>
      <c r="S5" s="822"/>
      <c r="T5" s="822"/>
      <c r="U5" s="822"/>
      <c r="V5" s="822"/>
    </row>
    <row r="6" spans="1:22" ht="15.75" thickBot="1" x14ac:dyDescent="0.3">
      <c r="A6" s="51" t="s">
        <v>844</v>
      </c>
      <c r="B6" s="51" t="s">
        <v>19</v>
      </c>
      <c r="C6" s="51" t="s">
        <v>431</v>
      </c>
      <c r="D6" s="51" t="s">
        <v>12</v>
      </c>
      <c r="E6" s="51" t="s">
        <v>848</v>
      </c>
      <c r="F6" s="148">
        <v>1</v>
      </c>
      <c r="G6" s="56">
        <v>0</v>
      </c>
      <c r="H6" s="823"/>
      <c r="I6" s="56">
        <v>-40</v>
      </c>
      <c r="J6" s="823"/>
      <c r="K6" s="56">
        <v>0</v>
      </c>
      <c r="L6" s="56">
        <v>0</v>
      </c>
      <c r="M6" s="56">
        <v>0</v>
      </c>
      <c r="N6" s="823"/>
      <c r="O6" s="56">
        <v>-33.130000000000003</v>
      </c>
      <c r="P6" s="823"/>
      <c r="Q6" s="823"/>
      <c r="R6" s="823"/>
      <c r="S6" s="823"/>
      <c r="T6" s="823"/>
      <c r="U6" s="823"/>
      <c r="V6" s="823"/>
    </row>
    <row r="7" spans="1:22" ht="15.75" thickBot="1" x14ac:dyDescent="0.3">
      <c r="A7" s="51" t="s">
        <v>844</v>
      </c>
      <c r="B7" s="51" t="s">
        <v>19</v>
      </c>
      <c r="C7" s="51" t="s">
        <v>431</v>
      </c>
      <c r="D7" s="51" t="s">
        <v>12</v>
      </c>
      <c r="E7" s="51" t="s">
        <v>849</v>
      </c>
      <c r="F7" s="147">
        <v>1</v>
      </c>
      <c r="G7" s="54">
        <v>0</v>
      </c>
      <c r="H7" s="822"/>
      <c r="I7" s="54">
        <v>-59.33</v>
      </c>
      <c r="J7" s="822"/>
      <c r="K7" s="54">
        <v>0</v>
      </c>
      <c r="L7" s="54">
        <v>0</v>
      </c>
      <c r="M7" s="54">
        <v>0</v>
      </c>
      <c r="N7" s="822"/>
      <c r="O7" s="54">
        <v>-1.1000000000000001</v>
      </c>
      <c r="P7" s="822"/>
      <c r="Q7" s="822"/>
      <c r="R7" s="822"/>
      <c r="S7" s="822"/>
      <c r="T7" s="822"/>
      <c r="U7" s="822"/>
      <c r="V7" s="822"/>
    </row>
    <row r="8" spans="1:22" ht="15.75" thickBot="1" x14ac:dyDescent="0.3">
      <c r="A8" s="51" t="s">
        <v>844</v>
      </c>
      <c r="B8" s="51" t="s">
        <v>19</v>
      </c>
      <c r="C8" s="51" t="s">
        <v>431</v>
      </c>
      <c r="D8" s="51" t="s">
        <v>12</v>
      </c>
      <c r="E8" s="51" t="s">
        <v>850</v>
      </c>
      <c r="F8" s="148">
        <v>1</v>
      </c>
      <c r="G8" s="56">
        <v>0</v>
      </c>
      <c r="H8" s="823"/>
      <c r="I8" s="56">
        <v>-60</v>
      </c>
      <c r="J8" s="823"/>
      <c r="K8" s="56">
        <v>0</v>
      </c>
      <c r="L8" s="56">
        <v>0</v>
      </c>
      <c r="M8" s="56">
        <v>0</v>
      </c>
      <c r="N8" s="823"/>
      <c r="O8" s="823"/>
      <c r="P8" s="823"/>
      <c r="Q8" s="823"/>
      <c r="R8" s="823"/>
      <c r="S8" s="823"/>
      <c r="T8" s="823"/>
      <c r="U8" s="823"/>
      <c r="V8" s="823"/>
    </row>
    <row r="9" spans="1:22" ht="15.75" thickBot="1" x14ac:dyDescent="0.3">
      <c r="A9" s="51" t="s">
        <v>844</v>
      </c>
      <c r="B9" s="51" t="s">
        <v>19</v>
      </c>
      <c r="C9" s="51" t="s">
        <v>431</v>
      </c>
      <c r="D9" s="51" t="s">
        <v>12</v>
      </c>
      <c r="E9" s="51" t="s">
        <v>851</v>
      </c>
      <c r="F9" s="147">
        <v>1</v>
      </c>
      <c r="G9" s="54">
        <v>0</v>
      </c>
      <c r="H9" s="822"/>
      <c r="I9" s="54">
        <v>-60</v>
      </c>
      <c r="J9" s="822"/>
      <c r="K9" s="54">
        <v>0</v>
      </c>
      <c r="L9" s="54">
        <v>0</v>
      </c>
      <c r="M9" s="54">
        <v>0</v>
      </c>
      <c r="N9" s="822"/>
      <c r="O9" s="822"/>
      <c r="P9" s="822"/>
      <c r="Q9" s="822"/>
      <c r="R9" s="822"/>
      <c r="S9" s="822"/>
      <c r="T9" s="822"/>
      <c r="U9" s="822"/>
      <c r="V9" s="822"/>
    </row>
    <row r="10" spans="1:22" ht="15.75" thickBot="1" x14ac:dyDescent="0.3">
      <c r="A10" s="51" t="s">
        <v>844</v>
      </c>
      <c r="B10" s="51" t="s">
        <v>19</v>
      </c>
      <c r="C10" s="51" t="s">
        <v>431</v>
      </c>
      <c r="D10" s="51" t="s">
        <v>12</v>
      </c>
      <c r="E10" s="51" t="s">
        <v>852</v>
      </c>
      <c r="F10" s="148">
        <v>1</v>
      </c>
      <c r="G10" s="56">
        <v>0</v>
      </c>
      <c r="H10" s="823"/>
      <c r="I10" s="56">
        <v>-60</v>
      </c>
      <c r="J10" s="823"/>
      <c r="K10" s="56">
        <v>0</v>
      </c>
      <c r="L10" s="56">
        <v>0</v>
      </c>
      <c r="M10" s="56">
        <v>0</v>
      </c>
      <c r="N10" s="823"/>
      <c r="O10" s="823"/>
      <c r="P10" s="823"/>
      <c r="Q10" s="823"/>
      <c r="R10" s="823"/>
      <c r="S10" s="823"/>
      <c r="T10" s="823"/>
      <c r="U10" s="823"/>
      <c r="V10" s="823"/>
    </row>
    <row r="11" spans="1:22" ht="15.75" thickBot="1" x14ac:dyDescent="0.3">
      <c r="A11" s="51" t="s">
        <v>844</v>
      </c>
      <c r="B11" s="51" t="s">
        <v>19</v>
      </c>
      <c r="C11" s="51" t="s">
        <v>431</v>
      </c>
      <c r="D11" s="51" t="s">
        <v>12</v>
      </c>
      <c r="E11" s="51" t="s">
        <v>853</v>
      </c>
      <c r="F11" s="147">
        <v>1</v>
      </c>
      <c r="G11" s="54">
        <v>0</v>
      </c>
      <c r="H11" s="822"/>
      <c r="I11" s="54">
        <v>-60</v>
      </c>
      <c r="J11" s="822"/>
      <c r="K11" s="54">
        <v>0</v>
      </c>
      <c r="L11" s="54">
        <v>0</v>
      </c>
      <c r="M11" s="54">
        <v>0</v>
      </c>
      <c r="N11" s="822"/>
      <c r="O11" s="822"/>
      <c r="P11" s="822"/>
      <c r="Q11" s="822"/>
      <c r="R11" s="822"/>
      <c r="S11" s="822"/>
      <c r="T11" s="822"/>
      <c r="U11" s="822"/>
      <c r="V11" s="822"/>
    </row>
    <row r="12" spans="1:22" ht="15.75" thickBot="1" x14ac:dyDescent="0.3">
      <c r="A12" s="51" t="s">
        <v>844</v>
      </c>
      <c r="B12" s="51" t="s">
        <v>19</v>
      </c>
      <c r="C12" s="51" t="s">
        <v>431</v>
      </c>
      <c r="D12" s="51" t="s">
        <v>12</v>
      </c>
      <c r="E12" s="51" t="s">
        <v>854</v>
      </c>
      <c r="F12" s="148">
        <v>1</v>
      </c>
      <c r="G12" s="56">
        <v>0</v>
      </c>
      <c r="H12" s="823"/>
      <c r="I12" s="56">
        <v>-60</v>
      </c>
      <c r="J12" s="823"/>
      <c r="K12" s="56">
        <v>0</v>
      </c>
      <c r="L12" s="56">
        <v>0</v>
      </c>
      <c r="M12" s="56">
        <v>0</v>
      </c>
      <c r="N12" s="823"/>
      <c r="O12" s="823"/>
      <c r="P12" s="823"/>
      <c r="Q12" s="823"/>
      <c r="R12" s="823"/>
      <c r="S12" s="823"/>
      <c r="T12" s="823"/>
      <c r="U12" s="823"/>
      <c r="V12" s="823"/>
    </row>
    <row r="13" spans="1:22" ht="15.75" thickBot="1" x14ac:dyDescent="0.3">
      <c r="A13" s="51" t="s">
        <v>844</v>
      </c>
      <c r="B13" s="51" t="s">
        <v>19</v>
      </c>
      <c r="C13" s="51" t="s">
        <v>431</v>
      </c>
      <c r="D13" s="51" t="s">
        <v>12</v>
      </c>
      <c r="E13" s="51" t="s">
        <v>855</v>
      </c>
      <c r="F13" s="147">
        <v>1</v>
      </c>
      <c r="G13" s="54">
        <v>0</v>
      </c>
      <c r="H13" s="822"/>
      <c r="I13" s="54">
        <v>-60</v>
      </c>
      <c r="J13" s="822"/>
      <c r="K13" s="54">
        <v>0</v>
      </c>
      <c r="L13" s="54">
        <v>0</v>
      </c>
      <c r="M13" s="54">
        <v>0</v>
      </c>
      <c r="N13" s="822"/>
      <c r="O13" s="822"/>
      <c r="P13" s="822"/>
      <c r="Q13" s="822"/>
      <c r="R13" s="822"/>
      <c r="S13" s="822"/>
      <c r="T13" s="822"/>
      <c r="U13" s="822"/>
      <c r="V13" s="822"/>
    </row>
    <row r="14" spans="1:22" ht="15.75" thickBot="1" x14ac:dyDescent="0.3">
      <c r="A14" s="51" t="s">
        <v>844</v>
      </c>
      <c r="B14" s="51" t="s">
        <v>19</v>
      </c>
      <c r="C14" s="51" t="s">
        <v>431</v>
      </c>
      <c r="D14" s="51" t="s">
        <v>12</v>
      </c>
      <c r="E14" s="51" t="s">
        <v>856</v>
      </c>
      <c r="F14" s="148">
        <v>1</v>
      </c>
      <c r="G14" s="56">
        <v>0</v>
      </c>
      <c r="H14" s="823"/>
      <c r="I14" s="56">
        <v>-60</v>
      </c>
      <c r="J14" s="823"/>
      <c r="K14" s="56">
        <v>0</v>
      </c>
      <c r="L14" s="56">
        <v>0</v>
      </c>
      <c r="M14" s="56">
        <v>0</v>
      </c>
      <c r="N14" s="823"/>
      <c r="O14" s="823"/>
      <c r="P14" s="823"/>
      <c r="Q14" s="823"/>
      <c r="R14" s="823"/>
      <c r="S14" s="823"/>
      <c r="T14" s="823"/>
      <c r="U14" s="823"/>
      <c r="V14" s="823"/>
    </row>
    <row r="15" spans="1:22" ht="15.75" thickBot="1" x14ac:dyDescent="0.3">
      <c r="A15" s="51" t="s">
        <v>844</v>
      </c>
      <c r="B15" s="51" t="s">
        <v>19</v>
      </c>
      <c r="C15" s="51" t="s">
        <v>431</v>
      </c>
      <c r="D15" s="51" t="s">
        <v>12</v>
      </c>
      <c r="E15" s="51" t="s">
        <v>632</v>
      </c>
      <c r="F15" s="147">
        <v>1</v>
      </c>
      <c r="G15" s="54">
        <v>0</v>
      </c>
      <c r="H15" s="822"/>
      <c r="I15" s="54">
        <v>-60</v>
      </c>
      <c r="J15" s="822"/>
      <c r="K15" s="54">
        <v>0</v>
      </c>
      <c r="L15" s="54">
        <v>0</v>
      </c>
      <c r="M15" s="54">
        <v>0</v>
      </c>
      <c r="N15" s="822"/>
      <c r="O15" s="822"/>
      <c r="P15" s="822"/>
      <c r="Q15" s="822"/>
      <c r="R15" s="822"/>
      <c r="S15" s="822"/>
      <c r="T15" s="822"/>
      <c r="U15" s="822"/>
      <c r="V15" s="822"/>
    </row>
    <row r="16" spans="1:22" ht="15.75" thickBot="1" x14ac:dyDescent="0.3">
      <c r="A16" s="51" t="s">
        <v>844</v>
      </c>
      <c r="B16" s="51" t="s">
        <v>19</v>
      </c>
      <c r="C16" s="51" t="s">
        <v>431</v>
      </c>
      <c r="D16" s="51" t="s">
        <v>12</v>
      </c>
      <c r="E16" s="51" t="s">
        <v>644</v>
      </c>
      <c r="F16" s="148">
        <v>1</v>
      </c>
      <c r="G16" s="56">
        <v>0</v>
      </c>
      <c r="H16" s="823"/>
      <c r="I16" s="56">
        <v>-60</v>
      </c>
      <c r="J16" s="823"/>
      <c r="K16" s="56">
        <v>0</v>
      </c>
      <c r="L16" s="56">
        <v>0</v>
      </c>
      <c r="M16" s="56">
        <v>0</v>
      </c>
      <c r="N16" s="823"/>
      <c r="O16" s="823"/>
      <c r="P16" s="823"/>
      <c r="Q16" s="823"/>
      <c r="R16" s="823"/>
      <c r="S16" s="823"/>
      <c r="T16" s="823"/>
      <c r="U16" s="823"/>
      <c r="V16" s="823"/>
    </row>
    <row r="17" spans="1:22" ht="15.75" thickBot="1" x14ac:dyDescent="0.3">
      <c r="A17" s="51" t="s">
        <v>844</v>
      </c>
      <c r="B17" s="51" t="s">
        <v>19</v>
      </c>
      <c r="C17" s="51" t="s">
        <v>431</v>
      </c>
      <c r="D17" s="51" t="s">
        <v>12</v>
      </c>
      <c r="E17" s="51" t="s">
        <v>653</v>
      </c>
      <c r="F17" s="147">
        <v>1</v>
      </c>
      <c r="G17" s="54">
        <v>0</v>
      </c>
      <c r="H17" s="822"/>
      <c r="I17" s="54">
        <v>-60</v>
      </c>
      <c r="J17" s="822"/>
      <c r="K17" s="54">
        <v>0</v>
      </c>
      <c r="L17" s="54">
        <v>0</v>
      </c>
      <c r="M17" s="54">
        <v>0</v>
      </c>
      <c r="N17" s="822"/>
      <c r="O17" s="822"/>
      <c r="P17" s="822"/>
      <c r="Q17" s="822"/>
      <c r="R17" s="822"/>
      <c r="S17" s="822"/>
      <c r="T17" s="822"/>
      <c r="U17" s="822"/>
      <c r="V17" s="822"/>
    </row>
    <row r="18" spans="1:22" ht="15.75" thickBot="1" x14ac:dyDescent="0.3">
      <c r="A18" s="51" t="s">
        <v>844</v>
      </c>
      <c r="B18" s="51" t="s">
        <v>19</v>
      </c>
      <c r="C18" s="51" t="s">
        <v>431</v>
      </c>
      <c r="D18" s="51" t="s">
        <v>12</v>
      </c>
      <c r="E18" s="51" t="s">
        <v>674</v>
      </c>
      <c r="F18" s="148">
        <v>1</v>
      </c>
      <c r="G18" s="56">
        <v>0</v>
      </c>
      <c r="H18" s="823"/>
      <c r="I18" s="56">
        <v>-60</v>
      </c>
      <c r="J18" s="823"/>
      <c r="K18" s="56">
        <v>0</v>
      </c>
      <c r="L18" s="56">
        <v>0</v>
      </c>
      <c r="M18" s="56">
        <v>0</v>
      </c>
      <c r="N18" s="823"/>
      <c r="O18" s="823"/>
      <c r="P18" s="823"/>
      <c r="Q18" s="823"/>
      <c r="R18" s="823"/>
      <c r="S18" s="823"/>
      <c r="T18" s="823"/>
      <c r="U18" s="823"/>
      <c r="V18" s="823"/>
    </row>
    <row r="19" spans="1:22" ht="15.75" thickBot="1" x14ac:dyDescent="0.3">
      <c r="A19" s="51" t="s">
        <v>844</v>
      </c>
      <c r="B19" s="51" t="s">
        <v>19</v>
      </c>
      <c r="C19" s="51" t="s">
        <v>431</v>
      </c>
      <c r="D19" s="51" t="s">
        <v>12</v>
      </c>
      <c r="E19" s="51" t="s">
        <v>837</v>
      </c>
      <c r="F19" s="147">
        <v>1</v>
      </c>
      <c r="G19" s="54">
        <v>0</v>
      </c>
      <c r="H19" s="822"/>
      <c r="I19" s="54">
        <v>-60</v>
      </c>
      <c r="J19" s="822"/>
      <c r="K19" s="54">
        <v>0</v>
      </c>
      <c r="L19" s="54">
        <v>0</v>
      </c>
      <c r="M19" s="54">
        <v>0</v>
      </c>
      <c r="N19" s="822"/>
      <c r="O19" s="822"/>
      <c r="P19" s="822"/>
      <c r="Q19" s="822"/>
      <c r="R19" s="822"/>
      <c r="S19" s="822"/>
      <c r="T19" s="822"/>
      <c r="U19" s="822"/>
      <c r="V19" s="822"/>
    </row>
    <row r="20" spans="1:22" ht="15.75" thickBot="1" x14ac:dyDescent="0.3">
      <c r="A20" s="51" t="s">
        <v>844</v>
      </c>
      <c r="B20" s="51" t="s">
        <v>19</v>
      </c>
      <c r="C20" s="51" t="s">
        <v>431</v>
      </c>
      <c r="D20" s="51" t="s">
        <v>12</v>
      </c>
      <c r="E20" s="51" t="s">
        <v>838</v>
      </c>
      <c r="F20" s="148">
        <v>1</v>
      </c>
      <c r="G20" s="56">
        <v>0</v>
      </c>
      <c r="H20" s="823"/>
      <c r="I20" s="56">
        <v>-60</v>
      </c>
      <c r="J20" s="823"/>
      <c r="K20" s="56">
        <v>0</v>
      </c>
      <c r="L20" s="56">
        <v>0</v>
      </c>
      <c r="M20" s="56">
        <v>0</v>
      </c>
      <c r="N20" s="823"/>
      <c r="O20" s="823"/>
      <c r="P20" s="823"/>
      <c r="Q20" s="823"/>
      <c r="R20" s="823"/>
      <c r="S20" s="823"/>
      <c r="T20" s="823"/>
      <c r="U20" s="823"/>
      <c r="V20" s="823"/>
    </row>
    <row r="21" spans="1:22" ht="15.75" thickBot="1" x14ac:dyDescent="0.3">
      <c r="A21" s="51" t="s">
        <v>844</v>
      </c>
      <c r="B21" s="51" t="s">
        <v>19</v>
      </c>
      <c r="C21" s="51" t="s">
        <v>431</v>
      </c>
      <c r="D21" s="51" t="s">
        <v>12</v>
      </c>
      <c r="E21" s="51" t="s">
        <v>839</v>
      </c>
      <c r="F21" s="147">
        <v>2</v>
      </c>
      <c r="G21" s="54">
        <v>0</v>
      </c>
      <c r="H21" s="822"/>
      <c r="I21" s="54">
        <v>-92</v>
      </c>
      <c r="J21" s="822"/>
      <c r="K21" s="54">
        <v>0</v>
      </c>
      <c r="L21" s="54">
        <v>0</v>
      </c>
      <c r="M21" s="54">
        <v>0</v>
      </c>
      <c r="N21" s="822"/>
      <c r="O21" s="822"/>
      <c r="P21" s="822"/>
      <c r="Q21" s="822"/>
      <c r="R21" s="822"/>
      <c r="S21" s="822"/>
      <c r="T21" s="822"/>
      <c r="U21" s="822"/>
      <c r="V21" s="822"/>
    </row>
    <row r="22" spans="1:22" ht="15.75" thickBot="1" x14ac:dyDescent="0.3">
      <c r="A22" s="51" t="s">
        <v>844</v>
      </c>
      <c r="B22" s="51" t="s">
        <v>19</v>
      </c>
      <c r="C22" s="51" t="s">
        <v>431</v>
      </c>
      <c r="D22" s="51" t="s">
        <v>12</v>
      </c>
      <c r="E22" s="51" t="s">
        <v>840</v>
      </c>
      <c r="F22" s="148">
        <v>2</v>
      </c>
      <c r="G22" s="56">
        <v>0</v>
      </c>
      <c r="H22" s="823"/>
      <c r="I22" s="56">
        <v>-120</v>
      </c>
      <c r="J22" s="823"/>
      <c r="K22" s="56">
        <v>0</v>
      </c>
      <c r="L22" s="56">
        <v>0</v>
      </c>
      <c r="M22" s="56">
        <v>0</v>
      </c>
      <c r="N22" s="823"/>
      <c r="O22" s="823"/>
      <c r="P22" s="823"/>
      <c r="Q22" s="823"/>
      <c r="R22" s="823"/>
      <c r="S22" s="823"/>
      <c r="T22" s="823"/>
      <c r="U22" s="823"/>
      <c r="V22" s="823"/>
    </row>
    <row r="23" spans="1:22" ht="15.75" thickBot="1" x14ac:dyDescent="0.3">
      <c r="A23" s="51" t="s">
        <v>844</v>
      </c>
      <c r="B23" s="51" t="s">
        <v>19</v>
      </c>
      <c r="C23" s="51" t="s">
        <v>431</v>
      </c>
      <c r="D23" s="51" t="s">
        <v>12</v>
      </c>
      <c r="E23" s="51" t="s">
        <v>841</v>
      </c>
      <c r="F23" s="147">
        <v>2</v>
      </c>
      <c r="G23" s="54">
        <v>0</v>
      </c>
      <c r="H23" s="822"/>
      <c r="I23" s="54">
        <v>-120</v>
      </c>
      <c r="J23" s="822"/>
      <c r="K23" s="54">
        <v>0</v>
      </c>
      <c r="L23" s="54">
        <v>0</v>
      </c>
      <c r="M23" s="54">
        <v>0</v>
      </c>
      <c r="N23" s="822"/>
      <c r="O23" s="822"/>
      <c r="P23" s="822"/>
      <c r="Q23" s="822"/>
      <c r="R23" s="822"/>
      <c r="S23" s="822"/>
      <c r="T23" s="822"/>
      <c r="U23" s="822"/>
      <c r="V23" s="822"/>
    </row>
    <row r="24" spans="1:22" ht="15.75" thickBot="1" x14ac:dyDescent="0.3">
      <c r="A24" s="51" t="s">
        <v>844</v>
      </c>
      <c r="B24" s="51" t="s">
        <v>19</v>
      </c>
      <c r="C24" s="51" t="s">
        <v>431</v>
      </c>
      <c r="D24" s="51" t="s">
        <v>12</v>
      </c>
      <c r="E24" s="51" t="s">
        <v>842</v>
      </c>
      <c r="F24" s="148">
        <v>3</v>
      </c>
      <c r="G24" s="56">
        <v>0</v>
      </c>
      <c r="H24" s="823"/>
      <c r="I24" s="56">
        <v>-120</v>
      </c>
      <c r="J24" s="823"/>
      <c r="K24" s="56">
        <v>0</v>
      </c>
      <c r="L24" s="56">
        <v>0</v>
      </c>
      <c r="M24" s="56">
        <v>0</v>
      </c>
      <c r="N24" s="56">
        <v>-0.02</v>
      </c>
      <c r="O24" s="823"/>
      <c r="P24" s="823"/>
      <c r="Q24" s="823"/>
      <c r="R24" s="823"/>
      <c r="S24" s="823"/>
      <c r="T24" s="823"/>
      <c r="U24" s="823"/>
      <c r="V24" s="823"/>
    </row>
    <row r="25" spans="1:22" ht="15.75" thickBot="1" x14ac:dyDescent="0.3">
      <c r="A25" s="51" t="s">
        <v>844</v>
      </c>
      <c r="B25" s="51" t="s">
        <v>19</v>
      </c>
      <c r="C25" s="51" t="s">
        <v>431</v>
      </c>
      <c r="D25" s="51" t="s">
        <v>12</v>
      </c>
      <c r="E25" s="51" t="s">
        <v>821</v>
      </c>
      <c r="F25" s="147">
        <v>3</v>
      </c>
      <c r="G25" s="54">
        <v>0</v>
      </c>
      <c r="H25" s="822"/>
      <c r="I25" s="54">
        <v>-120</v>
      </c>
      <c r="J25" s="822"/>
      <c r="K25" s="54">
        <v>0</v>
      </c>
      <c r="L25" s="54">
        <v>0</v>
      </c>
      <c r="M25" s="54">
        <v>0</v>
      </c>
      <c r="N25" s="54">
        <v>0.04</v>
      </c>
      <c r="O25" s="822"/>
      <c r="P25" s="822"/>
      <c r="Q25" s="822"/>
      <c r="R25" s="822"/>
      <c r="S25" s="822"/>
      <c r="T25" s="822"/>
      <c r="U25" s="822"/>
      <c r="V25" s="822"/>
    </row>
    <row r="26" spans="1:22" ht="15.75" thickBot="1" x14ac:dyDescent="0.3">
      <c r="A26" s="51" t="s">
        <v>844</v>
      </c>
      <c r="B26" s="51" t="s">
        <v>19</v>
      </c>
      <c r="C26" s="51" t="s">
        <v>431</v>
      </c>
      <c r="D26" s="51" t="s">
        <v>12</v>
      </c>
      <c r="E26" s="51" t="s">
        <v>822</v>
      </c>
      <c r="F26" s="148">
        <v>3</v>
      </c>
      <c r="G26" s="56">
        <v>0</v>
      </c>
      <c r="H26" s="823"/>
      <c r="I26" s="56">
        <v>-120</v>
      </c>
      <c r="J26" s="823"/>
      <c r="K26" s="56">
        <v>0</v>
      </c>
      <c r="L26" s="56">
        <v>0</v>
      </c>
      <c r="M26" s="56">
        <v>0</v>
      </c>
      <c r="N26" s="56">
        <v>0.03</v>
      </c>
      <c r="O26" s="823"/>
      <c r="P26" s="823"/>
      <c r="Q26" s="823"/>
      <c r="R26" s="823"/>
      <c r="S26" s="823"/>
      <c r="T26" s="823"/>
      <c r="U26" s="823"/>
      <c r="V26" s="823"/>
    </row>
    <row r="27" spans="1:22" ht="15.75" thickBot="1" x14ac:dyDescent="0.3">
      <c r="A27" s="51" t="s">
        <v>844</v>
      </c>
      <c r="B27" s="51" t="s">
        <v>19</v>
      </c>
      <c r="C27" s="51" t="s">
        <v>431</v>
      </c>
      <c r="D27" s="51" t="s">
        <v>12</v>
      </c>
      <c r="E27" s="51" t="s">
        <v>823</v>
      </c>
      <c r="F27" s="147">
        <v>2</v>
      </c>
      <c r="G27" s="54">
        <v>0</v>
      </c>
      <c r="H27" s="822"/>
      <c r="I27" s="54">
        <v>-120</v>
      </c>
      <c r="J27" s="822"/>
      <c r="K27" s="54">
        <v>0</v>
      </c>
      <c r="L27" s="54">
        <v>0</v>
      </c>
      <c r="M27" s="54">
        <v>0</v>
      </c>
      <c r="N27" s="54">
        <v>0</v>
      </c>
      <c r="O27" s="822"/>
      <c r="P27" s="822"/>
      <c r="Q27" s="822"/>
      <c r="R27" s="822"/>
      <c r="S27" s="822"/>
      <c r="T27" s="822"/>
      <c r="U27" s="822"/>
      <c r="V27" s="822"/>
    </row>
    <row r="28" spans="1:22" ht="15.75" thickBot="1" x14ac:dyDescent="0.3">
      <c r="A28" s="51" t="s">
        <v>844</v>
      </c>
      <c r="B28" s="51" t="s">
        <v>19</v>
      </c>
      <c r="C28" s="51" t="s">
        <v>431</v>
      </c>
      <c r="D28" s="51" t="s">
        <v>12</v>
      </c>
      <c r="E28" s="51" t="s">
        <v>824</v>
      </c>
      <c r="F28" s="148">
        <v>3</v>
      </c>
      <c r="G28" s="56">
        <v>0</v>
      </c>
      <c r="H28" s="823"/>
      <c r="I28" s="56">
        <v>-120</v>
      </c>
      <c r="J28" s="823"/>
      <c r="K28" s="56">
        <v>0</v>
      </c>
      <c r="L28" s="56">
        <v>0</v>
      </c>
      <c r="M28" s="56">
        <v>0</v>
      </c>
      <c r="N28" s="56">
        <v>-0.02</v>
      </c>
      <c r="O28" s="823"/>
      <c r="P28" s="823"/>
      <c r="Q28" s="823"/>
      <c r="R28" s="823"/>
      <c r="S28" s="823"/>
      <c r="T28" s="823"/>
      <c r="U28" s="823"/>
      <c r="V28" s="823"/>
    </row>
    <row r="29" spans="1:22" ht="15.75" thickBot="1" x14ac:dyDescent="0.3">
      <c r="A29" s="51" t="s">
        <v>844</v>
      </c>
      <c r="B29" s="51" t="s">
        <v>19</v>
      </c>
      <c r="C29" s="51" t="s">
        <v>431</v>
      </c>
      <c r="D29" s="51" t="s">
        <v>12</v>
      </c>
      <c r="E29" s="51" t="s">
        <v>825</v>
      </c>
      <c r="F29" s="147">
        <v>2</v>
      </c>
      <c r="G29" s="54">
        <v>0</v>
      </c>
      <c r="H29" s="822"/>
      <c r="I29" s="54">
        <v>-122.94</v>
      </c>
      <c r="J29" s="822"/>
      <c r="K29" s="54">
        <v>0</v>
      </c>
      <c r="L29" s="54">
        <v>0</v>
      </c>
      <c r="M29" s="54">
        <v>0</v>
      </c>
      <c r="N29" s="822"/>
      <c r="O29" s="822"/>
      <c r="P29" s="822"/>
      <c r="Q29" s="822"/>
      <c r="R29" s="822"/>
      <c r="S29" s="822"/>
      <c r="T29" s="822"/>
      <c r="U29" s="822"/>
      <c r="V29" s="822"/>
    </row>
    <row r="30" spans="1:22" ht="15.75" thickBot="1" x14ac:dyDescent="0.3">
      <c r="A30" s="51" t="s">
        <v>844</v>
      </c>
      <c r="B30" s="51" t="s">
        <v>19</v>
      </c>
      <c r="C30" s="51" t="s">
        <v>431</v>
      </c>
      <c r="D30" s="51" t="s">
        <v>12</v>
      </c>
      <c r="E30" s="51" t="s">
        <v>826</v>
      </c>
      <c r="F30" s="148">
        <v>4</v>
      </c>
      <c r="G30" s="56">
        <v>2</v>
      </c>
      <c r="H30" s="823"/>
      <c r="I30" s="56">
        <v>-118.2</v>
      </c>
      <c r="J30" s="823"/>
      <c r="K30" s="56">
        <v>0.61</v>
      </c>
      <c r="L30" s="56">
        <v>0.87</v>
      </c>
      <c r="M30" s="56">
        <v>0</v>
      </c>
      <c r="N30" s="823"/>
      <c r="O30" s="823"/>
      <c r="P30" s="823"/>
      <c r="Q30" s="823"/>
      <c r="R30" s="823"/>
      <c r="S30" s="823"/>
      <c r="T30" s="823"/>
      <c r="U30" s="823"/>
      <c r="V30" s="823"/>
    </row>
    <row r="31" spans="1:22" ht="15.75" thickBot="1" x14ac:dyDescent="0.3">
      <c r="A31" s="51" t="s">
        <v>844</v>
      </c>
      <c r="B31" s="51" t="s">
        <v>19</v>
      </c>
      <c r="C31" s="51" t="s">
        <v>431</v>
      </c>
      <c r="D31" s="51" t="s">
        <v>12</v>
      </c>
      <c r="E31" s="51" t="s">
        <v>827</v>
      </c>
      <c r="F31" s="147">
        <v>3</v>
      </c>
      <c r="G31" s="54">
        <v>4</v>
      </c>
      <c r="H31" s="822"/>
      <c r="I31" s="54">
        <v>-126.08</v>
      </c>
      <c r="J31" s="822"/>
      <c r="K31" s="54">
        <v>1.23</v>
      </c>
      <c r="L31" s="54">
        <v>1.74</v>
      </c>
      <c r="M31" s="54">
        <v>0</v>
      </c>
      <c r="N31" s="822"/>
      <c r="O31" s="822"/>
      <c r="P31" s="822"/>
      <c r="Q31" s="822"/>
      <c r="R31" s="822"/>
      <c r="S31" s="822"/>
      <c r="T31" s="822"/>
      <c r="U31" s="822"/>
      <c r="V31" s="822"/>
    </row>
    <row r="32" spans="1:22" ht="15.75" thickBot="1" x14ac:dyDescent="0.3">
      <c r="A32" s="51" t="s">
        <v>844</v>
      </c>
      <c r="B32" s="51" t="s">
        <v>19</v>
      </c>
      <c r="C32" s="51" t="s">
        <v>431</v>
      </c>
      <c r="D32" s="51" t="s">
        <v>12</v>
      </c>
      <c r="E32" s="51" t="s">
        <v>828</v>
      </c>
      <c r="F32" s="148">
        <v>3</v>
      </c>
      <c r="G32" s="56">
        <v>6</v>
      </c>
      <c r="H32" s="823"/>
      <c r="I32" s="56">
        <v>-110.32</v>
      </c>
      <c r="J32" s="823"/>
      <c r="K32" s="56">
        <v>1.84</v>
      </c>
      <c r="L32" s="56">
        <v>2.5299999999999998</v>
      </c>
      <c r="M32" s="56">
        <v>0</v>
      </c>
      <c r="N32" s="823"/>
      <c r="O32" s="823"/>
      <c r="P32" s="823"/>
      <c r="Q32" s="823"/>
      <c r="R32" s="823"/>
      <c r="S32" s="823"/>
      <c r="T32" s="823"/>
      <c r="U32" s="823"/>
      <c r="V32" s="823"/>
    </row>
    <row r="33" spans="1:22" ht="15.75" thickBot="1" x14ac:dyDescent="0.3">
      <c r="A33" s="51" t="s">
        <v>844</v>
      </c>
      <c r="B33" s="51" t="s">
        <v>19</v>
      </c>
      <c r="C33" s="51" t="s">
        <v>431</v>
      </c>
      <c r="D33" s="51" t="s">
        <v>12</v>
      </c>
      <c r="E33" s="51" t="s">
        <v>829</v>
      </c>
      <c r="F33" s="147">
        <v>3</v>
      </c>
      <c r="G33" s="54">
        <v>4</v>
      </c>
      <c r="H33" s="822"/>
      <c r="I33" s="54">
        <v>-116.23</v>
      </c>
      <c r="J33" s="822"/>
      <c r="K33" s="54">
        <v>1.23</v>
      </c>
      <c r="L33" s="54">
        <v>1.39</v>
      </c>
      <c r="M33" s="54">
        <v>0</v>
      </c>
      <c r="N33" s="822"/>
      <c r="O33" s="822"/>
      <c r="P33" s="822"/>
      <c r="Q33" s="822"/>
      <c r="R33" s="822"/>
      <c r="S33" s="822"/>
      <c r="T33" s="822"/>
      <c r="U33" s="822"/>
      <c r="V33" s="822"/>
    </row>
    <row r="34" spans="1:22" ht="15.75" thickBot="1" x14ac:dyDescent="0.3">
      <c r="A34" s="51" t="s">
        <v>844</v>
      </c>
      <c r="B34" s="51" t="s">
        <v>19</v>
      </c>
      <c r="C34" s="51" t="s">
        <v>431</v>
      </c>
      <c r="D34" s="51" t="s">
        <v>12</v>
      </c>
      <c r="E34" s="51" t="s">
        <v>830</v>
      </c>
      <c r="F34" s="148">
        <v>4</v>
      </c>
      <c r="G34" s="56">
        <v>7</v>
      </c>
      <c r="H34" s="823"/>
      <c r="I34" s="56">
        <v>-116.23</v>
      </c>
      <c r="J34" s="823"/>
      <c r="K34" s="56">
        <v>2.14</v>
      </c>
      <c r="L34" s="56">
        <v>2.44</v>
      </c>
      <c r="M34" s="56">
        <v>0</v>
      </c>
      <c r="N34" s="823"/>
      <c r="O34" s="823"/>
      <c r="P34" s="823"/>
      <c r="Q34" s="823"/>
      <c r="R34" s="823"/>
      <c r="S34" s="823"/>
      <c r="T34" s="823"/>
      <c r="U34" s="823"/>
      <c r="V34" s="823"/>
    </row>
    <row r="35" spans="1:22" ht="15.75" thickBot="1" x14ac:dyDescent="0.3">
      <c r="A35" s="51" t="s">
        <v>844</v>
      </c>
      <c r="B35" s="51" t="s">
        <v>19</v>
      </c>
      <c r="C35" s="51" t="s">
        <v>431</v>
      </c>
      <c r="D35" s="51" t="s">
        <v>12</v>
      </c>
      <c r="E35" s="51" t="s">
        <v>831</v>
      </c>
      <c r="F35" s="147">
        <v>11</v>
      </c>
      <c r="G35" s="54">
        <v>5075</v>
      </c>
      <c r="H35" s="822"/>
      <c r="I35" s="54">
        <v>-124.11</v>
      </c>
      <c r="J35" s="54">
        <v>0</v>
      </c>
      <c r="K35" s="54">
        <v>1556.49</v>
      </c>
      <c r="L35" s="54">
        <v>1791.24</v>
      </c>
      <c r="M35" s="54">
        <v>0.56000000000000005</v>
      </c>
      <c r="N35" s="54">
        <v>-96.78</v>
      </c>
      <c r="O35" s="822"/>
      <c r="P35" s="822"/>
      <c r="Q35" s="822"/>
      <c r="R35" s="822"/>
      <c r="S35" s="822"/>
      <c r="T35" s="822"/>
      <c r="U35" s="822"/>
      <c r="V35" s="822"/>
    </row>
    <row r="36" spans="1:22" ht="15.75" thickBot="1" x14ac:dyDescent="0.3">
      <c r="A36" s="51" t="s">
        <v>844</v>
      </c>
      <c r="B36" s="51" t="s">
        <v>19</v>
      </c>
      <c r="C36" s="51" t="s">
        <v>431</v>
      </c>
      <c r="D36" s="51" t="s">
        <v>12</v>
      </c>
      <c r="E36" s="51" t="s">
        <v>832</v>
      </c>
      <c r="F36" s="148">
        <v>23</v>
      </c>
      <c r="G36" s="56">
        <v>-3899</v>
      </c>
      <c r="H36" s="823"/>
      <c r="I36" s="56">
        <v>-116.23</v>
      </c>
      <c r="J36" s="56">
        <v>0</v>
      </c>
      <c r="K36" s="56">
        <v>-1195.82</v>
      </c>
      <c r="L36" s="56">
        <v>-1497.89</v>
      </c>
      <c r="M36" s="56">
        <v>-0.44</v>
      </c>
      <c r="N36" s="56">
        <v>218.14</v>
      </c>
      <c r="O36" s="823"/>
      <c r="P36" s="823"/>
      <c r="Q36" s="823"/>
      <c r="R36" s="823"/>
      <c r="S36" s="823"/>
      <c r="T36" s="823"/>
      <c r="U36" s="823"/>
      <c r="V36" s="823"/>
    </row>
    <row r="37" spans="1:22" ht="15.75" thickBot="1" x14ac:dyDescent="0.3">
      <c r="A37" s="51" t="s">
        <v>844</v>
      </c>
      <c r="B37" s="51" t="s">
        <v>19</v>
      </c>
      <c r="C37" s="51" t="s">
        <v>431</v>
      </c>
      <c r="D37" s="51" t="s">
        <v>12</v>
      </c>
      <c r="E37" s="51" t="s">
        <v>833</v>
      </c>
      <c r="F37" s="147">
        <v>49</v>
      </c>
      <c r="G37" s="54">
        <v>5683</v>
      </c>
      <c r="H37" s="822"/>
      <c r="I37" s="54">
        <v>-90.62</v>
      </c>
      <c r="J37" s="54">
        <v>0</v>
      </c>
      <c r="K37" s="54">
        <v>1742.96</v>
      </c>
      <c r="L37" s="54">
        <v>2182.56</v>
      </c>
      <c r="M37" s="54">
        <v>0.64</v>
      </c>
      <c r="N37" s="54">
        <v>436.01</v>
      </c>
      <c r="O37" s="822"/>
      <c r="P37" s="822"/>
      <c r="Q37" s="822"/>
      <c r="R37" s="822"/>
      <c r="S37" s="822"/>
      <c r="T37" s="822"/>
      <c r="U37" s="822"/>
      <c r="V37" s="822"/>
    </row>
    <row r="38" spans="1:22" ht="15.75" thickBot="1" x14ac:dyDescent="0.3">
      <c r="A38" s="51" t="s">
        <v>844</v>
      </c>
      <c r="B38" s="51" t="s">
        <v>19</v>
      </c>
      <c r="C38" s="51" t="s">
        <v>431</v>
      </c>
      <c r="D38" s="51" t="s">
        <v>12</v>
      </c>
      <c r="E38" s="51" t="s">
        <v>834</v>
      </c>
      <c r="F38" s="148">
        <v>399</v>
      </c>
      <c r="G38" s="56">
        <v>363349</v>
      </c>
      <c r="H38" s="823"/>
      <c r="I38" s="56">
        <v>15058.68</v>
      </c>
      <c r="J38" s="56">
        <v>2782.89</v>
      </c>
      <c r="K38" s="56">
        <v>111439.23</v>
      </c>
      <c r="L38" s="56">
        <v>125439.79</v>
      </c>
      <c r="M38" s="56">
        <v>65.41</v>
      </c>
      <c r="N38" s="56">
        <v>8222.58</v>
      </c>
      <c r="O38" s="823"/>
      <c r="P38" s="823"/>
      <c r="Q38" s="823"/>
      <c r="R38" s="823"/>
      <c r="S38" s="823"/>
      <c r="T38" s="823"/>
      <c r="U38" s="823"/>
      <c r="V38" s="823"/>
    </row>
    <row r="39" spans="1:22" ht="15.75" thickBot="1" x14ac:dyDescent="0.3">
      <c r="A39" s="51" t="s">
        <v>844</v>
      </c>
      <c r="B39" s="51" t="s">
        <v>19</v>
      </c>
      <c r="C39" s="51" t="s">
        <v>431</v>
      </c>
      <c r="D39" s="51" t="s">
        <v>12</v>
      </c>
      <c r="E39" s="51" t="s">
        <v>857</v>
      </c>
      <c r="F39" s="147">
        <v>24319</v>
      </c>
      <c r="G39" s="54">
        <v>11577588</v>
      </c>
      <c r="H39" s="822"/>
      <c r="I39" s="54">
        <v>1340228.17</v>
      </c>
      <c r="J39" s="54">
        <v>242992.21</v>
      </c>
      <c r="K39" s="54">
        <v>3550846.44</v>
      </c>
      <c r="L39" s="54">
        <v>3936727.63</v>
      </c>
      <c r="M39" s="54">
        <v>2082.41</v>
      </c>
      <c r="N39" s="54">
        <v>117024.68</v>
      </c>
      <c r="O39" s="822"/>
      <c r="P39" s="822"/>
      <c r="Q39" s="822"/>
      <c r="R39" s="822"/>
      <c r="S39" s="822"/>
      <c r="T39" s="822"/>
      <c r="U39" s="822"/>
      <c r="V39" s="822"/>
    </row>
    <row r="40" spans="1:22" ht="15.75" thickBot="1" x14ac:dyDescent="0.3">
      <c r="A40" s="51" t="s">
        <v>844</v>
      </c>
      <c r="B40" s="51" t="s">
        <v>19</v>
      </c>
      <c r="C40" s="51" t="s">
        <v>431</v>
      </c>
      <c r="D40" s="51" t="s">
        <v>15</v>
      </c>
      <c r="E40" s="51" t="s">
        <v>830</v>
      </c>
      <c r="F40" s="147">
        <v>1</v>
      </c>
      <c r="G40" s="54">
        <v>0</v>
      </c>
      <c r="H40" s="822"/>
      <c r="I40" s="54">
        <v>-51.22</v>
      </c>
      <c r="J40" s="822"/>
      <c r="K40" s="54">
        <v>0</v>
      </c>
      <c r="L40" s="54">
        <v>0</v>
      </c>
      <c r="M40" s="54">
        <v>0</v>
      </c>
      <c r="N40" s="822"/>
      <c r="O40" s="822"/>
      <c r="P40" s="822"/>
      <c r="Q40" s="822"/>
      <c r="R40" s="822"/>
      <c r="S40" s="822"/>
      <c r="T40" s="822"/>
      <c r="U40" s="822"/>
      <c r="V40" s="822"/>
    </row>
    <row r="41" spans="1:22" ht="15.75" thickBot="1" x14ac:dyDescent="0.3">
      <c r="A41" s="51" t="s">
        <v>844</v>
      </c>
      <c r="B41" s="51" t="s">
        <v>19</v>
      </c>
      <c r="C41" s="51" t="s">
        <v>431</v>
      </c>
      <c r="D41" s="51" t="s">
        <v>15</v>
      </c>
      <c r="E41" s="51" t="s">
        <v>831</v>
      </c>
      <c r="F41" s="148">
        <v>1</v>
      </c>
      <c r="G41" s="56">
        <v>748</v>
      </c>
      <c r="H41" s="823"/>
      <c r="I41" s="56">
        <v>114.26</v>
      </c>
      <c r="J41" s="823"/>
      <c r="K41" s="56">
        <v>229.41</v>
      </c>
      <c r="L41" s="56">
        <v>269.16000000000003</v>
      </c>
      <c r="M41" s="56">
        <v>0.08</v>
      </c>
      <c r="N41" s="56">
        <v>-18.920000000000002</v>
      </c>
      <c r="O41" s="823"/>
      <c r="P41" s="823"/>
      <c r="Q41" s="823"/>
      <c r="R41" s="823"/>
      <c r="S41" s="823"/>
      <c r="T41" s="823"/>
      <c r="U41" s="823"/>
      <c r="V41" s="823"/>
    </row>
    <row r="42" spans="1:22" ht="15.75" thickBot="1" x14ac:dyDescent="0.3">
      <c r="A42" s="51" t="s">
        <v>844</v>
      </c>
      <c r="B42" s="51" t="s">
        <v>19</v>
      </c>
      <c r="C42" s="51" t="s">
        <v>431</v>
      </c>
      <c r="D42" s="51" t="s">
        <v>15</v>
      </c>
      <c r="E42" s="51" t="s">
        <v>832</v>
      </c>
      <c r="F42" s="147">
        <v>1</v>
      </c>
      <c r="G42" s="54">
        <v>976</v>
      </c>
      <c r="H42" s="822"/>
      <c r="I42" s="54">
        <v>65.010000000000005</v>
      </c>
      <c r="J42" s="822"/>
      <c r="K42" s="54">
        <v>299.33999999999997</v>
      </c>
      <c r="L42" s="54">
        <v>374.83</v>
      </c>
      <c r="M42" s="54">
        <v>0.11</v>
      </c>
      <c r="N42" s="54">
        <v>-36.909999999999997</v>
      </c>
      <c r="O42" s="822"/>
      <c r="P42" s="822"/>
      <c r="Q42" s="822"/>
      <c r="R42" s="822"/>
      <c r="S42" s="822"/>
      <c r="T42" s="822"/>
      <c r="U42" s="822"/>
      <c r="V42" s="822"/>
    </row>
    <row r="43" spans="1:22" ht="15.75" thickBot="1" x14ac:dyDescent="0.3">
      <c r="A43" s="51" t="s">
        <v>844</v>
      </c>
      <c r="B43" s="51" t="s">
        <v>19</v>
      </c>
      <c r="C43" s="51" t="s">
        <v>431</v>
      </c>
      <c r="D43" s="51" t="s">
        <v>15</v>
      </c>
      <c r="E43" s="51" t="s">
        <v>833</v>
      </c>
      <c r="F43" s="148">
        <v>1</v>
      </c>
      <c r="G43" s="56">
        <v>934</v>
      </c>
      <c r="H43" s="823"/>
      <c r="I43" s="56">
        <v>65.010000000000005</v>
      </c>
      <c r="J43" s="823"/>
      <c r="K43" s="56">
        <v>286.45999999999998</v>
      </c>
      <c r="L43" s="56">
        <v>358.7</v>
      </c>
      <c r="M43" s="56">
        <v>0.13</v>
      </c>
      <c r="N43" s="56">
        <v>121.61</v>
      </c>
      <c r="O43" s="823"/>
      <c r="P43" s="823"/>
      <c r="Q43" s="823"/>
      <c r="R43" s="823"/>
      <c r="S43" s="823"/>
      <c r="T43" s="823"/>
      <c r="U43" s="823"/>
      <c r="V43" s="823"/>
    </row>
    <row r="44" spans="1:22" ht="15.75" thickBot="1" x14ac:dyDescent="0.3">
      <c r="A44" s="51" t="s">
        <v>844</v>
      </c>
      <c r="B44" s="51" t="s">
        <v>19</v>
      </c>
      <c r="C44" s="51" t="s">
        <v>431</v>
      </c>
      <c r="D44" s="51" t="s">
        <v>15</v>
      </c>
      <c r="E44" s="51" t="s">
        <v>834</v>
      </c>
      <c r="F44" s="147">
        <v>43</v>
      </c>
      <c r="G44" s="54">
        <v>80402</v>
      </c>
      <c r="H44" s="822"/>
      <c r="I44" s="54">
        <v>1447.95</v>
      </c>
      <c r="J44" s="54">
        <v>4094.69</v>
      </c>
      <c r="K44" s="54">
        <v>24659.3</v>
      </c>
      <c r="L44" s="54">
        <v>28480.39</v>
      </c>
      <c r="M44" s="54">
        <v>14.46</v>
      </c>
      <c r="N44" s="54">
        <v>2210.12</v>
      </c>
      <c r="O44" s="822"/>
      <c r="P44" s="822"/>
      <c r="Q44" s="822"/>
      <c r="R44" s="822"/>
      <c r="S44" s="822"/>
      <c r="T44" s="822"/>
      <c r="U44" s="822"/>
      <c r="V44" s="822"/>
    </row>
    <row r="45" spans="1:22" ht="15.75" thickBot="1" x14ac:dyDescent="0.3">
      <c r="A45" s="51" t="s">
        <v>844</v>
      </c>
      <c r="B45" s="51" t="s">
        <v>19</v>
      </c>
      <c r="C45" s="51" t="s">
        <v>431</v>
      </c>
      <c r="D45" s="51" t="s">
        <v>15</v>
      </c>
      <c r="E45" s="51" t="s">
        <v>857</v>
      </c>
      <c r="F45" s="148">
        <v>1048</v>
      </c>
      <c r="G45" s="56">
        <v>1459670</v>
      </c>
      <c r="H45" s="823"/>
      <c r="I45" s="56">
        <v>46253.63</v>
      </c>
      <c r="J45" s="56">
        <v>66124.09</v>
      </c>
      <c r="K45" s="56">
        <v>447680.87</v>
      </c>
      <c r="L45" s="56">
        <v>496335.48</v>
      </c>
      <c r="M45" s="56">
        <v>262.61</v>
      </c>
      <c r="N45" s="56">
        <v>15710.62</v>
      </c>
      <c r="O45" s="823"/>
      <c r="P45" s="823"/>
      <c r="Q45" s="823"/>
      <c r="R45" s="823"/>
      <c r="S45" s="823"/>
      <c r="T45" s="823"/>
      <c r="U45" s="823"/>
      <c r="V45" s="823"/>
    </row>
    <row r="46" spans="1:22" ht="15.75" thickBot="1" x14ac:dyDescent="0.3">
      <c r="A46" s="51" t="s">
        <v>844</v>
      </c>
      <c r="B46" s="51" t="s">
        <v>19</v>
      </c>
      <c r="C46" s="51" t="s">
        <v>431</v>
      </c>
      <c r="D46" s="51" t="s">
        <v>21</v>
      </c>
      <c r="E46" s="51" t="s">
        <v>834</v>
      </c>
      <c r="F46" s="148">
        <v>1</v>
      </c>
      <c r="G46" s="56">
        <v>15</v>
      </c>
      <c r="H46" s="823"/>
      <c r="I46" s="56">
        <v>9.85</v>
      </c>
      <c r="J46" s="823"/>
      <c r="K46" s="56">
        <v>4.5999999999999996</v>
      </c>
      <c r="L46" s="56">
        <v>5.0999999999999996</v>
      </c>
      <c r="M46" s="56">
        <v>0</v>
      </c>
      <c r="N46" s="56">
        <v>-0.1</v>
      </c>
      <c r="O46" s="823"/>
      <c r="P46" s="823"/>
      <c r="Q46" s="823"/>
      <c r="R46" s="823"/>
      <c r="S46" s="823"/>
      <c r="T46" s="823"/>
      <c r="U46" s="823"/>
      <c r="V46" s="823"/>
    </row>
    <row r="47" spans="1:22" ht="15.75" thickBot="1" x14ac:dyDescent="0.3">
      <c r="A47" s="51" t="s">
        <v>844</v>
      </c>
      <c r="B47" s="51" t="s">
        <v>350</v>
      </c>
      <c r="C47" s="51" t="s">
        <v>432</v>
      </c>
      <c r="D47" s="51" t="s">
        <v>12</v>
      </c>
      <c r="E47" s="51" t="s">
        <v>857</v>
      </c>
      <c r="F47" s="148">
        <v>1</v>
      </c>
      <c r="G47" s="56">
        <v>248</v>
      </c>
      <c r="H47" s="823"/>
      <c r="I47" s="56">
        <v>55.16</v>
      </c>
      <c r="J47" s="823"/>
      <c r="K47" s="56">
        <v>76.06</v>
      </c>
      <c r="L47" s="56">
        <v>84.32</v>
      </c>
      <c r="M47" s="56">
        <v>0.04</v>
      </c>
      <c r="N47" s="56">
        <v>-0.15</v>
      </c>
      <c r="O47" s="823"/>
      <c r="P47" s="823"/>
      <c r="Q47" s="823"/>
      <c r="R47" s="823"/>
      <c r="S47" s="823"/>
      <c r="T47" s="823"/>
      <c r="U47" s="823"/>
      <c r="V47" s="823"/>
    </row>
    <row r="48" spans="1:22" ht="15.75" thickBot="1" x14ac:dyDescent="0.3">
      <c r="A48" s="51" t="s">
        <v>844</v>
      </c>
      <c r="B48" s="51" t="s">
        <v>599</v>
      </c>
      <c r="C48" s="51" t="s">
        <v>600</v>
      </c>
      <c r="D48" s="51" t="s">
        <v>12</v>
      </c>
      <c r="E48" s="51" t="s">
        <v>857</v>
      </c>
      <c r="F48" s="147">
        <v>608</v>
      </c>
      <c r="G48" s="54">
        <v>601</v>
      </c>
      <c r="H48" s="822"/>
      <c r="I48" s="54">
        <v>35633.360000000001</v>
      </c>
      <c r="J48" s="822"/>
      <c r="K48" s="54">
        <v>186.31</v>
      </c>
      <c r="L48" s="54">
        <v>204.34</v>
      </c>
      <c r="M48" s="54">
        <v>0</v>
      </c>
      <c r="N48" s="822"/>
      <c r="O48" s="822"/>
      <c r="P48" s="822"/>
      <c r="Q48" s="822"/>
      <c r="R48" s="822"/>
      <c r="S48" s="822"/>
      <c r="T48" s="822"/>
      <c r="U48" s="822"/>
      <c r="V48" s="822"/>
    </row>
    <row r="49" spans="1:22" ht="15.75" thickBot="1" x14ac:dyDescent="0.3">
      <c r="A49" s="51" t="s">
        <v>844</v>
      </c>
      <c r="B49" s="51" t="s">
        <v>13</v>
      </c>
      <c r="C49" s="51" t="s">
        <v>228</v>
      </c>
      <c r="D49" s="51" t="s">
        <v>12</v>
      </c>
      <c r="E49" s="51" t="s">
        <v>857</v>
      </c>
      <c r="F49" s="148">
        <v>1</v>
      </c>
      <c r="G49" s="56">
        <v>23834</v>
      </c>
      <c r="H49" s="823"/>
      <c r="I49" s="56">
        <v>500</v>
      </c>
      <c r="J49" s="823"/>
      <c r="K49" s="56">
        <v>2536.89</v>
      </c>
      <c r="L49" s="56">
        <v>8103.8</v>
      </c>
      <c r="M49" s="56">
        <v>4.29</v>
      </c>
      <c r="N49" s="823"/>
      <c r="O49" s="823"/>
      <c r="P49" s="823"/>
      <c r="Q49" s="823"/>
      <c r="R49" s="823"/>
      <c r="S49" s="823"/>
      <c r="T49" s="823"/>
      <c r="U49" s="823"/>
      <c r="V49" s="823"/>
    </row>
    <row r="50" spans="1:22" ht="15.75" thickBot="1" x14ac:dyDescent="0.3">
      <c r="A50" s="51" t="s">
        <v>844</v>
      </c>
      <c r="B50" s="51" t="s">
        <v>13</v>
      </c>
      <c r="C50" s="51" t="s">
        <v>228</v>
      </c>
      <c r="D50" s="51" t="s">
        <v>15</v>
      </c>
      <c r="E50" s="51" t="s">
        <v>857</v>
      </c>
      <c r="F50" s="147">
        <v>1</v>
      </c>
      <c r="G50" s="54">
        <v>50610</v>
      </c>
      <c r="H50" s="822"/>
      <c r="I50" s="54">
        <v>500</v>
      </c>
      <c r="J50" s="822"/>
      <c r="K50" s="54">
        <v>5386.93</v>
      </c>
      <c r="L50" s="54">
        <v>17207.91</v>
      </c>
      <c r="M50" s="54">
        <v>9.11</v>
      </c>
      <c r="N50" s="822"/>
      <c r="O50" s="822"/>
      <c r="P50" s="822"/>
      <c r="Q50" s="822"/>
      <c r="R50" s="822"/>
      <c r="S50" s="822"/>
      <c r="T50" s="822"/>
      <c r="U50" s="822"/>
      <c r="V50" s="822"/>
    </row>
    <row r="51" spans="1:22" ht="15.75" thickBot="1" x14ac:dyDescent="0.3">
      <c r="A51" s="51" t="s">
        <v>844</v>
      </c>
      <c r="B51" s="51" t="s">
        <v>563</v>
      </c>
      <c r="C51" s="51" t="s">
        <v>607</v>
      </c>
      <c r="D51" s="51" t="s">
        <v>15</v>
      </c>
      <c r="E51" s="51" t="s">
        <v>834</v>
      </c>
      <c r="F51" s="147">
        <v>1</v>
      </c>
      <c r="G51" s="54">
        <v>16997</v>
      </c>
      <c r="H51" s="822"/>
      <c r="I51" s="54">
        <v>285</v>
      </c>
      <c r="J51" s="822"/>
      <c r="K51" s="54">
        <v>612.4</v>
      </c>
      <c r="L51" s="54">
        <v>5779.15</v>
      </c>
      <c r="M51" s="54">
        <v>3.06</v>
      </c>
      <c r="N51" s="822"/>
      <c r="O51" s="822"/>
      <c r="P51" s="54">
        <v>15862.74</v>
      </c>
      <c r="Q51" s="822"/>
      <c r="R51" s="822"/>
      <c r="S51" s="822"/>
      <c r="T51" s="822"/>
      <c r="U51" s="822"/>
      <c r="V51" s="822"/>
    </row>
    <row r="52" spans="1:22" ht="15.75" thickBot="1" x14ac:dyDescent="0.3">
      <c r="A52" s="51" t="s">
        <v>844</v>
      </c>
      <c r="B52" s="51" t="s">
        <v>563</v>
      </c>
      <c r="C52" s="51" t="s">
        <v>607</v>
      </c>
      <c r="D52" s="51" t="s">
        <v>15</v>
      </c>
      <c r="E52" s="51" t="s">
        <v>857</v>
      </c>
      <c r="F52" s="148">
        <v>1</v>
      </c>
      <c r="G52" s="56">
        <v>191</v>
      </c>
      <c r="H52" s="823"/>
      <c r="I52" s="56">
        <v>285</v>
      </c>
      <c r="J52" s="823"/>
      <c r="K52" s="56">
        <v>6.88</v>
      </c>
      <c r="L52" s="56">
        <v>64.94</v>
      </c>
      <c r="M52" s="56">
        <v>0.03</v>
      </c>
      <c r="N52" s="823"/>
      <c r="O52" s="823"/>
      <c r="P52" s="56">
        <v>15862.74</v>
      </c>
      <c r="Q52" s="823"/>
      <c r="R52" s="823"/>
      <c r="S52" s="823"/>
      <c r="T52" s="823"/>
      <c r="U52" s="823"/>
      <c r="V52" s="823"/>
    </row>
    <row r="53" spans="1:22" ht="15.75" thickBot="1" x14ac:dyDescent="0.3">
      <c r="A53" s="51" t="s">
        <v>844</v>
      </c>
      <c r="B53" s="51" t="s">
        <v>43</v>
      </c>
      <c r="C53" s="51" t="s">
        <v>433</v>
      </c>
      <c r="D53" s="51" t="s">
        <v>12</v>
      </c>
      <c r="E53" s="51" t="s">
        <v>857</v>
      </c>
      <c r="F53" s="148">
        <v>1</v>
      </c>
      <c r="G53" s="56">
        <v>3</v>
      </c>
      <c r="H53" s="823"/>
      <c r="I53" s="56">
        <v>165</v>
      </c>
      <c r="J53" s="823"/>
      <c r="K53" s="56">
        <v>0.09</v>
      </c>
      <c r="L53" s="56">
        <v>1.02</v>
      </c>
      <c r="M53" s="823"/>
      <c r="N53" s="823"/>
      <c r="O53" s="823"/>
      <c r="P53" s="56">
        <v>526.36</v>
      </c>
      <c r="Q53" s="823"/>
      <c r="R53" s="823"/>
      <c r="S53" s="823"/>
      <c r="T53" s="823"/>
      <c r="U53" s="823"/>
      <c r="V53" s="823"/>
    </row>
    <row r="54" spans="1:22" ht="15.75" thickBot="1" x14ac:dyDescent="0.3">
      <c r="A54" s="51" t="s">
        <v>844</v>
      </c>
      <c r="B54" s="51" t="s">
        <v>43</v>
      </c>
      <c r="C54" s="51" t="s">
        <v>433</v>
      </c>
      <c r="D54" s="51" t="s">
        <v>15</v>
      </c>
      <c r="E54" s="51" t="s">
        <v>857</v>
      </c>
      <c r="F54" s="147">
        <v>1</v>
      </c>
      <c r="G54" s="54">
        <v>3</v>
      </c>
      <c r="H54" s="822"/>
      <c r="I54" s="54">
        <v>165</v>
      </c>
      <c r="J54" s="822"/>
      <c r="K54" s="54">
        <v>0.09</v>
      </c>
      <c r="L54" s="54">
        <v>1.02</v>
      </c>
      <c r="M54" s="822"/>
      <c r="N54" s="822"/>
      <c r="O54" s="822"/>
      <c r="P54" s="54">
        <v>672.44</v>
      </c>
      <c r="Q54" s="822"/>
      <c r="R54" s="822"/>
      <c r="S54" s="822"/>
      <c r="T54" s="822"/>
      <c r="U54" s="822"/>
      <c r="V54" s="822"/>
    </row>
    <row r="55" spans="1:22" ht="15.75" thickBot="1" x14ac:dyDescent="0.3">
      <c r="A55" s="51" t="s">
        <v>844</v>
      </c>
      <c r="B55" s="51" t="s">
        <v>34</v>
      </c>
      <c r="C55" s="51" t="s">
        <v>437</v>
      </c>
      <c r="D55" s="51" t="s">
        <v>318</v>
      </c>
      <c r="E55" s="51" t="s">
        <v>834</v>
      </c>
      <c r="F55" s="147">
        <v>7</v>
      </c>
      <c r="G55" s="54">
        <v>450864</v>
      </c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54">
        <v>17143.77</v>
      </c>
      <c r="S55" s="54">
        <v>0</v>
      </c>
      <c r="T55" s="822"/>
      <c r="U55" s="54">
        <v>3850</v>
      </c>
      <c r="V55" s="54">
        <v>0</v>
      </c>
    </row>
    <row r="56" spans="1:22" ht="15.75" thickBot="1" x14ac:dyDescent="0.3">
      <c r="A56" s="51" t="s">
        <v>844</v>
      </c>
      <c r="B56" s="51" t="s">
        <v>34</v>
      </c>
      <c r="C56" s="51" t="s">
        <v>437</v>
      </c>
      <c r="D56" s="51" t="s">
        <v>319</v>
      </c>
      <c r="E56" s="51" t="s">
        <v>834</v>
      </c>
      <c r="F56" s="148">
        <v>2</v>
      </c>
      <c r="G56" s="56">
        <v>161487</v>
      </c>
      <c r="H56" s="823"/>
      <c r="I56" s="823"/>
      <c r="J56" s="823"/>
      <c r="K56" s="823"/>
      <c r="L56" s="823"/>
      <c r="M56" s="823"/>
      <c r="N56" s="823"/>
      <c r="O56" s="823"/>
      <c r="P56" s="823"/>
      <c r="Q56" s="823"/>
      <c r="R56" s="56">
        <v>5791.82</v>
      </c>
      <c r="S56" s="56">
        <v>-423.02</v>
      </c>
      <c r="T56" s="56">
        <v>-22.18</v>
      </c>
      <c r="U56" s="56">
        <v>1100</v>
      </c>
      <c r="V56" s="56">
        <v>48.88</v>
      </c>
    </row>
    <row r="57" spans="1:22" ht="15.75" thickBot="1" x14ac:dyDescent="0.3">
      <c r="A57" s="51" t="s">
        <v>844</v>
      </c>
      <c r="B57" s="51" t="s">
        <v>24</v>
      </c>
      <c r="C57" s="51" t="s">
        <v>436</v>
      </c>
      <c r="D57" s="51" t="s">
        <v>16</v>
      </c>
      <c r="E57" s="51" t="s">
        <v>834</v>
      </c>
      <c r="F57" s="148">
        <v>1</v>
      </c>
      <c r="G57" s="56">
        <v>0</v>
      </c>
      <c r="H57" s="823"/>
      <c r="I57" s="56">
        <v>-97.56</v>
      </c>
      <c r="J57" s="823"/>
      <c r="K57" s="56">
        <v>0</v>
      </c>
      <c r="L57" s="56">
        <v>0</v>
      </c>
      <c r="M57" s="823"/>
      <c r="N57" s="823"/>
      <c r="O57" s="823"/>
      <c r="P57" s="823"/>
      <c r="Q57" s="823"/>
      <c r="R57" s="823"/>
      <c r="S57" s="823"/>
      <c r="T57" s="823"/>
      <c r="U57" s="823"/>
      <c r="V57" s="823"/>
    </row>
    <row r="58" spans="1:22" ht="15.75" thickBot="1" x14ac:dyDescent="0.3">
      <c r="A58" s="51" t="s">
        <v>844</v>
      </c>
      <c r="B58" s="51" t="s">
        <v>24</v>
      </c>
      <c r="C58" s="51" t="s">
        <v>436</v>
      </c>
      <c r="D58" s="51" t="s">
        <v>16</v>
      </c>
      <c r="E58" s="51" t="s">
        <v>857</v>
      </c>
      <c r="F58" s="147">
        <v>76</v>
      </c>
      <c r="G58" s="54">
        <v>554743</v>
      </c>
      <c r="H58" s="822"/>
      <c r="I58" s="54">
        <v>5186.9399999999996</v>
      </c>
      <c r="J58" s="54">
        <v>31687.040000000001</v>
      </c>
      <c r="K58" s="54">
        <v>121649.57</v>
      </c>
      <c r="L58" s="54">
        <v>188749.94</v>
      </c>
      <c r="M58" s="822"/>
      <c r="N58" s="822"/>
      <c r="O58" s="822"/>
      <c r="P58" s="822"/>
      <c r="Q58" s="822"/>
      <c r="R58" s="822"/>
      <c r="S58" s="822"/>
      <c r="T58" s="822"/>
      <c r="U58" s="822"/>
      <c r="V58" s="822"/>
    </row>
    <row r="59" spans="1:22" ht="15.75" thickBot="1" x14ac:dyDescent="0.3">
      <c r="A59" s="51" t="s">
        <v>844</v>
      </c>
      <c r="B59" s="51" t="s">
        <v>24</v>
      </c>
      <c r="C59" s="51" t="s">
        <v>436</v>
      </c>
      <c r="D59" s="51" t="s">
        <v>12</v>
      </c>
      <c r="E59" s="51" t="s">
        <v>857</v>
      </c>
      <c r="F59" s="147">
        <v>8</v>
      </c>
      <c r="G59" s="54">
        <v>56605</v>
      </c>
      <c r="H59" s="822"/>
      <c r="I59" s="54">
        <v>785.9</v>
      </c>
      <c r="J59" s="54">
        <v>2340.8000000000002</v>
      </c>
      <c r="K59" s="54">
        <v>12412.9</v>
      </c>
      <c r="L59" s="54">
        <v>19246.259999999998</v>
      </c>
      <c r="M59" s="822"/>
      <c r="N59" s="822"/>
      <c r="O59" s="822"/>
      <c r="P59" s="822"/>
      <c r="Q59" s="822"/>
      <c r="R59" s="822"/>
      <c r="S59" s="822"/>
      <c r="T59" s="822"/>
      <c r="U59" s="822"/>
      <c r="V59" s="822"/>
    </row>
    <row r="60" spans="1:22" ht="15.75" thickBot="1" x14ac:dyDescent="0.3">
      <c r="A60" s="51" t="s">
        <v>844</v>
      </c>
      <c r="B60" s="51" t="s">
        <v>24</v>
      </c>
      <c r="C60" s="51" t="s">
        <v>436</v>
      </c>
      <c r="D60" s="51" t="s">
        <v>15</v>
      </c>
      <c r="E60" s="51" t="s">
        <v>857</v>
      </c>
      <c r="F60" s="148">
        <v>3</v>
      </c>
      <c r="G60" s="56">
        <v>16133</v>
      </c>
      <c r="H60" s="823"/>
      <c r="I60" s="56">
        <v>330.62</v>
      </c>
      <c r="J60" s="56">
        <v>763.84</v>
      </c>
      <c r="K60" s="56">
        <v>3537.81</v>
      </c>
      <c r="L60" s="56">
        <v>5485.38</v>
      </c>
      <c r="M60" s="823"/>
      <c r="N60" s="823"/>
      <c r="O60" s="823"/>
      <c r="P60" s="823"/>
      <c r="Q60" s="823"/>
      <c r="R60" s="823"/>
      <c r="S60" s="823"/>
      <c r="T60" s="823"/>
      <c r="U60" s="823"/>
      <c r="V60" s="823"/>
    </row>
    <row r="61" spans="1:22" ht="15.75" thickBot="1" x14ac:dyDescent="0.3">
      <c r="A61" s="51" t="s">
        <v>844</v>
      </c>
      <c r="B61" s="51" t="s">
        <v>434</v>
      </c>
      <c r="C61" s="51" t="s">
        <v>435</v>
      </c>
      <c r="D61" s="51" t="s">
        <v>16</v>
      </c>
      <c r="E61" s="51" t="s">
        <v>834</v>
      </c>
      <c r="F61" s="148">
        <v>2</v>
      </c>
      <c r="G61" s="56">
        <v>11197</v>
      </c>
      <c r="H61" s="823"/>
      <c r="I61" s="56">
        <v>0</v>
      </c>
      <c r="J61" s="56">
        <v>887.04</v>
      </c>
      <c r="K61" s="56">
        <v>2455.39</v>
      </c>
      <c r="L61" s="56">
        <v>3969.81</v>
      </c>
      <c r="M61" s="56">
        <v>2.02</v>
      </c>
      <c r="N61" s="823"/>
      <c r="O61" s="823"/>
      <c r="P61" s="823"/>
      <c r="Q61" s="823"/>
      <c r="R61" s="823"/>
      <c r="S61" s="823"/>
      <c r="T61" s="823"/>
      <c r="U61" s="823"/>
      <c r="V61" s="823"/>
    </row>
    <row r="62" spans="1:22" ht="15.75" thickBot="1" x14ac:dyDescent="0.3">
      <c r="A62" s="51" t="s">
        <v>844</v>
      </c>
      <c r="B62" s="51" t="s">
        <v>434</v>
      </c>
      <c r="C62" s="51" t="s">
        <v>435</v>
      </c>
      <c r="D62" s="51" t="s">
        <v>16</v>
      </c>
      <c r="E62" s="51" t="s">
        <v>857</v>
      </c>
      <c r="F62" s="147">
        <v>117</v>
      </c>
      <c r="G62" s="54">
        <v>578709</v>
      </c>
      <c r="H62" s="822"/>
      <c r="I62" s="54">
        <v>9961.9599999999991</v>
      </c>
      <c r="J62" s="54">
        <v>39005.120000000003</v>
      </c>
      <c r="K62" s="54">
        <v>126905.1</v>
      </c>
      <c r="L62" s="54">
        <v>196768.9</v>
      </c>
      <c r="M62" s="54">
        <v>104.15</v>
      </c>
      <c r="N62" s="822"/>
      <c r="O62" s="822"/>
      <c r="P62" s="822"/>
      <c r="Q62" s="822"/>
      <c r="R62" s="822"/>
      <c r="S62" s="822"/>
      <c r="T62" s="822"/>
      <c r="U62" s="822"/>
      <c r="V62" s="822"/>
    </row>
    <row r="63" spans="1:22" ht="15.75" thickBot="1" x14ac:dyDescent="0.3">
      <c r="A63" s="51" t="s">
        <v>844</v>
      </c>
      <c r="B63" s="51" t="s">
        <v>434</v>
      </c>
      <c r="C63" s="51" t="s">
        <v>435</v>
      </c>
      <c r="D63" s="51" t="s">
        <v>12</v>
      </c>
      <c r="E63" s="51" t="s">
        <v>857</v>
      </c>
      <c r="F63" s="147">
        <v>12</v>
      </c>
      <c r="G63" s="54">
        <v>86397</v>
      </c>
      <c r="H63" s="822"/>
      <c r="I63" s="54">
        <v>1127.3599999999999</v>
      </c>
      <c r="J63" s="54">
        <v>3622.08</v>
      </c>
      <c r="K63" s="54">
        <v>18946</v>
      </c>
      <c r="L63" s="54">
        <v>29375.85</v>
      </c>
      <c r="M63" s="54">
        <v>15.55</v>
      </c>
      <c r="N63" s="822"/>
      <c r="O63" s="822"/>
      <c r="P63" s="822"/>
      <c r="Q63" s="822"/>
      <c r="R63" s="822"/>
      <c r="S63" s="822"/>
      <c r="T63" s="822"/>
      <c r="U63" s="822"/>
      <c r="V63" s="822"/>
    </row>
    <row r="64" spans="1:22" ht="15.75" thickBot="1" x14ac:dyDescent="0.3">
      <c r="A64" s="51" t="s">
        <v>844</v>
      </c>
      <c r="B64" s="51" t="s">
        <v>434</v>
      </c>
      <c r="C64" s="51" t="s">
        <v>435</v>
      </c>
      <c r="D64" s="51" t="s">
        <v>15</v>
      </c>
      <c r="E64" s="51" t="s">
        <v>857</v>
      </c>
      <c r="F64" s="148">
        <v>1</v>
      </c>
      <c r="G64" s="56">
        <v>6136</v>
      </c>
      <c r="H64" s="823"/>
      <c r="I64" s="56">
        <v>0</v>
      </c>
      <c r="J64" s="56">
        <v>714.56</v>
      </c>
      <c r="K64" s="56">
        <v>1345.56</v>
      </c>
      <c r="L64" s="56">
        <v>2086.3000000000002</v>
      </c>
      <c r="M64" s="56">
        <v>1.1000000000000001</v>
      </c>
      <c r="N64" s="823"/>
      <c r="O64" s="823"/>
      <c r="P64" s="823"/>
      <c r="Q64" s="823"/>
      <c r="R64" s="823"/>
      <c r="S64" s="823"/>
      <c r="T64" s="823"/>
      <c r="U64" s="823"/>
      <c r="V64" s="823"/>
    </row>
    <row r="65" spans="1:22" ht="15.75" thickBot="1" x14ac:dyDescent="0.3">
      <c r="A65" s="51" t="s">
        <v>844</v>
      </c>
      <c r="B65" s="51" t="s">
        <v>429</v>
      </c>
      <c r="C65" s="51" t="s">
        <v>430</v>
      </c>
      <c r="D65" s="51" t="s">
        <v>16</v>
      </c>
      <c r="E65" s="51" t="s">
        <v>857</v>
      </c>
      <c r="F65" s="148">
        <v>1</v>
      </c>
      <c r="G65" s="56">
        <v>15511</v>
      </c>
      <c r="H65" s="823"/>
      <c r="I65" s="56">
        <v>500</v>
      </c>
      <c r="J65" s="823"/>
      <c r="K65" s="56">
        <v>1650.99</v>
      </c>
      <c r="L65" s="56">
        <v>5273.9</v>
      </c>
      <c r="M65" s="56">
        <v>2.79</v>
      </c>
      <c r="N65" s="823"/>
      <c r="O65" s="823"/>
      <c r="P65" s="823"/>
      <c r="Q65" s="823"/>
      <c r="R65" s="823"/>
      <c r="S65" s="823"/>
      <c r="T65" s="823"/>
      <c r="U65" s="823"/>
      <c r="V65" s="823"/>
    </row>
    <row r="66" spans="1:22" ht="15.75" thickBot="1" x14ac:dyDescent="0.3">
      <c r="A66" s="51" t="s">
        <v>844</v>
      </c>
      <c r="B66" s="51" t="s">
        <v>31</v>
      </c>
      <c r="C66" s="51" t="s">
        <v>835</v>
      </c>
      <c r="D66" s="51" t="s">
        <v>320</v>
      </c>
      <c r="E66" s="51" t="s">
        <v>834</v>
      </c>
      <c r="F66" s="147">
        <v>2</v>
      </c>
      <c r="G66" s="54">
        <v>52940</v>
      </c>
      <c r="H66" s="822"/>
      <c r="I66" s="822"/>
      <c r="J66" s="822"/>
      <c r="K66" s="822"/>
      <c r="L66" s="822"/>
      <c r="M66" s="822"/>
      <c r="N66" s="822"/>
      <c r="O66" s="822"/>
      <c r="P66" s="822"/>
      <c r="Q66" s="54">
        <v>2.7</v>
      </c>
      <c r="R66" s="54">
        <v>17571.59</v>
      </c>
      <c r="S66" s="54">
        <v>0</v>
      </c>
      <c r="T66" s="822"/>
      <c r="U66" s="54">
        <v>1100</v>
      </c>
      <c r="V66" s="822"/>
    </row>
    <row r="67" spans="1:22" ht="15.75" thickBot="1" x14ac:dyDescent="0.3">
      <c r="A67" s="51" t="s">
        <v>844</v>
      </c>
      <c r="B67" s="51" t="s">
        <v>491</v>
      </c>
      <c r="C67" s="51" t="s">
        <v>492</v>
      </c>
      <c r="D67" s="51" t="s">
        <v>320</v>
      </c>
      <c r="E67" s="51" t="s">
        <v>834</v>
      </c>
      <c r="F67" s="148">
        <v>6</v>
      </c>
      <c r="G67" s="56">
        <v>25195</v>
      </c>
      <c r="H67" s="823"/>
      <c r="I67" s="823"/>
      <c r="J67" s="823"/>
      <c r="K67" s="823"/>
      <c r="L67" s="823"/>
      <c r="M67" s="823"/>
      <c r="N67" s="823"/>
      <c r="O67" s="823"/>
      <c r="P67" s="823"/>
      <c r="Q67" s="56">
        <v>0</v>
      </c>
      <c r="R67" s="56">
        <v>11974.37</v>
      </c>
      <c r="S67" s="56">
        <v>0</v>
      </c>
      <c r="T67" s="823"/>
      <c r="U67" s="56">
        <v>3300</v>
      </c>
      <c r="V67" s="823"/>
    </row>
    <row r="68" spans="1:22" ht="15.75" thickBot="1" x14ac:dyDescent="0.3">
      <c r="A68" s="51" t="s">
        <v>844</v>
      </c>
      <c r="B68" s="51" t="s">
        <v>52</v>
      </c>
      <c r="C68" s="51" t="s">
        <v>355</v>
      </c>
      <c r="D68" s="51" t="s">
        <v>320</v>
      </c>
      <c r="E68" s="51" t="s">
        <v>834</v>
      </c>
      <c r="F68" s="147">
        <v>2</v>
      </c>
      <c r="G68" s="822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54">
        <v>0</v>
      </c>
      <c r="S68" s="54">
        <v>-1648.61</v>
      </c>
      <c r="T68" s="54">
        <v>230.35</v>
      </c>
      <c r="U68" s="54">
        <v>675</v>
      </c>
      <c r="V68" s="54">
        <v>0</v>
      </c>
    </row>
    <row r="69" spans="1:22" ht="15.75" thickBot="1" x14ac:dyDescent="0.3">
      <c r="A69" s="51" t="s">
        <v>844</v>
      </c>
      <c r="B69" s="51" t="s">
        <v>53</v>
      </c>
      <c r="C69" s="51" t="s">
        <v>836</v>
      </c>
      <c r="D69" s="51" t="s">
        <v>320</v>
      </c>
      <c r="E69" s="51" t="s">
        <v>834</v>
      </c>
      <c r="F69" s="148">
        <v>1</v>
      </c>
      <c r="G69" s="56">
        <v>170647</v>
      </c>
      <c r="H69" s="823"/>
      <c r="I69" s="823"/>
      <c r="J69" s="823"/>
      <c r="K69" s="823"/>
      <c r="L69" s="823"/>
      <c r="M69" s="823"/>
      <c r="N69" s="823"/>
      <c r="O69" s="823"/>
      <c r="P69" s="823"/>
      <c r="Q69" s="823"/>
      <c r="R69" s="56">
        <v>33276.17</v>
      </c>
      <c r="S69" s="823"/>
      <c r="T69" s="823"/>
      <c r="U69" s="56">
        <v>550</v>
      </c>
      <c r="V69" s="823"/>
    </row>
    <row r="70" spans="1:22" ht="15.75" thickBot="1" x14ac:dyDescent="0.3">
      <c r="A70" s="51" t="s">
        <v>844</v>
      </c>
      <c r="B70" s="51" t="s">
        <v>36</v>
      </c>
      <c r="C70" s="51" t="s">
        <v>438</v>
      </c>
      <c r="D70" s="51" t="s">
        <v>320</v>
      </c>
      <c r="E70" s="51" t="s">
        <v>834</v>
      </c>
      <c r="F70" s="147">
        <v>48</v>
      </c>
      <c r="G70" s="54">
        <v>12485276</v>
      </c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54">
        <v>405935.46</v>
      </c>
      <c r="S70" s="54">
        <v>-617.79</v>
      </c>
      <c r="T70" s="54">
        <v>15.26</v>
      </c>
      <c r="U70" s="54">
        <v>26400</v>
      </c>
      <c r="V70" s="54">
        <v>692.87</v>
      </c>
    </row>
    <row r="71" spans="1:22" ht="15.75" thickBot="1" x14ac:dyDescent="0.3">
      <c r="A71" s="51" t="s">
        <v>844</v>
      </c>
      <c r="B71" s="51" t="s">
        <v>36</v>
      </c>
      <c r="C71" s="51" t="s">
        <v>438</v>
      </c>
      <c r="D71" s="51" t="s">
        <v>319</v>
      </c>
      <c r="E71" s="51" t="s">
        <v>834</v>
      </c>
      <c r="F71" s="148">
        <v>2</v>
      </c>
      <c r="G71" s="56">
        <v>739109</v>
      </c>
      <c r="H71" s="823"/>
      <c r="I71" s="823"/>
      <c r="J71" s="823"/>
      <c r="K71" s="823"/>
      <c r="L71" s="823"/>
      <c r="M71" s="823"/>
      <c r="N71" s="823"/>
      <c r="O71" s="823"/>
      <c r="P71" s="823"/>
      <c r="Q71" s="823"/>
      <c r="R71" s="56">
        <v>23096.98</v>
      </c>
      <c r="S71" s="56">
        <v>0</v>
      </c>
      <c r="T71" s="823"/>
      <c r="U71" s="56">
        <v>1100</v>
      </c>
      <c r="V71" s="56">
        <v>0</v>
      </c>
    </row>
    <row r="72" spans="1:22" ht="15.75" thickBot="1" x14ac:dyDescent="0.3">
      <c r="A72" s="51" t="s">
        <v>844</v>
      </c>
      <c r="B72" s="51" t="s">
        <v>447</v>
      </c>
      <c r="C72" s="51" t="s">
        <v>494</v>
      </c>
      <c r="D72" s="51" t="s">
        <v>320</v>
      </c>
      <c r="E72" s="51" t="s">
        <v>834</v>
      </c>
      <c r="F72" s="148">
        <v>15</v>
      </c>
      <c r="G72" s="56">
        <v>1014404</v>
      </c>
      <c r="H72" s="823"/>
      <c r="I72" s="823"/>
      <c r="J72" s="823"/>
      <c r="K72" s="823"/>
      <c r="L72" s="823"/>
      <c r="M72" s="823"/>
      <c r="N72" s="823"/>
      <c r="O72" s="823"/>
      <c r="P72" s="823"/>
      <c r="Q72" s="56">
        <v>-12.52</v>
      </c>
      <c r="R72" s="56">
        <v>41054.699999999997</v>
      </c>
      <c r="S72" s="56">
        <v>0</v>
      </c>
      <c r="T72" s="823"/>
      <c r="U72" s="56">
        <v>8250</v>
      </c>
      <c r="V72" s="56">
        <v>0</v>
      </c>
    </row>
    <row r="73" spans="1:22" ht="15.75" thickBot="1" x14ac:dyDescent="0.3">
      <c r="A73" s="51" t="s">
        <v>844</v>
      </c>
      <c r="B73" s="51" t="s">
        <v>38</v>
      </c>
      <c r="C73" s="51" t="s">
        <v>39</v>
      </c>
      <c r="D73" s="51" t="s">
        <v>320</v>
      </c>
      <c r="E73" s="51" t="s">
        <v>834</v>
      </c>
      <c r="F73" s="147">
        <v>3</v>
      </c>
      <c r="G73" s="822"/>
      <c r="H73" s="822"/>
      <c r="I73" s="822"/>
      <c r="J73" s="822"/>
      <c r="K73" s="822"/>
      <c r="L73" s="822"/>
      <c r="M73" s="822"/>
      <c r="N73" s="822"/>
      <c r="O73" s="822"/>
      <c r="P73" s="822"/>
      <c r="Q73" s="822"/>
      <c r="R73" s="54">
        <v>31632.35</v>
      </c>
      <c r="S73" s="54">
        <v>-5993.4</v>
      </c>
      <c r="T73" s="54">
        <v>60240.49</v>
      </c>
      <c r="U73" s="54">
        <v>5325</v>
      </c>
      <c r="V73" s="54">
        <v>7106.24</v>
      </c>
    </row>
    <row r="74" spans="1:22" ht="15.75" thickBot="1" x14ac:dyDescent="0.3">
      <c r="A74" s="51" t="s">
        <v>844</v>
      </c>
      <c r="B74" s="51" t="s">
        <v>32</v>
      </c>
      <c r="C74" s="51" t="s">
        <v>33</v>
      </c>
      <c r="D74" s="51" t="s">
        <v>85</v>
      </c>
      <c r="E74" s="51" t="s">
        <v>857</v>
      </c>
      <c r="F74" s="148">
        <v>1</v>
      </c>
      <c r="G74" s="56">
        <v>240302</v>
      </c>
      <c r="H74" s="823"/>
      <c r="I74" s="56">
        <v>0</v>
      </c>
      <c r="J74" s="56">
        <v>750</v>
      </c>
      <c r="K74" s="56">
        <v>7189.84</v>
      </c>
      <c r="L74" s="56">
        <v>81705.08</v>
      </c>
      <c r="M74" s="823"/>
      <c r="N74" s="823"/>
      <c r="O74" s="823"/>
      <c r="P74" s="56">
        <v>180467.57</v>
      </c>
      <c r="Q74" s="823"/>
      <c r="R74" s="823"/>
      <c r="S74" s="823"/>
      <c r="T74" s="823"/>
      <c r="U74" s="823"/>
      <c r="V74" s="823"/>
    </row>
    <row r="75" spans="1:22" ht="15.75" thickBot="1" x14ac:dyDescent="0.3">
      <c r="A75" s="51" t="s">
        <v>844</v>
      </c>
      <c r="B75" s="51" t="s">
        <v>26</v>
      </c>
      <c r="C75" s="51" t="s">
        <v>27</v>
      </c>
      <c r="D75" s="51" t="s">
        <v>12</v>
      </c>
      <c r="E75" s="51" t="s">
        <v>857</v>
      </c>
      <c r="F75" s="147">
        <v>7</v>
      </c>
      <c r="G75" s="54">
        <v>1230</v>
      </c>
      <c r="H75" s="822"/>
      <c r="I75" s="54">
        <v>133.25</v>
      </c>
      <c r="J75" s="822"/>
      <c r="K75" s="54">
        <v>452.42</v>
      </c>
      <c r="L75" s="54">
        <v>418.21</v>
      </c>
      <c r="M75" s="54">
        <v>-2.82</v>
      </c>
      <c r="N75" s="54">
        <v>8.9499999999999993</v>
      </c>
      <c r="O75" s="822"/>
      <c r="P75" s="822"/>
      <c r="Q75" s="822"/>
      <c r="R75" s="822"/>
      <c r="S75" s="822"/>
      <c r="T75" s="822"/>
      <c r="U75" s="822"/>
      <c r="V75" s="822"/>
    </row>
    <row r="76" spans="1:22" ht="15.75" thickBot="1" x14ac:dyDescent="0.3">
      <c r="A76" s="51" t="s">
        <v>844</v>
      </c>
      <c r="B76" s="51" t="s">
        <v>26</v>
      </c>
      <c r="C76" s="51" t="s">
        <v>27</v>
      </c>
      <c r="D76" s="51" t="s">
        <v>15</v>
      </c>
      <c r="E76" s="51" t="s">
        <v>834</v>
      </c>
      <c r="F76" s="148">
        <v>1</v>
      </c>
      <c r="G76" s="56">
        <v>51</v>
      </c>
      <c r="H76" s="823"/>
      <c r="I76" s="56">
        <v>18.850000000000001</v>
      </c>
      <c r="J76" s="823"/>
      <c r="K76" s="56">
        <v>18.760000000000002</v>
      </c>
      <c r="L76" s="56">
        <v>18.22</v>
      </c>
      <c r="M76" s="56">
        <v>-0.12</v>
      </c>
      <c r="N76" s="56">
        <v>1.7</v>
      </c>
      <c r="O76" s="823"/>
      <c r="P76" s="823"/>
      <c r="Q76" s="823"/>
      <c r="R76" s="823"/>
      <c r="S76" s="823"/>
      <c r="T76" s="823"/>
      <c r="U76" s="823"/>
      <c r="V76" s="823"/>
    </row>
    <row r="77" spans="1:22" ht="15.75" thickBot="1" x14ac:dyDescent="0.3">
      <c r="A77" s="51" t="s">
        <v>844</v>
      </c>
      <c r="B77" s="51" t="s">
        <v>26</v>
      </c>
      <c r="C77" s="51" t="s">
        <v>27</v>
      </c>
      <c r="D77" s="51" t="s">
        <v>15</v>
      </c>
      <c r="E77" s="51" t="s">
        <v>857</v>
      </c>
      <c r="F77" s="147">
        <v>148</v>
      </c>
      <c r="G77" s="54">
        <v>8948</v>
      </c>
      <c r="H77" s="822"/>
      <c r="I77" s="54">
        <v>2776.15</v>
      </c>
      <c r="J77" s="822"/>
      <c r="K77" s="54">
        <v>3291.27</v>
      </c>
      <c r="L77" s="54">
        <v>3044.77</v>
      </c>
      <c r="M77" s="54">
        <v>-20.6</v>
      </c>
      <c r="N77" s="54">
        <v>149.47</v>
      </c>
      <c r="O77" s="822"/>
      <c r="P77" s="822"/>
      <c r="Q77" s="822"/>
      <c r="R77" s="822"/>
      <c r="S77" s="822"/>
      <c r="T77" s="822"/>
      <c r="U77" s="822"/>
      <c r="V77" s="822"/>
    </row>
    <row r="78" spans="1:22" ht="15.75" thickBot="1" x14ac:dyDescent="0.3">
      <c r="A78" s="51" t="s">
        <v>844</v>
      </c>
      <c r="B78" s="51" t="s">
        <v>26</v>
      </c>
      <c r="C78" s="51" t="s">
        <v>27</v>
      </c>
      <c r="D78" s="51" t="s">
        <v>21</v>
      </c>
      <c r="E78" s="51" t="s">
        <v>858</v>
      </c>
      <c r="F78" s="147">
        <v>1</v>
      </c>
      <c r="G78" s="54">
        <v>0</v>
      </c>
      <c r="H78" s="822"/>
      <c r="I78" s="54">
        <v>-13.37</v>
      </c>
      <c r="J78" s="822"/>
      <c r="K78" s="54">
        <v>0</v>
      </c>
      <c r="L78" s="54">
        <v>0</v>
      </c>
      <c r="M78" s="54">
        <v>0</v>
      </c>
      <c r="N78" s="822"/>
      <c r="O78" s="54">
        <v>-2.61</v>
      </c>
      <c r="P78" s="822"/>
      <c r="Q78" s="822"/>
      <c r="R78" s="822"/>
      <c r="S78" s="822"/>
      <c r="T78" s="822"/>
      <c r="U78" s="822"/>
      <c r="V78" s="822"/>
    </row>
    <row r="79" spans="1:22" ht="15.75" thickBot="1" x14ac:dyDescent="0.3">
      <c r="A79" s="51" t="s">
        <v>844</v>
      </c>
      <c r="B79" s="51" t="s">
        <v>26</v>
      </c>
      <c r="C79" s="51" t="s">
        <v>27</v>
      </c>
      <c r="D79" s="51" t="s">
        <v>21</v>
      </c>
      <c r="E79" s="51" t="s">
        <v>859</v>
      </c>
      <c r="F79" s="148">
        <v>1</v>
      </c>
      <c r="G79" s="56">
        <v>0</v>
      </c>
      <c r="H79" s="823"/>
      <c r="I79" s="56">
        <v>-13.37</v>
      </c>
      <c r="J79" s="823"/>
      <c r="K79" s="56">
        <v>0</v>
      </c>
      <c r="L79" s="56">
        <v>0</v>
      </c>
      <c r="M79" s="56">
        <v>0</v>
      </c>
      <c r="N79" s="823"/>
      <c r="O79" s="56">
        <v>-3.77</v>
      </c>
      <c r="P79" s="823"/>
      <c r="Q79" s="823"/>
      <c r="R79" s="823"/>
      <c r="S79" s="823"/>
      <c r="T79" s="823"/>
      <c r="U79" s="823"/>
      <c r="V79" s="823"/>
    </row>
    <row r="80" spans="1:22" ht="15.75" thickBot="1" x14ac:dyDescent="0.3">
      <c r="A80" s="51" t="s">
        <v>844</v>
      </c>
      <c r="B80" s="51" t="s">
        <v>26</v>
      </c>
      <c r="C80" s="51" t="s">
        <v>27</v>
      </c>
      <c r="D80" s="51" t="s">
        <v>21</v>
      </c>
      <c r="E80" s="51" t="s">
        <v>860</v>
      </c>
      <c r="F80" s="147">
        <v>1</v>
      </c>
      <c r="G80" s="54">
        <v>0</v>
      </c>
      <c r="H80" s="822"/>
      <c r="I80" s="54">
        <v>-13.5</v>
      </c>
      <c r="J80" s="822"/>
      <c r="K80" s="54">
        <v>0</v>
      </c>
      <c r="L80" s="54">
        <v>0</v>
      </c>
      <c r="M80" s="54">
        <v>0</v>
      </c>
      <c r="N80" s="822"/>
      <c r="O80" s="54">
        <v>-3.77</v>
      </c>
      <c r="P80" s="822"/>
      <c r="Q80" s="822"/>
      <c r="R80" s="822"/>
      <c r="S80" s="822"/>
      <c r="T80" s="822"/>
      <c r="U80" s="822"/>
      <c r="V80" s="822"/>
    </row>
    <row r="81" spans="1:22" ht="15.75" thickBot="1" x14ac:dyDescent="0.3">
      <c r="A81" s="51" t="s">
        <v>844</v>
      </c>
      <c r="B81" s="51" t="s">
        <v>26</v>
      </c>
      <c r="C81" s="51" t="s">
        <v>27</v>
      </c>
      <c r="D81" s="51" t="s">
        <v>21</v>
      </c>
      <c r="E81" s="51" t="s">
        <v>861</v>
      </c>
      <c r="F81" s="148">
        <v>1</v>
      </c>
      <c r="G81" s="56">
        <v>0</v>
      </c>
      <c r="H81" s="823"/>
      <c r="I81" s="56">
        <v>-13.5</v>
      </c>
      <c r="J81" s="823"/>
      <c r="K81" s="56">
        <v>0</v>
      </c>
      <c r="L81" s="56">
        <v>0</v>
      </c>
      <c r="M81" s="56">
        <v>0</v>
      </c>
      <c r="N81" s="823"/>
      <c r="O81" s="56">
        <v>-3.77</v>
      </c>
      <c r="P81" s="823"/>
      <c r="Q81" s="823"/>
      <c r="R81" s="823"/>
      <c r="S81" s="823"/>
      <c r="T81" s="823"/>
      <c r="U81" s="823"/>
      <c r="V81" s="823"/>
    </row>
    <row r="82" spans="1:22" ht="15.75" thickBot="1" x14ac:dyDescent="0.3">
      <c r="A82" s="51" t="s">
        <v>844</v>
      </c>
      <c r="B82" s="51" t="s">
        <v>26</v>
      </c>
      <c r="C82" s="51" t="s">
        <v>27</v>
      </c>
      <c r="D82" s="51" t="s">
        <v>21</v>
      </c>
      <c r="E82" s="51" t="s">
        <v>862</v>
      </c>
      <c r="F82" s="147">
        <v>1</v>
      </c>
      <c r="G82" s="54">
        <v>0</v>
      </c>
      <c r="H82" s="822"/>
      <c r="I82" s="54">
        <v>-13.5</v>
      </c>
      <c r="J82" s="822"/>
      <c r="K82" s="54">
        <v>0</v>
      </c>
      <c r="L82" s="54">
        <v>0</v>
      </c>
      <c r="M82" s="54">
        <v>0</v>
      </c>
      <c r="N82" s="822"/>
      <c r="O82" s="54">
        <v>-3.77</v>
      </c>
      <c r="P82" s="822"/>
      <c r="Q82" s="822"/>
      <c r="R82" s="822"/>
      <c r="S82" s="822"/>
      <c r="T82" s="822"/>
      <c r="U82" s="822"/>
      <c r="V82" s="822"/>
    </row>
    <row r="83" spans="1:22" ht="15.75" thickBot="1" x14ac:dyDescent="0.3">
      <c r="A83" s="51" t="s">
        <v>844</v>
      </c>
      <c r="B83" s="51" t="s">
        <v>26</v>
      </c>
      <c r="C83" s="51" t="s">
        <v>27</v>
      </c>
      <c r="D83" s="51" t="s">
        <v>21</v>
      </c>
      <c r="E83" s="51" t="s">
        <v>863</v>
      </c>
      <c r="F83" s="148">
        <v>1</v>
      </c>
      <c r="G83" s="56">
        <v>0</v>
      </c>
      <c r="H83" s="823"/>
      <c r="I83" s="56">
        <v>-13.5</v>
      </c>
      <c r="J83" s="823"/>
      <c r="K83" s="56">
        <v>0</v>
      </c>
      <c r="L83" s="56">
        <v>0</v>
      </c>
      <c r="M83" s="56">
        <v>0</v>
      </c>
      <c r="N83" s="823"/>
      <c r="O83" s="56">
        <v>-3.77</v>
      </c>
      <c r="P83" s="823"/>
      <c r="Q83" s="823"/>
      <c r="R83" s="823"/>
      <c r="S83" s="823"/>
      <c r="T83" s="823"/>
      <c r="U83" s="823"/>
      <c r="V83" s="823"/>
    </row>
    <row r="84" spans="1:22" ht="15.75" thickBot="1" x14ac:dyDescent="0.3">
      <c r="A84" s="51" t="s">
        <v>844</v>
      </c>
      <c r="B84" s="51" t="s">
        <v>26</v>
      </c>
      <c r="C84" s="51" t="s">
        <v>27</v>
      </c>
      <c r="D84" s="51" t="s">
        <v>21</v>
      </c>
      <c r="E84" s="51" t="s">
        <v>864</v>
      </c>
      <c r="F84" s="147">
        <v>1</v>
      </c>
      <c r="G84" s="54">
        <v>0</v>
      </c>
      <c r="H84" s="822"/>
      <c r="I84" s="54">
        <v>-13.5</v>
      </c>
      <c r="J84" s="822"/>
      <c r="K84" s="54">
        <v>0</v>
      </c>
      <c r="L84" s="54">
        <v>0</v>
      </c>
      <c r="M84" s="54">
        <v>0</v>
      </c>
      <c r="N84" s="822"/>
      <c r="O84" s="54">
        <v>-3.77</v>
      </c>
      <c r="P84" s="822"/>
      <c r="Q84" s="822"/>
      <c r="R84" s="822"/>
      <c r="S84" s="822"/>
      <c r="T84" s="822"/>
      <c r="U84" s="822"/>
      <c r="V84" s="822"/>
    </row>
    <row r="85" spans="1:22" ht="15.75" thickBot="1" x14ac:dyDescent="0.3">
      <c r="A85" s="51" t="s">
        <v>844</v>
      </c>
      <c r="B85" s="51" t="s">
        <v>26</v>
      </c>
      <c r="C85" s="51" t="s">
        <v>27</v>
      </c>
      <c r="D85" s="51" t="s">
        <v>21</v>
      </c>
      <c r="E85" s="51" t="s">
        <v>865</v>
      </c>
      <c r="F85" s="148">
        <v>1</v>
      </c>
      <c r="G85" s="56">
        <v>0</v>
      </c>
      <c r="H85" s="823"/>
      <c r="I85" s="56">
        <v>-13.5</v>
      </c>
      <c r="J85" s="823"/>
      <c r="K85" s="56">
        <v>0</v>
      </c>
      <c r="L85" s="56">
        <v>0</v>
      </c>
      <c r="M85" s="56">
        <v>0</v>
      </c>
      <c r="N85" s="823"/>
      <c r="O85" s="56">
        <v>-3.77</v>
      </c>
      <c r="P85" s="823"/>
      <c r="Q85" s="823"/>
      <c r="R85" s="823"/>
      <c r="S85" s="823"/>
      <c r="T85" s="823"/>
      <c r="U85" s="823"/>
      <c r="V85" s="823"/>
    </row>
    <row r="86" spans="1:22" ht="15.75" thickBot="1" x14ac:dyDescent="0.3">
      <c r="A86" s="51" t="s">
        <v>844</v>
      </c>
      <c r="B86" s="51" t="s">
        <v>26</v>
      </c>
      <c r="C86" s="51" t="s">
        <v>27</v>
      </c>
      <c r="D86" s="51" t="s">
        <v>21</v>
      </c>
      <c r="E86" s="51" t="s">
        <v>866</v>
      </c>
      <c r="F86" s="147">
        <v>1</v>
      </c>
      <c r="G86" s="54">
        <v>0</v>
      </c>
      <c r="H86" s="822"/>
      <c r="I86" s="54">
        <v>-13.5</v>
      </c>
      <c r="J86" s="822"/>
      <c r="K86" s="54">
        <v>0</v>
      </c>
      <c r="L86" s="54">
        <v>0</v>
      </c>
      <c r="M86" s="54">
        <v>0</v>
      </c>
      <c r="N86" s="822"/>
      <c r="O86" s="54">
        <v>-3.77</v>
      </c>
      <c r="P86" s="822"/>
      <c r="Q86" s="822"/>
      <c r="R86" s="822"/>
      <c r="S86" s="822"/>
      <c r="T86" s="822"/>
      <c r="U86" s="822"/>
      <c r="V86" s="822"/>
    </row>
    <row r="87" spans="1:22" ht="15.75" thickBot="1" x14ac:dyDescent="0.3">
      <c r="A87" s="51" t="s">
        <v>844</v>
      </c>
      <c r="B87" s="51" t="s">
        <v>26</v>
      </c>
      <c r="C87" s="51" t="s">
        <v>27</v>
      </c>
      <c r="D87" s="51" t="s">
        <v>21</v>
      </c>
      <c r="E87" s="51" t="s">
        <v>867</v>
      </c>
      <c r="F87" s="148">
        <v>1</v>
      </c>
      <c r="G87" s="56">
        <v>0</v>
      </c>
      <c r="H87" s="823"/>
      <c r="I87" s="56">
        <v>-13.5</v>
      </c>
      <c r="J87" s="823"/>
      <c r="K87" s="56">
        <v>0</v>
      </c>
      <c r="L87" s="56">
        <v>0</v>
      </c>
      <c r="M87" s="56">
        <v>0</v>
      </c>
      <c r="N87" s="823"/>
      <c r="O87" s="56">
        <v>-3.99</v>
      </c>
      <c r="P87" s="823"/>
      <c r="Q87" s="823"/>
      <c r="R87" s="823"/>
      <c r="S87" s="823"/>
      <c r="T87" s="823"/>
      <c r="U87" s="823"/>
      <c r="V87" s="823"/>
    </row>
    <row r="88" spans="1:22" ht="15.75" thickBot="1" x14ac:dyDescent="0.3">
      <c r="A88" s="51" t="s">
        <v>844</v>
      </c>
      <c r="B88" s="51" t="s">
        <v>26</v>
      </c>
      <c r="C88" s="51" t="s">
        <v>27</v>
      </c>
      <c r="D88" s="51" t="s">
        <v>21</v>
      </c>
      <c r="E88" s="51" t="s">
        <v>868</v>
      </c>
      <c r="F88" s="147">
        <v>1</v>
      </c>
      <c r="G88" s="54">
        <v>0</v>
      </c>
      <c r="H88" s="822"/>
      <c r="I88" s="54">
        <v>-13.5</v>
      </c>
      <c r="J88" s="822"/>
      <c r="K88" s="54">
        <v>0</v>
      </c>
      <c r="L88" s="54">
        <v>0</v>
      </c>
      <c r="M88" s="54">
        <v>0</v>
      </c>
      <c r="N88" s="822"/>
      <c r="O88" s="54">
        <v>-4.8499999999999996</v>
      </c>
      <c r="P88" s="822"/>
      <c r="Q88" s="822"/>
      <c r="R88" s="822"/>
      <c r="S88" s="822"/>
      <c r="T88" s="822"/>
      <c r="U88" s="822"/>
      <c r="V88" s="822"/>
    </row>
    <row r="89" spans="1:22" ht="15.75" thickBot="1" x14ac:dyDescent="0.3">
      <c r="A89" s="51" t="s">
        <v>844</v>
      </c>
      <c r="B89" s="51" t="s">
        <v>26</v>
      </c>
      <c r="C89" s="51" t="s">
        <v>27</v>
      </c>
      <c r="D89" s="51" t="s">
        <v>21</v>
      </c>
      <c r="E89" s="51" t="s">
        <v>869</v>
      </c>
      <c r="F89" s="148">
        <v>1</v>
      </c>
      <c r="G89" s="56">
        <v>0</v>
      </c>
      <c r="H89" s="823"/>
      <c r="I89" s="56">
        <v>-13.5</v>
      </c>
      <c r="J89" s="823"/>
      <c r="K89" s="56">
        <v>0</v>
      </c>
      <c r="L89" s="56">
        <v>0</v>
      </c>
      <c r="M89" s="56">
        <v>0</v>
      </c>
      <c r="N89" s="823"/>
      <c r="O89" s="56">
        <v>-4.8499999999999996</v>
      </c>
      <c r="P89" s="823"/>
      <c r="Q89" s="823"/>
      <c r="R89" s="823"/>
      <c r="S89" s="823"/>
      <c r="T89" s="823"/>
      <c r="U89" s="823"/>
      <c r="V89" s="823"/>
    </row>
    <row r="90" spans="1:22" ht="15.75" thickBot="1" x14ac:dyDescent="0.3">
      <c r="A90" s="51" t="s">
        <v>844</v>
      </c>
      <c r="B90" s="51" t="s">
        <v>26</v>
      </c>
      <c r="C90" s="51" t="s">
        <v>27</v>
      </c>
      <c r="D90" s="51" t="s">
        <v>21</v>
      </c>
      <c r="E90" s="51" t="s">
        <v>870</v>
      </c>
      <c r="F90" s="147">
        <v>1</v>
      </c>
      <c r="G90" s="54">
        <v>0</v>
      </c>
      <c r="H90" s="822"/>
      <c r="I90" s="54">
        <v>-13.5</v>
      </c>
      <c r="J90" s="822"/>
      <c r="K90" s="54">
        <v>0</v>
      </c>
      <c r="L90" s="54">
        <v>0</v>
      </c>
      <c r="M90" s="54">
        <v>0</v>
      </c>
      <c r="N90" s="822"/>
      <c r="O90" s="54">
        <v>-4.88</v>
      </c>
      <c r="P90" s="822"/>
      <c r="Q90" s="822"/>
      <c r="R90" s="822"/>
      <c r="S90" s="822"/>
      <c r="T90" s="822"/>
      <c r="U90" s="822"/>
      <c r="V90" s="822"/>
    </row>
    <row r="91" spans="1:22" ht="15.75" thickBot="1" x14ac:dyDescent="0.3">
      <c r="A91" s="51" t="s">
        <v>844</v>
      </c>
      <c r="B91" s="51" t="s">
        <v>26</v>
      </c>
      <c r="C91" s="51" t="s">
        <v>27</v>
      </c>
      <c r="D91" s="51" t="s">
        <v>21</v>
      </c>
      <c r="E91" s="51" t="s">
        <v>871</v>
      </c>
      <c r="F91" s="148">
        <v>1</v>
      </c>
      <c r="G91" s="56">
        <v>0</v>
      </c>
      <c r="H91" s="823"/>
      <c r="I91" s="56">
        <v>-13.5</v>
      </c>
      <c r="J91" s="823"/>
      <c r="K91" s="56">
        <v>0</v>
      </c>
      <c r="L91" s="56">
        <v>0</v>
      </c>
      <c r="M91" s="56">
        <v>0</v>
      </c>
      <c r="N91" s="823"/>
      <c r="O91" s="56">
        <v>-5.14</v>
      </c>
      <c r="P91" s="823"/>
      <c r="Q91" s="823"/>
      <c r="R91" s="823"/>
      <c r="S91" s="823"/>
      <c r="T91" s="823"/>
      <c r="U91" s="823"/>
      <c r="V91" s="823"/>
    </row>
    <row r="92" spans="1:22" ht="15.75" thickBot="1" x14ac:dyDescent="0.3">
      <c r="A92" s="51" t="s">
        <v>844</v>
      </c>
      <c r="B92" s="51" t="s">
        <v>26</v>
      </c>
      <c r="C92" s="51" t="s">
        <v>27</v>
      </c>
      <c r="D92" s="51" t="s">
        <v>21</v>
      </c>
      <c r="E92" s="51" t="s">
        <v>872</v>
      </c>
      <c r="F92" s="147">
        <v>1</v>
      </c>
      <c r="G92" s="54">
        <v>0</v>
      </c>
      <c r="H92" s="822"/>
      <c r="I92" s="54">
        <v>-13.5</v>
      </c>
      <c r="J92" s="822"/>
      <c r="K92" s="54">
        <v>0</v>
      </c>
      <c r="L92" s="54">
        <v>0</v>
      </c>
      <c r="M92" s="54">
        <v>0</v>
      </c>
      <c r="N92" s="822"/>
      <c r="O92" s="54">
        <v>-5.14</v>
      </c>
      <c r="P92" s="822"/>
      <c r="Q92" s="822"/>
      <c r="R92" s="822"/>
      <c r="S92" s="822"/>
      <c r="T92" s="822"/>
      <c r="U92" s="822"/>
      <c r="V92" s="822"/>
    </row>
    <row r="93" spans="1:22" ht="15.75" thickBot="1" x14ac:dyDescent="0.3">
      <c r="A93" s="51" t="s">
        <v>844</v>
      </c>
      <c r="B93" s="51" t="s">
        <v>26</v>
      </c>
      <c r="C93" s="51" t="s">
        <v>27</v>
      </c>
      <c r="D93" s="51" t="s">
        <v>21</v>
      </c>
      <c r="E93" s="51" t="s">
        <v>873</v>
      </c>
      <c r="F93" s="148">
        <v>1</v>
      </c>
      <c r="G93" s="56">
        <v>0</v>
      </c>
      <c r="H93" s="823"/>
      <c r="I93" s="56">
        <v>-13.5</v>
      </c>
      <c r="J93" s="823"/>
      <c r="K93" s="56">
        <v>0</v>
      </c>
      <c r="L93" s="56">
        <v>0</v>
      </c>
      <c r="M93" s="56">
        <v>0</v>
      </c>
      <c r="N93" s="823"/>
      <c r="O93" s="56">
        <v>-5.14</v>
      </c>
      <c r="P93" s="823"/>
      <c r="Q93" s="823"/>
      <c r="R93" s="823"/>
      <c r="S93" s="823"/>
      <c r="T93" s="823"/>
      <c r="U93" s="823"/>
      <c r="V93" s="823"/>
    </row>
    <row r="94" spans="1:22" ht="15.75" thickBot="1" x14ac:dyDescent="0.3">
      <c r="A94" s="51" t="s">
        <v>844</v>
      </c>
      <c r="B94" s="51" t="s">
        <v>26</v>
      </c>
      <c r="C94" s="51" t="s">
        <v>27</v>
      </c>
      <c r="D94" s="51" t="s">
        <v>21</v>
      </c>
      <c r="E94" s="51" t="s">
        <v>874</v>
      </c>
      <c r="F94" s="147">
        <v>1</v>
      </c>
      <c r="G94" s="54">
        <v>0</v>
      </c>
      <c r="H94" s="822"/>
      <c r="I94" s="54">
        <v>-13.5</v>
      </c>
      <c r="J94" s="822"/>
      <c r="K94" s="54">
        <v>0</v>
      </c>
      <c r="L94" s="54">
        <v>0</v>
      </c>
      <c r="M94" s="54">
        <v>0</v>
      </c>
      <c r="N94" s="822"/>
      <c r="O94" s="54">
        <v>-5.14</v>
      </c>
      <c r="P94" s="822"/>
      <c r="Q94" s="822"/>
      <c r="R94" s="822"/>
      <c r="S94" s="822"/>
      <c r="T94" s="822"/>
      <c r="U94" s="822"/>
      <c r="V94" s="822"/>
    </row>
    <row r="95" spans="1:22" ht="15.75" thickBot="1" x14ac:dyDescent="0.3">
      <c r="A95" s="51" t="s">
        <v>844</v>
      </c>
      <c r="B95" s="51" t="s">
        <v>26</v>
      </c>
      <c r="C95" s="51" t="s">
        <v>27</v>
      </c>
      <c r="D95" s="51" t="s">
        <v>21</v>
      </c>
      <c r="E95" s="51" t="s">
        <v>875</v>
      </c>
      <c r="F95" s="148">
        <v>1</v>
      </c>
      <c r="G95" s="56">
        <v>0</v>
      </c>
      <c r="H95" s="823"/>
      <c r="I95" s="56">
        <v>-13.5</v>
      </c>
      <c r="J95" s="823"/>
      <c r="K95" s="56">
        <v>0</v>
      </c>
      <c r="L95" s="56">
        <v>0</v>
      </c>
      <c r="M95" s="56">
        <v>0</v>
      </c>
      <c r="N95" s="823"/>
      <c r="O95" s="56">
        <v>-5.14</v>
      </c>
      <c r="P95" s="823"/>
      <c r="Q95" s="823"/>
      <c r="R95" s="823"/>
      <c r="S95" s="823"/>
      <c r="T95" s="823"/>
      <c r="U95" s="823"/>
      <c r="V95" s="823"/>
    </row>
    <row r="96" spans="1:22" ht="15.75" thickBot="1" x14ac:dyDescent="0.3">
      <c r="A96" s="51" t="s">
        <v>844</v>
      </c>
      <c r="B96" s="51" t="s">
        <v>26</v>
      </c>
      <c r="C96" s="51" t="s">
        <v>27</v>
      </c>
      <c r="D96" s="51" t="s">
        <v>21</v>
      </c>
      <c r="E96" s="51" t="s">
        <v>876</v>
      </c>
      <c r="F96" s="147">
        <v>1</v>
      </c>
      <c r="G96" s="54">
        <v>0</v>
      </c>
      <c r="H96" s="822"/>
      <c r="I96" s="54">
        <v>-13.5</v>
      </c>
      <c r="J96" s="822"/>
      <c r="K96" s="54">
        <v>0</v>
      </c>
      <c r="L96" s="54">
        <v>0</v>
      </c>
      <c r="M96" s="54">
        <v>0</v>
      </c>
      <c r="N96" s="822"/>
      <c r="O96" s="54">
        <v>-5.14</v>
      </c>
      <c r="P96" s="822"/>
      <c r="Q96" s="822"/>
      <c r="R96" s="822"/>
      <c r="S96" s="822"/>
      <c r="T96" s="822"/>
      <c r="U96" s="822"/>
      <c r="V96" s="822"/>
    </row>
    <row r="97" spans="1:22" ht="15.75" thickBot="1" x14ac:dyDescent="0.3">
      <c r="A97" s="51" t="s">
        <v>844</v>
      </c>
      <c r="B97" s="51" t="s">
        <v>26</v>
      </c>
      <c r="C97" s="51" t="s">
        <v>27</v>
      </c>
      <c r="D97" s="51" t="s">
        <v>21</v>
      </c>
      <c r="E97" s="51" t="s">
        <v>877</v>
      </c>
      <c r="F97" s="148">
        <v>1</v>
      </c>
      <c r="G97" s="56">
        <v>0</v>
      </c>
      <c r="H97" s="823"/>
      <c r="I97" s="56">
        <v>-13.5</v>
      </c>
      <c r="J97" s="823"/>
      <c r="K97" s="56">
        <v>0</v>
      </c>
      <c r="L97" s="56">
        <v>0</v>
      </c>
      <c r="M97" s="56">
        <v>0</v>
      </c>
      <c r="N97" s="823"/>
      <c r="O97" s="56">
        <v>-5.14</v>
      </c>
      <c r="P97" s="823"/>
      <c r="Q97" s="823"/>
      <c r="R97" s="823"/>
      <c r="S97" s="823"/>
      <c r="T97" s="823"/>
      <c r="U97" s="823"/>
      <c r="V97" s="823"/>
    </row>
    <row r="98" spans="1:22" ht="15.75" thickBot="1" x14ac:dyDescent="0.3">
      <c r="A98" s="51" t="s">
        <v>844</v>
      </c>
      <c r="B98" s="51" t="s">
        <v>26</v>
      </c>
      <c r="C98" s="51" t="s">
        <v>27</v>
      </c>
      <c r="D98" s="51" t="s">
        <v>21</v>
      </c>
      <c r="E98" s="51" t="s">
        <v>878</v>
      </c>
      <c r="F98" s="147">
        <v>1</v>
      </c>
      <c r="G98" s="54">
        <v>0</v>
      </c>
      <c r="H98" s="822"/>
      <c r="I98" s="54">
        <v>-13.5</v>
      </c>
      <c r="J98" s="822"/>
      <c r="K98" s="54">
        <v>0</v>
      </c>
      <c r="L98" s="54">
        <v>0</v>
      </c>
      <c r="M98" s="54">
        <v>0</v>
      </c>
      <c r="N98" s="822"/>
      <c r="O98" s="54">
        <v>-5.14</v>
      </c>
      <c r="P98" s="822"/>
      <c r="Q98" s="822"/>
      <c r="R98" s="822"/>
      <c r="S98" s="822"/>
      <c r="T98" s="822"/>
      <c r="U98" s="822"/>
      <c r="V98" s="822"/>
    </row>
    <row r="99" spans="1:22" ht="15.75" thickBot="1" x14ac:dyDescent="0.3">
      <c r="A99" s="51" t="s">
        <v>844</v>
      </c>
      <c r="B99" s="51" t="s">
        <v>26</v>
      </c>
      <c r="C99" s="51" t="s">
        <v>27</v>
      </c>
      <c r="D99" s="51" t="s">
        <v>21</v>
      </c>
      <c r="E99" s="51" t="s">
        <v>879</v>
      </c>
      <c r="F99" s="148">
        <v>1</v>
      </c>
      <c r="G99" s="56">
        <v>0</v>
      </c>
      <c r="H99" s="823"/>
      <c r="I99" s="56">
        <v>-13.5</v>
      </c>
      <c r="J99" s="823"/>
      <c r="K99" s="56">
        <v>0</v>
      </c>
      <c r="L99" s="56">
        <v>0</v>
      </c>
      <c r="M99" s="56">
        <v>0</v>
      </c>
      <c r="N99" s="823"/>
      <c r="O99" s="56">
        <v>-5.14</v>
      </c>
      <c r="P99" s="823"/>
      <c r="Q99" s="823"/>
      <c r="R99" s="823"/>
      <c r="S99" s="823"/>
      <c r="T99" s="823"/>
      <c r="U99" s="823"/>
      <c r="V99" s="823"/>
    </row>
    <row r="100" spans="1:22" ht="15.75" thickBot="1" x14ac:dyDescent="0.3">
      <c r="A100" s="51" t="s">
        <v>844</v>
      </c>
      <c r="B100" s="51" t="s">
        <v>26</v>
      </c>
      <c r="C100" s="51" t="s">
        <v>27</v>
      </c>
      <c r="D100" s="51" t="s">
        <v>21</v>
      </c>
      <c r="E100" s="51" t="s">
        <v>845</v>
      </c>
      <c r="F100" s="147">
        <v>1</v>
      </c>
      <c r="G100" s="54">
        <v>0</v>
      </c>
      <c r="H100" s="822"/>
      <c r="I100" s="54">
        <v>-13.5</v>
      </c>
      <c r="J100" s="822"/>
      <c r="K100" s="54">
        <v>0</v>
      </c>
      <c r="L100" s="54">
        <v>0</v>
      </c>
      <c r="M100" s="54">
        <v>0</v>
      </c>
      <c r="N100" s="822"/>
      <c r="O100" s="54">
        <v>-6.12</v>
      </c>
      <c r="P100" s="822"/>
      <c r="Q100" s="822"/>
      <c r="R100" s="822"/>
      <c r="S100" s="822"/>
      <c r="T100" s="822"/>
      <c r="U100" s="822"/>
      <c r="V100" s="822"/>
    </row>
    <row r="101" spans="1:22" ht="15.75" thickBot="1" x14ac:dyDescent="0.3">
      <c r="A101" s="51" t="s">
        <v>844</v>
      </c>
      <c r="B101" s="51" t="s">
        <v>26</v>
      </c>
      <c r="C101" s="51" t="s">
        <v>27</v>
      </c>
      <c r="D101" s="51" t="s">
        <v>21</v>
      </c>
      <c r="E101" s="51" t="s">
        <v>846</v>
      </c>
      <c r="F101" s="148">
        <v>1</v>
      </c>
      <c r="G101" s="56">
        <v>0</v>
      </c>
      <c r="H101" s="823"/>
      <c r="I101" s="56">
        <v>-13.5</v>
      </c>
      <c r="J101" s="823"/>
      <c r="K101" s="56">
        <v>0</v>
      </c>
      <c r="L101" s="56">
        <v>0</v>
      </c>
      <c r="M101" s="56">
        <v>0</v>
      </c>
      <c r="N101" s="823"/>
      <c r="O101" s="56">
        <v>-6.33</v>
      </c>
      <c r="P101" s="823"/>
      <c r="Q101" s="823"/>
      <c r="R101" s="823"/>
      <c r="S101" s="823"/>
      <c r="T101" s="823"/>
      <c r="U101" s="823"/>
      <c r="V101" s="823"/>
    </row>
    <row r="102" spans="1:22" ht="15.75" thickBot="1" x14ac:dyDescent="0.3">
      <c r="A102" s="51" t="s">
        <v>844</v>
      </c>
      <c r="B102" s="51" t="s">
        <v>26</v>
      </c>
      <c r="C102" s="51" t="s">
        <v>27</v>
      </c>
      <c r="D102" s="51" t="s">
        <v>21</v>
      </c>
      <c r="E102" s="51" t="s">
        <v>847</v>
      </c>
      <c r="F102" s="147">
        <v>1</v>
      </c>
      <c r="G102" s="54">
        <v>0</v>
      </c>
      <c r="H102" s="822"/>
      <c r="I102" s="54">
        <v>-13.5</v>
      </c>
      <c r="J102" s="822"/>
      <c r="K102" s="54">
        <v>0</v>
      </c>
      <c r="L102" s="54">
        <v>0</v>
      </c>
      <c r="M102" s="54">
        <v>0</v>
      </c>
      <c r="N102" s="822"/>
      <c r="O102" s="54">
        <v>-6.32</v>
      </c>
      <c r="P102" s="822"/>
      <c r="Q102" s="822"/>
      <c r="R102" s="822"/>
      <c r="S102" s="822"/>
      <c r="T102" s="822"/>
      <c r="U102" s="822"/>
      <c r="V102" s="822"/>
    </row>
    <row r="103" spans="1:22" ht="15.75" thickBot="1" x14ac:dyDescent="0.3">
      <c r="A103" s="51" t="s">
        <v>844</v>
      </c>
      <c r="B103" s="51" t="s">
        <v>26</v>
      </c>
      <c r="C103" s="51" t="s">
        <v>27</v>
      </c>
      <c r="D103" s="51" t="s">
        <v>21</v>
      </c>
      <c r="E103" s="51" t="s">
        <v>848</v>
      </c>
      <c r="F103" s="148">
        <v>1</v>
      </c>
      <c r="G103" s="56">
        <v>0</v>
      </c>
      <c r="H103" s="823"/>
      <c r="I103" s="56">
        <v>-13.5</v>
      </c>
      <c r="J103" s="823"/>
      <c r="K103" s="56">
        <v>0</v>
      </c>
      <c r="L103" s="56">
        <v>0</v>
      </c>
      <c r="M103" s="56">
        <v>0</v>
      </c>
      <c r="N103" s="823"/>
      <c r="O103" s="56">
        <v>-6.21</v>
      </c>
      <c r="P103" s="823"/>
      <c r="Q103" s="823"/>
      <c r="R103" s="823"/>
      <c r="S103" s="823"/>
      <c r="T103" s="823"/>
      <c r="U103" s="823"/>
      <c r="V103" s="823"/>
    </row>
    <row r="104" spans="1:22" ht="15.75" thickBot="1" x14ac:dyDescent="0.3">
      <c r="A104" s="51" t="s">
        <v>844</v>
      </c>
      <c r="B104" s="51" t="s">
        <v>26</v>
      </c>
      <c r="C104" s="51" t="s">
        <v>27</v>
      </c>
      <c r="D104" s="51" t="s">
        <v>21</v>
      </c>
      <c r="E104" s="51" t="s">
        <v>849</v>
      </c>
      <c r="F104" s="147">
        <v>1</v>
      </c>
      <c r="G104" s="54">
        <v>0</v>
      </c>
      <c r="H104" s="822"/>
      <c r="I104" s="54">
        <v>-13.93</v>
      </c>
      <c r="J104" s="822"/>
      <c r="K104" s="54">
        <v>0</v>
      </c>
      <c r="L104" s="54">
        <v>0</v>
      </c>
      <c r="M104" s="54">
        <v>0</v>
      </c>
      <c r="N104" s="822"/>
      <c r="O104" s="54">
        <v>-5.27</v>
      </c>
      <c r="P104" s="822"/>
      <c r="Q104" s="822"/>
      <c r="R104" s="822"/>
      <c r="S104" s="822"/>
      <c r="T104" s="822"/>
      <c r="U104" s="822"/>
      <c r="V104" s="822"/>
    </row>
    <row r="105" spans="1:22" ht="15.75" thickBot="1" x14ac:dyDescent="0.3">
      <c r="A105" s="51" t="s">
        <v>844</v>
      </c>
      <c r="B105" s="51" t="s">
        <v>26</v>
      </c>
      <c r="C105" s="51" t="s">
        <v>27</v>
      </c>
      <c r="D105" s="51" t="s">
        <v>21</v>
      </c>
      <c r="E105" s="51" t="s">
        <v>850</v>
      </c>
      <c r="F105" s="148">
        <v>1</v>
      </c>
      <c r="G105" s="56">
        <v>0</v>
      </c>
      <c r="H105" s="823"/>
      <c r="I105" s="56">
        <v>-16.350000000000001</v>
      </c>
      <c r="J105" s="823"/>
      <c r="K105" s="56">
        <v>0</v>
      </c>
      <c r="L105" s="56">
        <v>0</v>
      </c>
      <c r="M105" s="56">
        <v>0</v>
      </c>
      <c r="N105" s="823"/>
      <c r="O105" s="823"/>
      <c r="P105" s="823"/>
      <c r="Q105" s="823"/>
      <c r="R105" s="823"/>
      <c r="S105" s="823"/>
      <c r="T105" s="823"/>
      <c r="U105" s="823"/>
      <c r="V105" s="823"/>
    </row>
    <row r="106" spans="1:22" ht="15.75" thickBot="1" x14ac:dyDescent="0.3">
      <c r="A106" s="51" t="s">
        <v>844</v>
      </c>
      <c r="B106" s="51" t="s">
        <v>26</v>
      </c>
      <c r="C106" s="51" t="s">
        <v>27</v>
      </c>
      <c r="D106" s="51" t="s">
        <v>21</v>
      </c>
      <c r="E106" s="51" t="s">
        <v>851</v>
      </c>
      <c r="F106" s="147">
        <v>1</v>
      </c>
      <c r="G106" s="54">
        <v>0</v>
      </c>
      <c r="H106" s="822"/>
      <c r="I106" s="54">
        <v>-16.350000000000001</v>
      </c>
      <c r="J106" s="822"/>
      <c r="K106" s="54">
        <v>0</v>
      </c>
      <c r="L106" s="54">
        <v>0</v>
      </c>
      <c r="M106" s="54">
        <v>0</v>
      </c>
      <c r="N106" s="822"/>
      <c r="O106" s="822"/>
      <c r="P106" s="822"/>
      <c r="Q106" s="822"/>
      <c r="R106" s="822"/>
      <c r="S106" s="822"/>
      <c r="T106" s="822"/>
      <c r="U106" s="822"/>
      <c r="V106" s="822"/>
    </row>
    <row r="107" spans="1:22" ht="15.75" thickBot="1" x14ac:dyDescent="0.3">
      <c r="A107" s="51" t="s">
        <v>844</v>
      </c>
      <c r="B107" s="51" t="s">
        <v>26</v>
      </c>
      <c r="C107" s="51" t="s">
        <v>27</v>
      </c>
      <c r="D107" s="51" t="s">
        <v>21</v>
      </c>
      <c r="E107" s="51" t="s">
        <v>852</v>
      </c>
      <c r="F107" s="148">
        <v>1</v>
      </c>
      <c r="G107" s="56">
        <v>0</v>
      </c>
      <c r="H107" s="823"/>
      <c r="I107" s="56">
        <v>-16.350000000000001</v>
      </c>
      <c r="J107" s="823"/>
      <c r="K107" s="56">
        <v>0</v>
      </c>
      <c r="L107" s="56">
        <v>0</v>
      </c>
      <c r="M107" s="56">
        <v>0</v>
      </c>
      <c r="N107" s="823"/>
      <c r="O107" s="823"/>
      <c r="P107" s="823"/>
      <c r="Q107" s="823"/>
      <c r="R107" s="823"/>
      <c r="S107" s="823"/>
      <c r="T107" s="823"/>
      <c r="U107" s="823"/>
      <c r="V107" s="823"/>
    </row>
    <row r="108" spans="1:22" ht="15.75" thickBot="1" x14ac:dyDescent="0.3">
      <c r="A108" s="51" t="s">
        <v>844</v>
      </c>
      <c r="B108" s="51" t="s">
        <v>26</v>
      </c>
      <c r="C108" s="51" t="s">
        <v>27</v>
      </c>
      <c r="D108" s="51" t="s">
        <v>21</v>
      </c>
      <c r="E108" s="51" t="s">
        <v>853</v>
      </c>
      <c r="F108" s="147">
        <v>1</v>
      </c>
      <c r="G108" s="54">
        <v>0</v>
      </c>
      <c r="H108" s="822"/>
      <c r="I108" s="54">
        <v>-16.350000000000001</v>
      </c>
      <c r="J108" s="822"/>
      <c r="K108" s="54">
        <v>0</v>
      </c>
      <c r="L108" s="54">
        <v>0</v>
      </c>
      <c r="M108" s="54">
        <v>0</v>
      </c>
      <c r="N108" s="822"/>
      <c r="O108" s="822"/>
      <c r="P108" s="822"/>
      <c r="Q108" s="822"/>
      <c r="R108" s="822"/>
      <c r="S108" s="822"/>
      <c r="T108" s="822"/>
      <c r="U108" s="822"/>
      <c r="V108" s="822"/>
    </row>
    <row r="109" spans="1:22" ht="15.75" thickBot="1" x14ac:dyDescent="0.3">
      <c r="A109" s="51" t="s">
        <v>844</v>
      </c>
      <c r="B109" s="51" t="s">
        <v>26</v>
      </c>
      <c r="C109" s="51" t="s">
        <v>27</v>
      </c>
      <c r="D109" s="51" t="s">
        <v>21</v>
      </c>
      <c r="E109" s="51" t="s">
        <v>854</v>
      </c>
      <c r="F109" s="148">
        <v>1</v>
      </c>
      <c r="G109" s="56">
        <v>0</v>
      </c>
      <c r="H109" s="823"/>
      <c r="I109" s="56">
        <v>-16.350000000000001</v>
      </c>
      <c r="J109" s="823"/>
      <c r="K109" s="56">
        <v>0</v>
      </c>
      <c r="L109" s="56">
        <v>0</v>
      </c>
      <c r="M109" s="56">
        <v>0</v>
      </c>
      <c r="N109" s="823"/>
      <c r="O109" s="823"/>
      <c r="P109" s="823"/>
      <c r="Q109" s="823"/>
      <c r="R109" s="823"/>
      <c r="S109" s="823"/>
      <c r="T109" s="823"/>
      <c r="U109" s="823"/>
      <c r="V109" s="823"/>
    </row>
    <row r="110" spans="1:22" ht="15.75" thickBot="1" x14ac:dyDescent="0.3">
      <c r="A110" s="51" t="s">
        <v>844</v>
      </c>
      <c r="B110" s="51" t="s">
        <v>26</v>
      </c>
      <c r="C110" s="51" t="s">
        <v>27</v>
      </c>
      <c r="D110" s="51" t="s">
        <v>21</v>
      </c>
      <c r="E110" s="51" t="s">
        <v>855</v>
      </c>
      <c r="F110" s="147">
        <v>1</v>
      </c>
      <c r="G110" s="54">
        <v>0</v>
      </c>
      <c r="H110" s="822"/>
      <c r="I110" s="54">
        <v>-16.350000000000001</v>
      </c>
      <c r="J110" s="822"/>
      <c r="K110" s="54">
        <v>0</v>
      </c>
      <c r="L110" s="54">
        <v>0</v>
      </c>
      <c r="M110" s="54">
        <v>0</v>
      </c>
      <c r="N110" s="822"/>
      <c r="O110" s="822"/>
      <c r="P110" s="822"/>
      <c r="Q110" s="822"/>
      <c r="R110" s="822"/>
      <c r="S110" s="822"/>
      <c r="T110" s="822"/>
      <c r="U110" s="822"/>
      <c r="V110" s="822"/>
    </row>
    <row r="111" spans="1:22" ht="15.75" thickBot="1" x14ac:dyDescent="0.3">
      <c r="A111" s="51" t="s">
        <v>844</v>
      </c>
      <c r="B111" s="51" t="s">
        <v>26</v>
      </c>
      <c r="C111" s="51" t="s">
        <v>27</v>
      </c>
      <c r="D111" s="51" t="s">
        <v>21</v>
      </c>
      <c r="E111" s="51" t="s">
        <v>856</v>
      </c>
      <c r="F111" s="148">
        <v>1</v>
      </c>
      <c r="G111" s="56">
        <v>0</v>
      </c>
      <c r="H111" s="823"/>
      <c r="I111" s="56">
        <v>-16.350000000000001</v>
      </c>
      <c r="J111" s="823"/>
      <c r="K111" s="56">
        <v>0</v>
      </c>
      <c r="L111" s="56">
        <v>0</v>
      </c>
      <c r="M111" s="56">
        <v>0</v>
      </c>
      <c r="N111" s="823"/>
      <c r="O111" s="823"/>
      <c r="P111" s="823"/>
      <c r="Q111" s="823"/>
      <c r="R111" s="823"/>
      <c r="S111" s="823"/>
      <c r="T111" s="823"/>
      <c r="U111" s="823"/>
      <c r="V111" s="823"/>
    </row>
    <row r="112" spans="1:22" ht="15.75" thickBot="1" x14ac:dyDescent="0.3">
      <c r="A112" s="51" t="s">
        <v>844</v>
      </c>
      <c r="B112" s="51" t="s">
        <v>26</v>
      </c>
      <c r="C112" s="51" t="s">
        <v>27</v>
      </c>
      <c r="D112" s="51" t="s">
        <v>21</v>
      </c>
      <c r="E112" s="51" t="s">
        <v>632</v>
      </c>
      <c r="F112" s="147">
        <v>2</v>
      </c>
      <c r="G112" s="54">
        <v>137</v>
      </c>
      <c r="H112" s="822"/>
      <c r="I112" s="54">
        <v>-16.350000000000001</v>
      </c>
      <c r="J112" s="822"/>
      <c r="K112" s="54">
        <v>49.73</v>
      </c>
      <c r="L112" s="54">
        <v>53.88</v>
      </c>
      <c r="M112" s="54">
        <v>2.8</v>
      </c>
      <c r="N112" s="54">
        <v>-1.8</v>
      </c>
      <c r="O112" s="822"/>
      <c r="P112" s="822"/>
      <c r="Q112" s="822"/>
      <c r="R112" s="822"/>
      <c r="S112" s="822"/>
      <c r="T112" s="822"/>
      <c r="U112" s="822"/>
      <c r="V112" s="822"/>
    </row>
    <row r="113" spans="1:22" ht="15.75" thickBot="1" x14ac:dyDescent="0.3">
      <c r="A113" s="51" t="s">
        <v>844</v>
      </c>
      <c r="B113" s="51" t="s">
        <v>26</v>
      </c>
      <c r="C113" s="51" t="s">
        <v>27</v>
      </c>
      <c r="D113" s="51" t="s">
        <v>21</v>
      </c>
      <c r="E113" s="51" t="s">
        <v>644</v>
      </c>
      <c r="F113" s="148">
        <v>2</v>
      </c>
      <c r="G113" s="56">
        <v>87</v>
      </c>
      <c r="H113" s="823"/>
      <c r="I113" s="56">
        <v>-16.350000000000001</v>
      </c>
      <c r="J113" s="823"/>
      <c r="K113" s="56">
        <v>31.58</v>
      </c>
      <c r="L113" s="56">
        <v>34.22</v>
      </c>
      <c r="M113" s="56">
        <v>2.0499999999999998</v>
      </c>
      <c r="N113" s="56">
        <v>-8.93</v>
      </c>
      <c r="O113" s="823"/>
      <c r="P113" s="823"/>
      <c r="Q113" s="823"/>
      <c r="R113" s="823"/>
      <c r="S113" s="823"/>
      <c r="T113" s="823"/>
      <c r="U113" s="823"/>
      <c r="V113" s="823"/>
    </row>
    <row r="114" spans="1:22" ht="15.75" thickBot="1" x14ac:dyDescent="0.3">
      <c r="A114" s="51" t="s">
        <v>844</v>
      </c>
      <c r="B114" s="51" t="s">
        <v>26</v>
      </c>
      <c r="C114" s="51" t="s">
        <v>27</v>
      </c>
      <c r="D114" s="51" t="s">
        <v>21</v>
      </c>
      <c r="E114" s="51" t="s">
        <v>653</v>
      </c>
      <c r="F114" s="147">
        <v>3</v>
      </c>
      <c r="G114" s="54">
        <v>68</v>
      </c>
      <c r="H114" s="822"/>
      <c r="I114" s="54">
        <v>-16.350000000000001</v>
      </c>
      <c r="J114" s="822"/>
      <c r="K114" s="54">
        <v>24.69</v>
      </c>
      <c r="L114" s="54">
        <v>26.08</v>
      </c>
      <c r="M114" s="54">
        <v>1.64</v>
      </c>
      <c r="N114" s="822"/>
      <c r="O114" s="822"/>
      <c r="P114" s="822"/>
      <c r="Q114" s="822"/>
      <c r="R114" s="822"/>
      <c r="S114" s="822"/>
      <c r="T114" s="822"/>
      <c r="U114" s="822"/>
      <c r="V114" s="822"/>
    </row>
    <row r="115" spans="1:22" ht="15.75" thickBot="1" x14ac:dyDescent="0.3">
      <c r="A115" s="51" t="s">
        <v>844</v>
      </c>
      <c r="B115" s="51" t="s">
        <v>26</v>
      </c>
      <c r="C115" s="51" t="s">
        <v>27</v>
      </c>
      <c r="D115" s="51" t="s">
        <v>21</v>
      </c>
      <c r="E115" s="51" t="s">
        <v>674</v>
      </c>
      <c r="F115" s="148">
        <v>2</v>
      </c>
      <c r="G115" s="56">
        <v>16</v>
      </c>
      <c r="H115" s="823"/>
      <c r="I115" s="56">
        <v>-16.350000000000001</v>
      </c>
      <c r="J115" s="823"/>
      <c r="K115" s="56">
        <v>5.81</v>
      </c>
      <c r="L115" s="56">
        <v>6.06</v>
      </c>
      <c r="M115" s="56">
        <v>0.38</v>
      </c>
      <c r="N115" s="823"/>
      <c r="O115" s="823"/>
      <c r="P115" s="823"/>
      <c r="Q115" s="823"/>
      <c r="R115" s="823"/>
      <c r="S115" s="823"/>
      <c r="T115" s="823"/>
      <c r="U115" s="823"/>
      <c r="V115" s="823"/>
    </row>
    <row r="116" spans="1:22" ht="15.75" thickBot="1" x14ac:dyDescent="0.3">
      <c r="A116" s="51" t="s">
        <v>844</v>
      </c>
      <c r="B116" s="51" t="s">
        <v>26</v>
      </c>
      <c r="C116" s="51" t="s">
        <v>27</v>
      </c>
      <c r="D116" s="51" t="s">
        <v>21</v>
      </c>
      <c r="E116" s="51" t="s">
        <v>837</v>
      </c>
      <c r="F116" s="147">
        <v>2</v>
      </c>
      <c r="G116" s="54">
        <v>9</v>
      </c>
      <c r="H116" s="822"/>
      <c r="I116" s="54">
        <v>-16.350000000000001</v>
      </c>
      <c r="J116" s="822"/>
      <c r="K116" s="54">
        <v>3.27</v>
      </c>
      <c r="L116" s="54">
        <v>3.41</v>
      </c>
      <c r="M116" s="54">
        <v>0.22</v>
      </c>
      <c r="N116" s="822"/>
      <c r="O116" s="822"/>
      <c r="P116" s="822"/>
      <c r="Q116" s="822"/>
      <c r="R116" s="822"/>
      <c r="S116" s="822"/>
      <c r="T116" s="822"/>
      <c r="U116" s="822"/>
      <c r="V116" s="822"/>
    </row>
    <row r="117" spans="1:22" ht="15.75" thickBot="1" x14ac:dyDescent="0.3">
      <c r="A117" s="51" t="s">
        <v>844</v>
      </c>
      <c r="B117" s="51" t="s">
        <v>26</v>
      </c>
      <c r="C117" s="51" t="s">
        <v>27</v>
      </c>
      <c r="D117" s="51" t="s">
        <v>21</v>
      </c>
      <c r="E117" s="51" t="s">
        <v>838</v>
      </c>
      <c r="F117" s="148">
        <v>2</v>
      </c>
      <c r="G117" s="56">
        <v>9</v>
      </c>
      <c r="H117" s="823"/>
      <c r="I117" s="56">
        <v>-16.350000000000001</v>
      </c>
      <c r="J117" s="823"/>
      <c r="K117" s="56">
        <v>3.27</v>
      </c>
      <c r="L117" s="56">
        <v>3.51</v>
      </c>
      <c r="M117" s="56">
        <v>0.22</v>
      </c>
      <c r="N117" s="823"/>
      <c r="O117" s="823"/>
      <c r="P117" s="823"/>
      <c r="Q117" s="823"/>
      <c r="R117" s="823"/>
      <c r="S117" s="823"/>
      <c r="T117" s="823"/>
      <c r="U117" s="823"/>
      <c r="V117" s="823"/>
    </row>
    <row r="118" spans="1:22" ht="15.75" thickBot="1" x14ac:dyDescent="0.3">
      <c r="A118" s="51" t="s">
        <v>844</v>
      </c>
      <c r="B118" s="51" t="s">
        <v>26</v>
      </c>
      <c r="C118" s="51" t="s">
        <v>27</v>
      </c>
      <c r="D118" s="51" t="s">
        <v>21</v>
      </c>
      <c r="E118" s="51" t="s">
        <v>839</v>
      </c>
      <c r="F118" s="147">
        <v>2</v>
      </c>
      <c r="G118" s="54">
        <v>7</v>
      </c>
      <c r="H118" s="822"/>
      <c r="I118" s="54">
        <v>-16.350000000000001</v>
      </c>
      <c r="J118" s="822"/>
      <c r="K118" s="54">
        <v>2.54</v>
      </c>
      <c r="L118" s="54">
        <v>2.9</v>
      </c>
      <c r="M118" s="54">
        <v>0.17</v>
      </c>
      <c r="N118" s="822"/>
      <c r="O118" s="822"/>
      <c r="P118" s="822"/>
      <c r="Q118" s="822"/>
      <c r="R118" s="822"/>
      <c r="S118" s="822"/>
      <c r="T118" s="822"/>
      <c r="U118" s="822"/>
      <c r="V118" s="822"/>
    </row>
    <row r="119" spans="1:22" ht="15.75" thickBot="1" x14ac:dyDescent="0.3">
      <c r="A119" s="51" t="s">
        <v>844</v>
      </c>
      <c r="B119" s="51" t="s">
        <v>26</v>
      </c>
      <c r="C119" s="51" t="s">
        <v>27</v>
      </c>
      <c r="D119" s="51" t="s">
        <v>21</v>
      </c>
      <c r="E119" s="51" t="s">
        <v>840</v>
      </c>
      <c r="F119" s="148">
        <v>2</v>
      </c>
      <c r="G119" s="56">
        <v>6</v>
      </c>
      <c r="H119" s="823"/>
      <c r="I119" s="56">
        <v>-16.350000000000001</v>
      </c>
      <c r="J119" s="823"/>
      <c r="K119" s="56">
        <v>2.1800000000000002</v>
      </c>
      <c r="L119" s="56">
        <v>2.4900000000000002</v>
      </c>
      <c r="M119" s="56">
        <v>0.14000000000000001</v>
      </c>
      <c r="N119" s="823"/>
      <c r="O119" s="823"/>
      <c r="P119" s="823"/>
      <c r="Q119" s="823"/>
      <c r="R119" s="823"/>
      <c r="S119" s="823"/>
      <c r="T119" s="823"/>
      <c r="U119" s="823"/>
      <c r="V119" s="823"/>
    </row>
    <row r="120" spans="1:22" ht="15.75" thickBot="1" x14ac:dyDescent="0.3">
      <c r="A120" s="51" t="s">
        <v>844</v>
      </c>
      <c r="B120" s="51" t="s">
        <v>26</v>
      </c>
      <c r="C120" s="51" t="s">
        <v>27</v>
      </c>
      <c r="D120" s="51" t="s">
        <v>21</v>
      </c>
      <c r="E120" s="51" t="s">
        <v>841</v>
      </c>
      <c r="F120" s="147">
        <v>3</v>
      </c>
      <c r="G120" s="54">
        <v>174</v>
      </c>
      <c r="H120" s="822"/>
      <c r="I120" s="54">
        <v>-16.350000000000001</v>
      </c>
      <c r="J120" s="822"/>
      <c r="K120" s="54">
        <v>63.17</v>
      </c>
      <c r="L120" s="54">
        <v>69.790000000000006</v>
      </c>
      <c r="M120" s="54">
        <v>4.1900000000000004</v>
      </c>
      <c r="N120" s="54">
        <v>-10.32</v>
      </c>
      <c r="O120" s="822"/>
      <c r="P120" s="822"/>
      <c r="Q120" s="822"/>
      <c r="R120" s="822"/>
      <c r="S120" s="822"/>
      <c r="T120" s="822"/>
      <c r="U120" s="822"/>
      <c r="V120" s="822"/>
    </row>
    <row r="121" spans="1:22" ht="15.75" thickBot="1" x14ac:dyDescent="0.3">
      <c r="A121" s="51" t="s">
        <v>844</v>
      </c>
      <c r="B121" s="51" t="s">
        <v>26</v>
      </c>
      <c r="C121" s="51" t="s">
        <v>27</v>
      </c>
      <c r="D121" s="51" t="s">
        <v>21</v>
      </c>
      <c r="E121" s="51" t="s">
        <v>842</v>
      </c>
      <c r="F121" s="148">
        <v>4</v>
      </c>
      <c r="G121" s="56">
        <v>241</v>
      </c>
      <c r="H121" s="823"/>
      <c r="I121" s="56">
        <v>-16.350000000000001</v>
      </c>
      <c r="J121" s="823"/>
      <c r="K121" s="56">
        <v>87.48</v>
      </c>
      <c r="L121" s="56">
        <v>96.06</v>
      </c>
      <c r="M121" s="56">
        <v>5.79</v>
      </c>
      <c r="N121" s="56">
        <v>4.05</v>
      </c>
      <c r="O121" s="823"/>
      <c r="P121" s="823"/>
      <c r="Q121" s="823"/>
      <c r="R121" s="823"/>
      <c r="S121" s="823"/>
      <c r="T121" s="823"/>
      <c r="U121" s="823"/>
      <c r="V121" s="823"/>
    </row>
    <row r="122" spans="1:22" ht="15.75" thickBot="1" x14ac:dyDescent="0.3">
      <c r="A122" s="51" t="s">
        <v>844</v>
      </c>
      <c r="B122" s="51" t="s">
        <v>26</v>
      </c>
      <c r="C122" s="51" t="s">
        <v>27</v>
      </c>
      <c r="D122" s="51" t="s">
        <v>21</v>
      </c>
      <c r="E122" s="51" t="s">
        <v>821</v>
      </c>
      <c r="F122" s="147">
        <v>4</v>
      </c>
      <c r="G122" s="54">
        <v>324</v>
      </c>
      <c r="H122" s="822"/>
      <c r="I122" s="54">
        <v>-16.350000000000001</v>
      </c>
      <c r="J122" s="822"/>
      <c r="K122" s="54">
        <v>117.61</v>
      </c>
      <c r="L122" s="54">
        <v>129.15</v>
      </c>
      <c r="M122" s="54">
        <v>3.14</v>
      </c>
      <c r="N122" s="54">
        <v>22.52</v>
      </c>
      <c r="O122" s="822"/>
      <c r="P122" s="822"/>
      <c r="Q122" s="822"/>
      <c r="R122" s="822"/>
      <c r="S122" s="822"/>
      <c r="T122" s="822"/>
      <c r="U122" s="822"/>
      <c r="V122" s="822"/>
    </row>
    <row r="123" spans="1:22" ht="15.75" thickBot="1" x14ac:dyDescent="0.3">
      <c r="A123" s="51" t="s">
        <v>844</v>
      </c>
      <c r="B123" s="51" t="s">
        <v>26</v>
      </c>
      <c r="C123" s="51" t="s">
        <v>27</v>
      </c>
      <c r="D123" s="51" t="s">
        <v>21</v>
      </c>
      <c r="E123" s="51" t="s">
        <v>822</v>
      </c>
      <c r="F123" s="148">
        <v>4</v>
      </c>
      <c r="G123" s="56">
        <v>342</v>
      </c>
      <c r="H123" s="823"/>
      <c r="I123" s="56">
        <v>-16.350000000000001</v>
      </c>
      <c r="J123" s="823"/>
      <c r="K123" s="56">
        <v>124.15</v>
      </c>
      <c r="L123" s="56">
        <v>141.29</v>
      </c>
      <c r="M123" s="56">
        <v>1.52</v>
      </c>
      <c r="N123" s="56">
        <v>1.57</v>
      </c>
      <c r="O123" s="823"/>
      <c r="P123" s="823"/>
      <c r="Q123" s="823"/>
      <c r="R123" s="823"/>
      <c r="S123" s="823"/>
      <c r="T123" s="823"/>
      <c r="U123" s="823"/>
      <c r="V123" s="823"/>
    </row>
    <row r="124" spans="1:22" ht="15.75" thickBot="1" x14ac:dyDescent="0.3">
      <c r="A124" s="51" t="s">
        <v>844</v>
      </c>
      <c r="B124" s="51" t="s">
        <v>26</v>
      </c>
      <c r="C124" s="51" t="s">
        <v>27</v>
      </c>
      <c r="D124" s="51" t="s">
        <v>21</v>
      </c>
      <c r="E124" s="51" t="s">
        <v>823</v>
      </c>
      <c r="F124" s="147">
        <v>4</v>
      </c>
      <c r="G124" s="54">
        <v>205</v>
      </c>
      <c r="H124" s="822"/>
      <c r="I124" s="54">
        <v>-16.350000000000001</v>
      </c>
      <c r="J124" s="822"/>
      <c r="K124" s="54">
        <v>74.42</v>
      </c>
      <c r="L124" s="54">
        <v>86.31</v>
      </c>
      <c r="M124" s="54">
        <v>0.91</v>
      </c>
      <c r="N124" s="54">
        <v>-12.65</v>
      </c>
      <c r="O124" s="822"/>
      <c r="P124" s="822"/>
      <c r="Q124" s="822"/>
      <c r="R124" s="822"/>
      <c r="S124" s="822"/>
      <c r="T124" s="822"/>
      <c r="U124" s="822"/>
      <c r="V124" s="822"/>
    </row>
    <row r="125" spans="1:22" ht="15.75" thickBot="1" x14ac:dyDescent="0.3">
      <c r="A125" s="51" t="s">
        <v>844</v>
      </c>
      <c r="B125" s="51" t="s">
        <v>26</v>
      </c>
      <c r="C125" s="51" t="s">
        <v>27</v>
      </c>
      <c r="D125" s="51" t="s">
        <v>21</v>
      </c>
      <c r="E125" s="51" t="s">
        <v>824</v>
      </c>
      <c r="F125" s="148">
        <v>6</v>
      </c>
      <c r="G125" s="56">
        <v>54</v>
      </c>
      <c r="H125" s="823"/>
      <c r="I125" s="56">
        <v>-32.700000000000003</v>
      </c>
      <c r="J125" s="823"/>
      <c r="K125" s="56">
        <v>19.61</v>
      </c>
      <c r="L125" s="56">
        <v>22.74</v>
      </c>
      <c r="M125" s="56">
        <v>-0.39</v>
      </c>
      <c r="N125" s="56">
        <v>8.65</v>
      </c>
      <c r="O125" s="823"/>
      <c r="P125" s="823"/>
      <c r="Q125" s="823"/>
      <c r="R125" s="823"/>
      <c r="S125" s="823"/>
      <c r="T125" s="823"/>
      <c r="U125" s="823"/>
      <c r="V125" s="823"/>
    </row>
    <row r="126" spans="1:22" ht="15.75" thickBot="1" x14ac:dyDescent="0.3">
      <c r="A126" s="51" t="s">
        <v>844</v>
      </c>
      <c r="B126" s="51" t="s">
        <v>26</v>
      </c>
      <c r="C126" s="51" t="s">
        <v>27</v>
      </c>
      <c r="D126" s="51" t="s">
        <v>21</v>
      </c>
      <c r="E126" s="51" t="s">
        <v>825</v>
      </c>
      <c r="F126" s="147">
        <v>10</v>
      </c>
      <c r="G126" s="54">
        <v>197</v>
      </c>
      <c r="H126" s="822"/>
      <c r="I126" s="54">
        <v>-33.020000000000003</v>
      </c>
      <c r="J126" s="822"/>
      <c r="K126" s="54">
        <v>72.06</v>
      </c>
      <c r="L126" s="54">
        <v>84.68</v>
      </c>
      <c r="M126" s="54">
        <v>-0.45</v>
      </c>
      <c r="N126" s="822"/>
      <c r="O126" s="822"/>
      <c r="P126" s="822"/>
      <c r="Q126" s="822"/>
      <c r="R126" s="822"/>
      <c r="S126" s="822"/>
      <c r="T126" s="822"/>
      <c r="U126" s="822"/>
      <c r="V126" s="822"/>
    </row>
    <row r="127" spans="1:22" ht="15.75" thickBot="1" x14ac:dyDescent="0.3">
      <c r="A127" s="51" t="s">
        <v>844</v>
      </c>
      <c r="B127" s="51" t="s">
        <v>26</v>
      </c>
      <c r="C127" s="51" t="s">
        <v>27</v>
      </c>
      <c r="D127" s="51" t="s">
        <v>21</v>
      </c>
      <c r="E127" s="51" t="s">
        <v>826</v>
      </c>
      <c r="F127" s="148">
        <v>11</v>
      </c>
      <c r="G127" s="56">
        <v>124</v>
      </c>
      <c r="H127" s="823"/>
      <c r="I127" s="56">
        <v>-42.25</v>
      </c>
      <c r="J127" s="823"/>
      <c r="K127" s="56">
        <v>45.61</v>
      </c>
      <c r="L127" s="56">
        <v>54.08</v>
      </c>
      <c r="M127" s="56">
        <v>-0.3</v>
      </c>
      <c r="N127" s="823"/>
      <c r="O127" s="823"/>
      <c r="P127" s="823"/>
      <c r="Q127" s="823"/>
      <c r="R127" s="823"/>
      <c r="S127" s="823"/>
      <c r="T127" s="823"/>
      <c r="U127" s="823"/>
      <c r="V127" s="823"/>
    </row>
    <row r="128" spans="1:22" ht="15.75" thickBot="1" x14ac:dyDescent="0.3">
      <c r="A128" s="51" t="s">
        <v>844</v>
      </c>
      <c r="B128" s="51" t="s">
        <v>26</v>
      </c>
      <c r="C128" s="51" t="s">
        <v>27</v>
      </c>
      <c r="D128" s="51" t="s">
        <v>21</v>
      </c>
      <c r="E128" s="51" t="s">
        <v>827</v>
      </c>
      <c r="F128" s="147">
        <v>14</v>
      </c>
      <c r="G128" s="54">
        <v>157</v>
      </c>
      <c r="H128" s="822"/>
      <c r="I128" s="54">
        <v>-37.700000000000003</v>
      </c>
      <c r="J128" s="822"/>
      <c r="K128" s="54">
        <v>57.76</v>
      </c>
      <c r="L128" s="54">
        <v>68.489999999999995</v>
      </c>
      <c r="M128" s="54">
        <v>-0.36</v>
      </c>
      <c r="N128" s="822"/>
      <c r="O128" s="822"/>
      <c r="P128" s="822"/>
      <c r="Q128" s="822"/>
      <c r="R128" s="822"/>
      <c r="S128" s="822"/>
      <c r="T128" s="822"/>
      <c r="U128" s="822"/>
      <c r="V128" s="822"/>
    </row>
    <row r="129" spans="1:22" ht="15.75" thickBot="1" x14ac:dyDescent="0.3">
      <c r="A129" s="51" t="s">
        <v>844</v>
      </c>
      <c r="B129" s="51" t="s">
        <v>26</v>
      </c>
      <c r="C129" s="51" t="s">
        <v>27</v>
      </c>
      <c r="D129" s="51" t="s">
        <v>21</v>
      </c>
      <c r="E129" s="51" t="s">
        <v>828</v>
      </c>
      <c r="F129" s="148">
        <v>15</v>
      </c>
      <c r="G129" s="56">
        <v>156</v>
      </c>
      <c r="H129" s="823"/>
      <c r="I129" s="56">
        <v>-39</v>
      </c>
      <c r="J129" s="823"/>
      <c r="K129" s="56">
        <v>57.39</v>
      </c>
      <c r="L129" s="56">
        <v>59.37</v>
      </c>
      <c r="M129" s="56">
        <v>-0.37</v>
      </c>
      <c r="N129" s="823"/>
      <c r="O129" s="823"/>
      <c r="P129" s="823"/>
      <c r="Q129" s="823"/>
      <c r="R129" s="823"/>
      <c r="S129" s="823"/>
      <c r="T129" s="823"/>
      <c r="U129" s="823"/>
      <c r="V129" s="823"/>
    </row>
    <row r="130" spans="1:22" ht="15.75" thickBot="1" x14ac:dyDescent="0.3">
      <c r="A130" s="51" t="s">
        <v>844</v>
      </c>
      <c r="B130" s="51" t="s">
        <v>26</v>
      </c>
      <c r="C130" s="51" t="s">
        <v>27</v>
      </c>
      <c r="D130" s="51" t="s">
        <v>21</v>
      </c>
      <c r="E130" s="51" t="s">
        <v>829</v>
      </c>
      <c r="F130" s="147">
        <v>20</v>
      </c>
      <c r="G130" s="54">
        <v>248</v>
      </c>
      <c r="H130" s="822"/>
      <c r="I130" s="54">
        <v>-37.049999999999997</v>
      </c>
      <c r="J130" s="822"/>
      <c r="K130" s="54">
        <v>91.23</v>
      </c>
      <c r="L130" s="54">
        <v>86.42</v>
      </c>
      <c r="M130" s="54">
        <v>-0.59</v>
      </c>
      <c r="N130" s="822"/>
      <c r="O130" s="822"/>
      <c r="P130" s="822"/>
      <c r="Q130" s="822"/>
      <c r="R130" s="822"/>
      <c r="S130" s="822"/>
      <c r="T130" s="822"/>
      <c r="U130" s="822"/>
      <c r="V130" s="822"/>
    </row>
    <row r="131" spans="1:22" ht="15.75" thickBot="1" x14ac:dyDescent="0.3">
      <c r="A131" s="51" t="s">
        <v>844</v>
      </c>
      <c r="B131" s="51" t="s">
        <v>26</v>
      </c>
      <c r="C131" s="51" t="s">
        <v>27</v>
      </c>
      <c r="D131" s="51" t="s">
        <v>21</v>
      </c>
      <c r="E131" s="51" t="s">
        <v>830</v>
      </c>
      <c r="F131" s="148">
        <v>23</v>
      </c>
      <c r="G131" s="56">
        <v>181</v>
      </c>
      <c r="H131" s="823"/>
      <c r="I131" s="56">
        <v>-42.9</v>
      </c>
      <c r="J131" s="823"/>
      <c r="K131" s="56">
        <v>66.59</v>
      </c>
      <c r="L131" s="56">
        <v>63.07</v>
      </c>
      <c r="M131" s="56">
        <v>-0.44</v>
      </c>
      <c r="N131" s="823"/>
      <c r="O131" s="823"/>
      <c r="P131" s="823"/>
      <c r="Q131" s="823"/>
      <c r="R131" s="823"/>
      <c r="S131" s="823"/>
      <c r="T131" s="823"/>
      <c r="U131" s="823"/>
      <c r="V131" s="823"/>
    </row>
    <row r="132" spans="1:22" ht="15.75" thickBot="1" x14ac:dyDescent="0.3">
      <c r="A132" s="51" t="s">
        <v>844</v>
      </c>
      <c r="B132" s="51" t="s">
        <v>26</v>
      </c>
      <c r="C132" s="51" t="s">
        <v>27</v>
      </c>
      <c r="D132" s="51" t="s">
        <v>21</v>
      </c>
      <c r="E132" s="51" t="s">
        <v>831</v>
      </c>
      <c r="F132" s="147">
        <v>39</v>
      </c>
      <c r="G132" s="54">
        <v>1091</v>
      </c>
      <c r="H132" s="822"/>
      <c r="I132" s="54">
        <v>-6.5</v>
      </c>
      <c r="J132" s="822"/>
      <c r="K132" s="54">
        <v>401.3</v>
      </c>
      <c r="L132" s="54">
        <v>403.13</v>
      </c>
      <c r="M132" s="54">
        <v>-2.7</v>
      </c>
      <c r="N132" s="54">
        <v>-73.61</v>
      </c>
      <c r="O132" s="822"/>
      <c r="P132" s="822"/>
      <c r="Q132" s="822"/>
      <c r="R132" s="822"/>
      <c r="S132" s="822"/>
      <c r="T132" s="822"/>
      <c r="U132" s="822"/>
      <c r="V132" s="822"/>
    </row>
    <row r="133" spans="1:22" ht="15.75" thickBot="1" x14ac:dyDescent="0.3">
      <c r="A133" s="51" t="s">
        <v>844</v>
      </c>
      <c r="B133" s="51" t="s">
        <v>26</v>
      </c>
      <c r="C133" s="51" t="s">
        <v>27</v>
      </c>
      <c r="D133" s="51" t="s">
        <v>21</v>
      </c>
      <c r="E133" s="51" t="s">
        <v>832</v>
      </c>
      <c r="F133" s="148">
        <v>75</v>
      </c>
      <c r="G133" s="56">
        <v>1699</v>
      </c>
      <c r="H133" s="823"/>
      <c r="I133" s="56">
        <v>-22.1</v>
      </c>
      <c r="J133" s="823"/>
      <c r="K133" s="56">
        <v>624.9</v>
      </c>
      <c r="L133" s="56">
        <v>652.34</v>
      </c>
      <c r="M133" s="56">
        <v>-4.21</v>
      </c>
      <c r="N133" s="56">
        <v>33.72</v>
      </c>
      <c r="O133" s="823"/>
      <c r="P133" s="823"/>
      <c r="Q133" s="823"/>
      <c r="R133" s="823"/>
      <c r="S133" s="823"/>
      <c r="T133" s="823"/>
      <c r="U133" s="823"/>
      <c r="V133" s="823"/>
    </row>
    <row r="134" spans="1:22" ht="15.75" thickBot="1" x14ac:dyDescent="0.3">
      <c r="A134" s="51" t="s">
        <v>844</v>
      </c>
      <c r="B134" s="51" t="s">
        <v>26</v>
      </c>
      <c r="C134" s="51" t="s">
        <v>27</v>
      </c>
      <c r="D134" s="51" t="s">
        <v>21</v>
      </c>
      <c r="E134" s="51" t="s">
        <v>833</v>
      </c>
      <c r="F134" s="147">
        <v>214</v>
      </c>
      <c r="G134" s="54">
        <v>2066</v>
      </c>
      <c r="H134" s="822"/>
      <c r="I134" s="54">
        <v>0</v>
      </c>
      <c r="J134" s="822"/>
      <c r="K134" s="54">
        <v>760.02</v>
      </c>
      <c r="L134" s="54">
        <v>793.68</v>
      </c>
      <c r="M134" s="54">
        <v>-5.12</v>
      </c>
      <c r="N134" s="54">
        <v>331.06</v>
      </c>
      <c r="O134" s="822"/>
      <c r="P134" s="822"/>
      <c r="Q134" s="822"/>
      <c r="R134" s="822"/>
      <c r="S134" s="822"/>
      <c r="T134" s="822"/>
      <c r="U134" s="822"/>
      <c r="V134" s="822"/>
    </row>
    <row r="135" spans="1:22" ht="15.75" thickBot="1" x14ac:dyDescent="0.3">
      <c r="A135" s="51" t="s">
        <v>844</v>
      </c>
      <c r="B135" s="51" t="s">
        <v>26</v>
      </c>
      <c r="C135" s="51" t="s">
        <v>27</v>
      </c>
      <c r="D135" s="51" t="s">
        <v>21</v>
      </c>
      <c r="E135" s="51" t="s">
        <v>834</v>
      </c>
      <c r="F135" s="148">
        <v>1453</v>
      </c>
      <c r="G135" s="56">
        <v>-71969</v>
      </c>
      <c r="H135" s="823"/>
      <c r="I135" s="56">
        <v>4343.95</v>
      </c>
      <c r="J135" s="823"/>
      <c r="K135" s="56">
        <v>-26471.66</v>
      </c>
      <c r="L135" s="56">
        <v>-25910.31</v>
      </c>
      <c r="M135" s="56">
        <v>165.51</v>
      </c>
      <c r="N135" s="56">
        <v>-3881.61</v>
      </c>
      <c r="O135" s="823"/>
      <c r="P135" s="823"/>
      <c r="Q135" s="823"/>
      <c r="R135" s="823"/>
      <c r="S135" s="823"/>
      <c r="T135" s="823"/>
      <c r="U135" s="823"/>
      <c r="V135" s="823"/>
    </row>
    <row r="136" spans="1:22" ht="15.75" thickBot="1" x14ac:dyDescent="0.3">
      <c r="A136" s="51" t="s">
        <v>844</v>
      </c>
      <c r="B136" s="51" t="s">
        <v>26</v>
      </c>
      <c r="C136" s="51" t="s">
        <v>27</v>
      </c>
      <c r="D136" s="51" t="s">
        <v>21</v>
      </c>
      <c r="E136" s="51" t="s">
        <v>857</v>
      </c>
      <c r="F136" s="147">
        <v>301318</v>
      </c>
      <c r="G136" s="54">
        <v>26579743</v>
      </c>
      <c r="H136" s="822"/>
      <c r="I136" s="54">
        <v>5705098.75</v>
      </c>
      <c r="J136" s="822"/>
      <c r="K136" s="54">
        <v>9776557.7899999991</v>
      </c>
      <c r="L136" s="54">
        <v>9038071.9299999997</v>
      </c>
      <c r="M136" s="54">
        <v>-61139.11</v>
      </c>
      <c r="N136" s="54">
        <v>347758.66</v>
      </c>
      <c r="O136" s="822"/>
      <c r="P136" s="822"/>
      <c r="Q136" s="822"/>
      <c r="R136" s="822"/>
      <c r="S136" s="822"/>
      <c r="T136" s="822"/>
      <c r="U136" s="822"/>
      <c r="V136" s="822"/>
    </row>
    <row r="137" spans="1:22" ht="15.75" thickBot="1" x14ac:dyDescent="0.3">
      <c r="A137" s="51" t="s">
        <v>844</v>
      </c>
      <c r="B137" s="51" t="s">
        <v>28</v>
      </c>
      <c r="C137" s="51" t="s">
        <v>29</v>
      </c>
      <c r="D137" s="51" t="s">
        <v>15</v>
      </c>
      <c r="E137" s="51" t="s">
        <v>857</v>
      </c>
      <c r="F137" s="148">
        <v>1</v>
      </c>
      <c r="G137" s="56">
        <v>747</v>
      </c>
      <c r="H137" s="823"/>
      <c r="I137" s="56">
        <v>20.149999999999999</v>
      </c>
      <c r="J137" s="823"/>
      <c r="K137" s="56">
        <v>274.76</v>
      </c>
      <c r="L137" s="56">
        <v>253.99</v>
      </c>
      <c r="M137" s="56">
        <v>-1.72</v>
      </c>
      <c r="N137" s="56">
        <v>23.95</v>
      </c>
      <c r="O137" s="823"/>
      <c r="P137" s="823"/>
      <c r="Q137" s="823"/>
      <c r="R137" s="823"/>
      <c r="S137" s="823"/>
      <c r="T137" s="823"/>
      <c r="U137" s="823"/>
      <c r="V137" s="823"/>
    </row>
    <row r="138" spans="1:22" ht="15.75" thickBot="1" x14ac:dyDescent="0.3">
      <c r="A138" s="51" t="s">
        <v>844</v>
      </c>
      <c r="B138" s="51" t="s">
        <v>28</v>
      </c>
      <c r="C138" s="51" t="s">
        <v>29</v>
      </c>
      <c r="D138" s="51" t="s">
        <v>21</v>
      </c>
      <c r="E138" s="51" t="s">
        <v>857</v>
      </c>
      <c r="F138" s="147">
        <v>2</v>
      </c>
      <c r="G138" s="54">
        <v>1186</v>
      </c>
      <c r="H138" s="822"/>
      <c r="I138" s="54">
        <v>37.049999999999997</v>
      </c>
      <c r="J138" s="822"/>
      <c r="K138" s="54">
        <v>436.23</v>
      </c>
      <c r="L138" s="54">
        <v>403.25</v>
      </c>
      <c r="M138" s="54">
        <v>-2.73</v>
      </c>
      <c r="N138" s="54">
        <v>10.32</v>
      </c>
      <c r="O138" s="822"/>
      <c r="P138" s="822"/>
      <c r="Q138" s="822"/>
      <c r="R138" s="822"/>
      <c r="S138" s="822"/>
      <c r="T138" s="822"/>
      <c r="U138" s="822"/>
      <c r="V138" s="822"/>
    </row>
    <row r="139" spans="1:22" ht="15.75" thickBot="1" x14ac:dyDescent="0.3">
      <c r="A139" s="51" t="s">
        <v>948</v>
      </c>
      <c r="B139" s="51" t="s">
        <v>19</v>
      </c>
      <c r="C139" s="51" t="s">
        <v>431</v>
      </c>
      <c r="D139" s="51" t="s">
        <v>12</v>
      </c>
      <c r="E139" s="51" t="s">
        <v>837</v>
      </c>
      <c r="F139" s="147">
        <v>1</v>
      </c>
      <c r="G139" s="54">
        <v>0</v>
      </c>
      <c r="H139" s="822"/>
      <c r="I139" s="54">
        <v>-60</v>
      </c>
      <c r="J139" s="822"/>
      <c r="K139" s="54">
        <v>0</v>
      </c>
      <c r="L139" s="54">
        <v>0</v>
      </c>
      <c r="M139" s="54">
        <v>0</v>
      </c>
      <c r="N139" s="822"/>
      <c r="O139" s="822"/>
      <c r="P139" s="822"/>
      <c r="Q139" s="822"/>
      <c r="R139" s="822"/>
      <c r="S139" s="822"/>
      <c r="T139" s="822"/>
      <c r="U139" s="822"/>
      <c r="V139" s="822"/>
    </row>
    <row r="140" spans="1:22" ht="15.75" thickBot="1" x14ac:dyDescent="0.3">
      <c r="A140" s="51" t="s">
        <v>948</v>
      </c>
      <c r="B140" s="51" t="s">
        <v>19</v>
      </c>
      <c r="C140" s="51" t="s">
        <v>431</v>
      </c>
      <c r="D140" s="51" t="s">
        <v>12</v>
      </c>
      <c r="E140" s="51" t="s">
        <v>838</v>
      </c>
      <c r="F140" s="148">
        <v>1</v>
      </c>
      <c r="G140" s="56">
        <v>0</v>
      </c>
      <c r="H140" s="823"/>
      <c r="I140" s="56">
        <v>-60</v>
      </c>
      <c r="J140" s="823"/>
      <c r="K140" s="56">
        <v>0</v>
      </c>
      <c r="L140" s="56">
        <v>0</v>
      </c>
      <c r="M140" s="56">
        <v>0</v>
      </c>
      <c r="N140" s="823"/>
      <c r="O140" s="823"/>
      <c r="P140" s="823"/>
      <c r="Q140" s="823"/>
      <c r="R140" s="823"/>
      <c r="S140" s="823"/>
      <c r="T140" s="823"/>
      <c r="U140" s="823"/>
      <c r="V140" s="823"/>
    </row>
    <row r="141" spans="1:22" ht="15.75" thickBot="1" x14ac:dyDescent="0.3">
      <c r="A141" s="51" t="s">
        <v>948</v>
      </c>
      <c r="B141" s="51" t="s">
        <v>19</v>
      </c>
      <c r="C141" s="51" t="s">
        <v>431</v>
      </c>
      <c r="D141" s="51" t="s">
        <v>12</v>
      </c>
      <c r="E141" s="51" t="s">
        <v>839</v>
      </c>
      <c r="F141" s="147">
        <v>1</v>
      </c>
      <c r="G141" s="54">
        <v>0</v>
      </c>
      <c r="H141" s="822"/>
      <c r="I141" s="54">
        <v>-60</v>
      </c>
      <c r="J141" s="822"/>
      <c r="K141" s="54">
        <v>0</v>
      </c>
      <c r="L141" s="54">
        <v>0</v>
      </c>
      <c r="M141" s="54">
        <v>0</v>
      </c>
      <c r="N141" s="822"/>
      <c r="O141" s="822"/>
      <c r="P141" s="822"/>
      <c r="Q141" s="822"/>
      <c r="R141" s="822"/>
      <c r="S141" s="822"/>
      <c r="T141" s="822"/>
      <c r="U141" s="822"/>
      <c r="V141" s="822"/>
    </row>
    <row r="142" spans="1:22" ht="15.75" thickBot="1" x14ac:dyDescent="0.3">
      <c r="A142" s="51" t="s">
        <v>948</v>
      </c>
      <c r="B142" s="51" t="s">
        <v>19</v>
      </c>
      <c r="C142" s="51" t="s">
        <v>431</v>
      </c>
      <c r="D142" s="51" t="s">
        <v>12</v>
      </c>
      <c r="E142" s="51" t="s">
        <v>840</v>
      </c>
      <c r="F142" s="148">
        <v>1</v>
      </c>
      <c r="G142" s="56">
        <v>0</v>
      </c>
      <c r="H142" s="823"/>
      <c r="I142" s="56">
        <v>-60</v>
      </c>
      <c r="J142" s="823"/>
      <c r="K142" s="56">
        <v>0</v>
      </c>
      <c r="L142" s="56">
        <v>0</v>
      </c>
      <c r="M142" s="56">
        <v>0</v>
      </c>
      <c r="N142" s="823"/>
      <c r="O142" s="823"/>
      <c r="P142" s="823"/>
      <c r="Q142" s="823"/>
      <c r="R142" s="823"/>
      <c r="S142" s="823"/>
      <c r="T142" s="823"/>
      <c r="U142" s="823"/>
      <c r="V142" s="823"/>
    </row>
    <row r="143" spans="1:22" ht="15.75" thickBot="1" x14ac:dyDescent="0.3">
      <c r="A143" s="51" t="s">
        <v>948</v>
      </c>
      <c r="B143" s="51" t="s">
        <v>19</v>
      </c>
      <c r="C143" s="51" t="s">
        <v>431</v>
      </c>
      <c r="D143" s="51" t="s">
        <v>12</v>
      </c>
      <c r="E143" s="51" t="s">
        <v>841</v>
      </c>
      <c r="F143" s="147">
        <v>1</v>
      </c>
      <c r="G143" s="54">
        <v>0</v>
      </c>
      <c r="H143" s="822"/>
      <c r="I143" s="54">
        <v>-60</v>
      </c>
      <c r="J143" s="822"/>
      <c r="K143" s="54">
        <v>0</v>
      </c>
      <c r="L143" s="54">
        <v>0</v>
      </c>
      <c r="M143" s="54">
        <v>0</v>
      </c>
      <c r="N143" s="822"/>
      <c r="O143" s="822"/>
      <c r="P143" s="822"/>
      <c r="Q143" s="822"/>
      <c r="R143" s="822"/>
      <c r="S143" s="822"/>
      <c r="T143" s="822"/>
      <c r="U143" s="822"/>
      <c r="V143" s="822"/>
    </row>
    <row r="144" spans="1:22" ht="15.75" thickBot="1" x14ac:dyDescent="0.3">
      <c r="A144" s="51" t="s">
        <v>948</v>
      </c>
      <c r="B144" s="51" t="s">
        <v>19</v>
      </c>
      <c r="C144" s="51" t="s">
        <v>431</v>
      </c>
      <c r="D144" s="51" t="s">
        <v>12</v>
      </c>
      <c r="E144" s="51" t="s">
        <v>842</v>
      </c>
      <c r="F144" s="148">
        <v>1</v>
      </c>
      <c r="G144" s="56">
        <v>0</v>
      </c>
      <c r="H144" s="823"/>
      <c r="I144" s="56">
        <v>-60</v>
      </c>
      <c r="J144" s="823"/>
      <c r="K144" s="56">
        <v>0</v>
      </c>
      <c r="L144" s="56">
        <v>0</v>
      </c>
      <c r="M144" s="56">
        <v>0</v>
      </c>
      <c r="N144" s="823"/>
      <c r="O144" s="823"/>
      <c r="P144" s="823"/>
      <c r="Q144" s="823"/>
      <c r="R144" s="823"/>
      <c r="S144" s="823"/>
      <c r="T144" s="823"/>
      <c r="U144" s="823"/>
      <c r="V144" s="823"/>
    </row>
    <row r="145" spans="1:22" ht="15.75" thickBot="1" x14ac:dyDescent="0.3">
      <c r="A145" s="51" t="s">
        <v>948</v>
      </c>
      <c r="B145" s="51" t="s">
        <v>19</v>
      </c>
      <c r="C145" s="51" t="s">
        <v>431</v>
      </c>
      <c r="D145" s="51" t="s">
        <v>12</v>
      </c>
      <c r="E145" s="51" t="s">
        <v>821</v>
      </c>
      <c r="F145" s="147">
        <v>1</v>
      </c>
      <c r="G145" s="54">
        <v>0</v>
      </c>
      <c r="H145" s="822"/>
      <c r="I145" s="54">
        <v>-60</v>
      </c>
      <c r="J145" s="822"/>
      <c r="K145" s="54">
        <v>0</v>
      </c>
      <c r="L145" s="54">
        <v>0</v>
      </c>
      <c r="M145" s="54">
        <v>0</v>
      </c>
      <c r="N145" s="822"/>
      <c r="O145" s="822"/>
      <c r="P145" s="822"/>
      <c r="Q145" s="822"/>
      <c r="R145" s="822"/>
      <c r="S145" s="822"/>
      <c r="T145" s="822"/>
      <c r="U145" s="822"/>
      <c r="V145" s="822"/>
    </row>
    <row r="146" spans="1:22" ht="15.75" thickBot="1" x14ac:dyDescent="0.3">
      <c r="A146" s="51" t="s">
        <v>948</v>
      </c>
      <c r="B146" s="51" t="s">
        <v>19</v>
      </c>
      <c r="C146" s="51" t="s">
        <v>431</v>
      </c>
      <c r="D146" s="51" t="s">
        <v>12</v>
      </c>
      <c r="E146" s="51" t="s">
        <v>822</v>
      </c>
      <c r="F146" s="148">
        <v>1</v>
      </c>
      <c r="G146" s="56">
        <v>0</v>
      </c>
      <c r="H146" s="823"/>
      <c r="I146" s="56">
        <v>-60</v>
      </c>
      <c r="J146" s="823"/>
      <c r="K146" s="56">
        <v>0</v>
      </c>
      <c r="L146" s="56">
        <v>0</v>
      </c>
      <c r="M146" s="56">
        <v>0</v>
      </c>
      <c r="N146" s="823"/>
      <c r="O146" s="823"/>
      <c r="P146" s="823"/>
      <c r="Q146" s="823"/>
      <c r="R146" s="823"/>
      <c r="S146" s="823"/>
      <c r="T146" s="823"/>
      <c r="U146" s="823"/>
      <c r="V146" s="823"/>
    </row>
    <row r="147" spans="1:22" ht="15.75" thickBot="1" x14ac:dyDescent="0.3">
      <c r="A147" s="51" t="s">
        <v>948</v>
      </c>
      <c r="B147" s="51" t="s">
        <v>19</v>
      </c>
      <c r="C147" s="51" t="s">
        <v>431</v>
      </c>
      <c r="D147" s="51" t="s">
        <v>12</v>
      </c>
      <c r="E147" s="51" t="s">
        <v>823</v>
      </c>
      <c r="F147" s="147">
        <v>1</v>
      </c>
      <c r="G147" s="54">
        <v>0</v>
      </c>
      <c r="H147" s="822"/>
      <c r="I147" s="54">
        <v>-60</v>
      </c>
      <c r="J147" s="822"/>
      <c r="K147" s="54">
        <v>0</v>
      </c>
      <c r="L147" s="54">
        <v>0</v>
      </c>
      <c r="M147" s="54">
        <v>0</v>
      </c>
      <c r="N147" s="822"/>
      <c r="O147" s="822"/>
      <c r="P147" s="822"/>
      <c r="Q147" s="822"/>
      <c r="R147" s="822"/>
      <c r="S147" s="822"/>
      <c r="T147" s="822"/>
      <c r="U147" s="822"/>
      <c r="V147" s="822"/>
    </row>
    <row r="148" spans="1:22" ht="15.75" thickBot="1" x14ac:dyDescent="0.3">
      <c r="A148" s="51" t="s">
        <v>948</v>
      </c>
      <c r="B148" s="51" t="s">
        <v>19</v>
      </c>
      <c r="C148" s="51" t="s">
        <v>431</v>
      </c>
      <c r="D148" s="51" t="s">
        <v>12</v>
      </c>
      <c r="E148" s="51" t="s">
        <v>824</v>
      </c>
      <c r="F148" s="148">
        <v>1</v>
      </c>
      <c r="G148" s="56">
        <v>0</v>
      </c>
      <c r="H148" s="823"/>
      <c r="I148" s="56">
        <v>-60</v>
      </c>
      <c r="J148" s="823"/>
      <c r="K148" s="56">
        <v>0</v>
      </c>
      <c r="L148" s="56">
        <v>0</v>
      </c>
      <c r="M148" s="56">
        <v>0</v>
      </c>
      <c r="N148" s="823"/>
      <c r="O148" s="823"/>
      <c r="P148" s="823"/>
      <c r="Q148" s="823"/>
      <c r="R148" s="823"/>
      <c r="S148" s="823"/>
      <c r="T148" s="823"/>
      <c r="U148" s="823"/>
      <c r="V148" s="823"/>
    </row>
    <row r="149" spans="1:22" ht="15.75" thickBot="1" x14ac:dyDescent="0.3">
      <c r="A149" s="51" t="s">
        <v>948</v>
      </c>
      <c r="B149" s="51" t="s">
        <v>19</v>
      </c>
      <c r="C149" s="51" t="s">
        <v>431</v>
      </c>
      <c r="D149" s="51" t="s">
        <v>12</v>
      </c>
      <c r="E149" s="51" t="s">
        <v>825</v>
      </c>
      <c r="F149" s="147">
        <v>1</v>
      </c>
      <c r="G149" s="54">
        <v>0</v>
      </c>
      <c r="H149" s="822"/>
      <c r="I149" s="54">
        <v>-63.04</v>
      </c>
      <c r="J149" s="822"/>
      <c r="K149" s="54">
        <v>0</v>
      </c>
      <c r="L149" s="54">
        <v>0</v>
      </c>
      <c r="M149" s="54">
        <v>0</v>
      </c>
      <c r="N149" s="822"/>
      <c r="O149" s="822"/>
      <c r="P149" s="822"/>
      <c r="Q149" s="822"/>
      <c r="R149" s="822"/>
      <c r="S149" s="822"/>
      <c r="T149" s="822"/>
      <c r="U149" s="822"/>
      <c r="V149" s="822"/>
    </row>
    <row r="150" spans="1:22" ht="15.75" thickBot="1" x14ac:dyDescent="0.3">
      <c r="A150" s="51" t="s">
        <v>948</v>
      </c>
      <c r="B150" s="51" t="s">
        <v>19</v>
      </c>
      <c r="C150" s="51" t="s">
        <v>431</v>
      </c>
      <c r="D150" s="51" t="s">
        <v>12</v>
      </c>
      <c r="E150" s="51" t="s">
        <v>826</v>
      </c>
      <c r="F150" s="148">
        <v>1</v>
      </c>
      <c r="G150" s="56">
        <v>0</v>
      </c>
      <c r="H150" s="823"/>
      <c r="I150" s="56">
        <v>-61.07</v>
      </c>
      <c r="J150" s="823"/>
      <c r="K150" s="56">
        <v>0</v>
      </c>
      <c r="L150" s="56">
        <v>0</v>
      </c>
      <c r="M150" s="56">
        <v>0</v>
      </c>
      <c r="N150" s="823"/>
      <c r="O150" s="823"/>
      <c r="P150" s="823"/>
      <c r="Q150" s="823"/>
      <c r="R150" s="823"/>
      <c r="S150" s="823"/>
      <c r="T150" s="823"/>
      <c r="U150" s="823"/>
      <c r="V150" s="823"/>
    </row>
    <row r="151" spans="1:22" ht="15.75" thickBot="1" x14ac:dyDescent="0.3">
      <c r="A151" s="51" t="s">
        <v>948</v>
      </c>
      <c r="B151" s="51" t="s">
        <v>19</v>
      </c>
      <c r="C151" s="51" t="s">
        <v>431</v>
      </c>
      <c r="D151" s="51" t="s">
        <v>12</v>
      </c>
      <c r="E151" s="51" t="s">
        <v>827</v>
      </c>
      <c r="F151" s="147">
        <v>1</v>
      </c>
      <c r="G151" s="54">
        <v>0</v>
      </c>
      <c r="H151" s="822"/>
      <c r="I151" s="54">
        <v>-63.04</v>
      </c>
      <c r="J151" s="822"/>
      <c r="K151" s="54">
        <v>0</v>
      </c>
      <c r="L151" s="54">
        <v>0</v>
      </c>
      <c r="M151" s="54">
        <v>0</v>
      </c>
      <c r="N151" s="822"/>
      <c r="O151" s="822"/>
      <c r="P151" s="822"/>
      <c r="Q151" s="822"/>
      <c r="R151" s="822"/>
      <c r="S151" s="822"/>
      <c r="T151" s="822"/>
      <c r="U151" s="822"/>
      <c r="V151" s="822"/>
    </row>
    <row r="152" spans="1:22" ht="15.75" thickBot="1" x14ac:dyDescent="0.3">
      <c r="A152" s="51" t="s">
        <v>948</v>
      </c>
      <c r="B152" s="51" t="s">
        <v>19</v>
      </c>
      <c r="C152" s="51" t="s">
        <v>431</v>
      </c>
      <c r="D152" s="51" t="s">
        <v>12</v>
      </c>
      <c r="E152" s="51" t="s">
        <v>828</v>
      </c>
      <c r="F152" s="148">
        <v>2</v>
      </c>
      <c r="G152" s="56">
        <v>-8</v>
      </c>
      <c r="H152" s="823"/>
      <c r="I152" s="56">
        <v>-126.08</v>
      </c>
      <c r="J152" s="823"/>
      <c r="K152" s="56">
        <v>-2.4500000000000002</v>
      </c>
      <c r="L152" s="56">
        <v>-2.96</v>
      </c>
      <c r="M152" s="56">
        <v>0</v>
      </c>
      <c r="N152" s="823"/>
      <c r="O152" s="823"/>
      <c r="P152" s="823"/>
      <c r="Q152" s="823"/>
      <c r="R152" s="823"/>
      <c r="S152" s="823"/>
      <c r="T152" s="823"/>
      <c r="U152" s="823"/>
      <c r="V152" s="823"/>
    </row>
    <row r="153" spans="1:22" ht="15.75" thickBot="1" x14ac:dyDescent="0.3">
      <c r="A153" s="51" t="s">
        <v>948</v>
      </c>
      <c r="B153" s="51" t="s">
        <v>19</v>
      </c>
      <c r="C153" s="51" t="s">
        <v>431</v>
      </c>
      <c r="D153" s="51" t="s">
        <v>12</v>
      </c>
      <c r="E153" s="51" t="s">
        <v>829</v>
      </c>
      <c r="F153" s="147">
        <v>1</v>
      </c>
      <c r="G153" s="54">
        <v>0</v>
      </c>
      <c r="H153" s="822"/>
      <c r="I153" s="54">
        <v>-57.13</v>
      </c>
      <c r="J153" s="822"/>
      <c r="K153" s="54">
        <v>0</v>
      </c>
      <c r="L153" s="54">
        <v>0</v>
      </c>
      <c r="M153" s="54">
        <v>0</v>
      </c>
      <c r="N153" s="822"/>
      <c r="O153" s="822"/>
      <c r="P153" s="822"/>
      <c r="Q153" s="822"/>
      <c r="R153" s="822"/>
      <c r="S153" s="822"/>
      <c r="T153" s="822"/>
      <c r="U153" s="822"/>
      <c r="V153" s="822"/>
    </row>
    <row r="154" spans="1:22" ht="15.75" thickBot="1" x14ac:dyDescent="0.3">
      <c r="A154" s="51" t="s">
        <v>948</v>
      </c>
      <c r="B154" s="51" t="s">
        <v>19</v>
      </c>
      <c r="C154" s="51" t="s">
        <v>431</v>
      </c>
      <c r="D154" s="51" t="s">
        <v>12</v>
      </c>
      <c r="E154" s="51" t="s">
        <v>830</v>
      </c>
      <c r="F154" s="148">
        <v>3</v>
      </c>
      <c r="G154" s="56">
        <v>-36</v>
      </c>
      <c r="H154" s="823"/>
      <c r="I154" s="56">
        <v>-122.14</v>
      </c>
      <c r="J154" s="823"/>
      <c r="K154" s="56">
        <v>-11.04</v>
      </c>
      <c r="L154" s="56">
        <v>-12.55</v>
      </c>
      <c r="M154" s="56">
        <v>-0.01</v>
      </c>
      <c r="N154" s="823"/>
      <c r="O154" s="823"/>
      <c r="P154" s="823"/>
      <c r="Q154" s="823"/>
      <c r="R154" s="823"/>
      <c r="S154" s="823"/>
      <c r="T154" s="823"/>
      <c r="U154" s="823"/>
      <c r="V154" s="823"/>
    </row>
    <row r="155" spans="1:22" ht="15.75" thickBot="1" x14ac:dyDescent="0.3">
      <c r="A155" s="51" t="s">
        <v>948</v>
      </c>
      <c r="B155" s="51" t="s">
        <v>19</v>
      </c>
      <c r="C155" s="51" t="s">
        <v>431</v>
      </c>
      <c r="D155" s="51" t="s">
        <v>12</v>
      </c>
      <c r="E155" s="51" t="s">
        <v>831</v>
      </c>
      <c r="F155" s="147">
        <v>4</v>
      </c>
      <c r="G155" s="54">
        <v>-43</v>
      </c>
      <c r="H155" s="822"/>
      <c r="I155" s="54">
        <v>-120.17</v>
      </c>
      <c r="J155" s="822"/>
      <c r="K155" s="54">
        <v>-13.2</v>
      </c>
      <c r="L155" s="54">
        <v>-16.309999999999999</v>
      </c>
      <c r="M155" s="54">
        <v>0</v>
      </c>
      <c r="N155" s="54">
        <v>4.7</v>
      </c>
      <c r="O155" s="822"/>
      <c r="P155" s="822"/>
      <c r="Q155" s="822"/>
      <c r="R155" s="822"/>
      <c r="S155" s="822"/>
      <c r="T155" s="822"/>
      <c r="U155" s="822"/>
      <c r="V155" s="822"/>
    </row>
    <row r="156" spans="1:22" ht="15.75" thickBot="1" x14ac:dyDescent="0.3">
      <c r="A156" s="51" t="s">
        <v>948</v>
      </c>
      <c r="B156" s="51" t="s">
        <v>19</v>
      </c>
      <c r="C156" s="51" t="s">
        <v>431</v>
      </c>
      <c r="D156" s="51" t="s">
        <v>12</v>
      </c>
      <c r="E156" s="51" t="s">
        <v>832</v>
      </c>
      <c r="F156" s="148">
        <v>6</v>
      </c>
      <c r="G156" s="56">
        <v>-196</v>
      </c>
      <c r="H156" s="823"/>
      <c r="I156" s="56">
        <v>-171.39</v>
      </c>
      <c r="J156" s="823"/>
      <c r="K156" s="56">
        <v>-60.12</v>
      </c>
      <c r="L156" s="56">
        <v>-75.28</v>
      </c>
      <c r="M156" s="56">
        <v>-0.02</v>
      </c>
      <c r="N156" s="56">
        <v>14.6</v>
      </c>
      <c r="O156" s="823"/>
      <c r="P156" s="823"/>
      <c r="Q156" s="823"/>
      <c r="R156" s="823"/>
      <c r="S156" s="823"/>
      <c r="T156" s="823"/>
      <c r="U156" s="823"/>
      <c r="V156" s="823"/>
    </row>
    <row r="157" spans="1:22" ht="15.75" thickBot="1" x14ac:dyDescent="0.3">
      <c r="A157" s="51" t="s">
        <v>948</v>
      </c>
      <c r="B157" s="51" t="s">
        <v>19</v>
      </c>
      <c r="C157" s="51" t="s">
        <v>431</v>
      </c>
      <c r="D157" s="51" t="s">
        <v>12</v>
      </c>
      <c r="E157" s="51" t="s">
        <v>833</v>
      </c>
      <c r="F157" s="147">
        <v>10</v>
      </c>
      <c r="G157" s="54">
        <v>-1172</v>
      </c>
      <c r="H157" s="822"/>
      <c r="I157" s="54">
        <v>-193.06</v>
      </c>
      <c r="J157" s="822"/>
      <c r="K157" s="54">
        <v>-359.46</v>
      </c>
      <c r="L157" s="54">
        <v>-450.09</v>
      </c>
      <c r="M157" s="54">
        <v>-0.22</v>
      </c>
      <c r="N157" s="54">
        <v>-128.06</v>
      </c>
      <c r="O157" s="822"/>
      <c r="P157" s="822"/>
      <c r="Q157" s="822"/>
      <c r="R157" s="822"/>
      <c r="S157" s="822"/>
      <c r="T157" s="822"/>
      <c r="U157" s="822"/>
      <c r="V157" s="822"/>
    </row>
    <row r="158" spans="1:22" ht="15.75" thickBot="1" x14ac:dyDescent="0.3">
      <c r="A158" s="51" t="s">
        <v>948</v>
      </c>
      <c r="B158" s="51" t="s">
        <v>19</v>
      </c>
      <c r="C158" s="51" t="s">
        <v>431</v>
      </c>
      <c r="D158" s="51" t="s">
        <v>12</v>
      </c>
      <c r="E158" s="51" t="s">
        <v>834</v>
      </c>
      <c r="F158" s="148">
        <v>22</v>
      </c>
      <c r="G158" s="56">
        <v>1255</v>
      </c>
      <c r="H158" s="823"/>
      <c r="I158" s="56">
        <v>-141.84</v>
      </c>
      <c r="J158" s="823"/>
      <c r="K158" s="56">
        <v>384.94</v>
      </c>
      <c r="L158" s="56">
        <v>424.95</v>
      </c>
      <c r="M158" s="56">
        <v>0.2</v>
      </c>
      <c r="N158" s="56">
        <v>27.97</v>
      </c>
      <c r="O158" s="823"/>
      <c r="P158" s="823"/>
      <c r="Q158" s="823"/>
      <c r="R158" s="823"/>
      <c r="S158" s="823"/>
      <c r="T158" s="823"/>
      <c r="U158" s="823"/>
      <c r="V158" s="823"/>
    </row>
    <row r="159" spans="1:22" ht="15.75" thickBot="1" x14ac:dyDescent="0.3">
      <c r="A159" s="51" t="s">
        <v>948</v>
      </c>
      <c r="B159" s="51" t="s">
        <v>19</v>
      </c>
      <c r="C159" s="51" t="s">
        <v>431</v>
      </c>
      <c r="D159" s="51" t="s">
        <v>12</v>
      </c>
      <c r="E159" s="51" t="s">
        <v>857</v>
      </c>
      <c r="F159" s="147">
        <v>548</v>
      </c>
      <c r="G159" s="54">
        <v>465813</v>
      </c>
      <c r="H159" s="822"/>
      <c r="I159" s="54">
        <v>17741.82</v>
      </c>
      <c r="J159" s="54">
        <v>9819.76</v>
      </c>
      <c r="K159" s="54">
        <v>142864.97</v>
      </c>
      <c r="L159" s="54">
        <v>158380.92000000001</v>
      </c>
      <c r="M159" s="54">
        <v>83.72</v>
      </c>
      <c r="N159" s="54">
        <v>24871.95</v>
      </c>
      <c r="O159" s="822"/>
      <c r="P159" s="822"/>
      <c r="Q159" s="822"/>
      <c r="R159" s="822"/>
      <c r="S159" s="822"/>
      <c r="T159" s="822"/>
      <c r="U159" s="822"/>
      <c r="V159" s="822"/>
    </row>
    <row r="160" spans="1:22" ht="15.75" thickBot="1" x14ac:dyDescent="0.3">
      <c r="A160" s="51" t="s">
        <v>948</v>
      </c>
      <c r="B160" s="51" t="s">
        <v>19</v>
      </c>
      <c r="C160" s="51" t="s">
        <v>431</v>
      </c>
      <c r="D160" s="51" t="s">
        <v>12</v>
      </c>
      <c r="E160" s="51" t="s">
        <v>949</v>
      </c>
      <c r="F160" s="148">
        <v>24103</v>
      </c>
      <c r="G160" s="56">
        <v>4186095</v>
      </c>
      <c r="H160" s="56">
        <v>2232352</v>
      </c>
      <c r="I160" s="56">
        <v>1411302.09</v>
      </c>
      <c r="J160" s="56">
        <v>259633.33</v>
      </c>
      <c r="K160" s="56">
        <v>1856918.16</v>
      </c>
      <c r="L160" s="56">
        <v>2182320.0499999998</v>
      </c>
      <c r="M160" s="56">
        <v>1926.39</v>
      </c>
      <c r="N160" s="56">
        <v>220685.45</v>
      </c>
      <c r="O160" s="823"/>
      <c r="P160" s="823"/>
      <c r="Q160" s="823"/>
      <c r="R160" s="823"/>
      <c r="S160" s="823"/>
      <c r="T160" s="823"/>
      <c r="U160" s="823"/>
      <c r="V160" s="823"/>
    </row>
    <row r="161" spans="1:22" ht="15.75" thickBot="1" x14ac:dyDescent="0.3">
      <c r="A161" s="51" t="s">
        <v>948</v>
      </c>
      <c r="B161" s="51" t="s">
        <v>19</v>
      </c>
      <c r="C161" s="51" t="s">
        <v>431</v>
      </c>
      <c r="D161" s="51" t="s">
        <v>15</v>
      </c>
      <c r="E161" s="51" t="s">
        <v>831</v>
      </c>
      <c r="F161" s="148">
        <v>1</v>
      </c>
      <c r="G161" s="56">
        <v>23</v>
      </c>
      <c r="H161" s="823"/>
      <c r="I161" s="56">
        <v>15.76</v>
      </c>
      <c r="J161" s="823"/>
      <c r="K161" s="56">
        <v>7.05</v>
      </c>
      <c r="L161" s="56">
        <v>8.83</v>
      </c>
      <c r="M161" s="56">
        <v>0</v>
      </c>
      <c r="N161" s="56">
        <v>-2.78</v>
      </c>
      <c r="O161" s="823"/>
      <c r="P161" s="823"/>
      <c r="Q161" s="823"/>
      <c r="R161" s="823"/>
      <c r="S161" s="823"/>
      <c r="T161" s="823"/>
      <c r="U161" s="823"/>
      <c r="V161" s="823"/>
    </row>
    <row r="162" spans="1:22" ht="15.75" thickBot="1" x14ac:dyDescent="0.3">
      <c r="A162" s="51" t="s">
        <v>948</v>
      </c>
      <c r="B162" s="51" t="s">
        <v>19</v>
      </c>
      <c r="C162" s="51" t="s">
        <v>431</v>
      </c>
      <c r="D162" s="51" t="s">
        <v>15</v>
      </c>
      <c r="E162" s="51" t="s">
        <v>832</v>
      </c>
      <c r="F162" s="147">
        <v>1</v>
      </c>
      <c r="G162" s="54">
        <v>-23</v>
      </c>
      <c r="H162" s="822"/>
      <c r="I162" s="54">
        <v>-63.04</v>
      </c>
      <c r="J162" s="822"/>
      <c r="K162" s="54">
        <v>-7.05</v>
      </c>
      <c r="L162" s="54">
        <v>-8.83</v>
      </c>
      <c r="M162" s="54">
        <v>0</v>
      </c>
      <c r="N162" s="54">
        <v>1.78</v>
      </c>
      <c r="O162" s="822"/>
      <c r="P162" s="822"/>
      <c r="Q162" s="822"/>
      <c r="R162" s="822"/>
      <c r="S162" s="822"/>
      <c r="T162" s="822"/>
      <c r="U162" s="822"/>
      <c r="V162" s="822"/>
    </row>
    <row r="163" spans="1:22" ht="15.75" thickBot="1" x14ac:dyDescent="0.3">
      <c r="A163" s="51" t="s">
        <v>948</v>
      </c>
      <c r="B163" s="51" t="s">
        <v>19</v>
      </c>
      <c r="C163" s="51" t="s">
        <v>431</v>
      </c>
      <c r="D163" s="51" t="s">
        <v>15</v>
      </c>
      <c r="E163" s="51" t="s">
        <v>833</v>
      </c>
      <c r="F163" s="148">
        <v>1</v>
      </c>
      <c r="G163" s="56">
        <v>0</v>
      </c>
      <c r="H163" s="823"/>
      <c r="I163" s="56">
        <v>-61.07</v>
      </c>
      <c r="J163" s="823"/>
      <c r="K163" s="56">
        <v>0</v>
      </c>
      <c r="L163" s="56">
        <v>0</v>
      </c>
      <c r="M163" s="56">
        <v>0</v>
      </c>
      <c r="N163" s="823"/>
      <c r="O163" s="823"/>
      <c r="P163" s="823"/>
      <c r="Q163" s="823"/>
      <c r="R163" s="823"/>
      <c r="S163" s="823"/>
      <c r="T163" s="823"/>
      <c r="U163" s="823"/>
      <c r="V163" s="823"/>
    </row>
    <row r="164" spans="1:22" ht="15.75" thickBot="1" x14ac:dyDescent="0.3">
      <c r="A164" s="51" t="s">
        <v>948</v>
      </c>
      <c r="B164" s="51" t="s">
        <v>19</v>
      </c>
      <c r="C164" s="51" t="s">
        <v>431</v>
      </c>
      <c r="D164" s="51" t="s">
        <v>15</v>
      </c>
      <c r="E164" s="51" t="s">
        <v>834</v>
      </c>
      <c r="F164" s="147">
        <v>1</v>
      </c>
      <c r="G164" s="54">
        <v>0</v>
      </c>
      <c r="H164" s="822"/>
      <c r="I164" s="54">
        <v>-57.13</v>
      </c>
      <c r="J164" s="822"/>
      <c r="K164" s="54">
        <v>0</v>
      </c>
      <c r="L164" s="54">
        <v>0</v>
      </c>
      <c r="M164" s="54">
        <v>0</v>
      </c>
      <c r="N164" s="822"/>
      <c r="O164" s="822"/>
      <c r="P164" s="822"/>
      <c r="Q164" s="822"/>
      <c r="R164" s="822"/>
      <c r="S164" s="822"/>
      <c r="T164" s="822"/>
      <c r="U164" s="822"/>
      <c r="V164" s="822"/>
    </row>
    <row r="165" spans="1:22" ht="15.75" thickBot="1" x14ac:dyDescent="0.3">
      <c r="A165" s="51" t="s">
        <v>948</v>
      </c>
      <c r="B165" s="51" t="s">
        <v>19</v>
      </c>
      <c r="C165" s="51" t="s">
        <v>431</v>
      </c>
      <c r="D165" s="51" t="s">
        <v>15</v>
      </c>
      <c r="E165" s="51" t="s">
        <v>857</v>
      </c>
      <c r="F165" s="148">
        <v>61</v>
      </c>
      <c r="G165" s="56">
        <v>40327</v>
      </c>
      <c r="H165" s="823"/>
      <c r="I165" s="56">
        <v>1719.81</v>
      </c>
      <c r="J165" s="56">
        <v>5425.23</v>
      </c>
      <c r="K165" s="56">
        <v>12368.34</v>
      </c>
      <c r="L165" s="56">
        <v>13711.58</v>
      </c>
      <c r="M165" s="56">
        <v>7.25</v>
      </c>
      <c r="N165" s="56">
        <v>1847.46</v>
      </c>
      <c r="O165" s="823"/>
      <c r="P165" s="823"/>
      <c r="Q165" s="823"/>
      <c r="R165" s="823"/>
      <c r="S165" s="823"/>
      <c r="T165" s="823"/>
      <c r="U165" s="823"/>
      <c r="V165" s="823"/>
    </row>
    <row r="166" spans="1:22" ht="15.75" thickBot="1" x14ac:dyDescent="0.3">
      <c r="A166" s="51" t="s">
        <v>948</v>
      </c>
      <c r="B166" s="51" t="s">
        <v>19</v>
      </c>
      <c r="C166" s="51" t="s">
        <v>431</v>
      </c>
      <c r="D166" s="51" t="s">
        <v>15</v>
      </c>
      <c r="E166" s="51" t="s">
        <v>949</v>
      </c>
      <c r="F166" s="147">
        <v>1048</v>
      </c>
      <c r="G166" s="54">
        <v>378077</v>
      </c>
      <c r="H166" s="54">
        <v>331816</v>
      </c>
      <c r="I166" s="54">
        <v>48852.06</v>
      </c>
      <c r="J166" s="54">
        <v>69216.19</v>
      </c>
      <c r="K166" s="54">
        <v>201133.34</v>
      </c>
      <c r="L166" s="54">
        <v>241370.14</v>
      </c>
      <c r="M166" s="54">
        <v>209.36</v>
      </c>
      <c r="N166" s="54">
        <v>30667.11</v>
      </c>
      <c r="O166" s="822"/>
      <c r="P166" s="822"/>
      <c r="Q166" s="822"/>
      <c r="R166" s="822"/>
      <c r="S166" s="822"/>
      <c r="T166" s="822"/>
      <c r="U166" s="822"/>
      <c r="V166" s="822"/>
    </row>
    <row r="167" spans="1:22" ht="15.75" thickBot="1" x14ac:dyDescent="0.3">
      <c r="A167" s="51" t="s">
        <v>948</v>
      </c>
      <c r="B167" s="51" t="s">
        <v>350</v>
      </c>
      <c r="C167" s="51" t="s">
        <v>432</v>
      </c>
      <c r="D167" s="51" t="s">
        <v>12</v>
      </c>
      <c r="E167" s="51" t="s">
        <v>949</v>
      </c>
      <c r="F167" s="148">
        <v>1</v>
      </c>
      <c r="G167" s="56">
        <v>256</v>
      </c>
      <c r="H167" s="823"/>
      <c r="I167" s="56">
        <v>57.13</v>
      </c>
      <c r="J167" s="823"/>
      <c r="K167" s="56">
        <v>78.52</v>
      </c>
      <c r="L167" s="56">
        <v>87.04</v>
      </c>
      <c r="M167" s="56">
        <v>0.11</v>
      </c>
      <c r="N167" s="56">
        <v>0.06</v>
      </c>
      <c r="O167" s="823"/>
      <c r="P167" s="823"/>
      <c r="Q167" s="823"/>
      <c r="R167" s="823"/>
      <c r="S167" s="823"/>
      <c r="T167" s="823"/>
      <c r="U167" s="823"/>
      <c r="V167" s="823"/>
    </row>
    <row r="168" spans="1:22" ht="15.75" thickBot="1" x14ac:dyDescent="0.3">
      <c r="A168" s="51" t="s">
        <v>948</v>
      </c>
      <c r="B168" s="51" t="s">
        <v>599</v>
      </c>
      <c r="C168" s="51" t="s">
        <v>600</v>
      </c>
      <c r="D168" s="51" t="s">
        <v>12</v>
      </c>
      <c r="E168" s="51" t="s">
        <v>949</v>
      </c>
      <c r="F168" s="147">
        <v>608</v>
      </c>
      <c r="G168" s="54">
        <v>601</v>
      </c>
      <c r="H168" s="822"/>
      <c r="I168" s="54">
        <v>37047.82</v>
      </c>
      <c r="J168" s="822"/>
      <c r="K168" s="54">
        <v>186.31</v>
      </c>
      <c r="L168" s="54">
        <v>204.34</v>
      </c>
      <c r="M168" s="54">
        <v>0</v>
      </c>
      <c r="N168" s="822"/>
      <c r="O168" s="822"/>
      <c r="P168" s="822"/>
      <c r="Q168" s="822"/>
      <c r="R168" s="822"/>
      <c r="S168" s="822"/>
      <c r="T168" s="822"/>
      <c r="U168" s="822"/>
      <c r="V168" s="822"/>
    </row>
    <row r="169" spans="1:22" ht="15.75" thickBot="1" x14ac:dyDescent="0.3">
      <c r="A169" s="51" t="s">
        <v>948</v>
      </c>
      <c r="B169" s="51" t="s">
        <v>13</v>
      </c>
      <c r="C169" s="51" t="s">
        <v>228</v>
      </c>
      <c r="D169" s="51" t="s">
        <v>12</v>
      </c>
      <c r="E169" s="51" t="s">
        <v>949</v>
      </c>
      <c r="F169" s="148">
        <v>1</v>
      </c>
      <c r="G169" s="56">
        <v>23385</v>
      </c>
      <c r="H169" s="823"/>
      <c r="I169" s="56">
        <v>500</v>
      </c>
      <c r="J169" s="823"/>
      <c r="K169" s="56">
        <v>2489.1</v>
      </c>
      <c r="L169" s="56">
        <v>7951.13</v>
      </c>
      <c r="M169" s="56">
        <v>5.59</v>
      </c>
      <c r="N169" s="823"/>
      <c r="O169" s="823"/>
      <c r="P169" s="823"/>
      <c r="Q169" s="823"/>
      <c r="R169" s="823"/>
      <c r="S169" s="823"/>
      <c r="T169" s="823"/>
      <c r="U169" s="823"/>
      <c r="V169" s="823"/>
    </row>
    <row r="170" spans="1:22" ht="15.75" thickBot="1" x14ac:dyDescent="0.3">
      <c r="A170" s="51" t="s">
        <v>948</v>
      </c>
      <c r="B170" s="51" t="s">
        <v>13</v>
      </c>
      <c r="C170" s="51" t="s">
        <v>228</v>
      </c>
      <c r="D170" s="51" t="s">
        <v>15</v>
      </c>
      <c r="E170" s="51" t="s">
        <v>949</v>
      </c>
      <c r="F170" s="147">
        <v>1</v>
      </c>
      <c r="G170" s="54">
        <v>42920</v>
      </c>
      <c r="H170" s="822"/>
      <c r="I170" s="54">
        <v>500</v>
      </c>
      <c r="J170" s="822"/>
      <c r="K170" s="54">
        <v>4568.3999999999996</v>
      </c>
      <c r="L170" s="54">
        <v>14593.23</v>
      </c>
      <c r="M170" s="54">
        <v>17.91</v>
      </c>
      <c r="N170" s="822"/>
      <c r="O170" s="822"/>
      <c r="P170" s="822"/>
      <c r="Q170" s="822"/>
      <c r="R170" s="822"/>
      <c r="S170" s="822"/>
      <c r="T170" s="822"/>
      <c r="U170" s="822"/>
      <c r="V170" s="822"/>
    </row>
    <row r="171" spans="1:22" ht="15.75" thickBot="1" x14ac:dyDescent="0.3">
      <c r="A171" s="51" t="s">
        <v>948</v>
      </c>
      <c r="B171" s="51" t="s">
        <v>43</v>
      </c>
      <c r="C171" s="51" t="s">
        <v>433</v>
      </c>
      <c r="D171" s="51" t="s">
        <v>12</v>
      </c>
      <c r="E171" s="51" t="s">
        <v>949</v>
      </c>
      <c r="F171" s="147">
        <v>1</v>
      </c>
      <c r="G171" s="54">
        <v>6</v>
      </c>
      <c r="H171" s="822"/>
      <c r="I171" s="54">
        <v>165</v>
      </c>
      <c r="J171" s="822"/>
      <c r="K171" s="54">
        <v>0.18</v>
      </c>
      <c r="L171" s="54">
        <v>2.04</v>
      </c>
      <c r="M171" s="822"/>
      <c r="N171" s="822"/>
      <c r="O171" s="822"/>
      <c r="P171" s="54">
        <v>526.36</v>
      </c>
      <c r="Q171" s="822"/>
      <c r="R171" s="822"/>
      <c r="S171" s="822"/>
      <c r="T171" s="822"/>
      <c r="U171" s="822"/>
      <c r="V171" s="822"/>
    </row>
    <row r="172" spans="1:22" ht="15.75" thickBot="1" x14ac:dyDescent="0.3">
      <c r="A172" s="51" t="s">
        <v>948</v>
      </c>
      <c r="B172" s="51" t="s">
        <v>43</v>
      </c>
      <c r="C172" s="51" t="s">
        <v>433</v>
      </c>
      <c r="D172" s="51" t="s">
        <v>15</v>
      </c>
      <c r="E172" s="51" t="s">
        <v>949</v>
      </c>
      <c r="F172" s="148">
        <v>1</v>
      </c>
      <c r="G172" s="56">
        <v>5</v>
      </c>
      <c r="H172" s="823"/>
      <c r="I172" s="56">
        <v>165</v>
      </c>
      <c r="J172" s="823"/>
      <c r="K172" s="56">
        <v>0.15</v>
      </c>
      <c r="L172" s="56">
        <v>1.7</v>
      </c>
      <c r="M172" s="823"/>
      <c r="N172" s="823"/>
      <c r="O172" s="823"/>
      <c r="P172" s="56">
        <v>672.44</v>
      </c>
      <c r="Q172" s="823"/>
      <c r="R172" s="823"/>
      <c r="S172" s="823"/>
      <c r="T172" s="823"/>
      <c r="U172" s="823"/>
      <c r="V172" s="823"/>
    </row>
    <row r="173" spans="1:22" ht="15.75" thickBot="1" x14ac:dyDescent="0.3">
      <c r="A173" s="51" t="s">
        <v>948</v>
      </c>
      <c r="B173" s="51" t="s">
        <v>34</v>
      </c>
      <c r="C173" s="51" t="s">
        <v>437</v>
      </c>
      <c r="D173" s="51" t="s">
        <v>318</v>
      </c>
      <c r="E173" s="51" t="s">
        <v>857</v>
      </c>
      <c r="F173" s="148">
        <v>7</v>
      </c>
      <c r="G173" s="56">
        <v>397097</v>
      </c>
      <c r="H173" s="823"/>
      <c r="I173" s="823"/>
      <c r="J173" s="823"/>
      <c r="K173" s="823"/>
      <c r="L173" s="823"/>
      <c r="M173" s="823"/>
      <c r="N173" s="823"/>
      <c r="O173" s="823"/>
      <c r="P173" s="823"/>
      <c r="Q173" s="823"/>
      <c r="R173" s="56">
        <v>16929.77</v>
      </c>
      <c r="S173" s="56">
        <v>0</v>
      </c>
      <c r="T173" s="823"/>
      <c r="U173" s="56">
        <v>3850</v>
      </c>
      <c r="V173" s="56">
        <v>0</v>
      </c>
    </row>
    <row r="174" spans="1:22" ht="15.75" thickBot="1" x14ac:dyDescent="0.3">
      <c r="A174" s="51" t="s">
        <v>948</v>
      </c>
      <c r="B174" s="51" t="s">
        <v>34</v>
      </c>
      <c r="C174" s="51" t="s">
        <v>437</v>
      </c>
      <c r="D174" s="51" t="s">
        <v>319</v>
      </c>
      <c r="E174" s="51" t="s">
        <v>857</v>
      </c>
      <c r="F174" s="147">
        <v>2</v>
      </c>
      <c r="G174" s="54">
        <v>144681</v>
      </c>
      <c r="H174" s="822"/>
      <c r="I174" s="822"/>
      <c r="J174" s="822"/>
      <c r="K174" s="822"/>
      <c r="L174" s="822"/>
      <c r="M174" s="822"/>
      <c r="N174" s="822"/>
      <c r="O174" s="822"/>
      <c r="P174" s="822"/>
      <c r="Q174" s="822"/>
      <c r="R174" s="54">
        <v>5695.05</v>
      </c>
      <c r="S174" s="54">
        <v>-896.38</v>
      </c>
      <c r="T174" s="54">
        <v>54.57</v>
      </c>
      <c r="U174" s="54">
        <v>1100</v>
      </c>
      <c r="V174" s="54">
        <v>39.92</v>
      </c>
    </row>
    <row r="175" spans="1:22" ht="15.75" thickBot="1" x14ac:dyDescent="0.3">
      <c r="A175" s="51" t="s">
        <v>948</v>
      </c>
      <c r="B175" s="51" t="s">
        <v>24</v>
      </c>
      <c r="C175" s="51" t="s">
        <v>436</v>
      </c>
      <c r="D175" s="51" t="s">
        <v>16</v>
      </c>
      <c r="E175" s="51" t="s">
        <v>857</v>
      </c>
      <c r="F175" s="147">
        <v>4</v>
      </c>
      <c r="G175" s="54">
        <v>5401</v>
      </c>
      <c r="H175" s="822"/>
      <c r="I175" s="54">
        <v>330.62</v>
      </c>
      <c r="J175" s="54">
        <v>714.56</v>
      </c>
      <c r="K175" s="54">
        <v>1184.3900000000001</v>
      </c>
      <c r="L175" s="54">
        <v>1836.39</v>
      </c>
      <c r="M175" s="822"/>
      <c r="N175" s="822"/>
      <c r="O175" s="822"/>
      <c r="P175" s="822"/>
      <c r="Q175" s="822"/>
      <c r="R175" s="822"/>
      <c r="S175" s="822"/>
      <c r="T175" s="822"/>
      <c r="U175" s="822"/>
      <c r="V175" s="822"/>
    </row>
    <row r="176" spans="1:22" ht="15.75" thickBot="1" x14ac:dyDescent="0.3">
      <c r="A176" s="51" t="s">
        <v>948</v>
      </c>
      <c r="B176" s="51" t="s">
        <v>24</v>
      </c>
      <c r="C176" s="51" t="s">
        <v>436</v>
      </c>
      <c r="D176" s="51" t="s">
        <v>16</v>
      </c>
      <c r="E176" s="51" t="s">
        <v>949</v>
      </c>
      <c r="F176" s="148">
        <v>76</v>
      </c>
      <c r="G176" s="56">
        <v>54431</v>
      </c>
      <c r="H176" s="56">
        <v>362119</v>
      </c>
      <c r="I176" s="56">
        <v>5289.92</v>
      </c>
      <c r="J176" s="56">
        <v>33485.760000000002</v>
      </c>
      <c r="K176" s="56">
        <v>73239.25</v>
      </c>
      <c r="L176" s="56">
        <v>141631.15</v>
      </c>
      <c r="M176" s="823"/>
      <c r="N176" s="823"/>
      <c r="O176" s="823"/>
      <c r="P176" s="823"/>
      <c r="Q176" s="823"/>
      <c r="R176" s="823"/>
      <c r="S176" s="823"/>
      <c r="T176" s="823"/>
      <c r="U176" s="823"/>
      <c r="V176" s="823"/>
    </row>
    <row r="177" spans="1:22" ht="15.75" thickBot="1" x14ac:dyDescent="0.3">
      <c r="A177" s="51" t="s">
        <v>948</v>
      </c>
      <c r="B177" s="51" t="s">
        <v>24</v>
      </c>
      <c r="C177" s="51" t="s">
        <v>436</v>
      </c>
      <c r="D177" s="51" t="s">
        <v>12</v>
      </c>
      <c r="E177" s="51" t="s">
        <v>857</v>
      </c>
      <c r="F177" s="148">
        <v>1</v>
      </c>
      <c r="G177" s="56">
        <v>271</v>
      </c>
      <c r="H177" s="823"/>
      <c r="I177" s="56">
        <v>173.44</v>
      </c>
      <c r="J177" s="823"/>
      <c r="K177" s="56">
        <v>59.43</v>
      </c>
      <c r="L177" s="56">
        <v>92.14</v>
      </c>
      <c r="M177" s="823"/>
      <c r="N177" s="823"/>
      <c r="O177" s="823"/>
      <c r="P177" s="823"/>
      <c r="Q177" s="823"/>
      <c r="R177" s="823"/>
      <c r="S177" s="823"/>
      <c r="T177" s="823"/>
      <c r="U177" s="823"/>
      <c r="V177" s="823"/>
    </row>
    <row r="178" spans="1:22" ht="15.75" thickBot="1" x14ac:dyDescent="0.3">
      <c r="A178" s="51" t="s">
        <v>948</v>
      </c>
      <c r="B178" s="51" t="s">
        <v>24</v>
      </c>
      <c r="C178" s="51" t="s">
        <v>436</v>
      </c>
      <c r="D178" s="51" t="s">
        <v>12</v>
      </c>
      <c r="E178" s="51" t="s">
        <v>949</v>
      </c>
      <c r="F178" s="147">
        <v>9</v>
      </c>
      <c r="G178" s="54">
        <v>5706</v>
      </c>
      <c r="H178" s="54">
        <v>43000</v>
      </c>
      <c r="I178" s="54">
        <v>1024.3800000000001</v>
      </c>
      <c r="J178" s="54">
        <v>2168.3200000000002</v>
      </c>
      <c r="K178" s="54">
        <v>8530.75</v>
      </c>
      <c r="L178" s="54">
        <v>16560.509999999998</v>
      </c>
      <c r="M178" s="822"/>
      <c r="N178" s="822"/>
      <c r="O178" s="822"/>
      <c r="P178" s="822"/>
      <c r="Q178" s="822"/>
      <c r="R178" s="822"/>
      <c r="S178" s="822"/>
      <c r="T178" s="822"/>
      <c r="U178" s="822"/>
      <c r="V178" s="822"/>
    </row>
    <row r="179" spans="1:22" ht="15.75" thickBot="1" x14ac:dyDescent="0.3">
      <c r="A179" s="51" t="s">
        <v>948</v>
      </c>
      <c r="B179" s="51" t="s">
        <v>24</v>
      </c>
      <c r="C179" s="51" t="s">
        <v>436</v>
      </c>
      <c r="D179" s="51" t="s">
        <v>15</v>
      </c>
      <c r="E179" s="51" t="s">
        <v>949</v>
      </c>
      <c r="F179" s="147">
        <v>3</v>
      </c>
      <c r="G179" s="54">
        <v>2486</v>
      </c>
      <c r="H179" s="54">
        <v>4669</v>
      </c>
      <c r="I179" s="54">
        <v>336.04</v>
      </c>
      <c r="J179" s="54">
        <v>739.2</v>
      </c>
      <c r="K179" s="54">
        <v>1335.56</v>
      </c>
      <c r="L179" s="54">
        <v>2432.7600000000002</v>
      </c>
      <c r="M179" s="822"/>
      <c r="N179" s="822"/>
      <c r="O179" s="822"/>
      <c r="P179" s="822"/>
      <c r="Q179" s="822"/>
      <c r="R179" s="822"/>
      <c r="S179" s="822"/>
      <c r="T179" s="822"/>
      <c r="U179" s="822"/>
      <c r="V179" s="822"/>
    </row>
    <row r="180" spans="1:22" ht="15.75" thickBot="1" x14ac:dyDescent="0.3">
      <c r="A180" s="51" t="s">
        <v>948</v>
      </c>
      <c r="B180" s="51" t="s">
        <v>434</v>
      </c>
      <c r="C180" s="51" t="s">
        <v>435</v>
      </c>
      <c r="D180" s="51" t="s">
        <v>16</v>
      </c>
      <c r="E180" s="51" t="s">
        <v>857</v>
      </c>
      <c r="F180" s="147">
        <v>5</v>
      </c>
      <c r="G180" s="54">
        <v>11098</v>
      </c>
      <c r="H180" s="822"/>
      <c r="I180" s="54">
        <v>509.48</v>
      </c>
      <c r="J180" s="54">
        <v>1576.96</v>
      </c>
      <c r="K180" s="54">
        <v>2433.69</v>
      </c>
      <c r="L180" s="54">
        <v>3773.44</v>
      </c>
      <c r="M180" s="54">
        <v>2</v>
      </c>
      <c r="N180" s="822"/>
      <c r="O180" s="822"/>
      <c r="P180" s="822"/>
      <c r="Q180" s="822"/>
      <c r="R180" s="822"/>
      <c r="S180" s="822"/>
      <c r="T180" s="822"/>
      <c r="U180" s="822"/>
      <c r="V180" s="822"/>
    </row>
    <row r="181" spans="1:22" ht="15.75" thickBot="1" x14ac:dyDescent="0.3">
      <c r="A181" s="51" t="s">
        <v>948</v>
      </c>
      <c r="B181" s="51" t="s">
        <v>434</v>
      </c>
      <c r="C181" s="51" t="s">
        <v>435</v>
      </c>
      <c r="D181" s="51" t="s">
        <v>16</v>
      </c>
      <c r="E181" s="51" t="s">
        <v>949</v>
      </c>
      <c r="F181" s="148">
        <v>121</v>
      </c>
      <c r="G181" s="56">
        <v>72062</v>
      </c>
      <c r="H181" s="56">
        <v>328529</v>
      </c>
      <c r="I181" s="56">
        <v>11354.9</v>
      </c>
      <c r="J181" s="56">
        <v>40927.040000000001</v>
      </c>
      <c r="K181" s="56">
        <v>71419.16</v>
      </c>
      <c r="L181" s="56">
        <v>136204.89000000001</v>
      </c>
      <c r="M181" s="56">
        <v>133.37</v>
      </c>
      <c r="N181" s="823"/>
      <c r="O181" s="823"/>
      <c r="P181" s="823"/>
      <c r="Q181" s="823"/>
      <c r="R181" s="823"/>
      <c r="S181" s="823"/>
      <c r="T181" s="823"/>
      <c r="U181" s="823"/>
      <c r="V181" s="823"/>
    </row>
    <row r="182" spans="1:22" ht="15.75" thickBot="1" x14ac:dyDescent="0.3">
      <c r="A182" s="51" t="s">
        <v>948</v>
      </c>
      <c r="B182" s="51" t="s">
        <v>434</v>
      </c>
      <c r="C182" s="51" t="s">
        <v>435</v>
      </c>
      <c r="D182" s="51" t="s">
        <v>12</v>
      </c>
      <c r="E182" s="51" t="s">
        <v>949</v>
      </c>
      <c r="F182" s="148">
        <v>11</v>
      </c>
      <c r="G182" s="56">
        <v>8385</v>
      </c>
      <c r="H182" s="56">
        <v>36224</v>
      </c>
      <c r="I182" s="56">
        <v>1002.7</v>
      </c>
      <c r="J182" s="56">
        <v>3893.12</v>
      </c>
      <c r="K182" s="56">
        <v>7971.11</v>
      </c>
      <c r="L182" s="56">
        <v>15167.51</v>
      </c>
      <c r="M182" s="56">
        <v>14.69</v>
      </c>
      <c r="N182" s="823"/>
      <c r="O182" s="823"/>
      <c r="P182" s="823"/>
      <c r="Q182" s="823"/>
      <c r="R182" s="823"/>
      <c r="S182" s="823"/>
      <c r="T182" s="823"/>
      <c r="U182" s="823"/>
      <c r="V182" s="823"/>
    </row>
    <row r="183" spans="1:22" ht="15.75" thickBot="1" x14ac:dyDescent="0.3">
      <c r="A183" s="51" t="s">
        <v>948</v>
      </c>
      <c r="B183" s="51" t="s">
        <v>434</v>
      </c>
      <c r="C183" s="51" t="s">
        <v>435</v>
      </c>
      <c r="D183" s="51" t="s">
        <v>15</v>
      </c>
      <c r="E183" s="51" t="s">
        <v>949</v>
      </c>
      <c r="F183" s="147">
        <v>1</v>
      </c>
      <c r="G183" s="54">
        <v>1000</v>
      </c>
      <c r="H183" s="54">
        <v>240</v>
      </c>
      <c r="I183" s="54">
        <v>0</v>
      </c>
      <c r="J183" s="54">
        <v>813.12</v>
      </c>
      <c r="K183" s="54">
        <v>259.92</v>
      </c>
      <c r="L183" s="54">
        <v>421.61</v>
      </c>
      <c r="M183" s="54">
        <v>0.3</v>
      </c>
      <c r="N183" s="822"/>
      <c r="O183" s="822"/>
      <c r="P183" s="822"/>
      <c r="Q183" s="822"/>
      <c r="R183" s="822"/>
      <c r="S183" s="822"/>
      <c r="T183" s="822"/>
      <c r="U183" s="822"/>
      <c r="V183" s="822"/>
    </row>
    <row r="184" spans="1:22" ht="15.75" thickBot="1" x14ac:dyDescent="0.3">
      <c r="A184" s="51" t="s">
        <v>948</v>
      </c>
      <c r="B184" s="51" t="s">
        <v>429</v>
      </c>
      <c r="C184" s="51" t="s">
        <v>430</v>
      </c>
      <c r="D184" s="51" t="s">
        <v>16</v>
      </c>
      <c r="E184" s="51" t="s">
        <v>949</v>
      </c>
      <c r="F184" s="147">
        <v>1</v>
      </c>
      <c r="G184" s="54">
        <v>29155</v>
      </c>
      <c r="H184" s="822"/>
      <c r="I184" s="54">
        <v>500</v>
      </c>
      <c r="J184" s="822"/>
      <c r="K184" s="54">
        <v>3103.26</v>
      </c>
      <c r="L184" s="54">
        <v>9912.99</v>
      </c>
      <c r="M184" s="54">
        <v>12.8</v>
      </c>
      <c r="N184" s="822"/>
      <c r="O184" s="822"/>
      <c r="P184" s="822"/>
      <c r="Q184" s="822"/>
      <c r="R184" s="822"/>
      <c r="S184" s="822"/>
      <c r="T184" s="822"/>
      <c r="U184" s="822"/>
      <c r="V184" s="822"/>
    </row>
    <row r="185" spans="1:22" ht="15.75" thickBot="1" x14ac:dyDescent="0.3">
      <c r="A185" s="51" t="s">
        <v>948</v>
      </c>
      <c r="B185" s="51" t="s">
        <v>31</v>
      </c>
      <c r="C185" s="51" t="s">
        <v>835</v>
      </c>
      <c r="D185" s="51" t="s">
        <v>320</v>
      </c>
      <c r="E185" s="51" t="s">
        <v>857</v>
      </c>
      <c r="F185" s="148">
        <v>2</v>
      </c>
      <c r="G185" s="56">
        <v>118514</v>
      </c>
      <c r="H185" s="823"/>
      <c r="I185" s="823"/>
      <c r="J185" s="823"/>
      <c r="K185" s="823"/>
      <c r="L185" s="823"/>
      <c r="M185" s="823"/>
      <c r="N185" s="823"/>
      <c r="O185" s="823"/>
      <c r="P185" s="823"/>
      <c r="Q185" s="56">
        <v>2833.4</v>
      </c>
      <c r="R185" s="56">
        <v>37664.97</v>
      </c>
      <c r="S185" s="56">
        <v>0</v>
      </c>
      <c r="T185" s="823"/>
      <c r="U185" s="56">
        <v>1100</v>
      </c>
      <c r="V185" s="823"/>
    </row>
    <row r="186" spans="1:22" ht="15.75" thickBot="1" x14ac:dyDescent="0.3">
      <c r="A186" s="51" t="s">
        <v>948</v>
      </c>
      <c r="B186" s="51" t="s">
        <v>491</v>
      </c>
      <c r="C186" s="51" t="s">
        <v>492</v>
      </c>
      <c r="D186" s="51" t="s">
        <v>320</v>
      </c>
      <c r="E186" s="51" t="s">
        <v>857</v>
      </c>
      <c r="F186" s="147">
        <v>6</v>
      </c>
      <c r="G186" s="54">
        <v>97992</v>
      </c>
      <c r="H186" s="822"/>
      <c r="I186" s="822"/>
      <c r="J186" s="822"/>
      <c r="K186" s="822"/>
      <c r="L186" s="822"/>
      <c r="M186" s="822"/>
      <c r="N186" s="822"/>
      <c r="O186" s="822"/>
      <c r="P186" s="822"/>
      <c r="Q186" s="54">
        <v>0</v>
      </c>
      <c r="R186" s="54">
        <v>34480.410000000003</v>
      </c>
      <c r="S186" s="54">
        <v>0</v>
      </c>
      <c r="T186" s="822"/>
      <c r="U186" s="54">
        <v>3300</v>
      </c>
      <c r="V186" s="822"/>
    </row>
    <row r="187" spans="1:22" ht="15.75" thickBot="1" x14ac:dyDescent="0.3">
      <c r="A187" s="51" t="s">
        <v>948</v>
      </c>
      <c r="B187" s="51" t="s">
        <v>52</v>
      </c>
      <c r="C187" s="51" t="s">
        <v>355</v>
      </c>
      <c r="D187" s="51" t="s">
        <v>320</v>
      </c>
      <c r="E187" s="51" t="s">
        <v>857</v>
      </c>
      <c r="F187" s="148">
        <v>2</v>
      </c>
      <c r="G187" s="823"/>
      <c r="H187" s="823"/>
      <c r="I187" s="823"/>
      <c r="J187" s="823"/>
      <c r="K187" s="823"/>
      <c r="L187" s="823"/>
      <c r="M187" s="823"/>
      <c r="N187" s="823"/>
      <c r="O187" s="823"/>
      <c r="P187" s="823"/>
      <c r="Q187" s="823"/>
      <c r="R187" s="56">
        <v>0</v>
      </c>
      <c r="S187" s="56">
        <v>238.63</v>
      </c>
      <c r="T187" s="56">
        <v>4839.1899999999996</v>
      </c>
      <c r="U187" s="56">
        <v>675</v>
      </c>
      <c r="V187" s="56">
        <v>0</v>
      </c>
    </row>
    <row r="188" spans="1:22" ht="15.75" thickBot="1" x14ac:dyDescent="0.3">
      <c r="A188" s="51" t="s">
        <v>948</v>
      </c>
      <c r="B188" s="51" t="s">
        <v>53</v>
      </c>
      <c r="C188" s="51" t="s">
        <v>836</v>
      </c>
      <c r="D188" s="51" t="s">
        <v>320</v>
      </c>
      <c r="E188" s="51" t="s">
        <v>857</v>
      </c>
      <c r="F188" s="147">
        <v>1</v>
      </c>
      <c r="G188" s="54">
        <v>86015</v>
      </c>
      <c r="H188" s="822"/>
      <c r="I188" s="822"/>
      <c r="J188" s="822"/>
      <c r="K188" s="822"/>
      <c r="L188" s="822"/>
      <c r="M188" s="822"/>
      <c r="N188" s="822"/>
      <c r="O188" s="822"/>
      <c r="P188" s="822"/>
      <c r="Q188" s="822"/>
      <c r="R188" s="54">
        <v>17020.900000000001</v>
      </c>
      <c r="S188" s="822"/>
      <c r="T188" s="822"/>
      <c r="U188" s="54">
        <v>550</v>
      </c>
      <c r="V188" s="822"/>
    </row>
    <row r="189" spans="1:22" ht="15.75" thickBot="1" x14ac:dyDescent="0.3">
      <c r="A189" s="51" t="s">
        <v>948</v>
      </c>
      <c r="B189" s="51" t="s">
        <v>36</v>
      </c>
      <c r="C189" s="51" t="s">
        <v>438</v>
      </c>
      <c r="D189" s="51" t="s">
        <v>320</v>
      </c>
      <c r="E189" s="51" t="s">
        <v>857</v>
      </c>
      <c r="F189" s="148">
        <v>49</v>
      </c>
      <c r="G189" s="56">
        <v>9705732</v>
      </c>
      <c r="H189" s="823"/>
      <c r="I189" s="823"/>
      <c r="J189" s="823"/>
      <c r="K189" s="823"/>
      <c r="L189" s="823"/>
      <c r="M189" s="823"/>
      <c r="N189" s="823"/>
      <c r="O189" s="823"/>
      <c r="P189" s="823"/>
      <c r="Q189" s="823"/>
      <c r="R189" s="56">
        <v>396595.54</v>
      </c>
      <c r="S189" s="56">
        <v>-2438.83</v>
      </c>
      <c r="T189" s="56">
        <v>135.53</v>
      </c>
      <c r="U189" s="56">
        <v>26510</v>
      </c>
      <c r="V189" s="56">
        <v>691.03</v>
      </c>
    </row>
    <row r="190" spans="1:22" ht="15.75" thickBot="1" x14ac:dyDescent="0.3">
      <c r="A190" s="51" t="s">
        <v>948</v>
      </c>
      <c r="B190" s="51" t="s">
        <v>36</v>
      </c>
      <c r="C190" s="51" t="s">
        <v>438</v>
      </c>
      <c r="D190" s="51" t="s">
        <v>319</v>
      </c>
      <c r="E190" s="51" t="s">
        <v>857</v>
      </c>
      <c r="F190" s="147">
        <v>2</v>
      </c>
      <c r="G190" s="54">
        <v>645634</v>
      </c>
      <c r="H190" s="822"/>
      <c r="I190" s="822"/>
      <c r="J190" s="822"/>
      <c r="K190" s="822"/>
      <c r="L190" s="822"/>
      <c r="M190" s="822"/>
      <c r="N190" s="822"/>
      <c r="O190" s="822"/>
      <c r="P190" s="822"/>
      <c r="Q190" s="822"/>
      <c r="R190" s="54">
        <v>22741.77</v>
      </c>
      <c r="S190" s="54">
        <v>0</v>
      </c>
      <c r="T190" s="822"/>
      <c r="U190" s="54">
        <v>1100</v>
      </c>
      <c r="V190" s="54">
        <v>0</v>
      </c>
    </row>
    <row r="191" spans="1:22" ht="15.75" thickBot="1" x14ac:dyDescent="0.3">
      <c r="A191" s="51" t="s">
        <v>948</v>
      </c>
      <c r="B191" s="51" t="s">
        <v>447</v>
      </c>
      <c r="C191" s="51" t="s">
        <v>494</v>
      </c>
      <c r="D191" s="51" t="s">
        <v>320</v>
      </c>
      <c r="E191" s="51" t="s">
        <v>857</v>
      </c>
      <c r="F191" s="147">
        <v>15</v>
      </c>
      <c r="G191" s="54">
        <v>937435</v>
      </c>
      <c r="H191" s="822"/>
      <c r="I191" s="822"/>
      <c r="J191" s="822"/>
      <c r="K191" s="822"/>
      <c r="L191" s="822"/>
      <c r="M191" s="822"/>
      <c r="N191" s="822"/>
      <c r="O191" s="822"/>
      <c r="P191" s="822"/>
      <c r="Q191" s="54">
        <v>-12.58</v>
      </c>
      <c r="R191" s="54">
        <v>40753.230000000003</v>
      </c>
      <c r="S191" s="54">
        <v>0</v>
      </c>
      <c r="T191" s="822"/>
      <c r="U191" s="54">
        <v>8250</v>
      </c>
      <c r="V191" s="54">
        <v>0</v>
      </c>
    </row>
    <row r="192" spans="1:22" ht="15.75" thickBot="1" x14ac:dyDescent="0.3">
      <c r="A192" s="51" t="s">
        <v>948</v>
      </c>
      <c r="B192" s="51" t="s">
        <v>38</v>
      </c>
      <c r="C192" s="51" t="s">
        <v>39</v>
      </c>
      <c r="D192" s="51" t="s">
        <v>320</v>
      </c>
      <c r="E192" s="51" t="s">
        <v>857</v>
      </c>
      <c r="F192" s="148">
        <v>3</v>
      </c>
      <c r="G192" s="823"/>
      <c r="H192" s="823"/>
      <c r="I192" s="823"/>
      <c r="J192" s="823"/>
      <c r="K192" s="823"/>
      <c r="L192" s="823"/>
      <c r="M192" s="823"/>
      <c r="N192" s="823"/>
      <c r="O192" s="823"/>
      <c r="P192" s="823"/>
      <c r="Q192" s="823"/>
      <c r="R192" s="56">
        <v>33332.69</v>
      </c>
      <c r="S192" s="56">
        <v>7276.39</v>
      </c>
      <c r="T192" s="56">
        <v>12610.13</v>
      </c>
      <c r="U192" s="56">
        <v>5325</v>
      </c>
      <c r="V192" s="56">
        <v>9994.2800000000007</v>
      </c>
    </row>
    <row r="193" spans="1:22" ht="15.75" thickBot="1" x14ac:dyDescent="0.3">
      <c r="A193" s="51" t="s">
        <v>948</v>
      </c>
      <c r="B193" s="51" t="s">
        <v>32</v>
      </c>
      <c r="C193" s="51" t="s">
        <v>33</v>
      </c>
      <c r="D193" s="51" t="s">
        <v>85</v>
      </c>
      <c r="E193" s="51" t="s">
        <v>949</v>
      </c>
      <c r="F193" s="147">
        <v>1</v>
      </c>
      <c r="G193" s="54">
        <v>197374</v>
      </c>
      <c r="H193" s="822"/>
      <c r="I193" s="54">
        <v>0</v>
      </c>
      <c r="J193" s="54">
        <v>750</v>
      </c>
      <c r="K193" s="54">
        <v>5905.43</v>
      </c>
      <c r="L193" s="54">
        <v>67109.13</v>
      </c>
      <c r="M193" s="822"/>
      <c r="N193" s="822"/>
      <c r="O193" s="822"/>
      <c r="P193" s="54">
        <v>180467.57</v>
      </c>
      <c r="Q193" s="822"/>
      <c r="R193" s="822"/>
      <c r="S193" s="822"/>
      <c r="T193" s="822"/>
      <c r="U193" s="822"/>
      <c r="V193" s="822"/>
    </row>
    <row r="194" spans="1:22" ht="15.75" thickBot="1" x14ac:dyDescent="0.3">
      <c r="A194" s="51" t="s">
        <v>948</v>
      </c>
      <c r="B194" s="51" t="s">
        <v>26</v>
      </c>
      <c r="C194" s="51" t="s">
        <v>27</v>
      </c>
      <c r="D194" s="51" t="s">
        <v>12</v>
      </c>
      <c r="E194" s="51" t="s">
        <v>949</v>
      </c>
      <c r="F194" s="148">
        <v>6</v>
      </c>
      <c r="G194" s="56">
        <v>427</v>
      </c>
      <c r="H194" s="823"/>
      <c r="I194" s="56">
        <v>121.55</v>
      </c>
      <c r="J194" s="823"/>
      <c r="K194" s="56">
        <v>157.06</v>
      </c>
      <c r="L194" s="56">
        <v>145.18</v>
      </c>
      <c r="M194" s="56">
        <v>-0.8</v>
      </c>
      <c r="N194" s="56">
        <v>0.52</v>
      </c>
      <c r="O194" s="823"/>
      <c r="P194" s="823"/>
      <c r="Q194" s="823"/>
      <c r="R194" s="823"/>
      <c r="S194" s="823"/>
      <c r="T194" s="823"/>
      <c r="U194" s="823"/>
      <c r="V194" s="823"/>
    </row>
    <row r="195" spans="1:22" ht="15.75" thickBot="1" x14ac:dyDescent="0.3">
      <c r="A195" s="51" t="s">
        <v>948</v>
      </c>
      <c r="B195" s="51" t="s">
        <v>26</v>
      </c>
      <c r="C195" s="51" t="s">
        <v>27</v>
      </c>
      <c r="D195" s="51" t="s">
        <v>15</v>
      </c>
      <c r="E195" s="51" t="s">
        <v>857</v>
      </c>
      <c r="F195" s="147">
        <v>1</v>
      </c>
      <c r="G195" s="54">
        <v>36</v>
      </c>
      <c r="H195" s="822"/>
      <c r="I195" s="54">
        <v>18.850000000000001</v>
      </c>
      <c r="J195" s="822"/>
      <c r="K195" s="54">
        <v>13.24</v>
      </c>
      <c r="L195" s="54">
        <v>12.24</v>
      </c>
      <c r="M195" s="54">
        <v>-0.08</v>
      </c>
      <c r="N195" s="54">
        <v>0.57999999999999996</v>
      </c>
      <c r="O195" s="822"/>
      <c r="P195" s="822"/>
      <c r="Q195" s="822"/>
      <c r="R195" s="822"/>
      <c r="S195" s="822"/>
      <c r="T195" s="822"/>
      <c r="U195" s="822"/>
      <c r="V195" s="822"/>
    </row>
    <row r="196" spans="1:22" ht="15.75" thickBot="1" x14ac:dyDescent="0.3">
      <c r="A196" s="51" t="s">
        <v>948</v>
      </c>
      <c r="B196" s="51" t="s">
        <v>26</v>
      </c>
      <c r="C196" s="51" t="s">
        <v>27</v>
      </c>
      <c r="D196" s="51" t="s">
        <v>15</v>
      </c>
      <c r="E196" s="51" t="s">
        <v>949</v>
      </c>
      <c r="F196" s="148">
        <v>146</v>
      </c>
      <c r="G196" s="56">
        <v>5702</v>
      </c>
      <c r="H196" s="823"/>
      <c r="I196" s="56">
        <v>2958.8</v>
      </c>
      <c r="J196" s="823"/>
      <c r="K196" s="56">
        <v>2097.2800000000002</v>
      </c>
      <c r="L196" s="56">
        <v>1938.68</v>
      </c>
      <c r="M196" s="56">
        <v>-11.51</v>
      </c>
      <c r="N196" s="56">
        <v>237.16</v>
      </c>
      <c r="O196" s="823"/>
      <c r="P196" s="823"/>
      <c r="Q196" s="823"/>
      <c r="R196" s="823"/>
      <c r="S196" s="823"/>
      <c r="T196" s="823"/>
      <c r="U196" s="823"/>
      <c r="V196" s="823"/>
    </row>
    <row r="197" spans="1:22" ht="15.75" thickBot="1" x14ac:dyDescent="0.3">
      <c r="A197" s="51" t="s">
        <v>948</v>
      </c>
      <c r="B197" s="51" t="s">
        <v>26</v>
      </c>
      <c r="C197" s="51" t="s">
        <v>27</v>
      </c>
      <c r="D197" s="51" t="s">
        <v>21</v>
      </c>
      <c r="E197" s="51" t="s">
        <v>838</v>
      </c>
      <c r="F197" s="148">
        <v>1</v>
      </c>
      <c r="G197" s="56">
        <v>0</v>
      </c>
      <c r="H197" s="823"/>
      <c r="I197" s="56">
        <v>-0.57999999999999996</v>
      </c>
      <c r="J197" s="823"/>
      <c r="K197" s="56">
        <v>0</v>
      </c>
      <c r="L197" s="56">
        <v>0</v>
      </c>
      <c r="M197" s="56">
        <v>0</v>
      </c>
      <c r="N197" s="823"/>
      <c r="O197" s="823"/>
      <c r="P197" s="823"/>
      <c r="Q197" s="823"/>
      <c r="R197" s="823"/>
      <c r="S197" s="823"/>
      <c r="T197" s="823"/>
      <c r="U197" s="823"/>
      <c r="V197" s="823"/>
    </row>
    <row r="198" spans="1:22" ht="15.75" thickBot="1" x14ac:dyDescent="0.3">
      <c r="A198" s="51" t="s">
        <v>948</v>
      </c>
      <c r="B198" s="51" t="s">
        <v>26</v>
      </c>
      <c r="C198" s="51" t="s">
        <v>27</v>
      </c>
      <c r="D198" s="51" t="s">
        <v>21</v>
      </c>
      <c r="E198" s="51" t="s">
        <v>839</v>
      </c>
      <c r="F198" s="147">
        <v>1</v>
      </c>
      <c r="G198" s="54">
        <v>0</v>
      </c>
      <c r="H198" s="822"/>
      <c r="I198" s="54">
        <v>-16.350000000000001</v>
      </c>
      <c r="J198" s="822"/>
      <c r="K198" s="54">
        <v>0</v>
      </c>
      <c r="L198" s="54">
        <v>0</v>
      </c>
      <c r="M198" s="54">
        <v>0</v>
      </c>
      <c r="N198" s="822"/>
      <c r="O198" s="822"/>
      <c r="P198" s="822"/>
      <c r="Q198" s="822"/>
      <c r="R198" s="822"/>
      <c r="S198" s="822"/>
      <c r="T198" s="822"/>
      <c r="U198" s="822"/>
      <c r="V198" s="822"/>
    </row>
    <row r="199" spans="1:22" ht="15.75" thickBot="1" x14ac:dyDescent="0.3">
      <c r="A199" s="51" t="s">
        <v>948</v>
      </c>
      <c r="B199" s="51" t="s">
        <v>26</v>
      </c>
      <c r="C199" s="51" t="s">
        <v>27</v>
      </c>
      <c r="D199" s="51" t="s">
        <v>21</v>
      </c>
      <c r="E199" s="51" t="s">
        <v>840</v>
      </c>
      <c r="F199" s="148">
        <v>1</v>
      </c>
      <c r="G199" s="56">
        <v>0</v>
      </c>
      <c r="H199" s="823"/>
      <c r="I199" s="56">
        <v>-16.350000000000001</v>
      </c>
      <c r="J199" s="823"/>
      <c r="K199" s="56">
        <v>0</v>
      </c>
      <c r="L199" s="56">
        <v>0</v>
      </c>
      <c r="M199" s="56">
        <v>0</v>
      </c>
      <c r="N199" s="823"/>
      <c r="O199" s="823"/>
      <c r="P199" s="823"/>
      <c r="Q199" s="823"/>
      <c r="R199" s="823"/>
      <c r="S199" s="823"/>
      <c r="T199" s="823"/>
      <c r="U199" s="823"/>
      <c r="V199" s="823"/>
    </row>
    <row r="200" spans="1:22" ht="15.75" thickBot="1" x14ac:dyDescent="0.3">
      <c r="A200" s="51" t="s">
        <v>948</v>
      </c>
      <c r="B200" s="51" t="s">
        <v>26</v>
      </c>
      <c r="C200" s="51" t="s">
        <v>27</v>
      </c>
      <c r="D200" s="51" t="s">
        <v>21</v>
      </c>
      <c r="E200" s="51" t="s">
        <v>841</v>
      </c>
      <c r="F200" s="147">
        <v>1</v>
      </c>
      <c r="G200" s="54">
        <v>0</v>
      </c>
      <c r="H200" s="822"/>
      <c r="I200" s="54">
        <v>-16.350000000000001</v>
      </c>
      <c r="J200" s="822"/>
      <c r="K200" s="54">
        <v>0</v>
      </c>
      <c r="L200" s="54">
        <v>0</v>
      </c>
      <c r="M200" s="54">
        <v>0</v>
      </c>
      <c r="N200" s="822"/>
      <c r="O200" s="822"/>
      <c r="P200" s="822"/>
      <c r="Q200" s="822"/>
      <c r="R200" s="822"/>
      <c r="S200" s="822"/>
      <c r="T200" s="822"/>
      <c r="U200" s="822"/>
      <c r="V200" s="822"/>
    </row>
    <row r="201" spans="1:22" ht="15.75" thickBot="1" x14ac:dyDescent="0.3">
      <c r="A201" s="51" t="s">
        <v>948</v>
      </c>
      <c r="B201" s="51" t="s">
        <v>26</v>
      </c>
      <c r="C201" s="51" t="s">
        <v>27</v>
      </c>
      <c r="D201" s="51" t="s">
        <v>21</v>
      </c>
      <c r="E201" s="51" t="s">
        <v>842</v>
      </c>
      <c r="F201" s="148">
        <v>1</v>
      </c>
      <c r="G201" s="56">
        <v>0</v>
      </c>
      <c r="H201" s="823"/>
      <c r="I201" s="56">
        <v>-16.350000000000001</v>
      </c>
      <c r="J201" s="823"/>
      <c r="K201" s="56">
        <v>0</v>
      </c>
      <c r="L201" s="56">
        <v>0</v>
      </c>
      <c r="M201" s="56">
        <v>0</v>
      </c>
      <c r="N201" s="823"/>
      <c r="O201" s="823"/>
      <c r="P201" s="823"/>
      <c r="Q201" s="823"/>
      <c r="R201" s="823"/>
      <c r="S201" s="823"/>
      <c r="T201" s="823"/>
      <c r="U201" s="823"/>
      <c r="V201" s="823"/>
    </row>
    <row r="202" spans="1:22" ht="15.75" thickBot="1" x14ac:dyDescent="0.3">
      <c r="A202" s="51" t="s">
        <v>948</v>
      </c>
      <c r="B202" s="51" t="s">
        <v>26</v>
      </c>
      <c r="C202" s="51" t="s">
        <v>27</v>
      </c>
      <c r="D202" s="51" t="s">
        <v>21</v>
      </c>
      <c r="E202" s="51" t="s">
        <v>821</v>
      </c>
      <c r="F202" s="147">
        <v>2</v>
      </c>
      <c r="G202" s="54">
        <v>96</v>
      </c>
      <c r="H202" s="822"/>
      <c r="I202" s="54">
        <v>-16.350000000000001</v>
      </c>
      <c r="J202" s="822"/>
      <c r="K202" s="54">
        <v>34.85</v>
      </c>
      <c r="L202" s="54">
        <v>38.270000000000003</v>
      </c>
      <c r="M202" s="54">
        <v>0.94</v>
      </c>
      <c r="N202" s="54">
        <v>6</v>
      </c>
      <c r="O202" s="822"/>
      <c r="P202" s="822"/>
      <c r="Q202" s="822"/>
      <c r="R202" s="822"/>
      <c r="S202" s="822"/>
      <c r="T202" s="822"/>
      <c r="U202" s="822"/>
      <c r="V202" s="822"/>
    </row>
    <row r="203" spans="1:22" ht="15.75" thickBot="1" x14ac:dyDescent="0.3">
      <c r="A203" s="51" t="s">
        <v>948</v>
      </c>
      <c r="B203" s="51" t="s">
        <v>26</v>
      </c>
      <c r="C203" s="51" t="s">
        <v>27</v>
      </c>
      <c r="D203" s="51" t="s">
        <v>21</v>
      </c>
      <c r="E203" s="51" t="s">
        <v>822</v>
      </c>
      <c r="F203" s="148">
        <v>3</v>
      </c>
      <c r="G203" s="56">
        <v>115</v>
      </c>
      <c r="H203" s="823"/>
      <c r="I203" s="56">
        <v>-16.350000000000001</v>
      </c>
      <c r="J203" s="823"/>
      <c r="K203" s="56">
        <v>41.75</v>
      </c>
      <c r="L203" s="56">
        <v>47.13</v>
      </c>
      <c r="M203" s="56">
        <v>0.51</v>
      </c>
      <c r="N203" s="56">
        <v>0.03</v>
      </c>
      <c r="O203" s="823"/>
      <c r="P203" s="823"/>
      <c r="Q203" s="823"/>
      <c r="R203" s="823"/>
      <c r="S203" s="823"/>
      <c r="T203" s="823"/>
      <c r="U203" s="823"/>
      <c r="V203" s="823"/>
    </row>
    <row r="204" spans="1:22" ht="15.75" thickBot="1" x14ac:dyDescent="0.3">
      <c r="A204" s="51" t="s">
        <v>948</v>
      </c>
      <c r="B204" s="51" t="s">
        <v>26</v>
      </c>
      <c r="C204" s="51" t="s">
        <v>27</v>
      </c>
      <c r="D204" s="51" t="s">
        <v>21</v>
      </c>
      <c r="E204" s="51" t="s">
        <v>823</v>
      </c>
      <c r="F204" s="147">
        <v>5</v>
      </c>
      <c r="G204" s="54">
        <v>204</v>
      </c>
      <c r="H204" s="822"/>
      <c r="I204" s="54">
        <v>-16.350000000000001</v>
      </c>
      <c r="J204" s="822"/>
      <c r="K204" s="54">
        <v>74.06</v>
      </c>
      <c r="L204" s="54">
        <v>85.9</v>
      </c>
      <c r="M204" s="54">
        <v>0.91</v>
      </c>
      <c r="N204" s="54">
        <v>-7.72</v>
      </c>
      <c r="O204" s="822"/>
      <c r="P204" s="822"/>
      <c r="Q204" s="822"/>
      <c r="R204" s="822"/>
      <c r="S204" s="822"/>
      <c r="T204" s="822"/>
      <c r="U204" s="822"/>
      <c r="V204" s="822"/>
    </row>
    <row r="205" spans="1:22" ht="15.75" thickBot="1" x14ac:dyDescent="0.3">
      <c r="A205" s="51" t="s">
        <v>948</v>
      </c>
      <c r="B205" s="51" t="s">
        <v>26</v>
      </c>
      <c r="C205" s="51" t="s">
        <v>27</v>
      </c>
      <c r="D205" s="51" t="s">
        <v>21</v>
      </c>
      <c r="E205" s="51" t="s">
        <v>824</v>
      </c>
      <c r="F205" s="148">
        <v>7</v>
      </c>
      <c r="G205" s="56">
        <v>273</v>
      </c>
      <c r="H205" s="823"/>
      <c r="I205" s="56">
        <v>0</v>
      </c>
      <c r="J205" s="823"/>
      <c r="K205" s="56">
        <v>99.1</v>
      </c>
      <c r="L205" s="56">
        <v>114.95</v>
      </c>
      <c r="M205" s="56">
        <v>0.68</v>
      </c>
      <c r="N205" s="56">
        <v>-11.22</v>
      </c>
      <c r="O205" s="823"/>
      <c r="P205" s="823"/>
      <c r="Q205" s="823"/>
      <c r="R205" s="823"/>
      <c r="S205" s="823"/>
      <c r="T205" s="823"/>
      <c r="U205" s="823"/>
      <c r="V205" s="823"/>
    </row>
    <row r="206" spans="1:22" ht="15.75" thickBot="1" x14ac:dyDescent="0.3">
      <c r="A206" s="51" t="s">
        <v>948</v>
      </c>
      <c r="B206" s="51" t="s">
        <v>26</v>
      </c>
      <c r="C206" s="51" t="s">
        <v>27</v>
      </c>
      <c r="D206" s="51" t="s">
        <v>21</v>
      </c>
      <c r="E206" s="51" t="s">
        <v>825</v>
      </c>
      <c r="F206" s="147">
        <v>8</v>
      </c>
      <c r="G206" s="54">
        <v>117</v>
      </c>
      <c r="H206" s="822"/>
      <c r="I206" s="54">
        <v>-21.85</v>
      </c>
      <c r="J206" s="822"/>
      <c r="K206" s="54">
        <v>42.72</v>
      </c>
      <c r="L206" s="54">
        <v>50.01</v>
      </c>
      <c r="M206" s="54">
        <v>-0.26</v>
      </c>
      <c r="N206" s="822"/>
      <c r="O206" s="822"/>
      <c r="P206" s="822"/>
      <c r="Q206" s="822"/>
      <c r="R206" s="822"/>
      <c r="S206" s="822"/>
      <c r="T206" s="822"/>
      <c r="U206" s="822"/>
      <c r="V206" s="822"/>
    </row>
    <row r="207" spans="1:22" ht="15.75" thickBot="1" x14ac:dyDescent="0.3">
      <c r="A207" s="51" t="s">
        <v>948</v>
      </c>
      <c r="B207" s="51" t="s">
        <v>26</v>
      </c>
      <c r="C207" s="51" t="s">
        <v>27</v>
      </c>
      <c r="D207" s="51" t="s">
        <v>21</v>
      </c>
      <c r="E207" s="51" t="s">
        <v>826</v>
      </c>
      <c r="F207" s="148">
        <v>9</v>
      </c>
      <c r="G207" s="56">
        <v>77</v>
      </c>
      <c r="H207" s="823"/>
      <c r="I207" s="56">
        <v>-19.5</v>
      </c>
      <c r="J207" s="823"/>
      <c r="K207" s="56">
        <v>28.32</v>
      </c>
      <c r="L207" s="56">
        <v>33.590000000000003</v>
      </c>
      <c r="M207" s="56">
        <v>-0.17</v>
      </c>
      <c r="N207" s="823"/>
      <c r="O207" s="823"/>
      <c r="P207" s="823"/>
      <c r="Q207" s="823"/>
      <c r="R207" s="823"/>
      <c r="S207" s="823"/>
      <c r="T207" s="823"/>
      <c r="U207" s="823"/>
      <c r="V207" s="823"/>
    </row>
    <row r="208" spans="1:22" ht="15.75" thickBot="1" x14ac:dyDescent="0.3">
      <c r="A208" s="51" t="s">
        <v>948</v>
      </c>
      <c r="B208" s="51" t="s">
        <v>26</v>
      </c>
      <c r="C208" s="51" t="s">
        <v>27</v>
      </c>
      <c r="D208" s="51" t="s">
        <v>21</v>
      </c>
      <c r="E208" s="51" t="s">
        <v>827</v>
      </c>
      <c r="F208" s="147">
        <v>9</v>
      </c>
      <c r="G208" s="54">
        <v>77</v>
      </c>
      <c r="H208" s="822"/>
      <c r="I208" s="54">
        <v>-21.45</v>
      </c>
      <c r="J208" s="822"/>
      <c r="K208" s="54">
        <v>28.33</v>
      </c>
      <c r="L208" s="54">
        <v>33.590000000000003</v>
      </c>
      <c r="M208" s="54">
        <v>-0.18</v>
      </c>
      <c r="N208" s="822"/>
      <c r="O208" s="822"/>
      <c r="P208" s="822"/>
      <c r="Q208" s="822"/>
      <c r="R208" s="822"/>
      <c r="S208" s="822"/>
      <c r="T208" s="822"/>
      <c r="U208" s="822"/>
      <c r="V208" s="822"/>
    </row>
    <row r="209" spans="1:22" ht="15.75" thickBot="1" x14ac:dyDescent="0.3">
      <c r="A209" s="51" t="s">
        <v>948</v>
      </c>
      <c r="B209" s="51" t="s">
        <v>26</v>
      </c>
      <c r="C209" s="51" t="s">
        <v>27</v>
      </c>
      <c r="D209" s="51" t="s">
        <v>21</v>
      </c>
      <c r="E209" s="51" t="s">
        <v>828</v>
      </c>
      <c r="F209" s="148">
        <v>10</v>
      </c>
      <c r="G209" s="56">
        <v>73</v>
      </c>
      <c r="H209" s="823"/>
      <c r="I209" s="56">
        <v>-17.55</v>
      </c>
      <c r="J209" s="823"/>
      <c r="K209" s="56">
        <v>26.85</v>
      </c>
      <c r="L209" s="56">
        <v>27.89</v>
      </c>
      <c r="M209" s="56">
        <v>-0.18</v>
      </c>
      <c r="N209" s="823"/>
      <c r="O209" s="823"/>
      <c r="P209" s="823"/>
      <c r="Q209" s="823"/>
      <c r="R209" s="823"/>
      <c r="S209" s="823"/>
      <c r="T209" s="823"/>
      <c r="U209" s="823"/>
      <c r="V209" s="823"/>
    </row>
    <row r="210" spans="1:22" ht="15.75" thickBot="1" x14ac:dyDescent="0.3">
      <c r="A210" s="51" t="s">
        <v>948</v>
      </c>
      <c r="B210" s="51" t="s">
        <v>26</v>
      </c>
      <c r="C210" s="51" t="s">
        <v>27</v>
      </c>
      <c r="D210" s="51" t="s">
        <v>21</v>
      </c>
      <c r="E210" s="51" t="s">
        <v>829</v>
      </c>
      <c r="F210" s="147">
        <v>11</v>
      </c>
      <c r="G210" s="54">
        <v>118</v>
      </c>
      <c r="H210" s="822"/>
      <c r="I210" s="54">
        <v>-20.8</v>
      </c>
      <c r="J210" s="822"/>
      <c r="K210" s="54">
        <v>43.41</v>
      </c>
      <c r="L210" s="54">
        <v>41.13</v>
      </c>
      <c r="M210" s="54">
        <v>-0.3</v>
      </c>
      <c r="N210" s="822"/>
      <c r="O210" s="822"/>
      <c r="P210" s="822"/>
      <c r="Q210" s="822"/>
      <c r="R210" s="822"/>
      <c r="S210" s="822"/>
      <c r="T210" s="822"/>
      <c r="U210" s="822"/>
      <c r="V210" s="822"/>
    </row>
    <row r="211" spans="1:22" ht="15.75" thickBot="1" x14ac:dyDescent="0.3">
      <c r="A211" s="51" t="s">
        <v>948</v>
      </c>
      <c r="B211" s="51" t="s">
        <v>26</v>
      </c>
      <c r="C211" s="51" t="s">
        <v>27</v>
      </c>
      <c r="D211" s="51" t="s">
        <v>21</v>
      </c>
      <c r="E211" s="51" t="s">
        <v>830</v>
      </c>
      <c r="F211" s="148">
        <v>14</v>
      </c>
      <c r="G211" s="56">
        <v>189</v>
      </c>
      <c r="H211" s="823"/>
      <c r="I211" s="56">
        <v>4.55</v>
      </c>
      <c r="J211" s="823"/>
      <c r="K211" s="56">
        <v>69.52</v>
      </c>
      <c r="L211" s="56">
        <v>65.86</v>
      </c>
      <c r="M211" s="56">
        <v>-0.46</v>
      </c>
      <c r="N211" s="823"/>
      <c r="O211" s="823"/>
      <c r="P211" s="823"/>
      <c r="Q211" s="823"/>
      <c r="R211" s="823"/>
      <c r="S211" s="823"/>
      <c r="T211" s="823"/>
      <c r="U211" s="823"/>
      <c r="V211" s="823"/>
    </row>
    <row r="212" spans="1:22" ht="15.75" thickBot="1" x14ac:dyDescent="0.3">
      <c r="A212" s="51" t="s">
        <v>948</v>
      </c>
      <c r="B212" s="51" t="s">
        <v>26</v>
      </c>
      <c r="C212" s="51" t="s">
        <v>27</v>
      </c>
      <c r="D212" s="51" t="s">
        <v>21</v>
      </c>
      <c r="E212" s="51" t="s">
        <v>831</v>
      </c>
      <c r="F212" s="147">
        <v>19</v>
      </c>
      <c r="G212" s="54">
        <v>545</v>
      </c>
      <c r="H212" s="822"/>
      <c r="I212" s="54">
        <v>-0.65</v>
      </c>
      <c r="J212" s="822"/>
      <c r="K212" s="54">
        <v>200.46</v>
      </c>
      <c r="L212" s="54">
        <v>204</v>
      </c>
      <c r="M212" s="54">
        <v>-1.32</v>
      </c>
      <c r="N212" s="54">
        <v>-44.81</v>
      </c>
      <c r="O212" s="822"/>
      <c r="P212" s="822"/>
      <c r="Q212" s="822"/>
      <c r="R212" s="822"/>
      <c r="S212" s="822"/>
      <c r="T212" s="822"/>
      <c r="U212" s="822"/>
      <c r="V212" s="822"/>
    </row>
    <row r="213" spans="1:22" ht="15.75" thickBot="1" x14ac:dyDescent="0.3">
      <c r="A213" s="51" t="s">
        <v>948</v>
      </c>
      <c r="B213" s="51" t="s">
        <v>26</v>
      </c>
      <c r="C213" s="51" t="s">
        <v>27</v>
      </c>
      <c r="D213" s="51" t="s">
        <v>21</v>
      </c>
      <c r="E213" s="51" t="s">
        <v>832</v>
      </c>
      <c r="F213" s="148">
        <v>41</v>
      </c>
      <c r="G213" s="56">
        <v>1187</v>
      </c>
      <c r="H213" s="823"/>
      <c r="I213" s="56">
        <v>-1.95</v>
      </c>
      <c r="J213" s="823"/>
      <c r="K213" s="56">
        <v>436.59</v>
      </c>
      <c r="L213" s="56">
        <v>455.79</v>
      </c>
      <c r="M213" s="56">
        <v>-2.96</v>
      </c>
      <c r="N213" s="56">
        <v>5.61</v>
      </c>
      <c r="O213" s="823"/>
      <c r="P213" s="823"/>
      <c r="Q213" s="823"/>
      <c r="R213" s="823"/>
      <c r="S213" s="823"/>
      <c r="T213" s="823"/>
      <c r="U213" s="823"/>
      <c r="V213" s="823"/>
    </row>
    <row r="214" spans="1:22" ht="15.75" thickBot="1" x14ac:dyDescent="0.3">
      <c r="A214" s="51" t="s">
        <v>948</v>
      </c>
      <c r="B214" s="51" t="s">
        <v>26</v>
      </c>
      <c r="C214" s="51" t="s">
        <v>27</v>
      </c>
      <c r="D214" s="51" t="s">
        <v>21</v>
      </c>
      <c r="E214" s="51" t="s">
        <v>833</v>
      </c>
      <c r="F214" s="147">
        <v>70</v>
      </c>
      <c r="G214" s="54">
        <v>1533</v>
      </c>
      <c r="H214" s="822"/>
      <c r="I214" s="54">
        <v>37.049999999999997</v>
      </c>
      <c r="J214" s="822"/>
      <c r="K214" s="54">
        <v>563.85</v>
      </c>
      <c r="L214" s="54">
        <v>588.73</v>
      </c>
      <c r="M214" s="54">
        <v>-3.66</v>
      </c>
      <c r="N214" s="54">
        <v>227.7</v>
      </c>
      <c r="O214" s="822"/>
      <c r="P214" s="822"/>
      <c r="Q214" s="822"/>
      <c r="R214" s="822"/>
      <c r="S214" s="822"/>
      <c r="T214" s="822"/>
      <c r="U214" s="822"/>
      <c r="V214" s="822"/>
    </row>
    <row r="215" spans="1:22" ht="15.75" thickBot="1" x14ac:dyDescent="0.3">
      <c r="A215" s="51" t="s">
        <v>948</v>
      </c>
      <c r="B215" s="51" t="s">
        <v>26</v>
      </c>
      <c r="C215" s="51" t="s">
        <v>27</v>
      </c>
      <c r="D215" s="51" t="s">
        <v>21</v>
      </c>
      <c r="E215" s="51" t="s">
        <v>834</v>
      </c>
      <c r="F215" s="148">
        <v>177</v>
      </c>
      <c r="G215" s="56">
        <v>-5826</v>
      </c>
      <c r="H215" s="823"/>
      <c r="I215" s="56">
        <v>89.05</v>
      </c>
      <c r="J215" s="823"/>
      <c r="K215" s="56">
        <v>-2142.92</v>
      </c>
      <c r="L215" s="56">
        <v>-2029.09</v>
      </c>
      <c r="M215" s="56">
        <v>13.44</v>
      </c>
      <c r="N215" s="56">
        <v>-204.18</v>
      </c>
      <c r="O215" s="823"/>
      <c r="P215" s="823"/>
      <c r="Q215" s="823"/>
      <c r="R215" s="823"/>
      <c r="S215" s="823"/>
      <c r="T215" s="823"/>
      <c r="U215" s="823"/>
      <c r="V215" s="823"/>
    </row>
    <row r="216" spans="1:22" ht="15.75" thickBot="1" x14ac:dyDescent="0.3">
      <c r="A216" s="51" t="s">
        <v>948</v>
      </c>
      <c r="B216" s="51" t="s">
        <v>26</v>
      </c>
      <c r="C216" s="51" t="s">
        <v>27</v>
      </c>
      <c r="D216" s="51" t="s">
        <v>21</v>
      </c>
      <c r="E216" s="51" t="s">
        <v>857</v>
      </c>
      <c r="F216" s="147">
        <v>1906</v>
      </c>
      <c r="G216" s="54">
        <v>-133742</v>
      </c>
      <c r="H216" s="822"/>
      <c r="I216" s="54">
        <v>4583.1499999999996</v>
      </c>
      <c r="J216" s="822"/>
      <c r="K216" s="54">
        <v>-49193.14</v>
      </c>
      <c r="L216" s="54">
        <v>-45475.77</v>
      </c>
      <c r="M216" s="54">
        <v>307.74</v>
      </c>
      <c r="N216" s="54">
        <v>-1662.41</v>
      </c>
      <c r="O216" s="822"/>
      <c r="P216" s="822"/>
      <c r="Q216" s="822"/>
      <c r="R216" s="822"/>
      <c r="S216" s="822"/>
      <c r="T216" s="822"/>
      <c r="U216" s="822"/>
      <c r="V216" s="822"/>
    </row>
    <row r="217" spans="1:22" ht="15.75" thickBot="1" x14ac:dyDescent="0.3">
      <c r="A217" s="51" t="s">
        <v>948</v>
      </c>
      <c r="B217" s="51" t="s">
        <v>26</v>
      </c>
      <c r="C217" s="51" t="s">
        <v>27</v>
      </c>
      <c r="D217" s="51" t="s">
        <v>21</v>
      </c>
      <c r="E217" s="51" t="s">
        <v>949</v>
      </c>
      <c r="F217" s="148">
        <v>300603</v>
      </c>
      <c r="G217" s="56">
        <v>15065253</v>
      </c>
      <c r="H217" s="823"/>
      <c r="I217" s="56">
        <v>6029206.2999999998</v>
      </c>
      <c r="J217" s="823"/>
      <c r="K217" s="56">
        <v>5541285.8600000003</v>
      </c>
      <c r="L217" s="56">
        <v>5122193.49</v>
      </c>
      <c r="M217" s="56">
        <v>-29873.85</v>
      </c>
      <c r="N217" s="56">
        <v>724970.47</v>
      </c>
      <c r="O217" s="823"/>
      <c r="P217" s="823"/>
      <c r="Q217" s="823"/>
      <c r="R217" s="823"/>
      <c r="S217" s="823"/>
      <c r="T217" s="823"/>
      <c r="U217" s="823"/>
      <c r="V217" s="823"/>
    </row>
    <row r="218" spans="1:22" ht="15.75" thickBot="1" x14ac:dyDescent="0.3">
      <c r="A218" s="51" t="s">
        <v>948</v>
      </c>
      <c r="B218" s="51" t="s">
        <v>28</v>
      </c>
      <c r="C218" s="51" t="s">
        <v>29</v>
      </c>
      <c r="D218" s="51" t="s">
        <v>15</v>
      </c>
      <c r="E218" s="51" t="s">
        <v>949</v>
      </c>
      <c r="F218" s="147">
        <v>1</v>
      </c>
      <c r="G218" s="54">
        <v>327</v>
      </c>
      <c r="H218" s="822"/>
      <c r="I218" s="54">
        <v>19.5</v>
      </c>
      <c r="J218" s="822"/>
      <c r="K218" s="54">
        <v>120.28</v>
      </c>
      <c r="L218" s="54">
        <v>111.18</v>
      </c>
      <c r="M218" s="54">
        <v>-0.56999999999999995</v>
      </c>
      <c r="N218" s="54">
        <v>-1.1000000000000001</v>
      </c>
      <c r="O218" s="822"/>
      <c r="P218" s="822"/>
      <c r="Q218" s="822"/>
      <c r="R218" s="822"/>
      <c r="S218" s="822"/>
      <c r="T218" s="822"/>
      <c r="U218" s="822"/>
      <c r="V218" s="822"/>
    </row>
    <row r="219" spans="1:22" ht="15.75" thickBot="1" x14ac:dyDescent="0.3">
      <c r="A219" s="51" t="s">
        <v>948</v>
      </c>
      <c r="B219" s="51" t="s">
        <v>28</v>
      </c>
      <c r="C219" s="51" t="s">
        <v>29</v>
      </c>
      <c r="D219" s="51" t="s">
        <v>21</v>
      </c>
      <c r="E219" s="51" t="s">
        <v>949</v>
      </c>
      <c r="F219" s="148">
        <v>2</v>
      </c>
      <c r="G219" s="56">
        <v>513</v>
      </c>
      <c r="H219" s="823"/>
      <c r="I219" s="56">
        <v>39</v>
      </c>
      <c r="J219" s="823"/>
      <c r="K219" s="56">
        <v>188.69</v>
      </c>
      <c r="L219" s="56">
        <v>174.42</v>
      </c>
      <c r="M219" s="56">
        <v>-1.03</v>
      </c>
      <c r="N219" s="56">
        <v>49.07</v>
      </c>
      <c r="O219" s="823"/>
      <c r="P219" s="823"/>
      <c r="Q219" s="823"/>
      <c r="R219" s="823"/>
      <c r="S219" s="823"/>
      <c r="T219" s="823"/>
      <c r="U219" s="823"/>
      <c r="V219" s="823"/>
    </row>
    <row r="220" spans="1:22" ht="15.75" thickBot="1" x14ac:dyDescent="0.3">
      <c r="A220" s="51" t="s">
        <v>951</v>
      </c>
      <c r="B220" s="51" t="s">
        <v>19</v>
      </c>
      <c r="C220" s="51" t="s">
        <v>431</v>
      </c>
      <c r="D220" s="51" t="s">
        <v>12</v>
      </c>
      <c r="E220" s="51" t="s">
        <v>859</v>
      </c>
      <c r="F220" s="147">
        <v>1</v>
      </c>
      <c r="G220" s="54">
        <v>0</v>
      </c>
      <c r="H220" s="822"/>
      <c r="I220" s="54">
        <v>-35.03</v>
      </c>
      <c r="J220" s="822"/>
      <c r="K220" s="54">
        <v>0</v>
      </c>
      <c r="L220" s="54">
        <v>0</v>
      </c>
      <c r="M220" s="54">
        <v>0</v>
      </c>
      <c r="N220" s="822"/>
      <c r="O220" s="54">
        <v>-16.920000000000002</v>
      </c>
      <c r="P220" s="822"/>
      <c r="Q220" s="822"/>
      <c r="R220" s="822"/>
      <c r="S220" s="822"/>
      <c r="T220" s="822"/>
      <c r="U220" s="822"/>
      <c r="V220" s="822"/>
    </row>
    <row r="221" spans="1:22" ht="15.75" thickBot="1" x14ac:dyDescent="0.3">
      <c r="A221" s="51" t="s">
        <v>951</v>
      </c>
      <c r="B221" s="51" t="s">
        <v>19</v>
      </c>
      <c r="C221" s="51" t="s">
        <v>431</v>
      </c>
      <c r="D221" s="51" t="s">
        <v>12</v>
      </c>
      <c r="E221" s="51" t="s">
        <v>860</v>
      </c>
      <c r="F221" s="148">
        <v>1</v>
      </c>
      <c r="G221" s="56">
        <v>0</v>
      </c>
      <c r="H221" s="823"/>
      <c r="I221" s="56">
        <v>-40</v>
      </c>
      <c r="J221" s="823"/>
      <c r="K221" s="56">
        <v>0</v>
      </c>
      <c r="L221" s="56">
        <v>0</v>
      </c>
      <c r="M221" s="56">
        <v>0</v>
      </c>
      <c r="N221" s="823"/>
      <c r="O221" s="56">
        <v>-16.920000000000002</v>
      </c>
      <c r="P221" s="823"/>
      <c r="Q221" s="823"/>
      <c r="R221" s="823"/>
      <c r="S221" s="823"/>
      <c r="T221" s="823"/>
      <c r="U221" s="823"/>
      <c r="V221" s="823"/>
    </row>
    <row r="222" spans="1:22" ht="15.75" thickBot="1" x14ac:dyDescent="0.3">
      <c r="A222" s="51" t="s">
        <v>951</v>
      </c>
      <c r="B222" s="51" t="s">
        <v>19</v>
      </c>
      <c r="C222" s="51" t="s">
        <v>431</v>
      </c>
      <c r="D222" s="51" t="s">
        <v>12</v>
      </c>
      <c r="E222" s="51" t="s">
        <v>861</v>
      </c>
      <c r="F222" s="147">
        <v>1</v>
      </c>
      <c r="G222" s="54">
        <v>0</v>
      </c>
      <c r="H222" s="822"/>
      <c r="I222" s="54">
        <v>-40</v>
      </c>
      <c r="J222" s="822"/>
      <c r="K222" s="54">
        <v>0</v>
      </c>
      <c r="L222" s="54">
        <v>0</v>
      </c>
      <c r="M222" s="54">
        <v>0</v>
      </c>
      <c r="N222" s="822"/>
      <c r="O222" s="54">
        <v>-16.920000000000002</v>
      </c>
      <c r="P222" s="822"/>
      <c r="Q222" s="822"/>
      <c r="R222" s="822"/>
      <c r="S222" s="822"/>
      <c r="T222" s="822"/>
      <c r="U222" s="822"/>
      <c r="V222" s="822"/>
    </row>
    <row r="223" spans="1:22" ht="15.75" thickBot="1" x14ac:dyDescent="0.3">
      <c r="A223" s="51" t="s">
        <v>951</v>
      </c>
      <c r="B223" s="51" t="s">
        <v>19</v>
      </c>
      <c r="C223" s="51" t="s">
        <v>431</v>
      </c>
      <c r="D223" s="51" t="s">
        <v>12</v>
      </c>
      <c r="E223" s="51" t="s">
        <v>862</v>
      </c>
      <c r="F223" s="148">
        <v>1</v>
      </c>
      <c r="G223" s="56">
        <v>0</v>
      </c>
      <c r="H223" s="823"/>
      <c r="I223" s="56">
        <v>-40</v>
      </c>
      <c r="J223" s="823"/>
      <c r="K223" s="56">
        <v>0</v>
      </c>
      <c r="L223" s="56">
        <v>0</v>
      </c>
      <c r="M223" s="56">
        <v>0</v>
      </c>
      <c r="N223" s="823"/>
      <c r="O223" s="56">
        <v>-16.920000000000002</v>
      </c>
      <c r="P223" s="823"/>
      <c r="Q223" s="823"/>
      <c r="R223" s="823"/>
      <c r="S223" s="823"/>
      <c r="T223" s="823"/>
      <c r="U223" s="823"/>
      <c r="V223" s="823"/>
    </row>
    <row r="224" spans="1:22" ht="15.75" thickBot="1" x14ac:dyDescent="0.3">
      <c r="A224" s="51" t="s">
        <v>951</v>
      </c>
      <c r="B224" s="51" t="s">
        <v>19</v>
      </c>
      <c r="C224" s="51" t="s">
        <v>431</v>
      </c>
      <c r="D224" s="51" t="s">
        <v>12</v>
      </c>
      <c r="E224" s="51" t="s">
        <v>863</v>
      </c>
      <c r="F224" s="147">
        <v>2</v>
      </c>
      <c r="G224" s="54">
        <v>0</v>
      </c>
      <c r="H224" s="822"/>
      <c r="I224" s="54">
        <v>-28</v>
      </c>
      <c r="J224" s="822"/>
      <c r="K224" s="54">
        <v>0</v>
      </c>
      <c r="L224" s="54">
        <v>0</v>
      </c>
      <c r="M224" s="54">
        <v>0</v>
      </c>
      <c r="N224" s="822"/>
      <c r="O224" s="54">
        <v>-11.84</v>
      </c>
      <c r="P224" s="822"/>
      <c r="Q224" s="822"/>
      <c r="R224" s="822"/>
      <c r="S224" s="822"/>
      <c r="T224" s="822"/>
      <c r="U224" s="822"/>
      <c r="V224" s="822"/>
    </row>
    <row r="225" spans="1:22" ht="15.75" thickBot="1" x14ac:dyDescent="0.3">
      <c r="A225" s="51" t="s">
        <v>951</v>
      </c>
      <c r="B225" s="51" t="s">
        <v>19</v>
      </c>
      <c r="C225" s="51" t="s">
        <v>431</v>
      </c>
      <c r="D225" s="51" t="s">
        <v>12</v>
      </c>
      <c r="E225" s="51" t="s">
        <v>864</v>
      </c>
      <c r="F225" s="148">
        <v>2</v>
      </c>
      <c r="G225" s="56">
        <v>0</v>
      </c>
      <c r="H225" s="823"/>
      <c r="I225" s="56">
        <v>-80</v>
      </c>
      <c r="J225" s="823"/>
      <c r="K225" s="56">
        <v>0</v>
      </c>
      <c r="L225" s="56">
        <v>0</v>
      </c>
      <c r="M225" s="56">
        <v>0</v>
      </c>
      <c r="N225" s="823"/>
      <c r="O225" s="56">
        <v>-33.840000000000003</v>
      </c>
      <c r="P225" s="823"/>
      <c r="Q225" s="823"/>
      <c r="R225" s="823"/>
      <c r="S225" s="823"/>
      <c r="T225" s="823"/>
      <c r="U225" s="823"/>
      <c r="V225" s="823"/>
    </row>
    <row r="226" spans="1:22" ht="15.75" thickBot="1" x14ac:dyDescent="0.3">
      <c r="A226" s="51" t="s">
        <v>951</v>
      </c>
      <c r="B226" s="51" t="s">
        <v>19</v>
      </c>
      <c r="C226" s="51" t="s">
        <v>431</v>
      </c>
      <c r="D226" s="51" t="s">
        <v>12</v>
      </c>
      <c r="E226" s="51" t="s">
        <v>865</v>
      </c>
      <c r="F226" s="147">
        <v>2</v>
      </c>
      <c r="G226" s="54">
        <v>0</v>
      </c>
      <c r="H226" s="822"/>
      <c r="I226" s="54">
        <v>-80</v>
      </c>
      <c r="J226" s="822"/>
      <c r="K226" s="54">
        <v>0</v>
      </c>
      <c r="L226" s="54">
        <v>0</v>
      </c>
      <c r="M226" s="54">
        <v>0</v>
      </c>
      <c r="N226" s="822"/>
      <c r="O226" s="54">
        <v>-33.840000000000003</v>
      </c>
      <c r="P226" s="822"/>
      <c r="Q226" s="822"/>
      <c r="R226" s="822"/>
      <c r="S226" s="822"/>
      <c r="T226" s="822"/>
      <c r="U226" s="822"/>
      <c r="V226" s="822"/>
    </row>
    <row r="227" spans="1:22" ht="15.75" thickBot="1" x14ac:dyDescent="0.3">
      <c r="A227" s="51" t="s">
        <v>951</v>
      </c>
      <c r="B227" s="51" t="s">
        <v>19</v>
      </c>
      <c r="C227" s="51" t="s">
        <v>431</v>
      </c>
      <c r="D227" s="51" t="s">
        <v>12</v>
      </c>
      <c r="E227" s="51" t="s">
        <v>866</v>
      </c>
      <c r="F227" s="148">
        <v>2</v>
      </c>
      <c r="G227" s="56">
        <v>0</v>
      </c>
      <c r="H227" s="823"/>
      <c r="I227" s="56">
        <v>-80</v>
      </c>
      <c r="J227" s="823"/>
      <c r="K227" s="56">
        <v>0</v>
      </c>
      <c r="L227" s="56">
        <v>0</v>
      </c>
      <c r="M227" s="56">
        <v>0</v>
      </c>
      <c r="N227" s="823"/>
      <c r="O227" s="56">
        <v>-35.24</v>
      </c>
      <c r="P227" s="823"/>
      <c r="Q227" s="823"/>
      <c r="R227" s="823"/>
      <c r="S227" s="823"/>
      <c r="T227" s="823"/>
      <c r="U227" s="823"/>
      <c r="V227" s="823"/>
    </row>
    <row r="228" spans="1:22" ht="15.75" thickBot="1" x14ac:dyDescent="0.3">
      <c r="A228" s="51" t="s">
        <v>951</v>
      </c>
      <c r="B228" s="51" t="s">
        <v>19</v>
      </c>
      <c r="C228" s="51" t="s">
        <v>431</v>
      </c>
      <c r="D228" s="51" t="s">
        <v>12</v>
      </c>
      <c r="E228" s="51" t="s">
        <v>867</v>
      </c>
      <c r="F228" s="147">
        <v>2</v>
      </c>
      <c r="G228" s="54">
        <v>0</v>
      </c>
      <c r="H228" s="822"/>
      <c r="I228" s="54">
        <v>-80</v>
      </c>
      <c r="J228" s="822"/>
      <c r="K228" s="54">
        <v>0</v>
      </c>
      <c r="L228" s="54">
        <v>0</v>
      </c>
      <c r="M228" s="54">
        <v>0</v>
      </c>
      <c r="N228" s="822"/>
      <c r="O228" s="54">
        <v>-46.15</v>
      </c>
      <c r="P228" s="822"/>
      <c r="Q228" s="822"/>
      <c r="R228" s="822"/>
      <c r="S228" s="822"/>
      <c r="T228" s="822"/>
      <c r="U228" s="822"/>
      <c r="V228" s="822"/>
    </row>
    <row r="229" spans="1:22" ht="15.75" thickBot="1" x14ac:dyDescent="0.3">
      <c r="A229" s="51" t="s">
        <v>951</v>
      </c>
      <c r="B229" s="51" t="s">
        <v>19</v>
      </c>
      <c r="C229" s="51" t="s">
        <v>431</v>
      </c>
      <c r="D229" s="51" t="s">
        <v>12</v>
      </c>
      <c r="E229" s="51" t="s">
        <v>868</v>
      </c>
      <c r="F229" s="148">
        <v>2</v>
      </c>
      <c r="G229" s="56">
        <v>0</v>
      </c>
      <c r="H229" s="823"/>
      <c r="I229" s="56">
        <v>-80</v>
      </c>
      <c r="J229" s="823"/>
      <c r="K229" s="56">
        <v>0</v>
      </c>
      <c r="L229" s="56">
        <v>0</v>
      </c>
      <c r="M229" s="56">
        <v>0</v>
      </c>
      <c r="N229" s="823"/>
      <c r="O229" s="56">
        <v>-51.74</v>
      </c>
      <c r="P229" s="823"/>
      <c r="Q229" s="823"/>
      <c r="R229" s="823"/>
      <c r="S229" s="823"/>
      <c r="T229" s="823"/>
      <c r="U229" s="823"/>
      <c r="V229" s="823"/>
    </row>
    <row r="230" spans="1:22" ht="15.75" thickBot="1" x14ac:dyDescent="0.3">
      <c r="A230" s="51" t="s">
        <v>951</v>
      </c>
      <c r="B230" s="51" t="s">
        <v>19</v>
      </c>
      <c r="C230" s="51" t="s">
        <v>431</v>
      </c>
      <c r="D230" s="51" t="s">
        <v>12</v>
      </c>
      <c r="E230" s="51" t="s">
        <v>869</v>
      </c>
      <c r="F230" s="147">
        <v>2</v>
      </c>
      <c r="G230" s="54">
        <v>0</v>
      </c>
      <c r="H230" s="822"/>
      <c r="I230" s="54">
        <v>-80</v>
      </c>
      <c r="J230" s="822"/>
      <c r="K230" s="54">
        <v>0</v>
      </c>
      <c r="L230" s="54">
        <v>0</v>
      </c>
      <c r="M230" s="54">
        <v>0</v>
      </c>
      <c r="N230" s="822"/>
      <c r="O230" s="54">
        <v>-51.74</v>
      </c>
      <c r="P230" s="822"/>
      <c r="Q230" s="822"/>
      <c r="R230" s="822"/>
      <c r="S230" s="822"/>
      <c r="T230" s="822"/>
      <c r="U230" s="822"/>
      <c r="V230" s="822"/>
    </row>
    <row r="231" spans="1:22" ht="15.75" thickBot="1" x14ac:dyDescent="0.3">
      <c r="A231" s="51" t="s">
        <v>951</v>
      </c>
      <c r="B231" s="51" t="s">
        <v>19</v>
      </c>
      <c r="C231" s="51" t="s">
        <v>431</v>
      </c>
      <c r="D231" s="51" t="s">
        <v>12</v>
      </c>
      <c r="E231" s="51" t="s">
        <v>870</v>
      </c>
      <c r="F231" s="148">
        <v>2</v>
      </c>
      <c r="G231" s="56">
        <v>0</v>
      </c>
      <c r="H231" s="823"/>
      <c r="I231" s="56">
        <v>-80</v>
      </c>
      <c r="J231" s="823"/>
      <c r="K231" s="56">
        <v>0</v>
      </c>
      <c r="L231" s="56">
        <v>0</v>
      </c>
      <c r="M231" s="56">
        <v>0</v>
      </c>
      <c r="N231" s="823"/>
      <c r="O231" s="56">
        <v>-53.69</v>
      </c>
      <c r="P231" s="823"/>
      <c r="Q231" s="823"/>
      <c r="R231" s="823"/>
      <c r="S231" s="823"/>
      <c r="T231" s="823"/>
      <c r="U231" s="823"/>
      <c r="V231" s="823"/>
    </row>
    <row r="232" spans="1:22" ht="15.75" thickBot="1" x14ac:dyDescent="0.3">
      <c r="A232" s="51" t="s">
        <v>951</v>
      </c>
      <c r="B232" s="51" t="s">
        <v>19</v>
      </c>
      <c r="C232" s="51" t="s">
        <v>431</v>
      </c>
      <c r="D232" s="51" t="s">
        <v>12</v>
      </c>
      <c r="E232" s="51" t="s">
        <v>871</v>
      </c>
      <c r="F232" s="147">
        <v>2</v>
      </c>
      <c r="G232" s="54">
        <v>0</v>
      </c>
      <c r="H232" s="822"/>
      <c r="I232" s="54">
        <v>-80</v>
      </c>
      <c r="J232" s="822"/>
      <c r="K232" s="54">
        <v>0</v>
      </c>
      <c r="L232" s="54">
        <v>0</v>
      </c>
      <c r="M232" s="54">
        <v>0</v>
      </c>
      <c r="N232" s="822"/>
      <c r="O232" s="54">
        <v>-54.82</v>
      </c>
      <c r="P232" s="822"/>
      <c r="Q232" s="822"/>
      <c r="R232" s="822"/>
      <c r="S232" s="822"/>
      <c r="T232" s="822"/>
      <c r="U232" s="822"/>
      <c r="V232" s="822"/>
    </row>
    <row r="233" spans="1:22" ht="15.75" thickBot="1" x14ac:dyDescent="0.3">
      <c r="A233" s="51" t="s">
        <v>951</v>
      </c>
      <c r="B233" s="51" t="s">
        <v>19</v>
      </c>
      <c r="C233" s="51" t="s">
        <v>431</v>
      </c>
      <c r="D233" s="51" t="s">
        <v>12</v>
      </c>
      <c r="E233" s="51" t="s">
        <v>872</v>
      </c>
      <c r="F233" s="148">
        <v>2</v>
      </c>
      <c r="G233" s="56">
        <v>0</v>
      </c>
      <c r="H233" s="823"/>
      <c r="I233" s="56">
        <v>-80</v>
      </c>
      <c r="J233" s="823"/>
      <c r="K233" s="56">
        <v>0</v>
      </c>
      <c r="L233" s="56">
        <v>0</v>
      </c>
      <c r="M233" s="56">
        <v>0</v>
      </c>
      <c r="N233" s="823"/>
      <c r="O233" s="56">
        <v>-54.82</v>
      </c>
      <c r="P233" s="823"/>
      <c r="Q233" s="823"/>
      <c r="R233" s="823"/>
      <c r="S233" s="823"/>
      <c r="T233" s="823"/>
      <c r="U233" s="823"/>
      <c r="V233" s="823"/>
    </row>
    <row r="234" spans="1:22" ht="15.75" thickBot="1" x14ac:dyDescent="0.3">
      <c r="A234" s="51" t="s">
        <v>951</v>
      </c>
      <c r="B234" s="51" t="s">
        <v>19</v>
      </c>
      <c r="C234" s="51" t="s">
        <v>431</v>
      </c>
      <c r="D234" s="51" t="s">
        <v>12</v>
      </c>
      <c r="E234" s="51" t="s">
        <v>873</v>
      </c>
      <c r="F234" s="147">
        <v>2</v>
      </c>
      <c r="G234" s="54">
        <v>0</v>
      </c>
      <c r="H234" s="822"/>
      <c r="I234" s="54">
        <v>-80</v>
      </c>
      <c r="J234" s="822"/>
      <c r="K234" s="54">
        <v>0</v>
      </c>
      <c r="L234" s="54">
        <v>0</v>
      </c>
      <c r="M234" s="54">
        <v>0</v>
      </c>
      <c r="N234" s="822"/>
      <c r="O234" s="54">
        <v>-54.82</v>
      </c>
      <c r="P234" s="822"/>
      <c r="Q234" s="822"/>
      <c r="R234" s="822"/>
      <c r="S234" s="822"/>
      <c r="T234" s="822"/>
      <c r="U234" s="822"/>
      <c r="V234" s="822"/>
    </row>
    <row r="235" spans="1:22" ht="15.75" thickBot="1" x14ac:dyDescent="0.3">
      <c r="A235" s="51" t="s">
        <v>951</v>
      </c>
      <c r="B235" s="51" t="s">
        <v>19</v>
      </c>
      <c r="C235" s="51" t="s">
        <v>431</v>
      </c>
      <c r="D235" s="51" t="s">
        <v>12</v>
      </c>
      <c r="E235" s="51" t="s">
        <v>874</v>
      </c>
      <c r="F235" s="148">
        <v>2</v>
      </c>
      <c r="G235" s="56">
        <v>0</v>
      </c>
      <c r="H235" s="823"/>
      <c r="I235" s="56">
        <v>-80</v>
      </c>
      <c r="J235" s="823"/>
      <c r="K235" s="56">
        <v>0</v>
      </c>
      <c r="L235" s="56">
        <v>0</v>
      </c>
      <c r="M235" s="56">
        <v>0</v>
      </c>
      <c r="N235" s="823"/>
      <c r="O235" s="56">
        <v>-54.82</v>
      </c>
      <c r="P235" s="823"/>
      <c r="Q235" s="823"/>
      <c r="R235" s="823"/>
      <c r="S235" s="823"/>
      <c r="T235" s="823"/>
      <c r="U235" s="823"/>
      <c r="V235" s="823"/>
    </row>
    <row r="236" spans="1:22" ht="15.75" thickBot="1" x14ac:dyDescent="0.3">
      <c r="A236" s="51" t="s">
        <v>951</v>
      </c>
      <c r="B236" s="51" t="s">
        <v>19</v>
      </c>
      <c r="C236" s="51" t="s">
        <v>431</v>
      </c>
      <c r="D236" s="51" t="s">
        <v>12</v>
      </c>
      <c r="E236" s="51" t="s">
        <v>875</v>
      </c>
      <c r="F236" s="147">
        <v>2</v>
      </c>
      <c r="G236" s="54">
        <v>0</v>
      </c>
      <c r="H236" s="822"/>
      <c r="I236" s="54">
        <v>-80</v>
      </c>
      <c r="J236" s="822"/>
      <c r="K236" s="54">
        <v>0</v>
      </c>
      <c r="L236" s="54">
        <v>0</v>
      </c>
      <c r="M236" s="54">
        <v>0</v>
      </c>
      <c r="N236" s="822"/>
      <c r="O236" s="54">
        <v>-54.82</v>
      </c>
      <c r="P236" s="822"/>
      <c r="Q236" s="822"/>
      <c r="R236" s="822"/>
      <c r="S236" s="822"/>
      <c r="T236" s="822"/>
      <c r="U236" s="822"/>
      <c r="V236" s="822"/>
    </row>
    <row r="237" spans="1:22" ht="15.75" thickBot="1" x14ac:dyDescent="0.3">
      <c r="A237" s="51" t="s">
        <v>951</v>
      </c>
      <c r="B237" s="51" t="s">
        <v>19</v>
      </c>
      <c r="C237" s="51" t="s">
        <v>431</v>
      </c>
      <c r="D237" s="51" t="s">
        <v>12</v>
      </c>
      <c r="E237" s="51" t="s">
        <v>876</v>
      </c>
      <c r="F237" s="148">
        <v>2</v>
      </c>
      <c r="G237" s="56">
        <v>0</v>
      </c>
      <c r="H237" s="823"/>
      <c r="I237" s="56">
        <v>-80</v>
      </c>
      <c r="J237" s="823"/>
      <c r="K237" s="56">
        <v>0</v>
      </c>
      <c r="L237" s="56">
        <v>0</v>
      </c>
      <c r="M237" s="56">
        <v>0</v>
      </c>
      <c r="N237" s="823"/>
      <c r="O237" s="56">
        <v>-54.82</v>
      </c>
      <c r="P237" s="823"/>
      <c r="Q237" s="823"/>
      <c r="R237" s="823"/>
      <c r="S237" s="823"/>
      <c r="T237" s="823"/>
      <c r="U237" s="823"/>
      <c r="V237" s="823"/>
    </row>
    <row r="238" spans="1:22" ht="15.75" thickBot="1" x14ac:dyDescent="0.3">
      <c r="A238" s="51" t="s">
        <v>951</v>
      </c>
      <c r="B238" s="51" t="s">
        <v>19</v>
      </c>
      <c r="C238" s="51" t="s">
        <v>431</v>
      </c>
      <c r="D238" s="51" t="s">
        <v>12</v>
      </c>
      <c r="E238" s="51" t="s">
        <v>877</v>
      </c>
      <c r="F238" s="147">
        <v>2</v>
      </c>
      <c r="G238" s="54">
        <v>0</v>
      </c>
      <c r="H238" s="822"/>
      <c r="I238" s="54">
        <v>-80</v>
      </c>
      <c r="J238" s="822"/>
      <c r="K238" s="54">
        <v>0</v>
      </c>
      <c r="L238" s="54">
        <v>0</v>
      </c>
      <c r="M238" s="54">
        <v>0</v>
      </c>
      <c r="N238" s="822"/>
      <c r="O238" s="54">
        <v>-54.82</v>
      </c>
      <c r="P238" s="822"/>
      <c r="Q238" s="822"/>
      <c r="R238" s="822"/>
      <c r="S238" s="822"/>
      <c r="T238" s="822"/>
      <c r="U238" s="822"/>
      <c r="V238" s="822"/>
    </row>
    <row r="239" spans="1:22" ht="15.75" thickBot="1" x14ac:dyDescent="0.3">
      <c r="A239" s="51" t="s">
        <v>951</v>
      </c>
      <c r="B239" s="51" t="s">
        <v>19</v>
      </c>
      <c r="C239" s="51" t="s">
        <v>431</v>
      </c>
      <c r="D239" s="51" t="s">
        <v>12</v>
      </c>
      <c r="E239" s="51" t="s">
        <v>878</v>
      </c>
      <c r="F239" s="148">
        <v>2</v>
      </c>
      <c r="G239" s="56">
        <v>0</v>
      </c>
      <c r="H239" s="823"/>
      <c r="I239" s="56">
        <v>-80</v>
      </c>
      <c r="J239" s="823"/>
      <c r="K239" s="56">
        <v>0</v>
      </c>
      <c r="L239" s="56">
        <v>0</v>
      </c>
      <c r="M239" s="56">
        <v>0</v>
      </c>
      <c r="N239" s="823"/>
      <c r="O239" s="56">
        <v>-54.82</v>
      </c>
      <c r="P239" s="823"/>
      <c r="Q239" s="823"/>
      <c r="R239" s="823"/>
      <c r="S239" s="823"/>
      <c r="T239" s="823"/>
      <c r="U239" s="823"/>
      <c r="V239" s="823"/>
    </row>
    <row r="240" spans="1:22" ht="15.75" thickBot="1" x14ac:dyDescent="0.3">
      <c r="A240" s="51" t="s">
        <v>951</v>
      </c>
      <c r="B240" s="51" t="s">
        <v>19</v>
      </c>
      <c r="C240" s="51" t="s">
        <v>431</v>
      </c>
      <c r="D240" s="51" t="s">
        <v>12</v>
      </c>
      <c r="E240" s="51" t="s">
        <v>879</v>
      </c>
      <c r="F240" s="147">
        <v>2</v>
      </c>
      <c r="G240" s="54">
        <v>0</v>
      </c>
      <c r="H240" s="822"/>
      <c r="I240" s="54">
        <v>-80</v>
      </c>
      <c r="J240" s="822"/>
      <c r="K240" s="54">
        <v>0</v>
      </c>
      <c r="L240" s="54">
        <v>0</v>
      </c>
      <c r="M240" s="54">
        <v>0</v>
      </c>
      <c r="N240" s="822"/>
      <c r="O240" s="54">
        <v>-59.81</v>
      </c>
      <c r="P240" s="822"/>
      <c r="Q240" s="822"/>
      <c r="R240" s="822"/>
      <c r="S240" s="822"/>
      <c r="T240" s="822"/>
      <c r="U240" s="822"/>
      <c r="V240" s="822"/>
    </row>
    <row r="241" spans="1:22" ht="15.75" thickBot="1" x14ac:dyDescent="0.3">
      <c r="A241" s="51" t="s">
        <v>951</v>
      </c>
      <c r="B241" s="51" t="s">
        <v>19</v>
      </c>
      <c r="C241" s="51" t="s">
        <v>431</v>
      </c>
      <c r="D241" s="51" t="s">
        <v>12</v>
      </c>
      <c r="E241" s="51" t="s">
        <v>845</v>
      </c>
      <c r="F241" s="148">
        <v>2</v>
      </c>
      <c r="G241" s="56">
        <v>0</v>
      </c>
      <c r="H241" s="823"/>
      <c r="I241" s="56">
        <v>-80</v>
      </c>
      <c r="J241" s="823"/>
      <c r="K241" s="56">
        <v>0</v>
      </c>
      <c r="L241" s="56">
        <v>0</v>
      </c>
      <c r="M241" s="56">
        <v>0</v>
      </c>
      <c r="N241" s="823"/>
      <c r="O241" s="56">
        <v>-67.52</v>
      </c>
      <c r="P241" s="823"/>
      <c r="Q241" s="823"/>
      <c r="R241" s="823"/>
      <c r="S241" s="823"/>
      <c r="T241" s="823"/>
      <c r="U241" s="823"/>
      <c r="V241" s="823"/>
    </row>
    <row r="242" spans="1:22" ht="15.75" thickBot="1" x14ac:dyDescent="0.3">
      <c r="A242" s="51" t="s">
        <v>951</v>
      </c>
      <c r="B242" s="51" t="s">
        <v>19</v>
      </c>
      <c r="C242" s="51" t="s">
        <v>431</v>
      </c>
      <c r="D242" s="51" t="s">
        <v>12</v>
      </c>
      <c r="E242" s="51" t="s">
        <v>846</v>
      </c>
      <c r="F242" s="147">
        <v>2</v>
      </c>
      <c r="G242" s="54">
        <v>0</v>
      </c>
      <c r="H242" s="822"/>
      <c r="I242" s="54">
        <v>-80</v>
      </c>
      <c r="J242" s="822"/>
      <c r="K242" s="54">
        <v>0</v>
      </c>
      <c r="L242" s="54">
        <v>0</v>
      </c>
      <c r="M242" s="54">
        <v>0</v>
      </c>
      <c r="N242" s="822"/>
      <c r="O242" s="54">
        <v>-67.52</v>
      </c>
      <c r="P242" s="822"/>
      <c r="Q242" s="822"/>
      <c r="R242" s="822"/>
      <c r="S242" s="822"/>
      <c r="T242" s="822"/>
      <c r="U242" s="822"/>
      <c r="V242" s="822"/>
    </row>
    <row r="243" spans="1:22" ht="15.75" thickBot="1" x14ac:dyDescent="0.3">
      <c r="A243" s="51" t="s">
        <v>951</v>
      </c>
      <c r="B243" s="51" t="s">
        <v>19</v>
      </c>
      <c r="C243" s="51" t="s">
        <v>431</v>
      </c>
      <c r="D243" s="51" t="s">
        <v>12</v>
      </c>
      <c r="E243" s="51" t="s">
        <v>847</v>
      </c>
      <c r="F243" s="148">
        <v>2</v>
      </c>
      <c r="G243" s="56">
        <v>0</v>
      </c>
      <c r="H243" s="823"/>
      <c r="I243" s="56">
        <v>-80</v>
      </c>
      <c r="J243" s="823"/>
      <c r="K243" s="56">
        <v>0</v>
      </c>
      <c r="L243" s="56">
        <v>0</v>
      </c>
      <c r="M243" s="56">
        <v>0</v>
      </c>
      <c r="N243" s="823"/>
      <c r="O243" s="56">
        <v>-66.819999999999993</v>
      </c>
      <c r="P243" s="823"/>
      <c r="Q243" s="823"/>
      <c r="R243" s="823"/>
      <c r="S243" s="823"/>
      <c r="T243" s="823"/>
      <c r="U243" s="823"/>
      <c r="V243" s="823"/>
    </row>
    <row r="244" spans="1:22" ht="15.75" thickBot="1" x14ac:dyDescent="0.3">
      <c r="A244" s="51" t="s">
        <v>951</v>
      </c>
      <c r="B244" s="51" t="s">
        <v>19</v>
      </c>
      <c r="C244" s="51" t="s">
        <v>431</v>
      </c>
      <c r="D244" s="51" t="s">
        <v>12</v>
      </c>
      <c r="E244" s="51" t="s">
        <v>848</v>
      </c>
      <c r="F244" s="147">
        <v>2</v>
      </c>
      <c r="G244" s="54">
        <v>0</v>
      </c>
      <c r="H244" s="822"/>
      <c r="I244" s="54">
        <v>-81.88</v>
      </c>
      <c r="J244" s="822"/>
      <c r="K244" s="54">
        <v>0</v>
      </c>
      <c r="L244" s="54">
        <v>0</v>
      </c>
      <c r="M244" s="54">
        <v>0</v>
      </c>
      <c r="N244" s="822"/>
      <c r="O244" s="54">
        <v>-63.15</v>
      </c>
      <c r="P244" s="822"/>
      <c r="Q244" s="822"/>
      <c r="R244" s="822"/>
      <c r="S244" s="822"/>
      <c r="T244" s="822"/>
      <c r="U244" s="822"/>
      <c r="V244" s="822"/>
    </row>
    <row r="245" spans="1:22" ht="15.75" thickBot="1" x14ac:dyDescent="0.3">
      <c r="A245" s="51" t="s">
        <v>951</v>
      </c>
      <c r="B245" s="51" t="s">
        <v>19</v>
      </c>
      <c r="C245" s="51" t="s">
        <v>431</v>
      </c>
      <c r="D245" s="51" t="s">
        <v>12</v>
      </c>
      <c r="E245" s="51" t="s">
        <v>849</v>
      </c>
      <c r="F245" s="148">
        <v>2</v>
      </c>
      <c r="G245" s="56">
        <v>0</v>
      </c>
      <c r="H245" s="823"/>
      <c r="I245" s="56">
        <v>-106.06</v>
      </c>
      <c r="J245" s="823"/>
      <c r="K245" s="56">
        <v>0</v>
      </c>
      <c r="L245" s="56">
        <v>0</v>
      </c>
      <c r="M245" s="56">
        <v>0</v>
      </c>
      <c r="N245" s="823"/>
      <c r="O245" s="56">
        <v>-23.09</v>
      </c>
      <c r="P245" s="823"/>
      <c r="Q245" s="823"/>
      <c r="R245" s="823"/>
      <c r="S245" s="823"/>
      <c r="T245" s="823"/>
      <c r="U245" s="823"/>
      <c r="V245" s="823"/>
    </row>
    <row r="246" spans="1:22" ht="15.75" thickBot="1" x14ac:dyDescent="0.3">
      <c r="A246" s="51" t="s">
        <v>951</v>
      </c>
      <c r="B246" s="51" t="s">
        <v>19</v>
      </c>
      <c r="C246" s="51" t="s">
        <v>431</v>
      </c>
      <c r="D246" s="51" t="s">
        <v>12</v>
      </c>
      <c r="E246" s="51" t="s">
        <v>850</v>
      </c>
      <c r="F246" s="147">
        <v>2</v>
      </c>
      <c r="G246" s="54">
        <v>0</v>
      </c>
      <c r="H246" s="822"/>
      <c r="I246" s="54">
        <v>-120</v>
      </c>
      <c r="J246" s="822"/>
      <c r="K246" s="54">
        <v>0</v>
      </c>
      <c r="L246" s="54">
        <v>0</v>
      </c>
      <c r="M246" s="54">
        <v>0</v>
      </c>
      <c r="N246" s="822"/>
      <c r="O246" s="822"/>
      <c r="P246" s="822"/>
      <c r="Q246" s="822"/>
      <c r="R246" s="822"/>
      <c r="S246" s="822"/>
      <c r="T246" s="822"/>
      <c r="U246" s="822"/>
      <c r="V246" s="822"/>
    </row>
    <row r="247" spans="1:22" ht="15.75" thickBot="1" x14ac:dyDescent="0.3">
      <c r="A247" s="51" t="s">
        <v>951</v>
      </c>
      <c r="B247" s="51" t="s">
        <v>19</v>
      </c>
      <c r="C247" s="51" t="s">
        <v>431</v>
      </c>
      <c r="D247" s="51" t="s">
        <v>12</v>
      </c>
      <c r="E247" s="51" t="s">
        <v>851</v>
      </c>
      <c r="F247" s="148">
        <v>2</v>
      </c>
      <c r="G247" s="56">
        <v>0</v>
      </c>
      <c r="H247" s="823"/>
      <c r="I247" s="56">
        <v>-120</v>
      </c>
      <c r="J247" s="823"/>
      <c r="K247" s="56">
        <v>0</v>
      </c>
      <c r="L247" s="56">
        <v>0</v>
      </c>
      <c r="M247" s="56">
        <v>0</v>
      </c>
      <c r="N247" s="823"/>
      <c r="O247" s="823"/>
      <c r="P247" s="823"/>
      <c r="Q247" s="823"/>
      <c r="R247" s="823"/>
      <c r="S247" s="823"/>
      <c r="T247" s="823"/>
      <c r="U247" s="823"/>
      <c r="V247" s="823"/>
    </row>
    <row r="248" spans="1:22" ht="15.75" thickBot="1" x14ac:dyDescent="0.3">
      <c r="A248" s="51" t="s">
        <v>951</v>
      </c>
      <c r="B248" s="51" t="s">
        <v>19</v>
      </c>
      <c r="C248" s="51" t="s">
        <v>431</v>
      </c>
      <c r="D248" s="51" t="s">
        <v>12</v>
      </c>
      <c r="E248" s="51" t="s">
        <v>852</v>
      </c>
      <c r="F248" s="147">
        <v>2</v>
      </c>
      <c r="G248" s="54">
        <v>0</v>
      </c>
      <c r="H248" s="822"/>
      <c r="I248" s="54">
        <v>-120</v>
      </c>
      <c r="J248" s="822"/>
      <c r="K248" s="54">
        <v>0</v>
      </c>
      <c r="L248" s="54">
        <v>0</v>
      </c>
      <c r="M248" s="54">
        <v>0</v>
      </c>
      <c r="N248" s="822"/>
      <c r="O248" s="822"/>
      <c r="P248" s="822"/>
      <c r="Q248" s="822"/>
      <c r="R248" s="822"/>
      <c r="S248" s="822"/>
      <c r="T248" s="822"/>
      <c r="U248" s="822"/>
      <c r="V248" s="822"/>
    </row>
    <row r="249" spans="1:22" ht="15.75" thickBot="1" x14ac:dyDescent="0.3">
      <c r="A249" s="51" t="s">
        <v>951</v>
      </c>
      <c r="B249" s="51" t="s">
        <v>19</v>
      </c>
      <c r="C249" s="51" t="s">
        <v>431</v>
      </c>
      <c r="D249" s="51" t="s">
        <v>12</v>
      </c>
      <c r="E249" s="51" t="s">
        <v>853</v>
      </c>
      <c r="F249" s="148">
        <v>2</v>
      </c>
      <c r="G249" s="56">
        <v>0</v>
      </c>
      <c r="H249" s="823"/>
      <c r="I249" s="56">
        <v>-120</v>
      </c>
      <c r="J249" s="823"/>
      <c r="K249" s="56">
        <v>0</v>
      </c>
      <c r="L249" s="56">
        <v>0</v>
      </c>
      <c r="M249" s="56">
        <v>0</v>
      </c>
      <c r="N249" s="823"/>
      <c r="O249" s="823"/>
      <c r="P249" s="823"/>
      <c r="Q249" s="823"/>
      <c r="R249" s="823"/>
      <c r="S249" s="823"/>
      <c r="T249" s="823"/>
      <c r="U249" s="823"/>
      <c r="V249" s="823"/>
    </row>
    <row r="250" spans="1:22" ht="15.75" thickBot="1" x14ac:dyDescent="0.3">
      <c r="A250" s="51" t="s">
        <v>951</v>
      </c>
      <c r="B250" s="51" t="s">
        <v>19</v>
      </c>
      <c r="C250" s="51" t="s">
        <v>431</v>
      </c>
      <c r="D250" s="51" t="s">
        <v>12</v>
      </c>
      <c r="E250" s="51" t="s">
        <v>854</v>
      </c>
      <c r="F250" s="147">
        <v>2</v>
      </c>
      <c r="G250" s="54">
        <v>0</v>
      </c>
      <c r="H250" s="822"/>
      <c r="I250" s="54">
        <v>-120</v>
      </c>
      <c r="J250" s="822"/>
      <c r="K250" s="54">
        <v>0</v>
      </c>
      <c r="L250" s="54">
        <v>0</v>
      </c>
      <c r="M250" s="54">
        <v>0</v>
      </c>
      <c r="N250" s="822"/>
      <c r="O250" s="822"/>
      <c r="P250" s="822"/>
      <c r="Q250" s="822"/>
      <c r="R250" s="822"/>
      <c r="S250" s="822"/>
      <c r="T250" s="822"/>
      <c r="U250" s="822"/>
      <c r="V250" s="822"/>
    </row>
    <row r="251" spans="1:22" ht="15.75" thickBot="1" x14ac:dyDescent="0.3">
      <c r="A251" s="51" t="s">
        <v>951</v>
      </c>
      <c r="B251" s="51" t="s">
        <v>19</v>
      </c>
      <c r="C251" s="51" t="s">
        <v>431</v>
      </c>
      <c r="D251" s="51" t="s">
        <v>12</v>
      </c>
      <c r="E251" s="51" t="s">
        <v>855</v>
      </c>
      <c r="F251" s="148">
        <v>2</v>
      </c>
      <c r="G251" s="56">
        <v>0</v>
      </c>
      <c r="H251" s="823"/>
      <c r="I251" s="56">
        <v>-120</v>
      </c>
      <c r="J251" s="823"/>
      <c r="K251" s="56">
        <v>0</v>
      </c>
      <c r="L251" s="56">
        <v>0</v>
      </c>
      <c r="M251" s="56">
        <v>0</v>
      </c>
      <c r="N251" s="823"/>
      <c r="O251" s="823"/>
      <c r="P251" s="823"/>
      <c r="Q251" s="823"/>
      <c r="R251" s="823"/>
      <c r="S251" s="823"/>
      <c r="T251" s="823"/>
      <c r="U251" s="823"/>
      <c r="V251" s="823"/>
    </row>
    <row r="252" spans="1:22" ht="15.75" thickBot="1" x14ac:dyDescent="0.3">
      <c r="A252" s="51" t="s">
        <v>951</v>
      </c>
      <c r="B252" s="51" t="s">
        <v>19</v>
      </c>
      <c r="C252" s="51" t="s">
        <v>431</v>
      </c>
      <c r="D252" s="51" t="s">
        <v>12</v>
      </c>
      <c r="E252" s="51" t="s">
        <v>856</v>
      </c>
      <c r="F252" s="147">
        <v>2</v>
      </c>
      <c r="G252" s="54">
        <v>0</v>
      </c>
      <c r="H252" s="822"/>
      <c r="I252" s="54">
        <v>-120</v>
      </c>
      <c r="J252" s="822"/>
      <c r="K252" s="54">
        <v>0</v>
      </c>
      <c r="L252" s="54">
        <v>0</v>
      </c>
      <c r="M252" s="54">
        <v>0</v>
      </c>
      <c r="N252" s="822"/>
      <c r="O252" s="822"/>
      <c r="P252" s="822"/>
      <c r="Q252" s="822"/>
      <c r="R252" s="822"/>
      <c r="S252" s="822"/>
      <c r="T252" s="822"/>
      <c r="U252" s="822"/>
      <c r="V252" s="822"/>
    </row>
    <row r="253" spans="1:22" ht="15.75" thickBot="1" x14ac:dyDescent="0.3">
      <c r="A253" s="51" t="s">
        <v>951</v>
      </c>
      <c r="B253" s="51" t="s">
        <v>19</v>
      </c>
      <c r="C253" s="51" t="s">
        <v>431</v>
      </c>
      <c r="D253" s="51" t="s">
        <v>12</v>
      </c>
      <c r="E253" s="51" t="s">
        <v>632</v>
      </c>
      <c r="F253" s="148">
        <v>2</v>
      </c>
      <c r="G253" s="56">
        <v>0</v>
      </c>
      <c r="H253" s="823"/>
      <c r="I253" s="56">
        <v>-120</v>
      </c>
      <c r="J253" s="823"/>
      <c r="K253" s="56">
        <v>0</v>
      </c>
      <c r="L253" s="56">
        <v>0</v>
      </c>
      <c r="M253" s="56">
        <v>0</v>
      </c>
      <c r="N253" s="823"/>
      <c r="O253" s="823"/>
      <c r="P253" s="823"/>
      <c r="Q253" s="823"/>
      <c r="R253" s="823"/>
      <c r="S253" s="823"/>
      <c r="T253" s="823"/>
      <c r="U253" s="823"/>
      <c r="V253" s="823"/>
    </row>
    <row r="254" spans="1:22" ht="15.75" thickBot="1" x14ac:dyDescent="0.3">
      <c r="A254" s="51" t="s">
        <v>951</v>
      </c>
      <c r="B254" s="51" t="s">
        <v>19</v>
      </c>
      <c r="C254" s="51" t="s">
        <v>431</v>
      </c>
      <c r="D254" s="51" t="s">
        <v>12</v>
      </c>
      <c r="E254" s="51" t="s">
        <v>644</v>
      </c>
      <c r="F254" s="147">
        <v>2</v>
      </c>
      <c r="G254" s="54">
        <v>0</v>
      </c>
      <c r="H254" s="822"/>
      <c r="I254" s="54">
        <v>-120</v>
      </c>
      <c r="J254" s="822"/>
      <c r="K254" s="54">
        <v>0</v>
      </c>
      <c r="L254" s="54">
        <v>0</v>
      </c>
      <c r="M254" s="54">
        <v>0</v>
      </c>
      <c r="N254" s="822"/>
      <c r="O254" s="822"/>
      <c r="P254" s="822"/>
      <c r="Q254" s="822"/>
      <c r="R254" s="822"/>
      <c r="S254" s="822"/>
      <c r="T254" s="822"/>
      <c r="U254" s="822"/>
      <c r="V254" s="822"/>
    </row>
    <row r="255" spans="1:22" ht="15.75" thickBot="1" x14ac:dyDescent="0.3">
      <c r="A255" s="51" t="s">
        <v>951</v>
      </c>
      <c r="B255" s="51" t="s">
        <v>19</v>
      </c>
      <c r="C255" s="51" t="s">
        <v>431</v>
      </c>
      <c r="D255" s="51" t="s">
        <v>12</v>
      </c>
      <c r="E255" s="51" t="s">
        <v>653</v>
      </c>
      <c r="F255" s="148">
        <v>2</v>
      </c>
      <c r="G255" s="56">
        <v>0</v>
      </c>
      <c r="H255" s="823"/>
      <c r="I255" s="56">
        <v>-120</v>
      </c>
      <c r="J255" s="823"/>
      <c r="K255" s="56">
        <v>0</v>
      </c>
      <c r="L255" s="56">
        <v>0</v>
      </c>
      <c r="M255" s="56">
        <v>0</v>
      </c>
      <c r="N255" s="823"/>
      <c r="O255" s="823"/>
      <c r="P255" s="823"/>
      <c r="Q255" s="823"/>
      <c r="R255" s="823"/>
      <c r="S255" s="823"/>
      <c r="T255" s="823"/>
      <c r="U255" s="823"/>
      <c r="V255" s="823"/>
    </row>
    <row r="256" spans="1:22" ht="15.75" thickBot="1" x14ac:dyDescent="0.3">
      <c r="A256" s="51" t="s">
        <v>951</v>
      </c>
      <c r="B256" s="51" t="s">
        <v>19</v>
      </c>
      <c r="C256" s="51" t="s">
        <v>431</v>
      </c>
      <c r="D256" s="51" t="s">
        <v>12</v>
      </c>
      <c r="E256" s="51" t="s">
        <v>674</v>
      </c>
      <c r="F256" s="147">
        <v>2</v>
      </c>
      <c r="G256" s="54">
        <v>0</v>
      </c>
      <c r="H256" s="822"/>
      <c r="I256" s="54">
        <v>-120</v>
      </c>
      <c r="J256" s="822"/>
      <c r="K256" s="54">
        <v>0</v>
      </c>
      <c r="L256" s="54">
        <v>0</v>
      </c>
      <c r="M256" s="54">
        <v>0</v>
      </c>
      <c r="N256" s="822"/>
      <c r="O256" s="822"/>
      <c r="P256" s="822"/>
      <c r="Q256" s="822"/>
      <c r="R256" s="822"/>
      <c r="S256" s="822"/>
      <c r="T256" s="822"/>
      <c r="U256" s="822"/>
      <c r="V256" s="822"/>
    </row>
    <row r="257" spans="1:22" ht="15.75" thickBot="1" x14ac:dyDescent="0.3">
      <c r="A257" s="51" t="s">
        <v>951</v>
      </c>
      <c r="B257" s="51" t="s">
        <v>19</v>
      </c>
      <c r="C257" s="51" t="s">
        <v>431</v>
      </c>
      <c r="D257" s="51" t="s">
        <v>12</v>
      </c>
      <c r="E257" s="51" t="s">
        <v>837</v>
      </c>
      <c r="F257" s="148">
        <v>2</v>
      </c>
      <c r="G257" s="56">
        <v>0</v>
      </c>
      <c r="H257" s="823"/>
      <c r="I257" s="56">
        <v>-120</v>
      </c>
      <c r="J257" s="823"/>
      <c r="K257" s="56">
        <v>0</v>
      </c>
      <c r="L257" s="56">
        <v>0</v>
      </c>
      <c r="M257" s="56">
        <v>0</v>
      </c>
      <c r="N257" s="823"/>
      <c r="O257" s="823"/>
      <c r="P257" s="823"/>
      <c r="Q257" s="823"/>
      <c r="R257" s="823"/>
      <c r="S257" s="823"/>
      <c r="T257" s="823"/>
      <c r="U257" s="823"/>
      <c r="V257" s="823"/>
    </row>
    <row r="258" spans="1:22" ht="15.75" thickBot="1" x14ac:dyDescent="0.3">
      <c r="A258" s="51" t="s">
        <v>951</v>
      </c>
      <c r="B258" s="51" t="s">
        <v>19</v>
      </c>
      <c r="C258" s="51" t="s">
        <v>431</v>
      </c>
      <c r="D258" s="51" t="s">
        <v>12</v>
      </c>
      <c r="E258" s="51" t="s">
        <v>838</v>
      </c>
      <c r="F258" s="147">
        <v>2</v>
      </c>
      <c r="G258" s="54">
        <v>0</v>
      </c>
      <c r="H258" s="822"/>
      <c r="I258" s="54">
        <v>-120</v>
      </c>
      <c r="J258" s="822"/>
      <c r="K258" s="54">
        <v>0</v>
      </c>
      <c r="L258" s="54">
        <v>0</v>
      </c>
      <c r="M258" s="54">
        <v>0</v>
      </c>
      <c r="N258" s="822"/>
      <c r="O258" s="822"/>
      <c r="P258" s="822"/>
      <c r="Q258" s="822"/>
      <c r="R258" s="822"/>
      <c r="S258" s="822"/>
      <c r="T258" s="822"/>
      <c r="U258" s="822"/>
      <c r="V258" s="822"/>
    </row>
    <row r="259" spans="1:22" ht="15.75" thickBot="1" x14ac:dyDescent="0.3">
      <c r="A259" s="51" t="s">
        <v>951</v>
      </c>
      <c r="B259" s="51" t="s">
        <v>19</v>
      </c>
      <c r="C259" s="51" t="s">
        <v>431</v>
      </c>
      <c r="D259" s="51" t="s">
        <v>12</v>
      </c>
      <c r="E259" s="51" t="s">
        <v>839</v>
      </c>
      <c r="F259" s="148">
        <v>2</v>
      </c>
      <c r="G259" s="56">
        <v>0</v>
      </c>
      <c r="H259" s="823"/>
      <c r="I259" s="56">
        <v>-120</v>
      </c>
      <c r="J259" s="823"/>
      <c r="K259" s="56">
        <v>0</v>
      </c>
      <c r="L259" s="56">
        <v>0</v>
      </c>
      <c r="M259" s="56">
        <v>0</v>
      </c>
      <c r="N259" s="823"/>
      <c r="O259" s="823"/>
      <c r="P259" s="823"/>
      <c r="Q259" s="823"/>
      <c r="R259" s="823"/>
      <c r="S259" s="823"/>
      <c r="T259" s="823"/>
      <c r="U259" s="823"/>
      <c r="V259" s="823"/>
    </row>
    <row r="260" spans="1:22" ht="15.75" thickBot="1" x14ac:dyDescent="0.3">
      <c r="A260" s="51" t="s">
        <v>951</v>
      </c>
      <c r="B260" s="51" t="s">
        <v>19</v>
      </c>
      <c r="C260" s="51" t="s">
        <v>431</v>
      </c>
      <c r="D260" s="51" t="s">
        <v>12</v>
      </c>
      <c r="E260" s="51" t="s">
        <v>840</v>
      </c>
      <c r="F260" s="147">
        <v>2</v>
      </c>
      <c r="G260" s="54">
        <v>0</v>
      </c>
      <c r="H260" s="822"/>
      <c r="I260" s="54">
        <v>-120</v>
      </c>
      <c r="J260" s="822"/>
      <c r="K260" s="54">
        <v>0</v>
      </c>
      <c r="L260" s="54">
        <v>0</v>
      </c>
      <c r="M260" s="54">
        <v>0</v>
      </c>
      <c r="N260" s="822"/>
      <c r="O260" s="822"/>
      <c r="P260" s="822"/>
      <c r="Q260" s="822"/>
      <c r="R260" s="822"/>
      <c r="S260" s="822"/>
      <c r="T260" s="822"/>
      <c r="U260" s="822"/>
      <c r="V260" s="822"/>
    </row>
    <row r="261" spans="1:22" ht="15.75" thickBot="1" x14ac:dyDescent="0.3">
      <c r="A261" s="51" t="s">
        <v>951</v>
      </c>
      <c r="B261" s="51" t="s">
        <v>19</v>
      </c>
      <c r="C261" s="51" t="s">
        <v>431</v>
      </c>
      <c r="D261" s="51" t="s">
        <v>12</v>
      </c>
      <c r="E261" s="51" t="s">
        <v>841</v>
      </c>
      <c r="F261" s="148">
        <v>3</v>
      </c>
      <c r="G261" s="56">
        <v>-3</v>
      </c>
      <c r="H261" s="823"/>
      <c r="I261" s="56">
        <v>-180</v>
      </c>
      <c r="J261" s="823"/>
      <c r="K261" s="56">
        <v>-0.75</v>
      </c>
      <c r="L261" s="56">
        <v>-1.2</v>
      </c>
      <c r="M261" s="56">
        <v>0</v>
      </c>
      <c r="N261" s="56">
        <v>0.16</v>
      </c>
      <c r="O261" s="823"/>
      <c r="P261" s="823"/>
      <c r="Q261" s="823"/>
      <c r="R261" s="823"/>
      <c r="S261" s="823"/>
      <c r="T261" s="823"/>
      <c r="U261" s="823"/>
      <c r="V261" s="823"/>
    </row>
    <row r="262" spans="1:22" ht="15.75" thickBot="1" x14ac:dyDescent="0.3">
      <c r="A262" s="51" t="s">
        <v>951</v>
      </c>
      <c r="B262" s="51" t="s">
        <v>19</v>
      </c>
      <c r="C262" s="51" t="s">
        <v>431</v>
      </c>
      <c r="D262" s="51" t="s">
        <v>12</v>
      </c>
      <c r="E262" s="51" t="s">
        <v>842</v>
      </c>
      <c r="F262" s="147">
        <v>3</v>
      </c>
      <c r="G262" s="54">
        <v>-6</v>
      </c>
      <c r="H262" s="822"/>
      <c r="I262" s="54">
        <v>-180</v>
      </c>
      <c r="J262" s="822"/>
      <c r="K262" s="54">
        <v>-1.51</v>
      </c>
      <c r="L262" s="54">
        <v>-2.39</v>
      </c>
      <c r="M262" s="54">
        <v>-0.01</v>
      </c>
      <c r="N262" s="54">
        <v>-0.36</v>
      </c>
      <c r="O262" s="822"/>
      <c r="P262" s="822"/>
      <c r="Q262" s="822"/>
      <c r="R262" s="822"/>
      <c r="S262" s="822"/>
      <c r="T262" s="822"/>
      <c r="U262" s="822"/>
      <c r="V262" s="822"/>
    </row>
    <row r="263" spans="1:22" ht="15.75" thickBot="1" x14ac:dyDescent="0.3">
      <c r="A263" s="51" t="s">
        <v>951</v>
      </c>
      <c r="B263" s="51" t="s">
        <v>19</v>
      </c>
      <c r="C263" s="51" t="s">
        <v>431</v>
      </c>
      <c r="D263" s="51" t="s">
        <v>12</v>
      </c>
      <c r="E263" s="51" t="s">
        <v>821</v>
      </c>
      <c r="F263" s="148">
        <v>3</v>
      </c>
      <c r="G263" s="56">
        <v>-13</v>
      </c>
      <c r="H263" s="823"/>
      <c r="I263" s="56">
        <v>-180</v>
      </c>
      <c r="J263" s="823"/>
      <c r="K263" s="56">
        <v>-3.27</v>
      </c>
      <c r="L263" s="56">
        <v>-5.18</v>
      </c>
      <c r="M263" s="56">
        <v>-0.01</v>
      </c>
      <c r="N263" s="56">
        <v>-0.25</v>
      </c>
      <c r="O263" s="823"/>
      <c r="P263" s="823"/>
      <c r="Q263" s="823"/>
      <c r="R263" s="823"/>
      <c r="S263" s="823"/>
      <c r="T263" s="823"/>
      <c r="U263" s="823"/>
      <c r="V263" s="823"/>
    </row>
    <row r="264" spans="1:22" ht="15.75" thickBot="1" x14ac:dyDescent="0.3">
      <c r="A264" s="51" t="s">
        <v>951</v>
      </c>
      <c r="B264" s="51" t="s">
        <v>19</v>
      </c>
      <c r="C264" s="51" t="s">
        <v>431</v>
      </c>
      <c r="D264" s="51" t="s">
        <v>12</v>
      </c>
      <c r="E264" s="51" t="s">
        <v>822</v>
      </c>
      <c r="F264" s="147">
        <v>3</v>
      </c>
      <c r="G264" s="54">
        <v>-8</v>
      </c>
      <c r="H264" s="822"/>
      <c r="I264" s="54">
        <v>-180</v>
      </c>
      <c r="J264" s="822"/>
      <c r="K264" s="54">
        <v>-2.0099999999999998</v>
      </c>
      <c r="L264" s="54">
        <v>-3.37</v>
      </c>
      <c r="M264" s="54">
        <v>-0.01</v>
      </c>
      <c r="N264" s="54">
        <v>-0.08</v>
      </c>
      <c r="O264" s="822"/>
      <c r="P264" s="822"/>
      <c r="Q264" s="822"/>
      <c r="R264" s="822"/>
      <c r="S264" s="822"/>
      <c r="T264" s="822"/>
      <c r="U264" s="822"/>
      <c r="V264" s="822"/>
    </row>
    <row r="265" spans="1:22" ht="15.75" thickBot="1" x14ac:dyDescent="0.3">
      <c r="A265" s="51" t="s">
        <v>951</v>
      </c>
      <c r="B265" s="51" t="s">
        <v>19</v>
      </c>
      <c r="C265" s="51" t="s">
        <v>431</v>
      </c>
      <c r="D265" s="51" t="s">
        <v>12</v>
      </c>
      <c r="E265" s="51" t="s">
        <v>823</v>
      </c>
      <c r="F265" s="148">
        <v>3</v>
      </c>
      <c r="G265" s="56">
        <v>-7</v>
      </c>
      <c r="H265" s="823"/>
      <c r="I265" s="56">
        <v>-180</v>
      </c>
      <c r="J265" s="823"/>
      <c r="K265" s="56">
        <v>-1.76</v>
      </c>
      <c r="L265" s="56">
        <v>-2.95</v>
      </c>
      <c r="M265" s="56">
        <v>-0.01</v>
      </c>
      <c r="N265" s="56">
        <v>0.4</v>
      </c>
      <c r="O265" s="823"/>
      <c r="P265" s="823"/>
      <c r="Q265" s="823"/>
      <c r="R265" s="823"/>
      <c r="S265" s="823"/>
      <c r="T265" s="823"/>
      <c r="U265" s="823"/>
      <c r="V265" s="823"/>
    </row>
    <row r="266" spans="1:22" ht="15.75" thickBot="1" x14ac:dyDescent="0.3">
      <c r="A266" s="51" t="s">
        <v>951</v>
      </c>
      <c r="B266" s="51" t="s">
        <v>19</v>
      </c>
      <c r="C266" s="51" t="s">
        <v>431</v>
      </c>
      <c r="D266" s="51" t="s">
        <v>12</v>
      </c>
      <c r="E266" s="51" t="s">
        <v>824</v>
      </c>
      <c r="F266" s="147">
        <v>3</v>
      </c>
      <c r="G266" s="54">
        <v>-1</v>
      </c>
      <c r="H266" s="822"/>
      <c r="I266" s="54">
        <v>-180</v>
      </c>
      <c r="J266" s="822"/>
      <c r="K266" s="54">
        <v>-0.25</v>
      </c>
      <c r="L266" s="54">
        <v>-0.42</v>
      </c>
      <c r="M266" s="54">
        <v>0</v>
      </c>
      <c r="N266" s="54">
        <v>-0.01</v>
      </c>
      <c r="O266" s="822"/>
      <c r="P266" s="822"/>
      <c r="Q266" s="822"/>
      <c r="R266" s="822"/>
      <c r="S266" s="822"/>
      <c r="T266" s="822"/>
      <c r="U266" s="822"/>
      <c r="V266" s="822"/>
    </row>
    <row r="267" spans="1:22" ht="15.75" thickBot="1" x14ac:dyDescent="0.3">
      <c r="A267" s="51" t="s">
        <v>951</v>
      </c>
      <c r="B267" s="51" t="s">
        <v>19</v>
      </c>
      <c r="C267" s="51" t="s">
        <v>431</v>
      </c>
      <c r="D267" s="51" t="s">
        <v>12</v>
      </c>
      <c r="E267" s="51" t="s">
        <v>825</v>
      </c>
      <c r="F267" s="148">
        <v>3</v>
      </c>
      <c r="G267" s="56">
        <v>0</v>
      </c>
      <c r="H267" s="823"/>
      <c r="I267" s="56">
        <v>-190.79</v>
      </c>
      <c r="J267" s="823"/>
      <c r="K267" s="56">
        <v>0</v>
      </c>
      <c r="L267" s="56">
        <v>0</v>
      </c>
      <c r="M267" s="56">
        <v>0</v>
      </c>
      <c r="N267" s="823"/>
      <c r="O267" s="823"/>
      <c r="P267" s="823"/>
      <c r="Q267" s="823"/>
      <c r="R267" s="823"/>
      <c r="S267" s="823"/>
      <c r="T267" s="823"/>
      <c r="U267" s="823"/>
      <c r="V267" s="823"/>
    </row>
    <row r="268" spans="1:22" ht="15.75" thickBot="1" x14ac:dyDescent="0.3">
      <c r="A268" s="51" t="s">
        <v>951</v>
      </c>
      <c r="B268" s="51" t="s">
        <v>19</v>
      </c>
      <c r="C268" s="51" t="s">
        <v>431</v>
      </c>
      <c r="D268" s="51" t="s">
        <v>12</v>
      </c>
      <c r="E268" s="51" t="s">
        <v>826</v>
      </c>
      <c r="F268" s="147">
        <v>3</v>
      </c>
      <c r="G268" s="54">
        <v>0</v>
      </c>
      <c r="H268" s="822"/>
      <c r="I268" s="54">
        <v>-173.36</v>
      </c>
      <c r="J268" s="822"/>
      <c r="K268" s="54">
        <v>0</v>
      </c>
      <c r="L268" s="54">
        <v>0</v>
      </c>
      <c r="M268" s="54">
        <v>0</v>
      </c>
      <c r="N268" s="822"/>
      <c r="O268" s="822"/>
      <c r="P268" s="822"/>
      <c r="Q268" s="822"/>
      <c r="R268" s="822"/>
      <c r="S268" s="822"/>
      <c r="T268" s="822"/>
      <c r="U268" s="822"/>
      <c r="V268" s="822"/>
    </row>
    <row r="269" spans="1:22" ht="15.75" thickBot="1" x14ac:dyDescent="0.3">
      <c r="A269" s="51" t="s">
        <v>951</v>
      </c>
      <c r="B269" s="51" t="s">
        <v>19</v>
      </c>
      <c r="C269" s="51" t="s">
        <v>431</v>
      </c>
      <c r="D269" s="51" t="s">
        <v>12</v>
      </c>
      <c r="E269" s="51" t="s">
        <v>827</v>
      </c>
      <c r="F269" s="148">
        <v>4</v>
      </c>
      <c r="G269" s="56">
        <v>0</v>
      </c>
      <c r="H269" s="823"/>
      <c r="I269" s="56">
        <v>-169.42</v>
      </c>
      <c r="J269" s="823"/>
      <c r="K269" s="56">
        <v>0</v>
      </c>
      <c r="L269" s="56">
        <v>0</v>
      </c>
      <c r="M269" s="56">
        <v>0</v>
      </c>
      <c r="N269" s="823"/>
      <c r="O269" s="823"/>
      <c r="P269" s="823"/>
      <c r="Q269" s="823"/>
      <c r="R269" s="823"/>
      <c r="S269" s="823"/>
      <c r="T269" s="823"/>
      <c r="U269" s="823"/>
      <c r="V269" s="823"/>
    </row>
    <row r="270" spans="1:22" ht="15.75" thickBot="1" x14ac:dyDescent="0.3">
      <c r="A270" s="51" t="s">
        <v>951</v>
      </c>
      <c r="B270" s="51" t="s">
        <v>19</v>
      </c>
      <c r="C270" s="51" t="s">
        <v>431</v>
      </c>
      <c r="D270" s="51" t="s">
        <v>12</v>
      </c>
      <c r="E270" s="51" t="s">
        <v>828</v>
      </c>
      <c r="F270" s="147">
        <v>3</v>
      </c>
      <c r="G270" s="54">
        <v>0</v>
      </c>
      <c r="H270" s="822"/>
      <c r="I270" s="54">
        <v>-165.48</v>
      </c>
      <c r="J270" s="822"/>
      <c r="K270" s="54">
        <v>0</v>
      </c>
      <c r="L270" s="54">
        <v>0</v>
      </c>
      <c r="M270" s="54">
        <v>0</v>
      </c>
      <c r="N270" s="822"/>
      <c r="O270" s="822"/>
      <c r="P270" s="822"/>
      <c r="Q270" s="822"/>
      <c r="R270" s="822"/>
      <c r="S270" s="822"/>
      <c r="T270" s="822"/>
      <c r="U270" s="822"/>
      <c r="V270" s="822"/>
    </row>
    <row r="271" spans="1:22" ht="15.75" thickBot="1" x14ac:dyDescent="0.3">
      <c r="A271" s="51" t="s">
        <v>951</v>
      </c>
      <c r="B271" s="51" t="s">
        <v>19</v>
      </c>
      <c r="C271" s="51" t="s">
        <v>431</v>
      </c>
      <c r="D271" s="51" t="s">
        <v>12</v>
      </c>
      <c r="E271" s="51" t="s">
        <v>829</v>
      </c>
      <c r="F271" s="148">
        <v>3</v>
      </c>
      <c r="G271" s="56">
        <v>0</v>
      </c>
      <c r="H271" s="823"/>
      <c r="I271" s="56">
        <v>-175.33</v>
      </c>
      <c r="J271" s="823"/>
      <c r="K271" s="56">
        <v>0</v>
      </c>
      <c r="L271" s="56">
        <v>0</v>
      </c>
      <c r="M271" s="56">
        <v>0</v>
      </c>
      <c r="N271" s="823"/>
      <c r="O271" s="823"/>
      <c r="P271" s="823"/>
      <c r="Q271" s="823"/>
      <c r="R271" s="823"/>
      <c r="S271" s="823"/>
      <c r="T271" s="823"/>
      <c r="U271" s="823"/>
      <c r="V271" s="823"/>
    </row>
    <row r="272" spans="1:22" ht="15.75" thickBot="1" x14ac:dyDescent="0.3">
      <c r="A272" s="51" t="s">
        <v>951</v>
      </c>
      <c r="B272" s="51" t="s">
        <v>19</v>
      </c>
      <c r="C272" s="51" t="s">
        <v>431</v>
      </c>
      <c r="D272" s="51" t="s">
        <v>12</v>
      </c>
      <c r="E272" s="51" t="s">
        <v>830</v>
      </c>
      <c r="F272" s="147">
        <v>3</v>
      </c>
      <c r="G272" s="54">
        <v>0</v>
      </c>
      <c r="H272" s="822"/>
      <c r="I272" s="54">
        <v>-181.24</v>
      </c>
      <c r="J272" s="822"/>
      <c r="K272" s="54">
        <v>0</v>
      </c>
      <c r="L272" s="54">
        <v>0</v>
      </c>
      <c r="M272" s="54">
        <v>0</v>
      </c>
      <c r="N272" s="822"/>
      <c r="O272" s="822"/>
      <c r="P272" s="822"/>
      <c r="Q272" s="822"/>
      <c r="R272" s="822"/>
      <c r="S272" s="822"/>
      <c r="T272" s="822"/>
      <c r="U272" s="822"/>
      <c r="V272" s="822"/>
    </row>
    <row r="273" spans="1:22" ht="15.75" thickBot="1" x14ac:dyDescent="0.3">
      <c r="A273" s="51" t="s">
        <v>951</v>
      </c>
      <c r="B273" s="51" t="s">
        <v>19</v>
      </c>
      <c r="C273" s="51" t="s">
        <v>431</v>
      </c>
      <c r="D273" s="51" t="s">
        <v>12</v>
      </c>
      <c r="E273" s="51" t="s">
        <v>831</v>
      </c>
      <c r="F273" s="148">
        <v>4</v>
      </c>
      <c r="G273" s="56">
        <v>9</v>
      </c>
      <c r="H273" s="823"/>
      <c r="I273" s="56">
        <v>-173.36</v>
      </c>
      <c r="J273" s="823"/>
      <c r="K273" s="56">
        <v>2.76</v>
      </c>
      <c r="L273" s="56">
        <v>3.39</v>
      </c>
      <c r="M273" s="56">
        <v>0</v>
      </c>
      <c r="N273" s="56">
        <v>-0.81</v>
      </c>
      <c r="O273" s="823"/>
      <c r="P273" s="823"/>
      <c r="Q273" s="823"/>
      <c r="R273" s="823"/>
      <c r="S273" s="823"/>
      <c r="T273" s="823"/>
      <c r="U273" s="823"/>
      <c r="V273" s="823"/>
    </row>
    <row r="274" spans="1:22" ht="15.75" thickBot="1" x14ac:dyDescent="0.3">
      <c r="A274" s="51" t="s">
        <v>951</v>
      </c>
      <c r="B274" s="51" t="s">
        <v>19</v>
      </c>
      <c r="C274" s="51" t="s">
        <v>431</v>
      </c>
      <c r="D274" s="51" t="s">
        <v>12</v>
      </c>
      <c r="E274" s="51" t="s">
        <v>832</v>
      </c>
      <c r="F274" s="147">
        <v>4</v>
      </c>
      <c r="G274" s="54">
        <v>13</v>
      </c>
      <c r="H274" s="822"/>
      <c r="I274" s="54">
        <v>-206.85</v>
      </c>
      <c r="J274" s="822"/>
      <c r="K274" s="54">
        <v>3.99</v>
      </c>
      <c r="L274" s="54">
        <v>5</v>
      </c>
      <c r="M274" s="54">
        <v>0</v>
      </c>
      <c r="N274" s="54">
        <v>0.26</v>
      </c>
      <c r="O274" s="822"/>
      <c r="P274" s="822"/>
      <c r="Q274" s="822"/>
      <c r="R274" s="822"/>
      <c r="S274" s="822"/>
      <c r="T274" s="822"/>
      <c r="U274" s="822"/>
      <c r="V274" s="822"/>
    </row>
    <row r="275" spans="1:22" ht="15.75" thickBot="1" x14ac:dyDescent="0.3">
      <c r="A275" s="51" t="s">
        <v>951</v>
      </c>
      <c r="B275" s="51" t="s">
        <v>19</v>
      </c>
      <c r="C275" s="51" t="s">
        <v>431</v>
      </c>
      <c r="D275" s="51" t="s">
        <v>12</v>
      </c>
      <c r="E275" s="51" t="s">
        <v>833</v>
      </c>
      <c r="F275" s="148">
        <v>4</v>
      </c>
      <c r="G275" s="56">
        <v>27</v>
      </c>
      <c r="H275" s="823"/>
      <c r="I275" s="56">
        <v>-179.27</v>
      </c>
      <c r="J275" s="823"/>
      <c r="K275" s="56">
        <v>8.2799999999999994</v>
      </c>
      <c r="L275" s="56">
        <v>10.37</v>
      </c>
      <c r="M275" s="56">
        <v>0.01</v>
      </c>
      <c r="N275" s="56">
        <v>3.78</v>
      </c>
      <c r="O275" s="823"/>
      <c r="P275" s="823"/>
      <c r="Q275" s="823"/>
      <c r="R275" s="823"/>
      <c r="S275" s="823"/>
      <c r="T275" s="823"/>
      <c r="U275" s="823"/>
      <c r="V275" s="823"/>
    </row>
    <row r="276" spans="1:22" ht="15.75" thickBot="1" x14ac:dyDescent="0.3">
      <c r="A276" s="51" t="s">
        <v>951</v>
      </c>
      <c r="B276" s="51" t="s">
        <v>19</v>
      </c>
      <c r="C276" s="51" t="s">
        <v>431</v>
      </c>
      <c r="D276" s="51" t="s">
        <v>12</v>
      </c>
      <c r="E276" s="51" t="s">
        <v>834</v>
      </c>
      <c r="F276" s="147">
        <v>17</v>
      </c>
      <c r="G276" s="54">
        <v>-2373</v>
      </c>
      <c r="H276" s="822"/>
      <c r="I276" s="54">
        <v>-175.33</v>
      </c>
      <c r="J276" s="822"/>
      <c r="K276" s="54">
        <v>-727.8</v>
      </c>
      <c r="L276" s="54">
        <v>-835.05</v>
      </c>
      <c r="M276" s="54">
        <v>-0.43</v>
      </c>
      <c r="N276" s="54">
        <v>-66.319999999999993</v>
      </c>
      <c r="O276" s="822"/>
      <c r="P276" s="822"/>
      <c r="Q276" s="822"/>
      <c r="R276" s="822"/>
      <c r="S276" s="822"/>
      <c r="T276" s="822"/>
      <c r="U276" s="822"/>
      <c r="V276" s="822"/>
    </row>
    <row r="277" spans="1:22" ht="15.75" thickBot="1" x14ac:dyDescent="0.3">
      <c r="A277" s="51" t="s">
        <v>951</v>
      </c>
      <c r="B277" s="51" t="s">
        <v>19</v>
      </c>
      <c r="C277" s="51" t="s">
        <v>431</v>
      </c>
      <c r="D277" s="51" t="s">
        <v>12</v>
      </c>
      <c r="E277" s="51" t="s">
        <v>857</v>
      </c>
      <c r="F277" s="148">
        <v>67</v>
      </c>
      <c r="G277" s="56">
        <v>-16336</v>
      </c>
      <c r="H277" s="823"/>
      <c r="I277" s="56">
        <v>-395.97</v>
      </c>
      <c r="J277" s="56">
        <v>0</v>
      </c>
      <c r="K277" s="56">
        <v>-5010.24</v>
      </c>
      <c r="L277" s="56">
        <v>-5554.39</v>
      </c>
      <c r="M277" s="56">
        <v>-2.92</v>
      </c>
      <c r="N277" s="56">
        <v>-249.39</v>
      </c>
      <c r="O277" s="823"/>
      <c r="P277" s="823"/>
      <c r="Q277" s="823"/>
      <c r="R277" s="823"/>
      <c r="S277" s="823"/>
      <c r="T277" s="823"/>
      <c r="U277" s="823"/>
      <c r="V277" s="823"/>
    </row>
    <row r="278" spans="1:22" ht="15.75" thickBot="1" x14ac:dyDescent="0.3">
      <c r="A278" s="51" t="s">
        <v>951</v>
      </c>
      <c r="B278" s="51" t="s">
        <v>19</v>
      </c>
      <c r="C278" s="51" t="s">
        <v>431</v>
      </c>
      <c r="D278" s="51" t="s">
        <v>12</v>
      </c>
      <c r="E278" s="51" t="s">
        <v>949</v>
      </c>
      <c r="F278" s="147">
        <v>737</v>
      </c>
      <c r="G278" s="54">
        <v>12890</v>
      </c>
      <c r="H278" s="54">
        <v>-91063</v>
      </c>
      <c r="I278" s="54">
        <v>17401.009999999998</v>
      </c>
      <c r="J278" s="54">
        <v>6315.38</v>
      </c>
      <c r="K278" s="54">
        <v>-19422.55</v>
      </c>
      <c r="L278" s="54">
        <v>-26579.74</v>
      </c>
      <c r="M278" s="54">
        <v>-2.6</v>
      </c>
      <c r="N278" s="54">
        <v>-13324.76</v>
      </c>
      <c r="O278" s="822"/>
      <c r="P278" s="822"/>
      <c r="Q278" s="822"/>
      <c r="R278" s="822"/>
      <c r="S278" s="822"/>
      <c r="T278" s="822"/>
      <c r="U278" s="822"/>
      <c r="V278" s="822"/>
    </row>
    <row r="279" spans="1:22" ht="15.75" thickBot="1" x14ac:dyDescent="0.3">
      <c r="A279" s="51" t="s">
        <v>951</v>
      </c>
      <c r="B279" s="51" t="s">
        <v>19</v>
      </c>
      <c r="C279" s="51" t="s">
        <v>431</v>
      </c>
      <c r="D279" s="51" t="s">
        <v>12</v>
      </c>
      <c r="E279" s="51" t="s">
        <v>952</v>
      </c>
      <c r="F279" s="148">
        <v>23734</v>
      </c>
      <c r="G279" s="56">
        <v>3061851</v>
      </c>
      <c r="H279" s="56">
        <v>1332463</v>
      </c>
      <c r="I279" s="56">
        <v>1349150.56</v>
      </c>
      <c r="J279" s="56">
        <v>255070.14</v>
      </c>
      <c r="K279" s="56">
        <v>1281110.05</v>
      </c>
      <c r="L279" s="56">
        <v>1328553.4099999999</v>
      </c>
      <c r="M279" s="56">
        <v>2104.08</v>
      </c>
      <c r="N279" s="823"/>
      <c r="O279" s="823"/>
      <c r="P279" s="823"/>
      <c r="Q279" s="823"/>
      <c r="R279" s="823"/>
      <c r="S279" s="823"/>
      <c r="T279" s="823"/>
      <c r="U279" s="823"/>
      <c r="V279" s="823"/>
    </row>
    <row r="280" spans="1:22" ht="15.75" thickBot="1" x14ac:dyDescent="0.3">
      <c r="A280" s="51" t="s">
        <v>951</v>
      </c>
      <c r="B280" s="51" t="s">
        <v>19</v>
      </c>
      <c r="C280" s="51" t="s">
        <v>431</v>
      </c>
      <c r="D280" s="51" t="s">
        <v>15</v>
      </c>
      <c r="E280" s="51" t="s">
        <v>857</v>
      </c>
      <c r="F280" s="148">
        <v>4</v>
      </c>
      <c r="G280" s="56">
        <v>-15158</v>
      </c>
      <c r="H280" s="823"/>
      <c r="I280" s="56">
        <v>0</v>
      </c>
      <c r="J280" s="56">
        <v>0</v>
      </c>
      <c r="K280" s="56">
        <v>-4648.96</v>
      </c>
      <c r="L280" s="56">
        <v>-5153.8599999999997</v>
      </c>
      <c r="M280" s="56">
        <v>-2.72</v>
      </c>
      <c r="N280" s="56">
        <v>-259.05</v>
      </c>
      <c r="O280" s="823"/>
      <c r="P280" s="823"/>
      <c r="Q280" s="823"/>
      <c r="R280" s="823"/>
      <c r="S280" s="823"/>
      <c r="T280" s="823"/>
      <c r="U280" s="823"/>
      <c r="V280" s="823"/>
    </row>
    <row r="281" spans="1:22" ht="15.75" thickBot="1" x14ac:dyDescent="0.3">
      <c r="A281" s="51" t="s">
        <v>951</v>
      </c>
      <c r="B281" s="51" t="s">
        <v>19</v>
      </c>
      <c r="C281" s="51" t="s">
        <v>431</v>
      </c>
      <c r="D281" s="51" t="s">
        <v>15</v>
      </c>
      <c r="E281" s="51" t="s">
        <v>949</v>
      </c>
      <c r="F281" s="147">
        <v>65</v>
      </c>
      <c r="G281" s="54">
        <v>12794</v>
      </c>
      <c r="H281" s="54">
        <v>6963</v>
      </c>
      <c r="I281" s="54">
        <v>1717.84</v>
      </c>
      <c r="J281" s="54">
        <v>5743.81</v>
      </c>
      <c r="K281" s="54">
        <v>5711.27</v>
      </c>
      <c r="L281" s="54">
        <v>6717.52</v>
      </c>
      <c r="M281" s="54">
        <v>8.64</v>
      </c>
      <c r="N281" s="54">
        <v>-721.43</v>
      </c>
      <c r="O281" s="822"/>
      <c r="P281" s="822"/>
      <c r="Q281" s="822"/>
      <c r="R281" s="822"/>
      <c r="S281" s="822"/>
      <c r="T281" s="822"/>
      <c r="U281" s="822"/>
      <c r="V281" s="822"/>
    </row>
    <row r="282" spans="1:22" ht="15.75" thickBot="1" x14ac:dyDescent="0.3">
      <c r="A282" s="51" t="s">
        <v>951</v>
      </c>
      <c r="B282" s="51" t="s">
        <v>19</v>
      </c>
      <c r="C282" s="51" t="s">
        <v>431</v>
      </c>
      <c r="D282" s="51" t="s">
        <v>15</v>
      </c>
      <c r="E282" s="51" t="s">
        <v>952</v>
      </c>
      <c r="F282" s="148">
        <v>1038</v>
      </c>
      <c r="G282" s="56">
        <v>253991</v>
      </c>
      <c r="H282" s="56">
        <v>222900</v>
      </c>
      <c r="I282" s="56">
        <v>47772.5</v>
      </c>
      <c r="J282" s="56">
        <v>66798.73</v>
      </c>
      <c r="K282" s="56">
        <v>135117.31</v>
      </c>
      <c r="L282" s="56">
        <v>144766.76999999999</v>
      </c>
      <c r="M282" s="56">
        <v>228.71</v>
      </c>
      <c r="N282" s="823"/>
      <c r="O282" s="823"/>
      <c r="P282" s="823"/>
      <c r="Q282" s="823"/>
      <c r="R282" s="823"/>
      <c r="S282" s="823"/>
      <c r="T282" s="823"/>
      <c r="U282" s="823"/>
      <c r="V282" s="823"/>
    </row>
    <row r="283" spans="1:22" ht="15.75" thickBot="1" x14ac:dyDescent="0.3">
      <c r="A283" s="51" t="s">
        <v>951</v>
      </c>
      <c r="B283" s="51" t="s">
        <v>350</v>
      </c>
      <c r="C283" s="51" t="s">
        <v>432</v>
      </c>
      <c r="D283" s="51" t="s">
        <v>12</v>
      </c>
      <c r="E283" s="51" t="s">
        <v>952</v>
      </c>
      <c r="F283" s="147">
        <v>1</v>
      </c>
      <c r="G283" s="54">
        <v>296</v>
      </c>
      <c r="H283" s="822"/>
      <c r="I283" s="54">
        <v>65.010000000000005</v>
      </c>
      <c r="J283" s="822"/>
      <c r="K283" s="54">
        <v>90.78</v>
      </c>
      <c r="L283" s="54">
        <v>80.37</v>
      </c>
      <c r="M283" s="54">
        <v>0.14000000000000001</v>
      </c>
      <c r="N283" s="822"/>
      <c r="O283" s="822"/>
      <c r="P283" s="822"/>
      <c r="Q283" s="822"/>
      <c r="R283" s="822"/>
      <c r="S283" s="822"/>
      <c r="T283" s="822"/>
      <c r="U283" s="822"/>
      <c r="V283" s="822"/>
    </row>
    <row r="284" spans="1:22" ht="15.75" thickBot="1" x14ac:dyDescent="0.3">
      <c r="A284" s="51" t="s">
        <v>951</v>
      </c>
      <c r="B284" s="51" t="s">
        <v>599</v>
      </c>
      <c r="C284" s="51" t="s">
        <v>600</v>
      </c>
      <c r="D284" s="51" t="s">
        <v>12</v>
      </c>
      <c r="E284" s="51" t="s">
        <v>952</v>
      </c>
      <c r="F284" s="148">
        <v>608</v>
      </c>
      <c r="G284" s="56">
        <v>601</v>
      </c>
      <c r="H284" s="823"/>
      <c r="I284" s="56">
        <v>35995.839999999997</v>
      </c>
      <c r="J284" s="823"/>
      <c r="K284" s="56">
        <v>186.31</v>
      </c>
      <c r="L284" s="56">
        <v>180.22</v>
      </c>
      <c r="M284" s="56">
        <v>0</v>
      </c>
      <c r="N284" s="823"/>
      <c r="O284" s="823"/>
      <c r="P284" s="823"/>
      <c r="Q284" s="823"/>
      <c r="R284" s="823"/>
      <c r="S284" s="823"/>
      <c r="T284" s="823"/>
      <c r="U284" s="823"/>
      <c r="V284" s="823"/>
    </row>
    <row r="285" spans="1:22" ht="15.75" thickBot="1" x14ac:dyDescent="0.3">
      <c r="A285" s="51" t="s">
        <v>951</v>
      </c>
      <c r="B285" s="51" t="s">
        <v>13</v>
      </c>
      <c r="C285" s="51" t="s">
        <v>228</v>
      </c>
      <c r="D285" s="51" t="s">
        <v>12</v>
      </c>
      <c r="E285" s="51" t="s">
        <v>952</v>
      </c>
      <c r="F285" s="147">
        <v>1</v>
      </c>
      <c r="G285" s="54">
        <v>16021</v>
      </c>
      <c r="H285" s="822"/>
      <c r="I285" s="54">
        <v>500</v>
      </c>
      <c r="J285" s="822"/>
      <c r="K285" s="54">
        <v>1705.28</v>
      </c>
      <c r="L285" s="54">
        <v>5143</v>
      </c>
      <c r="M285" s="54">
        <v>7.69</v>
      </c>
      <c r="N285" s="822"/>
      <c r="O285" s="822"/>
      <c r="P285" s="822"/>
      <c r="Q285" s="822"/>
      <c r="R285" s="822"/>
      <c r="S285" s="822"/>
      <c r="T285" s="822"/>
      <c r="U285" s="822"/>
      <c r="V285" s="822"/>
    </row>
    <row r="286" spans="1:22" ht="15.75" thickBot="1" x14ac:dyDescent="0.3">
      <c r="A286" s="51" t="s">
        <v>951</v>
      </c>
      <c r="B286" s="51" t="s">
        <v>13</v>
      </c>
      <c r="C286" s="51" t="s">
        <v>228</v>
      </c>
      <c r="D286" s="51" t="s">
        <v>15</v>
      </c>
      <c r="E286" s="51" t="s">
        <v>952</v>
      </c>
      <c r="F286" s="148">
        <v>1</v>
      </c>
      <c r="G286" s="56">
        <v>37711</v>
      </c>
      <c r="H286" s="823"/>
      <c r="I286" s="56">
        <v>500</v>
      </c>
      <c r="J286" s="823"/>
      <c r="K286" s="56">
        <v>4013.96</v>
      </c>
      <c r="L286" s="56">
        <v>10346.280000000001</v>
      </c>
      <c r="M286" s="56">
        <v>18.100000000000001</v>
      </c>
      <c r="N286" s="823"/>
      <c r="O286" s="823"/>
      <c r="P286" s="823"/>
      <c r="Q286" s="823"/>
      <c r="R286" s="823"/>
      <c r="S286" s="823"/>
      <c r="T286" s="823"/>
      <c r="U286" s="823"/>
      <c r="V286" s="823"/>
    </row>
    <row r="287" spans="1:22" ht="15.75" thickBot="1" x14ac:dyDescent="0.3">
      <c r="A287" s="51" t="s">
        <v>951</v>
      </c>
      <c r="B287" s="51" t="s">
        <v>563</v>
      </c>
      <c r="C287" s="51" t="s">
        <v>607</v>
      </c>
      <c r="D287" s="51" t="s">
        <v>15</v>
      </c>
      <c r="E287" s="51" t="s">
        <v>949</v>
      </c>
      <c r="F287" s="148">
        <v>1</v>
      </c>
      <c r="G287" s="56">
        <v>20</v>
      </c>
      <c r="H287" s="823"/>
      <c r="I287" s="56">
        <v>285</v>
      </c>
      <c r="J287" s="823"/>
      <c r="K287" s="56">
        <v>0.72</v>
      </c>
      <c r="L287" s="56">
        <v>6.8</v>
      </c>
      <c r="M287" s="56">
        <v>0.01</v>
      </c>
      <c r="N287" s="823"/>
      <c r="O287" s="823"/>
      <c r="P287" s="56">
        <v>15862.74</v>
      </c>
      <c r="Q287" s="823"/>
      <c r="R287" s="823"/>
      <c r="S287" s="823"/>
      <c r="T287" s="823"/>
      <c r="U287" s="823"/>
      <c r="V287" s="823"/>
    </row>
    <row r="288" spans="1:22" ht="15.75" thickBot="1" x14ac:dyDescent="0.3">
      <c r="A288" s="51" t="s">
        <v>951</v>
      </c>
      <c r="B288" s="51" t="s">
        <v>563</v>
      </c>
      <c r="C288" s="51" t="s">
        <v>607</v>
      </c>
      <c r="D288" s="51" t="s">
        <v>15</v>
      </c>
      <c r="E288" s="51" t="s">
        <v>952</v>
      </c>
      <c r="F288" s="147">
        <v>1</v>
      </c>
      <c r="G288" s="54">
        <v>63</v>
      </c>
      <c r="H288" s="822"/>
      <c r="I288" s="54">
        <v>285</v>
      </c>
      <c r="J288" s="822"/>
      <c r="K288" s="54">
        <v>2.27</v>
      </c>
      <c r="L288" s="54">
        <v>16.010000000000002</v>
      </c>
      <c r="M288" s="54">
        <v>0.03</v>
      </c>
      <c r="N288" s="822"/>
      <c r="O288" s="822"/>
      <c r="P288" s="54">
        <v>15862.74</v>
      </c>
      <c r="Q288" s="822"/>
      <c r="R288" s="822"/>
      <c r="S288" s="822"/>
      <c r="T288" s="822"/>
      <c r="U288" s="822"/>
      <c r="V288" s="822"/>
    </row>
    <row r="289" spans="1:22" ht="15.75" thickBot="1" x14ac:dyDescent="0.3">
      <c r="A289" s="51" t="s">
        <v>951</v>
      </c>
      <c r="B289" s="51" t="s">
        <v>43</v>
      </c>
      <c r="C289" s="51" t="s">
        <v>433</v>
      </c>
      <c r="D289" s="51" t="s">
        <v>12</v>
      </c>
      <c r="E289" s="51" t="s">
        <v>952</v>
      </c>
      <c r="F289" s="147">
        <v>2</v>
      </c>
      <c r="G289" s="54">
        <v>75</v>
      </c>
      <c r="H289" s="822"/>
      <c r="I289" s="54">
        <v>330</v>
      </c>
      <c r="J289" s="822"/>
      <c r="K289" s="54">
        <v>2.2400000000000002</v>
      </c>
      <c r="L289" s="54">
        <v>23.78</v>
      </c>
      <c r="M289" s="822"/>
      <c r="N289" s="822"/>
      <c r="O289" s="822"/>
      <c r="P289" s="54">
        <v>1078.8800000000001</v>
      </c>
      <c r="Q289" s="822"/>
      <c r="R289" s="822"/>
      <c r="S289" s="822"/>
      <c r="T289" s="822"/>
      <c r="U289" s="822"/>
      <c r="V289" s="822"/>
    </row>
    <row r="290" spans="1:22" ht="15.75" thickBot="1" x14ac:dyDescent="0.3">
      <c r="A290" s="51" t="s">
        <v>951</v>
      </c>
      <c r="B290" s="51" t="s">
        <v>43</v>
      </c>
      <c r="C290" s="51" t="s">
        <v>433</v>
      </c>
      <c r="D290" s="51" t="s">
        <v>15</v>
      </c>
      <c r="E290" s="51" t="s">
        <v>952</v>
      </c>
      <c r="F290" s="148">
        <v>1</v>
      </c>
      <c r="G290" s="56">
        <v>2</v>
      </c>
      <c r="H290" s="823"/>
      <c r="I290" s="56">
        <v>165</v>
      </c>
      <c r="J290" s="823"/>
      <c r="K290" s="56">
        <v>0.06</v>
      </c>
      <c r="L290" s="56">
        <v>0.51</v>
      </c>
      <c r="M290" s="823"/>
      <c r="N290" s="823"/>
      <c r="O290" s="823"/>
      <c r="P290" s="56">
        <v>672.44</v>
      </c>
      <c r="Q290" s="823"/>
      <c r="R290" s="823"/>
      <c r="S290" s="823"/>
      <c r="T290" s="823"/>
      <c r="U290" s="823"/>
      <c r="V290" s="823"/>
    </row>
    <row r="291" spans="1:22" ht="15.75" thickBot="1" x14ac:dyDescent="0.3">
      <c r="A291" s="51" t="s">
        <v>951</v>
      </c>
      <c r="B291" s="51" t="s">
        <v>34</v>
      </c>
      <c r="C291" s="51" t="s">
        <v>437</v>
      </c>
      <c r="D291" s="51" t="s">
        <v>318</v>
      </c>
      <c r="E291" s="51" t="s">
        <v>949</v>
      </c>
      <c r="F291" s="148">
        <v>7</v>
      </c>
      <c r="G291" s="56">
        <v>351466</v>
      </c>
      <c r="H291" s="823"/>
      <c r="I291" s="823"/>
      <c r="J291" s="823"/>
      <c r="K291" s="823"/>
      <c r="L291" s="823"/>
      <c r="M291" s="823"/>
      <c r="N291" s="823"/>
      <c r="O291" s="823"/>
      <c r="P291" s="823"/>
      <c r="Q291" s="823"/>
      <c r="R291" s="56">
        <v>16853.61</v>
      </c>
      <c r="S291" s="56">
        <v>0</v>
      </c>
      <c r="T291" s="823"/>
      <c r="U291" s="56">
        <v>3850</v>
      </c>
      <c r="V291" s="56">
        <v>0</v>
      </c>
    </row>
    <row r="292" spans="1:22" ht="15.75" thickBot="1" x14ac:dyDescent="0.3">
      <c r="A292" s="51" t="s">
        <v>951</v>
      </c>
      <c r="B292" s="51" t="s">
        <v>34</v>
      </c>
      <c r="C292" s="51" t="s">
        <v>437</v>
      </c>
      <c r="D292" s="51" t="s">
        <v>319</v>
      </c>
      <c r="E292" s="51" t="s">
        <v>949</v>
      </c>
      <c r="F292" s="147">
        <v>2</v>
      </c>
      <c r="G292" s="54">
        <v>106397</v>
      </c>
      <c r="H292" s="822"/>
      <c r="I292" s="822"/>
      <c r="J292" s="822"/>
      <c r="K292" s="822"/>
      <c r="L292" s="822"/>
      <c r="M292" s="822"/>
      <c r="N292" s="822"/>
      <c r="O292" s="822"/>
      <c r="P292" s="822"/>
      <c r="Q292" s="822"/>
      <c r="R292" s="54">
        <v>5507.31</v>
      </c>
      <c r="S292" s="54">
        <v>-20.84</v>
      </c>
      <c r="T292" s="54">
        <v>82.79</v>
      </c>
      <c r="U292" s="54">
        <v>1100</v>
      </c>
      <c r="V292" s="54">
        <v>19.739999999999998</v>
      </c>
    </row>
    <row r="293" spans="1:22" ht="15.75" thickBot="1" x14ac:dyDescent="0.3">
      <c r="A293" s="51" t="s">
        <v>951</v>
      </c>
      <c r="B293" s="51" t="s">
        <v>24</v>
      </c>
      <c r="C293" s="51" t="s">
        <v>436</v>
      </c>
      <c r="D293" s="51" t="s">
        <v>16</v>
      </c>
      <c r="E293" s="51" t="s">
        <v>857</v>
      </c>
      <c r="F293" s="147">
        <v>1</v>
      </c>
      <c r="G293" s="54">
        <v>-850</v>
      </c>
      <c r="H293" s="822"/>
      <c r="I293" s="54">
        <v>0</v>
      </c>
      <c r="J293" s="822"/>
      <c r="K293" s="54">
        <v>-186.39</v>
      </c>
      <c r="L293" s="54">
        <v>-289.01</v>
      </c>
      <c r="M293" s="822"/>
      <c r="N293" s="822"/>
      <c r="O293" s="822"/>
      <c r="P293" s="822"/>
      <c r="Q293" s="822"/>
      <c r="R293" s="822"/>
      <c r="S293" s="822"/>
      <c r="T293" s="822"/>
      <c r="U293" s="822"/>
      <c r="V293" s="822"/>
    </row>
    <row r="294" spans="1:22" ht="15.75" thickBot="1" x14ac:dyDescent="0.3">
      <c r="A294" s="51" t="s">
        <v>951</v>
      </c>
      <c r="B294" s="51" t="s">
        <v>24</v>
      </c>
      <c r="C294" s="51" t="s">
        <v>436</v>
      </c>
      <c r="D294" s="51" t="s">
        <v>16</v>
      </c>
      <c r="E294" s="51" t="s">
        <v>949</v>
      </c>
      <c r="F294" s="148">
        <v>5</v>
      </c>
      <c r="G294" s="56">
        <v>1916</v>
      </c>
      <c r="H294" s="56">
        <v>0</v>
      </c>
      <c r="I294" s="56">
        <v>319.77999999999997</v>
      </c>
      <c r="J294" s="56">
        <v>813.12</v>
      </c>
      <c r="K294" s="56">
        <v>420.16</v>
      </c>
      <c r="L294" s="56">
        <v>651.46</v>
      </c>
      <c r="M294" s="823"/>
      <c r="N294" s="823"/>
      <c r="O294" s="823"/>
      <c r="P294" s="823"/>
      <c r="Q294" s="823"/>
      <c r="R294" s="823"/>
      <c r="S294" s="823"/>
      <c r="T294" s="823"/>
      <c r="U294" s="823"/>
      <c r="V294" s="823"/>
    </row>
    <row r="295" spans="1:22" ht="15.75" thickBot="1" x14ac:dyDescent="0.3">
      <c r="A295" s="51" t="s">
        <v>951</v>
      </c>
      <c r="B295" s="51" t="s">
        <v>24</v>
      </c>
      <c r="C295" s="51" t="s">
        <v>436</v>
      </c>
      <c r="D295" s="51" t="s">
        <v>16</v>
      </c>
      <c r="E295" s="51" t="s">
        <v>952</v>
      </c>
      <c r="F295" s="147">
        <v>76</v>
      </c>
      <c r="G295" s="54">
        <v>48883</v>
      </c>
      <c r="H295" s="54">
        <v>297817</v>
      </c>
      <c r="I295" s="54">
        <v>5306.18</v>
      </c>
      <c r="J295" s="54">
        <v>32721.919999999998</v>
      </c>
      <c r="K295" s="54">
        <v>61137</v>
      </c>
      <c r="L295" s="54">
        <v>107750.45</v>
      </c>
      <c r="M295" s="822"/>
      <c r="N295" s="822"/>
      <c r="O295" s="822"/>
      <c r="P295" s="822"/>
      <c r="Q295" s="822"/>
      <c r="R295" s="822"/>
      <c r="S295" s="822"/>
      <c r="T295" s="822"/>
      <c r="U295" s="822"/>
      <c r="V295" s="822"/>
    </row>
    <row r="296" spans="1:22" ht="15.75" thickBot="1" x14ac:dyDescent="0.3">
      <c r="A296" s="51" t="s">
        <v>951</v>
      </c>
      <c r="B296" s="51" t="s">
        <v>24</v>
      </c>
      <c r="C296" s="51" t="s">
        <v>436</v>
      </c>
      <c r="D296" s="51" t="s">
        <v>12</v>
      </c>
      <c r="E296" s="51" t="s">
        <v>952</v>
      </c>
      <c r="F296" s="147">
        <v>9</v>
      </c>
      <c r="G296" s="54">
        <v>5240</v>
      </c>
      <c r="H296" s="54">
        <v>50158</v>
      </c>
      <c r="I296" s="54">
        <v>970.18</v>
      </c>
      <c r="J296" s="54">
        <v>2266.88</v>
      </c>
      <c r="K296" s="54">
        <v>9640.34</v>
      </c>
      <c r="L296" s="54">
        <v>15216.23</v>
      </c>
      <c r="M296" s="822"/>
      <c r="N296" s="822"/>
      <c r="O296" s="822"/>
      <c r="P296" s="822"/>
      <c r="Q296" s="822"/>
      <c r="R296" s="822"/>
      <c r="S296" s="822"/>
      <c r="T296" s="822"/>
      <c r="U296" s="822"/>
      <c r="V296" s="822"/>
    </row>
    <row r="297" spans="1:22" ht="15.75" thickBot="1" x14ac:dyDescent="0.3">
      <c r="A297" s="51" t="s">
        <v>951</v>
      </c>
      <c r="B297" s="51" t="s">
        <v>434</v>
      </c>
      <c r="C297" s="51" t="s">
        <v>435</v>
      </c>
      <c r="D297" s="51" t="s">
        <v>16</v>
      </c>
      <c r="E297" s="51" t="s">
        <v>857</v>
      </c>
      <c r="F297" s="147">
        <v>2</v>
      </c>
      <c r="G297" s="54">
        <v>-148</v>
      </c>
      <c r="H297" s="822"/>
      <c r="I297" s="54">
        <v>0</v>
      </c>
      <c r="J297" s="54">
        <v>172.48</v>
      </c>
      <c r="K297" s="54">
        <v>-32.450000000000003</v>
      </c>
      <c r="L297" s="54">
        <v>-50.32</v>
      </c>
      <c r="M297" s="54">
        <v>-0.03</v>
      </c>
      <c r="N297" s="822"/>
      <c r="O297" s="822"/>
      <c r="P297" s="822"/>
      <c r="Q297" s="822"/>
      <c r="R297" s="822"/>
      <c r="S297" s="822"/>
      <c r="T297" s="822"/>
      <c r="U297" s="822"/>
      <c r="V297" s="822"/>
    </row>
    <row r="298" spans="1:22" ht="15.75" thickBot="1" x14ac:dyDescent="0.3">
      <c r="A298" s="51" t="s">
        <v>951</v>
      </c>
      <c r="B298" s="51" t="s">
        <v>434</v>
      </c>
      <c r="C298" s="51" t="s">
        <v>435</v>
      </c>
      <c r="D298" s="51" t="s">
        <v>16</v>
      </c>
      <c r="E298" s="51" t="s">
        <v>949</v>
      </c>
      <c r="F298" s="148">
        <v>5</v>
      </c>
      <c r="G298" s="56">
        <v>853</v>
      </c>
      <c r="H298" s="56">
        <v>530</v>
      </c>
      <c r="I298" s="56">
        <v>0</v>
      </c>
      <c r="J298" s="56">
        <v>1453.76</v>
      </c>
      <c r="K298" s="56">
        <v>276.77</v>
      </c>
      <c r="L298" s="56">
        <v>470.24</v>
      </c>
      <c r="M298" s="56">
        <v>0.45</v>
      </c>
      <c r="N298" s="823"/>
      <c r="O298" s="823"/>
      <c r="P298" s="823"/>
      <c r="Q298" s="823"/>
      <c r="R298" s="823"/>
      <c r="S298" s="823"/>
      <c r="T298" s="823"/>
      <c r="U298" s="823"/>
      <c r="V298" s="823"/>
    </row>
    <row r="299" spans="1:22" ht="15.75" thickBot="1" x14ac:dyDescent="0.3">
      <c r="A299" s="51" t="s">
        <v>951</v>
      </c>
      <c r="B299" s="51" t="s">
        <v>434</v>
      </c>
      <c r="C299" s="51" t="s">
        <v>435</v>
      </c>
      <c r="D299" s="51" t="s">
        <v>16</v>
      </c>
      <c r="E299" s="51" t="s">
        <v>952</v>
      </c>
      <c r="F299" s="147">
        <v>120</v>
      </c>
      <c r="G299" s="54">
        <v>60166</v>
      </c>
      <c r="H299" s="54">
        <v>281115</v>
      </c>
      <c r="I299" s="54">
        <v>10877.94</v>
      </c>
      <c r="J299" s="54">
        <v>39424</v>
      </c>
      <c r="K299" s="54">
        <v>60783.75</v>
      </c>
      <c r="L299" s="54">
        <v>100559.76</v>
      </c>
      <c r="M299" s="54">
        <v>163.83000000000001</v>
      </c>
      <c r="N299" s="822"/>
      <c r="O299" s="822"/>
      <c r="P299" s="822"/>
      <c r="Q299" s="822"/>
      <c r="R299" s="822"/>
      <c r="S299" s="822"/>
      <c r="T299" s="822"/>
      <c r="U299" s="822"/>
      <c r="V299" s="822"/>
    </row>
    <row r="300" spans="1:22" ht="15.75" thickBot="1" x14ac:dyDescent="0.3">
      <c r="A300" s="51" t="s">
        <v>951</v>
      </c>
      <c r="B300" s="51" t="s">
        <v>434</v>
      </c>
      <c r="C300" s="51" t="s">
        <v>435</v>
      </c>
      <c r="D300" s="51" t="s">
        <v>12</v>
      </c>
      <c r="E300" s="51" t="s">
        <v>952</v>
      </c>
      <c r="F300" s="147">
        <v>11</v>
      </c>
      <c r="G300" s="54">
        <v>7483</v>
      </c>
      <c r="H300" s="54">
        <v>66194</v>
      </c>
      <c r="I300" s="54">
        <v>981.02</v>
      </c>
      <c r="J300" s="54">
        <v>3622.08</v>
      </c>
      <c r="K300" s="54">
        <v>12846.95</v>
      </c>
      <c r="L300" s="54">
        <v>22120.959999999999</v>
      </c>
      <c r="M300" s="54">
        <v>35.369999999999997</v>
      </c>
      <c r="N300" s="822"/>
      <c r="O300" s="822"/>
      <c r="P300" s="822"/>
      <c r="Q300" s="822"/>
      <c r="R300" s="822"/>
      <c r="S300" s="822"/>
      <c r="T300" s="822"/>
      <c r="U300" s="822"/>
      <c r="V300" s="822"/>
    </row>
    <row r="301" spans="1:22" ht="15.75" thickBot="1" x14ac:dyDescent="0.3">
      <c r="A301" s="51" t="s">
        <v>951</v>
      </c>
      <c r="B301" s="51" t="s">
        <v>434</v>
      </c>
      <c r="C301" s="51" t="s">
        <v>435</v>
      </c>
      <c r="D301" s="51" t="s">
        <v>15</v>
      </c>
      <c r="E301" s="51" t="s">
        <v>949</v>
      </c>
      <c r="F301" s="148">
        <v>1</v>
      </c>
      <c r="G301" s="56">
        <v>-1000</v>
      </c>
      <c r="H301" s="56">
        <v>-240</v>
      </c>
      <c r="I301" s="56">
        <v>0</v>
      </c>
      <c r="J301" s="56">
        <v>0</v>
      </c>
      <c r="K301" s="56">
        <v>-259.92</v>
      </c>
      <c r="L301" s="56">
        <v>-421.61</v>
      </c>
      <c r="M301" s="56">
        <v>-0.3</v>
      </c>
      <c r="N301" s="823"/>
      <c r="O301" s="823"/>
      <c r="P301" s="823"/>
      <c r="Q301" s="823"/>
      <c r="R301" s="823"/>
      <c r="S301" s="823"/>
      <c r="T301" s="823"/>
      <c r="U301" s="823"/>
      <c r="V301" s="823"/>
    </row>
    <row r="302" spans="1:22" ht="15.75" thickBot="1" x14ac:dyDescent="0.3">
      <c r="A302" s="51" t="s">
        <v>951</v>
      </c>
      <c r="B302" s="51" t="s">
        <v>434</v>
      </c>
      <c r="C302" s="51" t="s">
        <v>435</v>
      </c>
      <c r="D302" s="51" t="s">
        <v>15</v>
      </c>
      <c r="E302" s="51" t="s">
        <v>952</v>
      </c>
      <c r="F302" s="147">
        <v>1</v>
      </c>
      <c r="G302" s="54">
        <v>0</v>
      </c>
      <c r="H302" s="822"/>
      <c r="I302" s="54">
        <v>0</v>
      </c>
      <c r="J302" s="54">
        <v>862.4</v>
      </c>
      <c r="K302" s="54">
        <v>0</v>
      </c>
      <c r="L302" s="54">
        <v>0</v>
      </c>
      <c r="M302" s="54">
        <v>0</v>
      </c>
      <c r="N302" s="822"/>
      <c r="O302" s="822"/>
      <c r="P302" s="822"/>
      <c r="Q302" s="822"/>
      <c r="R302" s="822"/>
      <c r="S302" s="822"/>
      <c r="T302" s="822"/>
      <c r="U302" s="822"/>
      <c r="V302" s="822"/>
    </row>
    <row r="303" spans="1:22" ht="15.75" thickBot="1" x14ac:dyDescent="0.3">
      <c r="A303" s="51" t="s">
        <v>951</v>
      </c>
      <c r="B303" s="51" t="s">
        <v>429</v>
      </c>
      <c r="C303" s="51" t="s">
        <v>430</v>
      </c>
      <c r="D303" s="51" t="s">
        <v>16</v>
      </c>
      <c r="E303" s="51" t="s">
        <v>952</v>
      </c>
      <c r="F303" s="148">
        <v>1</v>
      </c>
      <c r="G303" s="56">
        <v>18747</v>
      </c>
      <c r="H303" s="823"/>
      <c r="I303" s="56">
        <v>500</v>
      </c>
      <c r="J303" s="823"/>
      <c r="K303" s="56">
        <v>1995.43</v>
      </c>
      <c r="L303" s="56">
        <v>4876.84</v>
      </c>
      <c r="M303" s="56">
        <v>9</v>
      </c>
      <c r="N303" s="823"/>
      <c r="O303" s="823"/>
      <c r="P303" s="823"/>
      <c r="Q303" s="823"/>
      <c r="R303" s="823"/>
      <c r="S303" s="823"/>
      <c r="T303" s="823"/>
      <c r="U303" s="823"/>
      <c r="V303" s="823"/>
    </row>
    <row r="304" spans="1:22" ht="15.75" thickBot="1" x14ac:dyDescent="0.3">
      <c r="A304" s="51" t="s">
        <v>951</v>
      </c>
      <c r="B304" s="51" t="s">
        <v>31</v>
      </c>
      <c r="C304" s="51" t="s">
        <v>835</v>
      </c>
      <c r="D304" s="51" t="s">
        <v>320</v>
      </c>
      <c r="E304" s="51" t="s">
        <v>949</v>
      </c>
      <c r="F304" s="147">
        <v>2</v>
      </c>
      <c r="G304" s="54">
        <v>2000</v>
      </c>
      <c r="H304" s="54">
        <v>109598</v>
      </c>
      <c r="I304" s="822"/>
      <c r="J304" s="822"/>
      <c r="K304" s="822"/>
      <c r="L304" s="822"/>
      <c r="M304" s="822"/>
      <c r="N304" s="822"/>
      <c r="O304" s="822"/>
      <c r="P304" s="822"/>
      <c r="Q304" s="54">
        <v>2824.7</v>
      </c>
      <c r="R304" s="54">
        <v>30026.97</v>
      </c>
      <c r="S304" s="54">
        <v>0</v>
      </c>
      <c r="T304" s="822"/>
      <c r="U304" s="54">
        <v>1100</v>
      </c>
      <c r="V304" s="822"/>
    </row>
    <row r="305" spans="1:22" ht="15.75" thickBot="1" x14ac:dyDescent="0.3">
      <c r="A305" s="51" t="s">
        <v>951</v>
      </c>
      <c r="B305" s="51" t="s">
        <v>491</v>
      </c>
      <c r="C305" s="51" t="s">
        <v>492</v>
      </c>
      <c r="D305" s="51" t="s">
        <v>320</v>
      </c>
      <c r="E305" s="51" t="s">
        <v>949</v>
      </c>
      <c r="F305" s="148">
        <v>6</v>
      </c>
      <c r="G305" s="56">
        <v>5614</v>
      </c>
      <c r="H305" s="56">
        <v>266040</v>
      </c>
      <c r="I305" s="823"/>
      <c r="J305" s="823"/>
      <c r="K305" s="823"/>
      <c r="L305" s="823"/>
      <c r="M305" s="823"/>
      <c r="N305" s="823"/>
      <c r="O305" s="823"/>
      <c r="P305" s="823"/>
      <c r="Q305" s="56">
        <v>0</v>
      </c>
      <c r="R305" s="56">
        <v>74096.320000000007</v>
      </c>
      <c r="S305" s="56">
        <v>0</v>
      </c>
      <c r="T305" s="823"/>
      <c r="U305" s="56">
        <v>3300</v>
      </c>
      <c r="V305" s="823"/>
    </row>
    <row r="306" spans="1:22" ht="15.75" thickBot="1" x14ac:dyDescent="0.3">
      <c r="A306" s="51" t="s">
        <v>951</v>
      </c>
      <c r="B306" s="51" t="s">
        <v>52</v>
      </c>
      <c r="C306" s="51" t="s">
        <v>355</v>
      </c>
      <c r="D306" s="51" t="s">
        <v>320</v>
      </c>
      <c r="E306" s="51" t="s">
        <v>949</v>
      </c>
      <c r="F306" s="147">
        <v>2</v>
      </c>
      <c r="G306" s="822"/>
      <c r="H306" s="822"/>
      <c r="I306" s="822"/>
      <c r="J306" s="822"/>
      <c r="K306" s="822"/>
      <c r="L306" s="822"/>
      <c r="M306" s="822"/>
      <c r="N306" s="822"/>
      <c r="O306" s="822"/>
      <c r="P306" s="822"/>
      <c r="Q306" s="822"/>
      <c r="R306" s="54">
        <v>0</v>
      </c>
      <c r="S306" s="54">
        <v>-2179.79</v>
      </c>
      <c r="T306" s="54">
        <v>762.71</v>
      </c>
      <c r="U306" s="54">
        <v>675</v>
      </c>
      <c r="V306" s="54">
        <v>0</v>
      </c>
    </row>
    <row r="307" spans="1:22" ht="15.75" thickBot="1" x14ac:dyDescent="0.3">
      <c r="A307" s="51" t="s">
        <v>951</v>
      </c>
      <c r="B307" s="51" t="s">
        <v>53</v>
      </c>
      <c r="C307" s="51" t="s">
        <v>836</v>
      </c>
      <c r="D307" s="51" t="s">
        <v>320</v>
      </c>
      <c r="E307" s="51" t="s">
        <v>949</v>
      </c>
      <c r="F307" s="148">
        <v>1</v>
      </c>
      <c r="G307" s="56">
        <v>173389</v>
      </c>
      <c r="H307" s="823"/>
      <c r="I307" s="823"/>
      <c r="J307" s="823"/>
      <c r="K307" s="823"/>
      <c r="L307" s="823"/>
      <c r="M307" s="823"/>
      <c r="N307" s="823"/>
      <c r="O307" s="823"/>
      <c r="P307" s="823"/>
      <c r="Q307" s="823"/>
      <c r="R307" s="56">
        <v>33802.83</v>
      </c>
      <c r="S307" s="823"/>
      <c r="T307" s="823"/>
      <c r="U307" s="56">
        <v>550</v>
      </c>
      <c r="V307" s="823"/>
    </row>
    <row r="308" spans="1:22" ht="15.75" thickBot="1" x14ac:dyDescent="0.3">
      <c r="A308" s="51" t="s">
        <v>951</v>
      </c>
      <c r="B308" s="51" t="s">
        <v>36</v>
      </c>
      <c r="C308" s="51" t="s">
        <v>438</v>
      </c>
      <c r="D308" s="51" t="s">
        <v>320</v>
      </c>
      <c r="E308" s="51" t="s">
        <v>949</v>
      </c>
      <c r="F308" s="147">
        <v>49</v>
      </c>
      <c r="G308" s="54">
        <v>6520675</v>
      </c>
      <c r="H308" s="822"/>
      <c r="I308" s="822"/>
      <c r="J308" s="822"/>
      <c r="K308" s="822"/>
      <c r="L308" s="822"/>
      <c r="M308" s="822"/>
      <c r="N308" s="822"/>
      <c r="O308" s="822"/>
      <c r="P308" s="822"/>
      <c r="Q308" s="822"/>
      <c r="R308" s="54">
        <v>381420.18</v>
      </c>
      <c r="S308" s="54">
        <v>252.75</v>
      </c>
      <c r="T308" s="54">
        <v>2632.06</v>
      </c>
      <c r="U308" s="54">
        <v>26400</v>
      </c>
      <c r="V308" s="54">
        <v>772.37</v>
      </c>
    </row>
    <row r="309" spans="1:22" ht="15.75" thickBot="1" x14ac:dyDescent="0.3">
      <c r="A309" s="51" t="s">
        <v>951</v>
      </c>
      <c r="B309" s="51" t="s">
        <v>36</v>
      </c>
      <c r="C309" s="51" t="s">
        <v>438</v>
      </c>
      <c r="D309" s="51" t="s">
        <v>320</v>
      </c>
      <c r="E309" s="51" t="s">
        <v>952</v>
      </c>
      <c r="F309" s="148">
        <v>1</v>
      </c>
      <c r="G309" s="56">
        <v>0</v>
      </c>
      <c r="H309" s="823"/>
      <c r="I309" s="823"/>
      <c r="J309" s="823"/>
      <c r="K309" s="823"/>
      <c r="L309" s="823"/>
      <c r="M309" s="823"/>
      <c r="N309" s="823"/>
      <c r="O309" s="823"/>
      <c r="P309" s="823"/>
      <c r="Q309" s="823"/>
      <c r="R309" s="56">
        <v>4417.5</v>
      </c>
      <c r="S309" s="56">
        <v>0</v>
      </c>
      <c r="T309" s="823"/>
      <c r="U309" s="56">
        <v>550</v>
      </c>
      <c r="V309" s="56">
        <v>0</v>
      </c>
    </row>
    <row r="310" spans="1:22" ht="15.75" thickBot="1" x14ac:dyDescent="0.3">
      <c r="A310" s="51" t="s">
        <v>951</v>
      </c>
      <c r="B310" s="51" t="s">
        <v>36</v>
      </c>
      <c r="C310" s="51" t="s">
        <v>438</v>
      </c>
      <c r="D310" s="51" t="s">
        <v>319</v>
      </c>
      <c r="E310" s="51" t="s">
        <v>949</v>
      </c>
      <c r="F310" s="148">
        <v>2</v>
      </c>
      <c r="G310" s="56">
        <v>676007</v>
      </c>
      <c r="H310" s="823"/>
      <c r="I310" s="823"/>
      <c r="J310" s="823"/>
      <c r="K310" s="823"/>
      <c r="L310" s="823"/>
      <c r="M310" s="823"/>
      <c r="N310" s="823"/>
      <c r="O310" s="823"/>
      <c r="P310" s="823"/>
      <c r="Q310" s="823"/>
      <c r="R310" s="56">
        <v>22857.19</v>
      </c>
      <c r="S310" s="56">
        <v>0</v>
      </c>
      <c r="T310" s="823"/>
      <c r="U310" s="56">
        <v>1100</v>
      </c>
      <c r="V310" s="56">
        <v>0</v>
      </c>
    </row>
    <row r="311" spans="1:22" ht="15.75" thickBot="1" x14ac:dyDescent="0.3">
      <c r="A311" s="51" t="s">
        <v>951</v>
      </c>
      <c r="B311" s="51" t="s">
        <v>447</v>
      </c>
      <c r="C311" s="51" t="s">
        <v>494</v>
      </c>
      <c r="D311" s="51" t="s">
        <v>320</v>
      </c>
      <c r="E311" s="51" t="s">
        <v>949</v>
      </c>
      <c r="F311" s="148">
        <v>15</v>
      </c>
      <c r="G311" s="56">
        <v>715529</v>
      </c>
      <c r="H311" s="823"/>
      <c r="I311" s="823"/>
      <c r="J311" s="823"/>
      <c r="K311" s="823"/>
      <c r="L311" s="823"/>
      <c r="M311" s="823"/>
      <c r="N311" s="823"/>
      <c r="O311" s="823"/>
      <c r="P311" s="823"/>
      <c r="Q311" s="56">
        <v>-12.25</v>
      </c>
      <c r="R311" s="56">
        <v>40084.730000000003</v>
      </c>
      <c r="S311" s="56">
        <v>0</v>
      </c>
      <c r="T311" s="823"/>
      <c r="U311" s="56">
        <v>8250</v>
      </c>
      <c r="V311" s="56">
        <v>0</v>
      </c>
    </row>
    <row r="312" spans="1:22" ht="15.75" thickBot="1" x14ac:dyDescent="0.3">
      <c r="A312" s="51" t="s">
        <v>951</v>
      </c>
      <c r="B312" s="51" t="s">
        <v>38</v>
      </c>
      <c r="C312" s="51" t="s">
        <v>39</v>
      </c>
      <c r="D312" s="51" t="s">
        <v>320</v>
      </c>
      <c r="E312" s="51" t="s">
        <v>949</v>
      </c>
      <c r="F312" s="147">
        <v>3</v>
      </c>
      <c r="G312" s="822"/>
      <c r="H312" s="822"/>
      <c r="I312" s="822"/>
      <c r="J312" s="822"/>
      <c r="K312" s="822"/>
      <c r="L312" s="822"/>
      <c r="M312" s="822"/>
      <c r="N312" s="822"/>
      <c r="O312" s="822"/>
      <c r="P312" s="822"/>
      <c r="Q312" s="822"/>
      <c r="R312" s="54">
        <v>20430.060000000001</v>
      </c>
      <c r="S312" s="54">
        <v>-5407.31</v>
      </c>
      <c r="T312" s="54">
        <v>8879.1200000000008</v>
      </c>
      <c r="U312" s="54">
        <v>5325</v>
      </c>
      <c r="V312" s="54">
        <v>6125.63</v>
      </c>
    </row>
    <row r="313" spans="1:22" ht="15.75" thickBot="1" x14ac:dyDescent="0.3">
      <c r="A313" s="51" t="s">
        <v>951</v>
      </c>
      <c r="B313" s="51" t="s">
        <v>32</v>
      </c>
      <c r="C313" s="51" t="s">
        <v>33</v>
      </c>
      <c r="D313" s="51" t="s">
        <v>85</v>
      </c>
      <c r="E313" s="51" t="s">
        <v>952</v>
      </c>
      <c r="F313" s="148">
        <v>1</v>
      </c>
      <c r="G313" s="56">
        <v>87540</v>
      </c>
      <c r="H313" s="823"/>
      <c r="I313" s="56">
        <v>0</v>
      </c>
      <c r="J313" s="56">
        <v>2250</v>
      </c>
      <c r="K313" s="56">
        <v>2619.1999999999998</v>
      </c>
      <c r="L313" s="56">
        <v>22243.91</v>
      </c>
      <c r="M313" s="823"/>
      <c r="N313" s="823"/>
      <c r="O313" s="823"/>
      <c r="P313" s="56">
        <v>541402.71</v>
      </c>
      <c r="Q313" s="823"/>
      <c r="R313" s="823"/>
      <c r="S313" s="823"/>
      <c r="T313" s="823"/>
      <c r="U313" s="823"/>
      <c r="V313" s="823"/>
    </row>
    <row r="314" spans="1:22" ht="15.75" thickBot="1" x14ac:dyDescent="0.3">
      <c r="A314" s="51" t="s">
        <v>951</v>
      </c>
      <c r="B314" s="51" t="s">
        <v>26</v>
      </c>
      <c r="C314" s="51" t="s">
        <v>27</v>
      </c>
      <c r="D314" s="51" t="s">
        <v>12</v>
      </c>
      <c r="E314" s="51" t="s">
        <v>949</v>
      </c>
      <c r="F314" s="147">
        <v>1</v>
      </c>
      <c r="G314" s="54">
        <v>0</v>
      </c>
      <c r="H314" s="822"/>
      <c r="I314" s="54">
        <v>21.45</v>
      </c>
      <c r="J314" s="822"/>
      <c r="K314" s="54">
        <v>0</v>
      </c>
      <c r="L314" s="54">
        <v>0</v>
      </c>
      <c r="M314" s="54">
        <v>0</v>
      </c>
      <c r="N314" s="822"/>
      <c r="O314" s="822"/>
      <c r="P314" s="822"/>
      <c r="Q314" s="822"/>
      <c r="R314" s="822"/>
      <c r="S314" s="822"/>
      <c r="T314" s="822"/>
      <c r="U314" s="822"/>
      <c r="V314" s="822"/>
    </row>
    <row r="315" spans="1:22" ht="15.75" thickBot="1" x14ac:dyDescent="0.3">
      <c r="A315" s="51" t="s">
        <v>951</v>
      </c>
      <c r="B315" s="51" t="s">
        <v>26</v>
      </c>
      <c r="C315" s="51" t="s">
        <v>27</v>
      </c>
      <c r="D315" s="51" t="s">
        <v>12</v>
      </c>
      <c r="E315" s="51" t="s">
        <v>952</v>
      </c>
      <c r="F315" s="148">
        <v>7</v>
      </c>
      <c r="G315" s="56">
        <v>225</v>
      </c>
      <c r="H315" s="823"/>
      <c r="I315" s="56">
        <v>135.19999999999999</v>
      </c>
      <c r="J315" s="823"/>
      <c r="K315" s="56">
        <v>82.76</v>
      </c>
      <c r="L315" s="56">
        <v>66.88</v>
      </c>
      <c r="M315" s="56">
        <v>-0.35</v>
      </c>
      <c r="N315" s="823"/>
      <c r="O315" s="823"/>
      <c r="P315" s="823"/>
      <c r="Q315" s="823"/>
      <c r="R315" s="823"/>
      <c r="S315" s="823"/>
      <c r="T315" s="823"/>
      <c r="U315" s="823"/>
      <c r="V315" s="823"/>
    </row>
    <row r="316" spans="1:22" ht="15.75" thickBot="1" x14ac:dyDescent="0.3">
      <c r="A316" s="51" t="s">
        <v>951</v>
      </c>
      <c r="B316" s="51" t="s">
        <v>26</v>
      </c>
      <c r="C316" s="51" t="s">
        <v>27</v>
      </c>
      <c r="D316" s="51" t="s">
        <v>15</v>
      </c>
      <c r="E316" s="51" t="s">
        <v>949</v>
      </c>
      <c r="F316" s="148">
        <v>1</v>
      </c>
      <c r="G316" s="56">
        <v>21</v>
      </c>
      <c r="H316" s="823"/>
      <c r="I316" s="56">
        <v>19.5</v>
      </c>
      <c r="J316" s="823"/>
      <c r="K316" s="56">
        <v>7.72</v>
      </c>
      <c r="L316" s="56">
        <v>7.14</v>
      </c>
      <c r="M316" s="56">
        <v>-0.04</v>
      </c>
      <c r="N316" s="56">
        <v>0.39</v>
      </c>
      <c r="O316" s="823"/>
      <c r="P316" s="823"/>
      <c r="Q316" s="823"/>
      <c r="R316" s="823"/>
      <c r="S316" s="823"/>
      <c r="T316" s="823"/>
      <c r="U316" s="823"/>
      <c r="V316" s="823"/>
    </row>
    <row r="317" spans="1:22" ht="15.75" thickBot="1" x14ac:dyDescent="0.3">
      <c r="A317" s="51" t="s">
        <v>951</v>
      </c>
      <c r="B317" s="51" t="s">
        <v>26</v>
      </c>
      <c r="C317" s="51" t="s">
        <v>27</v>
      </c>
      <c r="D317" s="51" t="s">
        <v>15</v>
      </c>
      <c r="E317" s="51" t="s">
        <v>952</v>
      </c>
      <c r="F317" s="147">
        <v>149</v>
      </c>
      <c r="G317" s="54">
        <v>4153</v>
      </c>
      <c r="H317" s="822"/>
      <c r="I317" s="54">
        <v>2900.3</v>
      </c>
      <c r="J317" s="822"/>
      <c r="K317" s="54">
        <v>1527.54</v>
      </c>
      <c r="L317" s="54">
        <v>1283.01</v>
      </c>
      <c r="M317" s="54">
        <v>-6.52</v>
      </c>
      <c r="N317" s="822"/>
      <c r="O317" s="822"/>
      <c r="P317" s="822"/>
      <c r="Q317" s="822"/>
      <c r="R317" s="822"/>
      <c r="S317" s="822"/>
      <c r="T317" s="822"/>
      <c r="U317" s="822"/>
      <c r="V317" s="822"/>
    </row>
    <row r="318" spans="1:22" ht="15.75" thickBot="1" x14ac:dyDescent="0.3">
      <c r="A318" s="51" t="s">
        <v>951</v>
      </c>
      <c r="B318" s="51" t="s">
        <v>26</v>
      </c>
      <c r="C318" s="51" t="s">
        <v>27</v>
      </c>
      <c r="D318" s="51" t="s">
        <v>21</v>
      </c>
      <c r="E318" s="51" t="s">
        <v>846</v>
      </c>
      <c r="F318" s="147">
        <v>1</v>
      </c>
      <c r="G318" s="54">
        <v>0</v>
      </c>
      <c r="H318" s="822"/>
      <c r="I318" s="54">
        <v>0.45</v>
      </c>
      <c r="J318" s="822"/>
      <c r="K318" s="54">
        <v>0</v>
      </c>
      <c r="L318" s="54">
        <v>0</v>
      </c>
      <c r="M318" s="54">
        <v>0</v>
      </c>
      <c r="N318" s="822"/>
      <c r="O318" s="54">
        <v>0.21</v>
      </c>
      <c r="P318" s="822"/>
      <c r="Q318" s="822"/>
      <c r="R318" s="822"/>
      <c r="S318" s="822"/>
      <c r="T318" s="822"/>
      <c r="U318" s="822"/>
      <c r="V318" s="822"/>
    </row>
    <row r="319" spans="1:22" ht="15.75" thickBot="1" x14ac:dyDescent="0.3">
      <c r="A319" s="51" t="s">
        <v>951</v>
      </c>
      <c r="B319" s="51" t="s">
        <v>26</v>
      </c>
      <c r="C319" s="51" t="s">
        <v>27</v>
      </c>
      <c r="D319" s="51" t="s">
        <v>21</v>
      </c>
      <c r="E319" s="51" t="s">
        <v>847</v>
      </c>
      <c r="F319" s="148">
        <v>1</v>
      </c>
      <c r="G319" s="56">
        <v>0</v>
      </c>
      <c r="H319" s="823"/>
      <c r="I319" s="56">
        <v>-13.5</v>
      </c>
      <c r="J319" s="823"/>
      <c r="K319" s="56">
        <v>0</v>
      </c>
      <c r="L319" s="56">
        <v>0</v>
      </c>
      <c r="M319" s="56">
        <v>0</v>
      </c>
      <c r="N319" s="823"/>
      <c r="O319" s="56">
        <v>-6.24</v>
      </c>
      <c r="P319" s="823"/>
      <c r="Q319" s="823"/>
      <c r="R319" s="823"/>
      <c r="S319" s="823"/>
      <c r="T319" s="823"/>
      <c r="U319" s="823"/>
      <c r="V319" s="823"/>
    </row>
    <row r="320" spans="1:22" ht="15.75" thickBot="1" x14ac:dyDescent="0.3">
      <c r="A320" s="51" t="s">
        <v>951</v>
      </c>
      <c r="B320" s="51" t="s">
        <v>26</v>
      </c>
      <c r="C320" s="51" t="s">
        <v>27</v>
      </c>
      <c r="D320" s="51" t="s">
        <v>21</v>
      </c>
      <c r="E320" s="51" t="s">
        <v>848</v>
      </c>
      <c r="F320" s="147">
        <v>1</v>
      </c>
      <c r="G320" s="54">
        <v>0</v>
      </c>
      <c r="H320" s="822"/>
      <c r="I320" s="54">
        <v>-13.5</v>
      </c>
      <c r="J320" s="822"/>
      <c r="K320" s="54">
        <v>0</v>
      </c>
      <c r="L320" s="54">
        <v>0</v>
      </c>
      <c r="M320" s="54">
        <v>0</v>
      </c>
      <c r="N320" s="822"/>
      <c r="O320" s="54">
        <v>-6.21</v>
      </c>
      <c r="P320" s="822"/>
      <c r="Q320" s="822"/>
      <c r="R320" s="822"/>
      <c r="S320" s="822"/>
      <c r="T320" s="822"/>
      <c r="U320" s="822"/>
      <c r="V320" s="822"/>
    </row>
    <row r="321" spans="1:22" ht="15.75" thickBot="1" x14ac:dyDescent="0.3">
      <c r="A321" s="51" t="s">
        <v>951</v>
      </c>
      <c r="B321" s="51" t="s">
        <v>26</v>
      </c>
      <c r="C321" s="51" t="s">
        <v>27</v>
      </c>
      <c r="D321" s="51" t="s">
        <v>21</v>
      </c>
      <c r="E321" s="51" t="s">
        <v>849</v>
      </c>
      <c r="F321" s="148">
        <v>2</v>
      </c>
      <c r="G321" s="56">
        <v>0</v>
      </c>
      <c r="H321" s="823"/>
      <c r="I321" s="56">
        <v>-32.22</v>
      </c>
      <c r="J321" s="823"/>
      <c r="K321" s="56">
        <v>0</v>
      </c>
      <c r="L321" s="56">
        <v>0</v>
      </c>
      <c r="M321" s="56">
        <v>0</v>
      </c>
      <c r="N321" s="823"/>
      <c r="O321" s="56">
        <v>-1.05</v>
      </c>
      <c r="P321" s="823"/>
      <c r="Q321" s="823"/>
      <c r="R321" s="823"/>
      <c r="S321" s="823"/>
      <c r="T321" s="823"/>
      <c r="U321" s="823"/>
      <c r="V321" s="823"/>
    </row>
    <row r="322" spans="1:22" ht="15.75" thickBot="1" x14ac:dyDescent="0.3">
      <c r="A322" s="51" t="s">
        <v>951</v>
      </c>
      <c r="B322" s="51" t="s">
        <v>26</v>
      </c>
      <c r="C322" s="51" t="s">
        <v>27</v>
      </c>
      <c r="D322" s="51" t="s">
        <v>21</v>
      </c>
      <c r="E322" s="51" t="s">
        <v>850</v>
      </c>
      <c r="F322" s="147">
        <v>2</v>
      </c>
      <c r="G322" s="54">
        <v>0</v>
      </c>
      <c r="H322" s="822"/>
      <c r="I322" s="54">
        <v>-32.700000000000003</v>
      </c>
      <c r="J322" s="822"/>
      <c r="K322" s="54">
        <v>0</v>
      </c>
      <c r="L322" s="54">
        <v>0</v>
      </c>
      <c r="M322" s="54">
        <v>0</v>
      </c>
      <c r="N322" s="822"/>
      <c r="O322" s="822"/>
      <c r="P322" s="822"/>
      <c r="Q322" s="822"/>
      <c r="R322" s="822"/>
      <c r="S322" s="822"/>
      <c r="T322" s="822"/>
      <c r="U322" s="822"/>
      <c r="V322" s="822"/>
    </row>
    <row r="323" spans="1:22" ht="15.75" thickBot="1" x14ac:dyDescent="0.3">
      <c r="A323" s="51" t="s">
        <v>951</v>
      </c>
      <c r="B323" s="51" t="s">
        <v>26</v>
      </c>
      <c r="C323" s="51" t="s">
        <v>27</v>
      </c>
      <c r="D323" s="51" t="s">
        <v>21</v>
      </c>
      <c r="E323" s="51" t="s">
        <v>851</v>
      </c>
      <c r="F323" s="148">
        <v>2</v>
      </c>
      <c r="G323" s="56">
        <v>0</v>
      </c>
      <c r="H323" s="823"/>
      <c r="I323" s="56">
        <v>-32.700000000000003</v>
      </c>
      <c r="J323" s="823"/>
      <c r="K323" s="56">
        <v>0</v>
      </c>
      <c r="L323" s="56">
        <v>0</v>
      </c>
      <c r="M323" s="56">
        <v>0</v>
      </c>
      <c r="N323" s="823"/>
      <c r="O323" s="823"/>
      <c r="P323" s="823"/>
      <c r="Q323" s="823"/>
      <c r="R323" s="823"/>
      <c r="S323" s="823"/>
      <c r="T323" s="823"/>
      <c r="U323" s="823"/>
      <c r="V323" s="823"/>
    </row>
    <row r="324" spans="1:22" ht="15.75" thickBot="1" x14ac:dyDescent="0.3">
      <c r="A324" s="51" t="s">
        <v>951</v>
      </c>
      <c r="B324" s="51" t="s">
        <v>26</v>
      </c>
      <c r="C324" s="51" t="s">
        <v>27</v>
      </c>
      <c r="D324" s="51" t="s">
        <v>21</v>
      </c>
      <c r="E324" s="51" t="s">
        <v>852</v>
      </c>
      <c r="F324" s="147">
        <v>2</v>
      </c>
      <c r="G324" s="54">
        <v>0</v>
      </c>
      <c r="H324" s="822"/>
      <c r="I324" s="54">
        <v>-32.700000000000003</v>
      </c>
      <c r="J324" s="822"/>
      <c r="K324" s="54">
        <v>0</v>
      </c>
      <c r="L324" s="54">
        <v>0</v>
      </c>
      <c r="M324" s="54">
        <v>0</v>
      </c>
      <c r="N324" s="822"/>
      <c r="O324" s="822"/>
      <c r="P324" s="822"/>
      <c r="Q324" s="822"/>
      <c r="R324" s="822"/>
      <c r="S324" s="822"/>
      <c r="T324" s="822"/>
      <c r="U324" s="822"/>
      <c r="V324" s="822"/>
    </row>
    <row r="325" spans="1:22" ht="15.75" thickBot="1" x14ac:dyDescent="0.3">
      <c r="A325" s="51" t="s">
        <v>951</v>
      </c>
      <c r="B325" s="51" t="s">
        <v>26</v>
      </c>
      <c r="C325" s="51" t="s">
        <v>27</v>
      </c>
      <c r="D325" s="51" t="s">
        <v>21</v>
      </c>
      <c r="E325" s="51" t="s">
        <v>853</v>
      </c>
      <c r="F325" s="148">
        <v>2</v>
      </c>
      <c r="G325" s="56">
        <v>0</v>
      </c>
      <c r="H325" s="823"/>
      <c r="I325" s="56">
        <v>-32.700000000000003</v>
      </c>
      <c r="J325" s="823"/>
      <c r="K325" s="56">
        <v>0</v>
      </c>
      <c r="L325" s="56">
        <v>0</v>
      </c>
      <c r="M325" s="56">
        <v>0</v>
      </c>
      <c r="N325" s="823"/>
      <c r="O325" s="823"/>
      <c r="P325" s="823"/>
      <c r="Q325" s="823"/>
      <c r="R325" s="823"/>
      <c r="S325" s="823"/>
      <c r="T325" s="823"/>
      <c r="U325" s="823"/>
      <c r="V325" s="823"/>
    </row>
    <row r="326" spans="1:22" ht="15.75" thickBot="1" x14ac:dyDescent="0.3">
      <c r="A326" s="51" t="s">
        <v>951</v>
      </c>
      <c r="B326" s="51" t="s">
        <v>26</v>
      </c>
      <c r="C326" s="51" t="s">
        <v>27</v>
      </c>
      <c r="D326" s="51" t="s">
        <v>21</v>
      </c>
      <c r="E326" s="51" t="s">
        <v>854</v>
      </c>
      <c r="F326" s="147">
        <v>2</v>
      </c>
      <c r="G326" s="54">
        <v>0</v>
      </c>
      <c r="H326" s="822"/>
      <c r="I326" s="54">
        <v>-32.700000000000003</v>
      </c>
      <c r="J326" s="822"/>
      <c r="K326" s="54">
        <v>0</v>
      </c>
      <c r="L326" s="54">
        <v>0</v>
      </c>
      <c r="M326" s="54">
        <v>0</v>
      </c>
      <c r="N326" s="822"/>
      <c r="O326" s="822"/>
      <c r="P326" s="822"/>
      <c r="Q326" s="822"/>
      <c r="R326" s="822"/>
      <c r="S326" s="822"/>
      <c r="T326" s="822"/>
      <c r="U326" s="822"/>
      <c r="V326" s="822"/>
    </row>
    <row r="327" spans="1:22" ht="15.75" thickBot="1" x14ac:dyDescent="0.3">
      <c r="A327" s="51" t="s">
        <v>951</v>
      </c>
      <c r="B327" s="51" t="s">
        <v>26</v>
      </c>
      <c r="C327" s="51" t="s">
        <v>27</v>
      </c>
      <c r="D327" s="51" t="s">
        <v>21</v>
      </c>
      <c r="E327" s="51" t="s">
        <v>855</v>
      </c>
      <c r="F327" s="148">
        <v>2</v>
      </c>
      <c r="G327" s="56">
        <v>0</v>
      </c>
      <c r="H327" s="823"/>
      <c r="I327" s="56">
        <v>-32.700000000000003</v>
      </c>
      <c r="J327" s="823"/>
      <c r="K327" s="56">
        <v>0</v>
      </c>
      <c r="L327" s="56">
        <v>0</v>
      </c>
      <c r="M327" s="56">
        <v>0</v>
      </c>
      <c r="N327" s="823"/>
      <c r="O327" s="823"/>
      <c r="P327" s="823"/>
      <c r="Q327" s="823"/>
      <c r="R327" s="823"/>
      <c r="S327" s="823"/>
      <c r="T327" s="823"/>
      <c r="U327" s="823"/>
      <c r="V327" s="823"/>
    </row>
    <row r="328" spans="1:22" ht="15.75" thickBot="1" x14ac:dyDescent="0.3">
      <c r="A328" s="51" t="s">
        <v>951</v>
      </c>
      <c r="B328" s="51" t="s">
        <v>26</v>
      </c>
      <c r="C328" s="51" t="s">
        <v>27</v>
      </c>
      <c r="D328" s="51" t="s">
        <v>21</v>
      </c>
      <c r="E328" s="51" t="s">
        <v>856</v>
      </c>
      <c r="F328" s="147">
        <v>2</v>
      </c>
      <c r="G328" s="54">
        <v>0</v>
      </c>
      <c r="H328" s="822"/>
      <c r="I328" s="54">
        <v>-32.700000000000003</v>
      </c>
      <c r="J328" s="822"/>
      <c r="K328" s="54">
        <v>0</v>
      </c>
      <c r="L328" s="54">
        <v>0</v>
      </c>
      <c r="M328" s="54">
        <v>0</v>
      </c>
      <c r="N328" s="822"/>
      <c r="O328" s="822"/>
      <c r="P328" s="822"/>
      <c r="Q328" s="822"/>
      <c r="R328" s="822"/>
      <c r="S328" s="822"/>
      <c r="T328" s="822"/>
      <c r="U328" s="822"/>
      <c r="V328" s="822"/>
    </row>
    <row r="329" spans="1:22" ht="15.75" thickBot="1" x14ac:dyDescent="0.3">
      <c r="A329" s="51" t="s">
        <v>951</v>
      </c>
      <c r="B329" s="51" t="s">
        <v>26</v>
      </c>
      <c r="C329" s="51" t="s">
        <v>27</v>
      </c>
      <c r="D329" s="51" t="s">
        <v>21</v>
      </c>
      <c r="E329" s="51" t="s">
        <v>632</v>
      </c>
      <c r="F329" s="148">
        <v>2</v>
      </c>
      <c r="G329" s="56">
        <v>0</v>
      </c>
      <c r="H329" s="823"/>
      <c r="I329" s="56">
        <v>-32.700000000000003</v>
      </c>
      <c r="J329" s="823"/>
      <c r="K329" s="56">
        <v>0</v>
      </c>
      <c r="L329" s="56">
        <v>0</v>
      </c>
      <c r="M329" s="56">
        <v>0</v>
      </c>
      <c r="N329" s="823"/>
      <c r="O329" s="823"/>
      <c r="P329" s="823"/>
      <c r="Q329" s="823"/>
      <c r="R329" s="823"/>
      <c r="S329" s="823"/>
      <c r="T329" s="823"/>
      <c r="U329" s="823"/>
      <c r="V329" s="823"/>
    </row>
    <row r="330" spans="1:22" ht="15.75" thickBot="1" x14ac:dyDescent="0.3">
      <c r="A330" s="51" t="s">
        <v>951</v>
      </c>
      <c r="B330" s="51" t="s">
        <v>26</v>
      </c>
      <c r="C330" s="51" t="s">
        <v>27</v>
      </c>
      <c r="D330" s="51" t="s">
        <v>21</v>
      </c>
      <c r="E330" s="51" t="s">
        <v>644</v>
      </c>
      <c r="F330" s="147">
        <v>2</v>
      </c>
      <c r="G330" s="54">
        <v>0</v>
      </c>
      <c r="H330" s="822"/>
      <c r="I330" s="54">
        <v>-32.700000000000003</v>
      </c>
      <c r="J330" s="822"/>
      <c r="K330" s="54">
        <v>0</v>
      </c>
      <c r="L330" s="54">
        <v>0</v>
      </c>
      <c r="M330" s="54">
        <v>0</v>
      </c>
      <c r="N330" s="822"/>
      <c r="O330" s="822"/>
      <c r="P330" s="822"/>
      <c r="Q330" s="822"/>
      <c r="R330" s="822"/>
      <c r="S330" s="822"/>
      <c r="T330" s="822"/>
      <c r="U330" s="822"/>
      <c r="V330" s="822"/>
    </row>
    <row r="331" spans="1:22" ht="15.75" thickBot="1" x14ac:dyDescent="0.3">
      <c r="A331" s="51" t="s">
        <v>951</v>
      </c>
      <c r="B331" s="51" t="s">
        <v>26</v>
      </c>
      <c r="C331" s="51" t="s">
        <v>27</v>
      </c>
      <c r="D331" s="51" t="s">
        <v>21</v>
      </c>
      <c r="E331" s="51" t="s">
        <v>653</v>
      </c>
      <c r="F331" s="148">
        <v>2</v>
      </c>
      <c r="G331" s="56">
        <v>0</v>
      </c>
      <c r="H331" s="823"/>
      <c r="I331" s="56">
        <v>-32.700000000000003</v>
      </c>
      <c r="J331" s="823"/>
      <c r="K331" s="56">
        <v>0</v>
      </c>
      <c r="L331" s="56">
        <v>0</v>
      </c>
      <c r="M331" s="56">
        <v>0</v>
      </c>
      <c r="N331" s="823"/>
      <c r="O331" s="823"/>
      <c r="P331" s="823"/>
      <c r="Q331" s="823"/>
      <c r="R331" s="823"/>
      <c r="S331" s="823"/>
      <c r="T331" s="823"/>
      <c r="U331" s="823"/>
      <c r="V331" s="823"/>
    </row>
    <row r="332" spans="1:22" ht="15.75" thickBot="1" x14ac:dyDescent="0.3">
      <c r="A332" s="51" t="s">
        <v>951</v>
      </c>
      <c r="B332" s="51" t="s">
        <v>26</v>
      </c>
      <c r="C332" s="51" t="s">
        <v>27</v>
      </c>
      <c r="D332" s="51" t="s">
        <v>21</v>
      </c>
      <c r="E332" s="51" t="s">
        <v>674</v>
      </c>
      <c r="F332" s="147">
        <v>2</v>
      </c>
      <c r="G332" s="54">
        <v>0</v>
      </c>
      <c r="H332" s="822"/>
      <c r="I332" s="54">
        <v>-32.700000000000003</v>
      </c>
      <c r="J332" s="822"/>
      <c r="K332" s="54">
        <v>0</v>
      </c>
      <c r="L332" s="54">
        <v>0</v>
      </c>
      <c r="M332" s="54">
        <v>0</v>
      </c>
      <c r="N332" s="822"/>
      <c r="O332" s="822"/>
      <c r="P332" s="822"/>
      <c r="Q332" s="822"/>
      <c r="R332" s="822"/>
      <c r="S332" s="822"/>
      <c r="T332" s="822"/>
      <c r="U332" s="822"/>
      <c r="V332" s="822"/>
    </row>
    <row r="333" spans="1:22" ht="15.75" thickBot="1" x14ac:dyDescent="0.3">
      <c r="A333" s="51" t="s">
        <v>951</v>
      </c>
      <c r="B333" s="51" t="s">
        <v>26</v>
      </c>
      <c r="C333" s="51" t="s">
        <v>27</v>
      </c>
      <c r="D333" s="51" t="s">
        <v>21</v>
      </c>
      <c r="E333" s="51" t="s">
        <v>837</v>
      </c>
      <c r="F333" s="148">
        <v>2</v>
      </c>
      <c r="G333" s="56">
        <v>0</v>
      </c>
      <c r="H333" s="823"/>
      <c r="I333" s="56">
        <v>-32.700000000000003</v>
      </c>
      <c r="J333" s="823"/>
      <c r="K333" s="56">
        <v>0</v>
      </c>
      <c r="L333" s="56">
        <v>0</v>
      </c>
      <c r="M333" s="56">
        <v>0</v>
      </c>
      <c r="N333" s="823"/>
      <c r="O333" s="823"/>
      <c r="P333" s="823"/>
      <c r="Q333" s="823"/>
      <c r="R333" s="823"/>
      <c r="S333" s="823"/>
      <c r="T333" s="823"/>
      <c r="U333" s="823"/>
      <c r="V333" s="823"/>
    </row>
    <row r="334" spans="1:22" ht="15.75" thickBot="1" x14ac:dyDescent="0.3">
      <c r="A334" s="51" t="s">
        <v>951</v>
      </c>
      <c r="B334" s="51" t="s">
        <v>26</v>
      </c>
      <c r="C334" s="51" t="s">
        <v>27</v>
      </c>
      <c r="D334" s="51" t="s">
        <v>21</v>
      </c>
      <c r="E334" s="51" t="s">
        <v>838</v>
      </c>
      <c r="F334" s="147">
        <v>2</v>
      </c>
      <c r="G334" s="54">
        <v>0</v>
      </c>
      <c r="H334" s="822"/>
      <c r="I334" s="54">
        <v>-32.700000000000003</v>
      </c>
      <c r="J334" s="822"/>
      <c r="K334" s="54">
        <v>0</v>
      </c>
      <c r="L334" s="54">
        <v>0</v>
      </c>
      <c r="M334" s="54">
        <v>0</v>
      </c>
      <c r="N334" s="822"/>
      <c r="O334" s="822"/>
      <c r="P334" s="822"/>
      <c r="Q334" s="822"/>
      <c r="R334" s="822"/>
      <c r="S334" s="822"/>
      <c r="T334" s="822"/>
      <c r="U334" s="822"/>
      <c r="V334" s="822"/>
    </row>
    <row r="335" spans="1:22" ht="15.75" thickBot="1" x14ac:dyDescent="0.3">
      <c r="A335" s="51" t="s">
        <v>951</v>
      </c>
      <c r="B335" s="51" t="s">
        <v>26</v>
      </c>
      <c r="C335" s="51" t="s">
        <v>27</v>
      </c>
      <c r="D335" s="51" t="s">
        <v>21</v>
      </c>
      <c r="E335" s="51" t="s">
        <v>839</v>
      </c>
      <c r="F335" s="148">
        <v>2</v>
      </c>
      <c r="G335" s="56">
        <v>0</v>
      </c>
      <c r="H335" s="823"/>
      <c r="I335" s="56">
        <v>-32.700000000000003</v>
      </c>
      <c r="J335" s="823"/>
      <c r="K335" s="56">
        <v>0</v>
      </c>
      <c r="L335" s="56">
        <v>0</v>
      </c>
      <c r="M335" s="56">
        <v>0</v>
      </c>
      <c r="N335" s="823"/>
      <c r="O335" s="823"/>
      <c r="P335" s="823"/>
      <c r="Q335" s="823"/>
      <c r="R335" s="823"/>
      <c r="S335" s="823"/>
      <c r="T335" s="823"/>
      <c r="U335" s="823"/>
      <c r="V335" s="823"/>
    </row>
    <row r="336" spans="1:22" ht="15.75" thickBot="1" x14ac:dyDescent="0.3">
      <c r="A336" s="51" t="s">
        <v>951</v>
      </c>
      <c r="B336" s="51" t="s">
        <v>26</v>
      </c>
      <c r="C336" s="51" t="s">
        <v>27</v>
      </c>
      <c r="D336" s="51" t="s">
        <v>21</v>
      </c>
      <c r="E336" s="51" t="s">
        <v>840</v>
      </c>
      <c r="F336" s="147">
        <v>2</v>
      </c>
      <c r="G336" s="54">
        <v>0</v>
      </c>
      <c r="H336" s="822"/>
      <c r="I336" s="54">
        <v>-32.700000000000003</v>
      </c>
      <c r="J336" s="822"/>
      <c r="K336" s="54">
        <v>0</v>
      </c>
      <c r="L336" s="54">
        <v>0</v>
      </c>
      <c r="M336" s="54">
        <v>0</v>
      </c>
      <c r="N336" s="822"/>
      <c r="O336" s="822"/>
      <c r="P336" s="822"/>
      <c r="Q336" s="822"/>
      <c r="R336" s="822"/>
      <c r="S336" s="822"/>
      <c r="T336" s="822"/>
      <c r="U336" s="822"/>
      <c r="V336" s="822"/>
    </row>
    <row r="337" spans="1:22" ht="15.75" thickBot="1" x14ac:dyDescent="0.3">
      <c r="A337" s="51" t="s">
        <v>951</v>
      </c>
      <c r="B337" s="51" t="s">
        <v>26</v>
      </c>
      <c r="C337" s="51" t="s">
        <v>27</v>
      </c>
      <c r="D337" s="51" t="s">
        <v>21</v>
      </c>
      <c r="E337" s="51" t="s">
        <v>841</v>
      </c>
      <c r="F337" s="148">
        <v>2</v>
      </c>
      <c r="G337" s="56">
        <v>0</v>
      </c>
      <c r="H337" s="823"/>
      <c r="I337" s="56">
        <v>-32.700000000000003</v>
      </c>
      <c r="J337" s="823"/>
      <c r="K337" s="56">
        <v>0</v>
      </c>
      <c r="L337" s="56">
        <v>0</v>
      </c>
      <c r="M337" s="56">
        <v>0</v>
      </c>
      <c r="N337" s="823"/>
      <c r="O337" s="823"/>
      <c r="P337" s="823"/>
      <c r="Q337" s="823"/>
      <c r="R337" s="823"/>
      <c r="S337" s="823"/>
      <c r="T337" s="823"/>
      <c r="U337" s="823"/>
      <c r="V337" s="823"/>
    </row>
    <row r="338" spans="1:22" ht="15.75" thickBot="1" x14ac:dyDescent="0.3">
      <c r="A338" s="51" t="s">
        <v>951</v>
      </c>
      <c r="B338" s="51" t="s">
        <v>26</v>
      </c>
      <c r="C338" s="51" t="s">
        <v>27</v>
      </c>
      <c r="D338" s="51" t="s">
        <v>21</v>
      </c>
      <c r="E338" s="51" t="s">
        <v>842</v>
      </c>
      <c r="F338" s="147">
        <v>2</v>
      </c>
      <c r="G338" s="54">
        <v>0</v>
      </c>
      <c r="H338" s="822"/>
      <c r="I338" s="54">
        <v>-32.700000000000003</v>
      </c>
      <c r="J338" s="822"/>
      <c r="K338" s="54">
        <v>0</v>
      </c>
      <c r="L338" s="54">
        <v>0</v>
      </c>
      <c r="M338" s="54">
        <v>0</v>
      </c>
      <c r="N338" s="822"/>
      <c r="O338" s="822"/>
      <c r="P338" s="822"/>
      <c r="Q338" s="822"/>
      <c r="R338" s="822"/>
      <c r="S338" s="822"/>
      <c r="T338" s="822"/>
      <c r="U338" s="822"/>
      <c r="V338" s="822"/>
    </row>
    <row r="339" spans="1:22" ht="15.75" thickBot="1" x14ac:dyDescent="0.3">
      <c r="A339" s="51" t="s">
        <v>951</v>
      </c>
      <c r="B339" s="51" t="s">
        <v>26</v>
      </c>
      <c r="C339" s="51" t="s">
        <v>27</v>
      </c>
      <c r="D339" s="51" t="s">
        <v>21</v>
      </c>
      <c r="E339" s="51" t="s">
        <v>821</v>
      </c>
      <c r="F339" s="148">
        <v>2</v>
      </c>
      <c r="G339" s="56">
        <v>0</v>
      </c>
      <c r="H339" s="823"/>
      <c r="I339" s="56">
        <v>-32.700000000000003</v>
      </c>
      <c r="J339" s="823"/>
      <c r="K339" s="56">
        <v>0</v>
      </c>
      <c r="L339" s="56">
        <v>0</v>
      </c>
      <c r="M339" s="56">
        <v>0</v>
      </c>
      <c r="N339" s="823"/>
      <c r="O339" s="823"/>
      <c r="P339" s="823"/>
      <c r="Q339" s="823"/>
      <c r="R339" s="823"/>
      <c r="S339" s="823"/>
      <c r="T339" s="823"/>
      <c r="U339" s="823"/>
      <c r="V339" s="823"/>
    </row>
    <row r="340" spans="1:22" ht="15.75" thickBot="1" x14ac:dyDescent="0.3">
      <c r="A340" s="51" t="s">
        <v>951</v>
      </c>
      <c r="B340" s="51" t="s">
        <v>26</v>
      </c>
      <c r="C340" s="51" t="s">
        <v>27</v>
      </c>
      <c r="D340" s="51" t="s">
        <v>21</v>
      </c>
      <c r="E340" s="51" t="s">
        <v>822</v>
      </c>
      <c r="F340" s="147">
        <v>2</v>
      </c>
      <c r="G340" s="54">
        <v>0</v>
      </c>
      <c r="H340" s="822"/>
      <c r="I340" s="54">
        <v>-32.700000000000003</v>
      </c>
      <c r="J340" s="822"/>
      <c r="K340" s="54">
        <v>0</v>
      </c>
      <c r="L340" s="54">
        <v>0</v>
      </c>
      <c r="M340" s="54">
        <v>0</v>
      </c>
      <c r="N340" s="822"/>
      <c r="O340" s="822"/>
      <c r="P340" s="822"/>
      <c r="Q340" s="822"/>
      <c r="R340" s="822"/>
      <c r="S340" s="822"/>
      <c r="T340" s="822"/>
      <c r="U340" s="822"/>
      <c r="V340" s="822"/>
    </row>
    <row r="341" spans="1:22" ht="15.75" thickBot="1" x14ac:dyDescent="0.3">
      <c r="A341" s="51" t="s">
        <v>951</v>
      </c>
      <c r="B341" s="51" t="s">
        <v>26</v>
      </c>
      <c r="C341" s="51" t="s">
        <v>27</v>
      </c>
      <c r="D341" s="51" t="s">
        <v>21</v>
      </c>
      <c r="E341" s="51" t="s">
        <v>823</v>
      </c>
      <c r="F341" s="148">
        <v>3</v>
      </c>
      <c r="G341" s="56">
        <v>11</v>
      </c>
      <c r="H341" s="823"/>
      <c r="I341" s="56">
        <v>-32.700000000000003</v>
      </c>
      <c r="J341" s="823"/>
      <c r="K341" s="56">
        <v>3.99</v>
      </c>
      <c r="L341" s="56">
        <v>4.63</v>
      </c>
      <c r="M341" s="56">
        <v>0.05</v>
      </c>
      <c r="N341" s="56">
        <v>-0.25</v>
      </c>
      <c r="O341" s="823"/>
      <c r="P341" s="823"/>
      <c r="Q341" s="823"/>
      <c r="R341" s="823"/>
      <c r="S341" s="823"/>
      <c r="T341" s="823"/>
      <c r="U341" s="823"/>
      <c r="V341" s="823"/>
    </row>
    <row r="342" spans="1:22" ht="15.75" thickBot="1" x14ac:dyDescent="0.3">
      <c r="A342" s="51" t="s">
        <v>951</v>
      </c>
      <c r="B342" s="51" t="s">
        <v>26</v>
      </c>
      <c r="C342" s="51" t="s">
        <v>27</v>
      </c>
      <c r="D342" s="51" t="s">
        <v>21</v>
      </c>
      <c r="E342" s="51" t="s">
        <v>824</v>
      </c>
      <c r="F342" s="147">
        <v>4</v>
      </c>
      <c r="G342" s="54">
        <v>9</v>
      </c>
      <c r="H342" s="822"/>
      <c r="I342" s="54">
        <v>-32.700000000000003</v>
      </c>
      <c r="J342" s="822"/>
      <c r="K342" s="54">
        <v>3.27</v>
      </c>
      <c r="L342" s="54">
        <v>3.79</v>
      </c>
      <c r="M342" s="54">
        <v>0.06</v>
      </c>
      <c r="N342" s="54">
        <v>0.62</v>
      </c>
      <c r="O342" s="822"/>
      <c r="P342" s="822"/>
      <c r="Q342" s="822"/>
      <c r="R342" s="822"/>
      <c r="S342" s="822"/>
      <c r="T342" s="822"/>
      <c r="U342" s="822"/>
      <c r="V342" s="822"/>
    </row>
    <row r="343" spans="1:22" ht="15.75" thickBot="1" x14ac:dyDescent="0.3">
      <c r="A343" s="51" t="s">
        <v>951</v>
      </c>
      <c r="B343" s="51" t="s">
        <v>26</v>
      </c>
      <c r="C343" s="51" t="s">
        <v>27</v>
      </c>
      <c r="D343" s="51" t="s">
        <v>21</v>
      </c>
      <c r="E343" s="51" t="s">
        <v>825</v>
      </c>
      <c r="F343" s="148">
        <v>5</v>
      </c>
      <c r="G343" s="56">
        <v>2</v>
      </c>
      <c r="H343" s="823"/>
      <c r="I343" s="56">
        <v>-64.03</v>
      </c>
      <c r="J343" s="823"/>
      <c r="K343" s="56">
        <v>0.7</v>
      </c>
      <c r="L343" s="56">
        <v>0.7</v>
      </c>
      <c r="M343" s="56">
        <v>0.01</v>
      </c>
      <c r="N343" s="823"/>
      <c r="O343" s="823"/>
      <c r="P343" s="823"/>
      <c r="Q343" s="823"/>
      <c r="R343" s="823"/>
      <c r="S343" s="823"/>
      <c r="T343" s="823"/>
      <c r="U343" s="823"/>
      <c r="V343" s="823"/>
    </row>
    <row r="344" spans="1:22" ht="15.75" thickBot="1" x14ac:dyDescent="0.3">
      <c r="A344" s="51" t="s">
        <v>951</v>
      </c>
      <c r="B344" s="51" t="s">
        <v>26</v>
      </c>
      <c r="C344" s="51" t="s">
        <v>27</v>
      </c>
      <c r="D344" s="51" t="s">
        <v>21</v>
      </c>
      <c r="E344" s="51" t="s">
        <v>826</v>
      </c>
      <c r="F344" s="147">
        <v>4</v>
      </c>
      <c r="G344" s="54">
        <v>21</v>
      </c>
      <c r="H344" s="822"/>
      <c r="I344" s="54">
        <v>-34.450000000000003</v>
      </c>
      <c r="J344" s="822"/>
      <c r="K344" s="54">
        <v>7.72</v>
      </c>
      <c r="L344" s="54">
        <v>9.16</v>
      </c>
      <c r="M344" s="54">
        <v>-0.05</v>
      </c>
      <c r="N344" s="822"/>
      <c r="O344" s="822"/>
      <c r="P344" s="822"/>
      <c r="Q344" s="822"/>
      <c r="R344" s="822"/>
      <c r="S344" s="822"/>
      <c r="T344" s="822"/>
      <c r="U344" s="822"/>
      <c r="V344" s="822"/>
    </row>
    <row r="345" spans="1:22" ht="15.75" thickBot="1" x14ac:dyDescent="0.3">
      <c r="A345" s="51" t="s">
        <v>951</v>
      </c>
      <c r="B345" s="51" t="s">
        <v>26</v>
      </c>
      <c r="C345" s="51" t="s">
        <v>27</v>
      </c>
      <c r="D345" s="51" t="s">
        <v>21</v>
      </c>
      <c r="E345" s="51" t="s">
        <v>827</v>
      </c>
      <c r="F345" s="148">
        <v>4</v>
      </c>
      <c r="G345" s="56">
        <v>10</v>
      </c>
      <c r="H345" s="823"/>
      <c r="I345" s="56">
        <v>-58.5</v>
      </c>
      <c r="J345" s="823"/>
      <c r="K345" s="56">
        <v>3.68</v>
      </c>
      <c r="L345" s="56">
        <v>4.3600000000000003</v>
      </c>
      <c r="M345" s="56">
        <v>-0.02</v>
      </c>
      <c r="N345" s="823"/>
      <c r="O345" s="823"/>
      <c r="P345" s="823"/>
      <c r="Q345" s="823"/>
      <c r="R345" s="823"/>
      <c r="S345" s="823"/>
      <c r="T345" s="823"/>
      <c r="U345" s="823"/>
      <c r="V345" s="823"/>
    </row>
    <row r="346" spans="1:22" ht="15.75" thickBot="1" x14ac:dyDescent="0.3">
      <c r="A346" s="51" t="s">
        <v>951</v>
      </c>
      <c r="B346" s="51" t="s">
        <v>26</v>
      </c>
      <c r="C346" s="51" t="s">
        <v>27</v>
      </c>
      <c r="D346" s="51" t="s">
        <v>21</v>
      </c>
      <c r="E346" s="51" t="s">
        <v>828</v>
      </c>
      <c r="F346" s="147">
        <v>5</v>
      </c>
      <c r="G346" s="54">
        <v>15</v>
      </c>
      <c r="H346" s="822"/>
      <c r="I346" s="54">
        <v>-55.9</v>
      </c>
      <c r="J346" s="822"/>
      <c r="K346" s="54">
        <v>5.52</v>
      </c>
      <c r="L346" s="54">
        <v>6.54</v>
      </c>
      <c r="M346" s="54">
        <v>-0.04</v>
      </c>
      <c r="N346" s="822"/>
      <c r="O346" s="822"/>
      <c r="P346" s="822"/>
      <c r="Q346" s="822"/>
      <c r="R346" s="822"/>
      <c r="S346" s="822"/>
      <c r="T346" s="822"/>
      <c r="U346" s="822"/>
      <c r="V346" s="822"/>
    </row>
    <row r="347" spans="1:22" ht="15.75" thickBot="1" x14ac:dyDescent="0.3">
      <c r="A347" s="51" t="s">
        <v>951</v>
      </c>
      <c r="B347" s="51" t="s">
        <v>26</v>
      </c>
      <c r="C347" s="51" t="s">
        <v>27</v>
      </c>
      <c r="D347" s="51" t="s">
        <v>21</v>
      </c>
      <c r="E347" s="51" t="s">
        <v>829</v>
      </c>
      <c r="F347" s="148">
        <v>5</v>
      </c>
      <c r="G347" s="56">
        <v>21</v>
      </c>
      <c r="H347" s="823"/>
      <c r="I347" s="56">
        <v>-59.8</v>
      </c>
      <c r="J347" s="823"/>
      <c r="K347" s="56">
        <v>7.72</v>
      </c>
      <c r="L347" s="56">
        <v>7.31</v>
      </c>
      <c r="M347" s="56">
        <v>-0.05</v>
      </c>
      <c r="N347" s="823"/>
      <c r="O347" s="823"/>
      <c r="P347" s="823"/>
      <c r="Q347" s="823"/>
      <c r="R347" s="823"/>
      <c r="S347" s="823"/>
      <c r="T347" s="823"/>
      <c r="U347" s="823"/>
      <c r="V347" s="823"/>
    </row>
    <row r="348" spans="1:22" ht="15.75" thickBot="1" x14ac:dyDescent="0.3">
      <c r="A348" s="51" t="s">
        <v>951</v>
      </c>
      <c r="B348" s="51" t="s">
        <v>26</v>
      </c>
      <c r="C348" s="51" t="s">
        <v>27</v>
      </c>
      <c r="D348" s="51" t="s">
        <v>21</v>
      </c>
      <c r="E348" s="51" t="s">
        <v>830</v>
      </c>
      <c r="F348" s="147">
        <v>6</v>
      </c>
      <c r="G348" s="54">
        <v>29</v>
      </c>
      <c r="H348" s="822"/>
      <c r="I348" s="54">
        <v>-58.5</v>
      </c>
      <c r="J348" s="822"/>
      <c r="K348" s="54">
        <v>10.66</v>
      </c>
      <c r="L348" s="54">
        <v>10.1</v>
      </c>
      <c r="M348" s="54">
        <v>-7.0000000000000007E-2</v>
      </c>
      <c r="N348" s="822"/>
      <c r="O348" s="822"/>
      <c r="P348" s="822"/>
      <c r="Q348" s="822"/>
      <c r="R348" s="822"/>
      <c r="S348" s="822"/>
      <c r="T348" s="822"/>
      <c r="U348" s="822"/>
      <c r="V348" s="822"/>
    </row>
    <row r="349" spans="1:22" ht="15.75" thickBot="1" x14ac:dyDescent="0.3">
      <c r="A349" s="51" t="s">
        <v>951</v>
      </c>
      <c r="B349" s="51" t="s">
        <v>26</v>
      </c>
      <c r="C349" s="51" t="s">
        <v>27</v>
      </c>
      <c r="D349" s="51" t="s">
        <v>21</v>
      </c>
      <c r="E349" s="51" t="s">
        <v>831</v>
      </c>
      <c r="F349" s="148">
        <v>11</v>
      </c>
      <c r="G349" s="56">
        <v>111</v>
      </c>
      <c r="H349" s="823"/>
      <c r="I349" s="56">
        <v>-56.55</v>
      </c>
      <c r="J349" s="823"/>
      <c r="K349" s="56">
        <v>40.82</v>
      </c>
      <c r="L349" s="56">
        <v>39.36</v>
      </c>
      <c r="M349" s="56">
        <v>-0.26</v>
      </c>
      <c r="N349" s="56">
        <v>-3.65</v>
      </c>
      <c r="O349" s="823"/>
      <c r="P349" s="823"/>
      <c r="Q349" s="823"/>
      <c r="R349" s="823"/>
      <c r="S349" s="823"/>
      <c r="T349" s="823"/>
      <c r="U349" s="823"/>
      <c r="V349" s="823"/>
    </row>
    <row r="350" spans="1:22" ht="15.75" thickBot="1" x14ac:dyDescent="0.3">
      <c r="A350" s="51" t="s">
        <v>951</v>
      </c>
      <c r="B350" s="51" t="s">
        <v>26</v>
      </c>
      <c r="C350" s="51" t="s">
        <v>27</v>
      </c>
      <c r="D350" s="51" t="s">
        <v>21</v>
      </c>
      <c r="E350" s="51" t="s">
        <v>832</v>
      </c>
      <c r="F350" s="147">
        <v>24</v>
      </c>
      <c r="G350" s="54">
        <v>166</v>
      </c>
      <c r="H350" s="822"/>
      <c r="I350" s="54">
        <v>-70.849999999999994</v>
      </c>
      <c r="J350" s="822"/>
      <c r="K350" s="54">
        <v>61.04</v>
      </c>
      <c r="L350" s="54">
        <v>63.72</v>
      </c>
      <c r="M350" s="54">
        <v>-0.4</v>
      </c>
      <c r="N350" s="54">
        <v>-7.95</v>
      </c>
      <c r="O350" s="822"/>
      <c r="P350" s="822"/>
      <c r="Q350" s="822"/>
      <c r="R350" s="822"/>
      <c r="S350" s="822"/>
      <c r="T350" s="822"/>
      <c r="U350" s="822"/>
      <c r="V350" s="822"/>
    </row>
    <row r="351" spans="1:22" ht="15.75" thickBot="1" x14ac:dyDescent="0.3">
      <c r="A351" s="51" t="s">
        <v>951</v>
      </c>
      <c r="B351" s="51" t="s">
        <v>26</v>
      </c>
      <c r="C351" s="51" t="s">
        <v>27</v>
      </c>
      <c r="D351" s="51" t="s">
        <v>21</v>
      </c>
      <c r="E351" s="51" t="s">
        <v>833</v>
      </c>
      <c r="F351" s="148">
        <v>37</v>
      </c>
      <c r="G351" s="56">
        <v>324</v>
      </c>
      <c r="H351" s="823"/>
      <c r="I351" s="56">
        <v>-42.9</v>
      </c>
      <c r="J351" s="823"/>
      <c r="K351" s="56">
        <v>119.17</v>
      </c>
      <c r="L351" s="56">
        <v>124.41</v>
      </c>
      <c r="M351" s="56">
        <v>-0.77</v>
      </c>
      <c r="N351" s="56">
        <v>30.23</v>
      </c>
      <c r="O351" s="823"/>
      <c r="P351" s="823"/>
      <c r="Q351" s="823"/>
      <c r="R351" s="823"/>
      <c r="S351" s="823"/>
      <c r="T351" s="823"/>
      <c r="U351" s="823"/>
      <c r="V351" s="823"/>
    </row>
    <row r="352" spans="1:22" ht="15.75" thickBot="1" x14ac:dyDescent="0.3">
      <c r="A352" s="51" t="s">
        <v>951</v>
      </c>
      <c r="B352" s="51" t="s">
        <v>26</v>
      </c>
      <c r="C352" s="51" t="s">
        <v>27</v>
      </c>
      <c r="D352" s="51" t="s">
        <v>21</v>
      </c>
      <c r="E352" s="51" t="s">
        <v>834</v>
      </c>
      <c r="F352" s="147">
        <v>69</v>
      </c>
      <c r="G352" s="54">
        <v>-1111</v>
      </c>
      <c r="H352" s="822"/>
      <c r="I352" s="54">
        <v>-72.8</v>
      </c>
      <c r="J352" s="822"/>
      <c r="K352" s="54">
        <v>-408.67</v>
      </c>
      <c r="L352" s="54">
        <v>-395.55</v>
      </c>
      <c r="M352" s="54">
        <v>2.57</v>
      </c>
      <c r="N352" s="54">
        <v>-51.83</v>
      </c>
      <c r="O352" s="822"/>
      <c r="P352" s="822"/>
      <c r="Q352" s="822"/>
      <c r="R352" s="822"/>
      <c r="S352" s="822"/>
      <c r="T352" s="822"/>
      <c r="U352" s="822"/>
      <c r="V352" s="822"/>
    </row>
    <row r="353" spans="1:22" ht="15.75" thickBot="1" x14ac:dyDescent="0.3">
      <c r="A353" s="51" t="s">
        <v>951</v>
      </c>
      <c r="B353" s="51" t="s">
        <v>26</v>
      </c>
      <c r="C353" s="51" t="s">
        <v>27</v>
      </c>
      <c r="D353" s="51" t="s">
        <v>21</v>
      </c>
      <c r="E353" s="51" t="s">
        <v>857</v>
      </c>
      <c r="F353" s="148">
        <v>319</v>
      </c>
      <c r="G353" s="56">
        <v>-15159</v>
      </c>
      <c r="H353" s="823"/>
      <c r="I353" s="56">
        <v>-9.1</v>
      </c>
      <c r="J353" s="823"/>
      <c r="K353" s="56">
        <v>-5575.87</v>
      </c>
      <c r="L353" s="56">
        <v>-5154.58</v>
      </c>
      <c r="M353" s="56">
        <v>34.770000000000003</v>
      </c>
      <c r="N353" s="56">
        <v>-351.96</v>
      </c>
      <c r="O353" s="823"/>
      <c r="P353" s="823"/>
      <c r="Q353" s="823"/>
      <c r="R353" s="823"/>
      <c r="S353" s="823"/>
      <c r="T353" s="823"/>
      <c r="U353" s="823"/>
      <c r="V353" s="823"/>
    </row>
    <row r="354" spans="1:22" ht="15.75" thickBot="1" x14ac:dyDescent="0.3">
      <c r="A354" s="51" t="s">
        <v>951</v>
      </c>
      <c r="B354" s="51" t="s">
        <v>26</v>
      </c>
      <c r="C354" s="51" t="s">
        <v>27</v>
      </c>
      <c r="D354" s="51" t="s">
        <v>21</v>
      </c>
      <c r="E354" s="51" t="s">
        <v>949</v>
      </c>
      <c r="F354" s="147">
        <v>1641</v>
      </c>
      <c r="G354" s="54">
        <v>-66188</v>
      </c>
      <c r="H354" s="822"/>
      <c r="I354" s="54">
        <v>5831.15</v>
      </c>
      <c r="J354" s="822"/>
      <c r="K354" s="54">
        <v>-24345.13</v>
      </c>
      <c r="L354" s="54">
        <v>-22504.720000000001</v>
      </c>
      <c r="M354" s="54">
        <v>136.96</v>
      </c>
      <c r="N354" s="54">
        <v>-5411.88</v>
      </c>
      <c r="O354" s="822"/>
      <c r="P354" s="822"/>
      <c r="Q354" s="822"/>
      <c r="R354" s="822"/>
      <c r="S354" s="822"/>
      <c r="T354" s="822"/>
      <c r="U354" s="822"/>
      <c r="V354" s="822"/>
    </row>
    <row r="355" spans="1:22" ht="15.75" thickBot="1" x14ac:dyDescent="0.3">
      <c r="A355" s="51" t="s">
        <v>951</v>
      </c>
      <c r="B355" s="51" t="s">
        <v>26</v>
      </c>
      <c r="C355" s="51" t="s">
        <v>27</v>
      </c>
      <c r="D355" s="51" t="s">
        <v>21</v>
      </c>
      <c r="E355" s="51" t="s">
        <v>952</v>
      </c>
      <c r="F355" s="148">
        <v>300618</v>
      </c>
      <c r="G355" s="56">
        <v>11003162</v>
      </c>
      <c r="H355" s="823"/>
      <c r="I355" s="56">
        <v>5830880.9000000004</v>
      </c>
      <c r="J355" s="823"/>
      <c r="K355" s="56">
        <v>4047175.61</v>
      </c>
      <c r="L355" s="56">
        <v>3325344.66</v>
      </c>
      <c r="M355" s="56">
        <v>-17258.349999999999</v>
      </c>
      <c r="N355" s="823"/>
      <c r="O355" s="823"/>
      <c r="P355" s="823"/>
      <c r="Q355" s="823"/>
      <c r="R355" s="823"/>
      <c r="S355" s="823"/>
      <c r="T355" s="823"/>
      <c r="U355" s="823"/>
      <c r="V355" s="823"/>
    </row>
    <row r="356" spans="1:22" ht="15.75" thickBot="1" x14ac:dyDescent="0.3">
      <c r="A356" s="51" t="s">
        <v>951</v>
      </c>
      <c r="B356" s="51" t="s">
        <v>28</v>
      </c>
      <c r="C356" s="51" t="s">
        <v>29</v>
      </c>
      <c r="D356" s="51" t="s">
        <v>15</v>
      </c>
      <c r="E356" s="51" t="s">
        <v>952</v>
      </c>
      <c r="F356" s="147">
        <v>1</v>
      </c>
      <c r="G356" s="54">
        <v>189</v>
      </c>
      <c r="H356" s="822"/>
      <c r="I356" s="54">
        <v>18.850000000000001</v>
      </c>
      <c r="J356" s="822"/>
      <c r="K356" s="54">
        <v>69.52</v>
      </c>
      <c r="L356" s="54">
        <v>52.32</v>
      </c>
      <c r="M356" s="54">
        <v>-0.3</v>
      </c>
      <c r="N356" s="822"/>
      <c r="O356" s="822"/>
      <c r="P356" s="822"/>
      <c r="Q356" s="822"/>
      <c r="R356" s="822"/>
      <c r="S356" s="822"/>
      <c r="T356" s="822"/>
      <c r="U356" s="822"/>
      <c r="V356" s="822"/>
    </row>
    <row r="357" spans="1:22" ht="15.75" thickBot="1" x14ac:dyDescent="0.3">
      <c r="A357" s="51" t="s">
        <v>951</v>
      </c>
      <c r="B357" s="51" t="s">
        <v>28</v>
      </c>
      <c r="C357" s="51" t="s">
        <v>29</v>
      </c>
      <c r="D357" s="51" t="s">
        <v>21</v>
      </c>
      <c r="E357" s="51" t="s">
        <v>952</v>
      </c>
      <c r="F357" s="148">
        <v>2</v>
      </c>
      <c r="G357" s="56">
        <v>431</v>
      </c>
      <c r="H357" s="823"/>
      <c r="I357" s="56">
        <v>40.950000000000003</v>
      </c>
      <c r="J357" s="823"/>
      <c r="K357" s="56">
        <v>158.53</v>
      </c>
      <c r="L357" s="56">
        <v>131.08000000000001</v>
      </c>
      <c r="M357" s="56">
        <v>-0.68</v>
      </c>
      <c r="N357" s="823"/>
      <c r="O357" s="823"/>
      <c r="P357" s="823"/>
      <c r="Q357" s="823"/>
      <c r="R357" s="823"/>
      <c r="S357" s="823"/>
      <c r="T357" s="823"/>
      <c r="U357" s="823"/>
      <c r="V357" s="823"/>
    </row>
    <row r="358" spans="1:22" ht="15.75" thickBot="1" x14ac:dyDescent="0.3">
      <c r="A358" s="51" t="s">
        <v>953</v>
      </c>
      <c r="B358" s="51" t="s">
        <v>19</v>
      </c>
      <c r="C358" s="51" t="s">
        <v>431</v>
      </c>
      <c r="D358" s="51" t="s">
        <v>12</v>
      </c>
      <c r="E358" s="51" t="s">
        <v>875</v>
      </c>
      <c r="F358" s="147">
        <v>1</v>
      </c>
      <c r="G358" s="54">
        <v>-1</v>
      </c>
      <c r="H358" s="822"/>
      <c r="I358" s="54">
        <v>0</v>
      </c>
      <c r="J358" s="822"/>
      <c r="K358" s="54">
        <v>-0.22</v>
      </c>
      <c r="L358" s="54">
        <v>-0.38</v>
      </c>
      <c r="M358" s="54">
        <v>0</v>
      </c>
      <c r="N358" s="822"/>
      <c r="O358" s="54">
        <v>0</v>
      </c>
      <c r="P358" s="822"/>
      <c r="Q358" s="822"/>
      <c r="R358" s="822"/>
      <c r="S358" s="822"/>
      <c r="T358" s="822"/>
      <c r="U358" s="822"/>
      <c r="V358" s="822"/>
    </row>
    <row r="359" spans="1:22" ht="15.75" thickBot="1" x14ac:dyDescent="0.3">
      <c r="A359" s="51" t="s">
        <v>953</v>
      </c>
      <c r="B359" s="51" t="s">
        <v>19</v>
      </c>
      <c r="C359" s="51" t="s">
        <v>431</v>
      </c>
      <c r="D359" s="51" t="s">
        <v>12</v>
      </c>
      <c r="E359" s="51" t="s">
        <v>848</v>
      </c>
      <c r="F359" s="148">
        <v>1</v>
      </c>
      <c r="G359" s="56">
        <v>-2</v>
      </c>
      <c r="H359" s="823"/>
      <c r="I359" s="56">
        <v>0</v>
      </c>
      <c r="J359" s="823"/>
      <c r="K359" s="56">
        <v>-0.43</v>
      </c>
      <c r="L359" s="56">
        <v>-0.89</v>
      </c>
      <c r="M359" s="56">
        <v>0</v>
      </c>
      <c r="N359" s="823"/>
      <c r="O359" s="56">
        <v>0</v>
      </c>
      <c r="P359" s="823"/>
      <c r="Q359" s="823"/>
      <c r="R359" s="823"/>
      <c r="S359" s="823"/>
      <c r="T359" s="823"/>
      <c r="U359" s="823"/>
      <c r="V359" s="823"/>
    </row>
    <row r="360" spans="1:22" ht="15.75" thickBot="1" x14ac:dyDescent="0.3">
      <c r="A360" s="51" t="s">
        <v>953</v>
      </c>
      <c r="B360" s="51" t="s">
        <v>19</v>
      </c>
      <c r="C360" s="51" t="s">
        <v>431</v>
      </c>
      <c r="D360" s="51" t="s">
        <v>12</v>
      </c>
      <c r="E360" s="51" t="s">
        <v>831</v>
      </c>
      <c r="F360" s="147">
        <v>1</v>
      </c>
      <c r="G360" s="54">
        <v>0</v>
      </c>
      <c r="H360" s="822"/>
      <c r="I360" s="54">
        <v>0</v>
      </c>
      <c r="J360" s="822"/>
      <c r="K360" s="54">
        <v>0</v>
      </c>
      <c r="L360" s="54">
        <v>0</v>
      </c>
      <c r="M360" s="54">
        <v>0</v>
      </c>
      <c r="N360" s="54">
        <v>0.02</v>
      </c>
      <c r="O360" s="822"/>
      <c r="P360" s="822"/>
      <c r="Q360" s="822"/>
      <c r="R360" s="822"/>
      <c r="S360" s="822"/>
      <c r="T360" s="822"/>
      <c r="U360" s="822"/>
      <c r="V360" s="822"/>
    </row>
    <row r="361" spans="1:22" ht="15.75" thickBot="1" x14ac:dyDescent="0.3">
      <c r="A361" s="51" t="s">
        <v>953</v>
      </c>
      <c r="B361" s="51" t="s">
        <v>19</v>
      </c>
      <c r="C361" s="51" t="s">
        <v>431</v>
      </c>
      <c r="D361" s="51" t="s">
        <v>12</v>
      </c>
      <c r="E361" s="51" t="s">
        <v>832</v>
      </c>
      <c r="F361" s="148">
        <v>1</v>
      </c>
      <c r="G361" s="56">
        <v>0</v>
      </c>
      <c r="H361" s="823"/>
      <c r="I361" s="56">
        <v>0</v>
      </c>
      <c r="J361" s="823"/>
      <c r="K361" s="56">
        <v>0</v>
      </c>
      <c r="L361" s="56">
        <v>0</v>
      </c>
      <c r="M361" s="56">
        <v>0</v>
      </c>
      <c r="N361" s="56">
        <v>-0.04</v>
      </c>
      <c r="O361" s="823"/>
      <c r="P361" s="823"/>
      <c r="Q361" s="823"/>
      <c r="R361" s="823"/>
      <c r="S361" s="823"/>
      <c r="T361" s="823"/>
      <c r="U361" s="823"/>
      <c r="V361" s="823"/>
    </row>
    <row r="362" spans="1:22" ht="15.75" thickBot="1" x14ac:dyDescent="0.3">
      <c r="A362" s="51" t="s">
        <v>953</v>
      </c>
      <c r="B362" s="51" t="s">
        <v>19</v>
      </c>
      <c r="C362" s="51" t="s">
        <v>431</v>
      </c>
      <c r="D362" s="51" t="s">
        <v>12</v>
      </c>
      <c r="E362" s="51" t="s">
        <v>833</v>
      </c>
      <c r="F362" s="147">
        <v>3</v>
      </c>
      <c r="G362" s="54">
        <v>-38</v>
      </c>
      <c r="H362" s="822"/>
      <c r="I362" s="54">
        <v>0</v>
      </c>
      <c r="J362" s="822"/>
      <c r="K362" s="54">
        <v>-11.66</v>
      </c>
      <c r="L362" s="54">
        <v>-14.6</v>
      </c>
      <c r="M362" s="54">
        <v>0</v>
      </c>
      <c r="N362" s="54">
        <v>-5.14</v>
      </c>
      <c r="O362" s="822"/>
      <c r="P362" s="822"/>
      <c r="Q362" s="822"/>
      <c r="R362" s="822"/>
      <c r="S362" s="822"/>
      <c r="T362" s="822"/>
      <c r="U362" s="822"/>
      <c r="V362" s="822"/>
    </row>
    <row r="363" spans="1:22" ht="15.75" thickBot="1" x14ac:dyDescent="0.3">
      <c r="A363" s="51" t="s">
        <v>953</v>
      </c>
      <c r="B363" s="51" t="s">
        <v>19</v>
      </c>
      <c r="C363" s="51" t="s">
        <v>431</v>
      </c>
      <c r="D363" s="51" t="s">
        <v>12</v>
      </c>
      <c r="E363" s="51" t="s">
        <v>834</v>
      </c>
      <c r="F363" s="148">
        <v>8</v>
      </c>
      <c r="G363" s="56">
        <v>-969</v>
      </c>
      <c r="H363" s="823"/>
      <c r="I363" s="56">
        <v>1.97</v>
      </c>
      <c r="J363" s="823"/>
      <c r="K363" s="56">
        <v>-297.2</v>
      </c>
      <c r="L363" s="56">
        <v>-355.8</v>
      </c>
      <c r="M363" s="56">
        <v>-0.16</v>
      </c>
      <c r="N363" s="56">
        <v>-74.03</v>
      </c>
      <c r="O363" s="823"/>
      <c r="P363" s="823"/>
      <c r="Q363" s="823"/>
      <c r="R363" s="823"/>
      <c r="S363" s="823"/>
      <c r="T363" s="823"/>
      <c r="U363" s="823"/>
      <c r="V363" s="823"/>
    </row>
    <row r="364" spans="1:22" ht="15.75" thickBot="1" x14ac:dyDescent="0.3">
      <c r="A364" s="51" t="s">
        <v>953</v>
      </c>
      <c r="B364" s="51" t="s">
        <v>19</v>
      </c>
      <c r="C364" s="51" t="s">
        <v>431</v>
      </c>
      <c r="D364" s="51" t="s">
        <v>12</v>
      </c>
      <c r="E364" s="51" t="s">
        <v>857</v>
      </c>
      <c r="F364" s="147">
        <v>39</v>
      </c>
      <c r="G364" s="54">
        <v>-35728</v>
      </c>
      <c r="H364" s="822"/>
      <c r="I364" s="54">
        <v>65.010000000000005</v>
      </c>
      <c r="J364" s="54">
        <v>0</v>
      </c>
      <c r="K364" s="54">
        <v>-10957.76</v>
      </c>
      <c r="L364" s="54">
        <v>-12147.89</v>
      </c>
      <c r="M364" s="54">
        <v>-6.43</v>
      </c>
      <c r="N364" s="54">
        <v>-1076.81</v>
      </c>
      <c r="O364" s="822"/>
      <c r="P364" s="822"/>
      <c r="Q364" s="822"/>
      <c r="R364" s="822"/>
      <c r="S364" s="822"/>
      <c r="T364" s="822"/>
      <c r="U364" s="822"/>
      <c r="V364" s="822"/>
    </row>
    <row r="365" spans="1:22" ht="15.75" thickBot="1" x14ac:dyDescent="0.3">
      <c r="A365" s="51" t="s">
        <v>953</v>
      </c>
      <c r="B365" s="51" t="s">
        <v>19</v>
      </c>
      <c r="C365" s="51" t="s">
        <v>431</v>
      </c>
      <c r="D365" s="51" t="s">
        <v>12</v>
      </c>
      <c r="E365" s="51" t="s">
        <v>949</v>
      </c>
      <c r="F365" s="148">
        <v>123</v>
      </c>
      <c r="G365" s="56">
        <v>-16032</v>
      </c>
      <c r="H365" s="56">
        <v>-26492</v>
      </c>
      <c r="I365" s="56">
        <v>147.75</v>
      </c>
      <c r="J365" s="56">
        <v>0</v>
      </c>
      <c r="K365" s="56">
        <v>-11717.51</v>
      </c>
      <c r="L365" s="56">
        <v>-14458.58</v>
      </c>
      <c r="M365" s="56">
        <v>-12.44</v>
      </c>
      <c r="N365" s="56">
        <v>-3081.85</v>
      </c>
      <c r="O365" s="823"/>
      <c r="P365" s="823"/>
      <c r="Q365" s="823"/>
      <c r="R365" s="823"/>
      <c r="S365" s="823"/>
      <c r="T365" s="823"/>
      <c r="U365" s="823"/>
      <c r="V365" s="823"/>
    </row>
    <row r="366" spans="1:22" ht="15.75" thickBot="1" x14ac:dyDescent="0.3">
      <c r="A366" s="51" t="s">
        <v>953</v>
      </c>
      <c r="B366" s="51" t="s">
        <v>19</v>
      </c>
      <c r="C366" s="51" t="s">
        <v>431</v>
      </c>
      <c r="D366" s="51" t="s">
        <v>12</v>
      </c>
      <c r="E366" s="51" t="s">
        <v>952</v>
      </c>
      <c r="F366" s="147">
        <v>673</v>
      </c>
      <c r="G366" s="54">
        <v>22143</v>
      </c>
      <c r="H366" s="54">
        <v>19750</v>
      </c>
      <c r="I366" s="54">
        <v>22832.3</v>
      </c>
      <c r="J366" s="54">
        <v>4422.6400000000003</v>
      </c>
      <c r="K366" s="54">
        <v>11861.17</v>
      </c>
      <c r="L366" s="54">
        <v>10189.540000000001</v>
      </c>
      <c r="M366" s="54">
        <v>20.04</v>
      </c>
      <c r="N366" s="822"/>
      <c r="O366" s="822"/>
      <c r="P366" s="822"/>
      <c r="Q366" s="822"/>
      <c r="R366" s="822"/>
      <c r="S366" s="822"/>
      <c r="T366" s="822"/>
      <c r="U366" s="822"/>
      <c r="V366" s="822"/>
    </row>
    <row r="367" spans="1:22" ht="15.75" thickBot="1" x14ac:dyDescent="0.3">
      <c r="A367" s="51" t="s">
        <v>953</v>
      </c>
      <c r="B367" s="51" t="s">
        <v>19</v>
      </c>
      <c r="C367" s="51" t="s">
        <v>431</v>
      </c>
      <c r="D367" s="51" t="s">
        <v>12</v>
      </c>
      <c r="E367" s="51" t="s">
        <v>962</v>
      </c>
      <c r="F367" s="148">
        <v>23644</v>
      </c>
      <c r="G367" s="56">
        <v>1965267</v>
      </c>
      <c r="H367" s="56">
        <v>847265</v>
      </c>
      <c r="I367" s="56">
        <v>1395260.38</v>
      </c>
      <c r="J367" s="56">
        <v>263390.7</v>
      </c>
      <c r="K367" s="56">
        <v>820239.32</v>
      </c>
      <c r="L367" s="56">
        <v>714662.6</v>
      </c>
      <c r="M367" s="56">
        <v>1341.36</v>
      </c>
      <c r="N367" s="823"/>
      <c r="O367" s="823"/>
      <c r="P367" s="823"/>
      <c r="Q367" s="823"/>
      <c r="R367" s="823"/>
      <c r="S367" s="823"/>
      <c r="T367" s="823"/>
      <c r="U367" s="823"/>
      <c r="V367" s="823"/>
    </row>
    <row r="368" spans="1:22" ht="15.75" thickBot="1" x14ac:dyDescent="0.3">
      <c r="A368" s="51" t="s">
        <v>953</v>
      </c>
      <c r="B368" s="51" t="s">
        <v>19</v>
      </c>
      <c r="C368" s="51" t="s">
        <v>431</v>
      </c>
      <c r="D368" s="51" t="s">
        <v>15</v>
      </c>
      <c r="E368" s="51" t="s">
        <v>876</v>
      </c>
      <c r="F368" s="148">
        <v>1</v>
      </c>
      <c r="G368" s="56">
        <v>0</v>
      </c>
      <c r="H368" s="823"/>
      <c r="I368" s="56">
        <v>0</v>
      </c>
      <c r="J368" s="823"/>
      <c r="K368" s="56">
        <v>0</v>
      </c>
      <c r="L368" s="56">
        <v>0</v>
      </c>
      <c r="M368" s="56">
        <v>0</v>
      </c>
      <c r="N368" s="56">
        <v>-0.1</v>
      </c>
      <c r="O368" s="56">
        <v>0</v>
      </c>
      <c r="P368" s="823"/>
      <c r="Q368" s="823"/>
      <c r="R368" s="823"/>
      <c r="S368" s="823"/>
      <c r="T368" s="823"/>
      <c r="U368" s="823"/>
      <c r="V368" s="823"/>
    </row>
    <row r="369" spans="1:22" ht="15.75" thickBot="1" x14ac:dyDescent="0.3">
      <c r="A369" s="51" t="s">
        <v>953</v>
      </c>
      <c r="B369" s="51" t="s">
        <v>19</v>
      </c>
      <c r="C369" s="51" t="s">
        <v>431</v>
      </c>
      <c r="D369" s="51" t="s">
        <v>15</v>
      </c>
      <c r="E369" s="51" t="s">
        <v>877</v>
      </c>
      <c r="F369" s="147">
        <v>1</v>
      </c>
      <c r="G369" s="54">
        <v>0</v>
      </c>
      <c r="H369" s="822"/>
      <c r="I369" s="54">
        <v>0</v>
      </c>
      <c r="J369" s="822"/>
      <c r="K369" s="54">
        <v>0</v>
      </c>
      <c r="L369" s="54">
        <v>0</v>
      </c>
      <c r="M369" s="54">
        <v>0</v>
      </c>
      <c r="N369" s="54">
        <v>0.54</v>
      </c>
      <c r="O369" s="54">
        <v>0</v>
      </c>
      <c r="P369" s="822"/>
      <c r="Q369" s="822"/>
      <c r="R369" s="822"/>
      <c r="S369" s="822"/>
      <c r="T369" s="822"/>
      <c r="U369" s="822"/>
      <c r="V369" s="822"/>
    </row>
    <row r="370" spans="1:22" ht="15.75" thickBot="1" x14ac:dyDescent="0.3">
      <c r="A370" s="51" t="s">
        <v>953</v>
      </c>
      <c r="B370" s="51" t="s">
        <v>19</v>
      </c>
      <c r="C370" s="51" t="s">
        <v>431</v>
      </c>
      <c r="D370" s="51" t="s">
        <v>15</v>
      </c>
      <c r="E370" s="51" t="s">
        <v>878</v>
      </c>
      <c r="F370" s="148">
        <v>1</v>
      </c>
      <c r="G370" s="56">
        <v>0</v>
      </c>
      <c r="H370" s="823"/>
      <c r="I370" s="56">
        <v>0</v>
      </c>
      <c r="J370" s="823"/>
      <c r="K370" s="56">
        <v>0</v>
      </c>
      <c r="L370" s="56">
        <v>0</v>
      </c>
      <c r="M370" s="56">
        <v>0</v>
      </c>
      <c r="N370" s="56">
        <v>1.33</v>
      </c>
      <c r="O370" s="56">
        <v>0</v>
      </c>
      <c r="P370" s="823"/>
      <c r="Q370" s="823"/>
      <c r="R370" s="823"/>
      <c r="S370" s="823"/>
      <c r="T370" s="823"/>
      <c r="U370" s="823"/>
      <c r="V370" s="823"/>
    </row>
    <row r="371" spans="1:22" ht="15.75" thickBot="1" x14ac:dyDescent="0.3">
      <c r="A371" s="51" t="s">
        <v>953</v>
      </c>
      <c r="B371" s="51" t="s">
        <v>19</v>
      </c>
      <c r="C371" s="51" t="s">
        <v>431</v>
      </c>
      <c r="D371" s="51" t="s">
        <v>15</v>
      </c>
      <c r="E371" s="51" t="s">
        <v>879</v>
      </c>
      <c r="F371" s="147">
        <v>1</v>
      </c>
      <c r="G371" s="54">
        <v>0</v>
      </c>
      <c r="H371" s="822"/>
      <c r="I371" s="54">
        <v>0</v>
      </c>
      <c r="J371" s="822"/>
      <c r="K371" s="54">
        <v>0</v>
      </c>
      <c r="L371" s="54">
        <v>-0.04</v>
      </c>
      <c r="M371" s="54">
        <v>0</v>
      </c>
      <c r="N371" s="54">
        <v>2.0699999999999998</v>
      </c>
      <c r="O371" s="54">
        <v>0</v>
      </c>
      <c r="P371" s="822"/>
      <c r="Q371" s="822"/>
      <c r="R371" s="822"/>
      <c r="S371" s="822"/>
      <c r="T371" s="822"/>
      <c r="U371" s="822"/>
      <c r="V371" s="822"/>
    </row>
    <row r="372" spans="1:22" ht="15.75" thickBot="1" x14ac:dyDescent="0.3">
      <c r="A372" s="51" t="s">
        <v>953</v>
      </c>
      <c r="B372" s="51" t="s">
        <v>19</v>
      </c>
      <c r="C372" s="51" t="s">
        <v>431</v>
      </c>
      <c r="D372" s="51" t="s">
        <v>15</v>
      </c>
      <c r="E372" s="51" t="s">
        <v>845</v>
      </c>
      <c r="F372" s="148">
        <v>1</v>
      </c>
      <c r="G372" s="56">
        <v>0</v>
      </c>
      <c r="H372" s="823"/>
      <c r="I372" s="56">
        <v>0</v>
      </c>
      <c r="J372" s="823"/>
      <c r="K372" s="56">
        <v>0</v>
      </c>
      <c r="L372" s="56">
        <v>0</v>
      </c>
      <c r="M372" s="56">
        <v>0</v>
      </c>
      <c r="N372" s="56">
        <v>-0.27</v>
      </c>
      <c r="O372" s="56">
        <v>0</v>
      </c>
      <c r="P372" s="823"/>
      <c r="Q372" s="823"/>
      <c r="R372" s="823"/>
      <c r="S372" s="823"/>
      <c r="T372" s="823"/>
      <c r="U372" s="823"/>
      <c r="V372" s="823"/>
    </row>
    <row r="373" spans="1:22" ht="15.75" thickBot="1" x14ac:dyDescent="0.3">
      <c r="A373" s="51" t="s">
        <v>953</v>
      </c>
      <c r="B373" s="51" t="s">
        <v>19</v>
      </c>
      <c r="C373" s="51" t="s">
        <v>431</v>
      </c>
      <c r="D373" s="51" t="s">
        <v>15</v>
      </c>
      <c r="E373" s="51" t="s">
        <v>846</v>
      </c>
      <c r="F373" s="147">
        <v>1</v>
      </c>
      <c r="G373" s="54">
        <v>0</v>
      </c>
      <c r="H373" s="822"/>
      <c r="I373" s="54">
        <v>0</v>
      </c>
      <c r="J373" s="822"/>
      <c r="K373" s="54">
        <v>0</v>
      </c>
      <c r="L373" s="54">
        <v>0</v>
      </c>
      <c r="M373" s="54">
        <v>0</v>
      </c>
      <c r="N373" s="54">
        <v>0.42</v>
      </c>
      <c r="O373" s="54">
        <v>0</v>
      </c>
      <c r="P373" s="822"/>
      <c r="Q373" s="822"/>
      <c r="R373" s="822"/>
      <c r="S373" s="822"/>
      <c r="T373" s="822"/>
      <c r="U373" s="822"/>
      <c r="V373" s="822"/>
    </row>
    <row r="374" spans="1:22" ht="15.75" thickBot="1" x14ac:dyDescent="0.3">
      <c r="A374" s="51" t="s">
        <v>953</v>
      </c>
      <c r="B374" s="51" t="s">
        <v>19</v>
      </c>
      <c r="C374" s="51" t="s">
        <v>431</v>
      </c>
      <c r="D374" s="51" t="s">
        <v>15</v>
      </c>
      <c r="E374" s="51" t="s">
        <v>853</v>
      </c>
      <c r="F374" s="148">
        <v>1</v>
      </c>
      <c r="G374" s="56">
        <v>0</v>
      </c>
      <c r="H374" s="823"/>
      <c r="I374" s="56">
        <v>0</v>
      </c>
      <c r="J374" s="823"/>
      <c r="K374" s="56">
        <v>0</v>
      </c>
      <c r="L374" s="56">
        <v>0</v>
      </c>
      <c r="M374" s="56">
        <v>0</v>
      </c>
      <c r="N374" s="56">
        <v>0.04</v>
      </c>
      <c r="O374" s="823"/>
      <c r="P374" s="823"/>
      <c r="Q374" s="823"/>
      <c r="R374" s="823"/>
      <c r="S374" s="823"/>
      <c r="T374" s="823"/>
      <c r="U374" s="823"/>
      <c r="V374" s="823"/>
    </row>
    <row r="375" spans="1:22" ht="15.75" thickBot="1" x14ac:dyDescent="0.3">
      <c r="A375" s="51" t="s">
        <v>953</v>
      </c>
      <c r="B375" s="51" t="s">
        <v>19</v>
      </c>
      <c r="C375" s="51" t="s">
        <v>431</v>
      </c>
      <c r="D375" s="51" t="s">
        <v>15</v>
      </c>
      <c r="E375" s="51" t="s">
        <v>855</v>
      </c>
      <c r="F375" s="147">
        <v>1</v>
      </c>
      <c r="G375" s="54">
        <v>0</v>
      </c>
      <c r="H375" s="822"/>
      <c r="I375" s="54">
        <v>0</v>
      </c>
      <c r="J375" s="822"/>
      <c r="K375" s="54">
        <v>0</v>
      </c>
      <c r="L375" s="54">
        <v>0</v>
      </c>
      <c r="M375" s="54">
        <v>0</v>
      </c>
      <c r="N375" s="54">
        <v>0.05</v>
      </c>
      <c r="O375" s="822"/>
      <c r="P375" s="822"/>
      <c r="Q375" s="822"/>
      <c r="R375" s="822"/>
      <c r="S375" s="822"/>
      <c r="T375" s="822"/>
      <c r="U375" s="822"/>
      <c r="V375" s="822"/>
    </row>
    <row r="376" spans="1:22" ht="15.75" thickBot="1" x14ac:dyDescent="0.3">
      <c r="A376" s="51" t="s">
        <v>953</v>
      </c>
      <c r="B376" s="51" t="s">
        <v>19</v>
      </c>
      <c r="C376" s="51" t="s">
        <v>431</v>
      </c>
      <c r="D376" s="51" t="s">
        <v>15</v>
      </c>
      <c r="E376" s="51" t="s">
        <v>856</v>
      </c>
      <c r="F376" s="148">
        <v>1</v>
      </c>
      <c r="G376" s="56">
        <v>0</v>
      </c>
      <c r="H376" s="823"/>
      <c r="I376" s="56">
        <v>0</v>
      </c>
      <c r="J376" s="823"/>
      <c r="K376" s="56">
        <v>0</v>
      </c>
      <c r="L376" s="56">
        <v>0.04</v>
      </c>
      <c r="M376" s="56">
        <v>0</v>
      </c>
      <c r="N376" s="56">
        <v>0.37</v>
      </c>
      <c r="O376" s="823"/>
      <c r="P376" s="823"/>
      <c r="Q376" s="823"/>
      <c r="R376" s="823"/>
      <c r="S376" s="823"/>
      <c r="T376" s="823"/>
      <c r="U376" s="823"/>
      <c r="V376" s="823"/>
    </row>
    <row r="377" spans="1:22" ht="15.75" thickBot="1" x14ac:dyDescent="0.3">
      <c r="A377" s="51" t="s">
        <v>953</v>
      </c>
      <c r="B377" s="51" t="s">
        <v>19</v>
      </c>
      <c r="C377" s="51" t="s">
        <v>431</v>
      </c>
      <c r="D377" s="51" t="s">
        <v>15</v>
      </c>
      <c r="E377" s="51" t="s">
        <v>632</v>
      </c>
      <c r="F377" s="147">
        <v>1</v>
      </c>
      <c r="G377" s="54">
        <v>0</v>
      </c>
      <c r="H377" s="822"/>
      <c r="I377" s="54">
        <v>0</v>
      </c>
      <c r="J377" s="822"/>
      <c r="K377" s="54">
        <v>0</v>
      </c>
      <c r="L377" s="54">
        <v>0</v>
      </c>
      <c r="M377" s="54">
        <v>0</v>
      </c>
      <c r="N377" s="54">
        <v>-0.2</v>
      </c>
      <c r="O377" s="822"/>
      <c r="P377" s="822"/>
      <c r="Q377" s="822"/>
      <c r="R377" s="822"/>
      <c r="S377" s="822"/>
      <c r="T377" s="822"/>
      <c r="U377" s="822"/>
      <c r="V377" s="822"/>
    </row>
    <row r="378" spans="1:22" ht="15.75" thickBot="1" x14ac:dyDescent="0.3">
      <c r="A378" s="51" t="s">
        <v>953</v>
      </c>
      <c r="B378" s="51" t="s">
        <v>19</v>
      </c>
      <c r="C378" s="51" t="s">
        <v>431</v>
      </c>
      <c r="D378" s="51" t="s">
        <v>15</v>
      </c>
      <c r="E378" s="51" t="s">
        <v>841</v>
      </c>
      <c r="F378" s="148">
        <v>1</v>
      </c>
      <c r="G378" s="56">
        <v>0</v>
      </c>
      <c r="H378" s="823"/>
      <c r="I378" s="56">
        <v>0</v>
      </c>
      <c r="J378" s="823"/>
      <c r="K378" s="56">
        <v>0</v>
      </c>
      <c r="L378" s="56">
        <v>0</v>
      </c>
      <c r="M378" s="56">
        <v>0</v>
      </c>
      <c r="N378" s="56">
        <v>-0.1</v>
      </c>
      <c r="O378" s="823"/>
      <c r="P378" s="823"/>
      <c r="Q378" s="823"/>
      <c r="R378" s="823"/>
      <c r="S378" s="823"/>
      <c r="T378" s="823"/>
      <c r="U378" s="823"/>
      <c r="V378" s="823"/>
    </row>
    <row r="379" spans="1:22" ht="15.75" thickBot="1" x14ac:dyDescent="0.3">
      <c r="A379" s="51" t="s">
        <v>953</v>
      </c>
      <c r="B379" s="51" t="s">
        <v>19</v>
      </c>
      <c r="C379" s="51" t="s">
        <v>431</v>
      </c>
      <c r="D379" s="51" t="s">
        <v>15</v>
      </c>
      <c r="E379" s="51" t="s">
        <v>842</v>
      </c>
      <c r="F379" s="147">
        <v>1</v>
      </c>
      <c r="G379" s="54">
        <v>0</v>
      </c>
      <c r="H379" s="822"/>
      <c r="I379" s="54">
        <v>0</v>
      </c>
      <c r="J379" s="822"/>
      <c r="K379" s="54">
        <v>0</v>
      </c>
      <c r="L379" s="54">
        <v>0</v>
      </c>
      <c r="M379" s="54">
        <v>0</v>
      </c>
      <c r="N379" s="54">
        <v>0.24</v>
      </c>
      <c r="O379" s="822"/>
      <c r="P379" s="822"/>
      <c r="Q379" s="822"/>
      <c r="R379" s="822"/>
      <c r="S379" s="822"/>
      <c r="T379" s="822"/>
      <c r="U379" s="822"/>
      <c r="V379" s="822"/>
    </row>
    <row r="380" spans="1:22" ht="15.75" thickBot="1" x14ac:dyDescent="0.3">
      <c r="A380" s="51" t="s">
        <v>953</v>
      </c>
      <c r="B380" s="51" t="s">
        <v>19</v>
      </c>
      <c r="C380" s="51" t="s">
        <v>431</v>
      </c>
      <c r="D380" s="51" t="s">
        <v>15</v>
      </c>
      <c r="E380" s="51" t="s">
        <v>821</v>
      </c>
      <c r="F380" s="148">
        <v>1</v>
      </c>
      <c r="G380" s="56">
        <v>0</v>
      </c>
      <c r="H380" s="823"/>
      <c r="I380" s="56">
        <v>0</v>
      </c>
      <c r="J380" s="823"/>
      <c r="K380" s="56">
        <v>0</v>
      </c>
      <c r="L380" s="56">
        <v>0</v>
      </c>
      <c r="M380" s="56">
        <v>0</v>
      </c>
      <c r="N380" s="56">
        <v>-0.63</v>
      </c>
      <c r="O380" s="823"/>
      <c r="P380" s="823"/>
      <c r="Q380" s="823"/>
      <c r="R380" s="823"/>
      <c r="S380" s="823"/>
      <c r="T380" s="823"/>
      <c r="U380" s="823"/>
      <c r="V380" s="823"/>
    </row>
    <row r="381" spans="1:22" ht="15.75" thickBot="1" x14ac:dyDescent="0.3">
      <c r="A381" s="51" t="s">
        <v>953</v>
      </c>
      <c r="B381" s="51" t="s">
        <v>19</v>
      </c>
      <c r="C381" s="51" t="s">
        <v>431</v>
      </c>
      <c r="D381" s="51" t="s">
        <v>15</v>
      </c>
      <c r="E381" s="51" t="s">
        <v>822</v>
      </c>
      <c r="F381" s="147">
        <v>1</v>
      </c>
      <c r="G381" s="54">
        <v>0</v>
      </c>
      <c r="H381" s="822"/>
      <c r="I381" s="54">
        <v>0</v>
      </c>
      <c r="J381" s="822"/>
      <c r="K381" s="54">
        <v>0</v>
      </c>
      <c r="L381" s="54">
        <v>-0.02</v>
      </c>
      <c r="M381" s="54">
        <v>0</v>
      </c>
      <c r="N381" s="54">
        <v>-0.38</v>
      </c>
      <c r="O381" s="822"/>
      <c r="P381" s="822"/>
      <c r="Q381" s="822"/>
      <c r="R381" s="822"/>
      <c r="S381" s="822"/>
      <c r="T381" s="822"/>
      <c r="U381" s="822"/>
      <c r="V381" s="822"/>
    </row>
    <row r="382" spans="1:22" ht="15.75" thickBot="1" x14ac:dyDescent="0.3">
      <c r="A382" s="51" t="s">
        <v>953</v>
      </c>
      <c r="B382" s="51" t="s">
        <v>19</v>
      </c>
      <c r="C382" s="51" t="s">
        <v>431</v>
      </c>
      <c r="D382" s="51" t="s">
        <v>15</v>
      </c>
      <c r="E382" s="51" t="s">
        <v>823</v>
      </c>
      <c r="F382" s="148">
        <v>1</v>
      </c>
      <c r="G382" s="56">
        <v>0</v>
      </c>
      <c r="H382" s="823"/>
      <c r="I382" s="56">
        <v>0</v>
      </c>
      <c r="J382" s="823"/>
      <c r="K382" s="56">
        <v>0</v>
      </c>
      <c r="L382" s="56">
        <v>0</v>
      </c>
      <c r="M382" s="56">
        <v>0</v>
      </c>
      <c r="N382" s="56">
        <v>-0.11</v>
      </c>
      <c r="O382" s="823"/>
      <c r="P382" s="823"/>
      <c r="Q382" s="823"/>
      <c r="R382" s="823"/>
      <c r="S382" s="823"/>
      <c r="T382" s="823"/>
      <c r="U382" s="823"/>
      <c r="V382" s="823"/>
    </row>
    <row r="383" spans="1:22" ht="15.75" thickBot="1" x14ac:dyDescent="0.3">
      <c r="A383" s="51" t="s">
        <v>953</v>
      </c>
      <c r="B383" s="51" t="s">
        <v>19</v>
      </c>
      <c r="C383" s="51" t="s">
        <v>431</v>
      </c>
      <c r="D383" s="51" t="s">
        <v>15</v>
      </c>
      <c r="E383" s="51" t="s">
        <v>824</v>
      </c>
      <c r="F383" s="147">
        <v>1</v>
      </c>
      <c r="G383" s="54">
        <v>0</v>
      </c>
      <c r="H383" s="822"/>
      <c r="I383" s="54">
        <v>0</v>
      </c>
      <c r="J383" s="822"/>
      <c r="K383" s="54">
        <v>0</v>
      </c>
      <c r="L383" s="54">
        <v>0</v>
      </c>
      <c r="M383" s="54">
        <v>0</v>
      </c>
      <c r="N383" s="54">
        <v>0.12</v>
      </c>
      <c r="O383" s="822"/>
      <c r="P383" s="822"/>
      <c r="Q383" s="822"/>
      <c r="R383" s="822"/>
      <c r="S383" s="822"/>
      <c r="T383" s="822"/>
      <c r="U383" s="822"/>
      <c r="V383" s="822"/>
    </row>
    <row r="384" spans="1:22" ht="15.75" thickBot="1" x14ac:dyDescent="0.3">
      <c r="A384" s="51" t="s">
        <v>953</v>
      </c>
      <c r="B384" s="51" t="s">
        <v>19</v>
      </c>
      <c r="C384" s="51" t="s">
        <v>431</v>
      </c>
      <c r="D384" s="51" t="s">
        <v>15</v>
      </c>
      <c r="E384" s="51" t="s">
        <v>831</v>
      </c>
      <c r="F384" s="148">
        <v>1</v>
      </c>
      <c r="G384" s="56">
        <v>0</v>
      </c>
      <c r="H384" s="823"/>
      <c r="I384" s="56">
        <v>0</v>
      </c>
      <c r="J384" s="823"/>
      <c r="K384" s="56">
        <v>0</v>
      </c>
      <c r="L384" s="56">
        <v>0</v>
      </c>
      <c r="M384" s="56">
        <v>0</v>
      </c>
      <c r="N384" s="56">
        <v>-0.02</v>
      </c>
      <c r="O384" s="823"/>
      <c r="P384" s="823"/>
      <c r="Q384" s="823"/>
      <c r="R384" s="823"/>
      <c r="S384" s="823"/>
      <c r="T384" s="823"/>
      <c r="U384" s="823"/>
      <c r="V384" s="823"/>
    </row>
    <row r="385" spans="1:22" ht="15.75" thickBot="1" x14ac:dyDescent="0.3">
      <c r="A385" s="51" t="s">
        <v>953</v>
      </c>
      <c r="B385" s="51" t="s">
        <v>19</v>
      </c>
      <c r="C385" s="51" t="s">
        <v>431</v>
      </c>
      <c r="D385" s="51" t="s">
        <v>15</v>
      </c>
      <c r="E385" s="51" t="s">
        <v>832</v>
      </c>
      <c r="F385" s="147">
        <v>1</v>
      </c>
      <c r="G385" s="54">
        <v>0</v>
      </c>
      <c r="H385" s="822"/>
      <c r="I385" s="54">
        <v>0</v>
      </c>
      <c r="J385" s="822"/>
      <c r="K385" s="54">
        <v>0</v>
      </c>
      <c r="L385" s="54">
        <v>0</v>
      </c>
      <c r="M385" s="54">
        <v>0</v>
      </c>
      <c r="N385" s="54">
        <v>1.1499999999999999</v>
      </c>
      <c r="O385" s="822"/>
      <c r="P385" s="822"/>
      <c r="Q385" s="822"/>
      <c r="R385" s="822"/>
      <c r="S385" s="822"/>
      <c r="T385" s="822"/>
      <c r="U385" s="822"/>
      <c r="V385" s="822"/>
    </row>
    <row r="386" spans="1:22" ht="15.75" thickBot="1" x14ac:dyDescent="0.3">
      <c r="A386" s="51" t="s">
        <v>953</v>
      </c>
      <c r="B386" s="51" t="s">
        <v>19</v>
      </c>
      <c r="C386" s="51" t="s">
        <v>431</v>
      </c>
      <c r="D386" s="51" t="s">
        <v>15</v>
      </c>
      <c r="E386" s="51" t="s">
        <v>833</v>
      </c>
      <c r="F386" s="148">
        <v>1</v>
      </c>
      <c r="G386" s="56">
        <v>0</v>
      </c>
      <c r="H386" s="823"/>
      <c r="I386" s="56">
        <v>0</v>
      </c>
      <c r="J386" s="823"/>
      <c r="K386" s="56">
        <v>0</v>
      </c>
      <c r="L386" s="56">
        <v>0</v>
      </c>
      <c r="M386" s="56">
        <v>0</v>
      </c>
      <c r="N386" s="56">
        <v>0.8</v>
      </c>
      <c r="O386" s="823"/>
      <c r="P386" s="823"/>
      <c r="Q386" s="823"/>
      <c r="R386" s="823"/>
      <c r="S386" s="823"/>
      <c r="T386" s="823"/>
      <c r="U386" s="823"/>
      <c r="V386" s="823"/>
    </row>
    <row r="387" spans="1:22" ht="15.75" thickBot="1" x14ac:dyDescent="0.3">
      <c r="A387" s="51" t="s">
        <v>953</v>
      </c>
      <c r="B387" s="51" t="s">
        <v>19</v>
      </c>
      <c r="C387" s="51" t="s">
        <v>431</v>
      </c>
      <c r="D387" s="51" t="s">
        <v>15</v>
      </c>
      <c r="E387" s="51" t="s">
        <v>834</v>
      </c>
      <c r="F387" s="147">
        <v>1</v>
      </c>
      <c r="G387" s="54">
        <v>0</v>
      </c>
      <c r="H387" s="822"/>
      <c r="I387" s="54">
        <v>0</v>
      </c>
      <c r="J387" s="822"/>
      <c r="K387" s="54">
        <v>0</v>
      </c>
      <c r="L387" s="54">
        <v>0</v>
      </c>
      <c r="M387" s="54">
        <v>0</v>
      </c>
      <c r="N387" s="54">
        <v>-0.53</v>
      </c>
      <c r="O387" s="822"/>
      <c r="P387" s="822"/>
      <c r="Q387" s="822"/>
      <c r="R387" s="822"/>
      <c r="S387" s="822"/>
      <c r="T387" s="822"/>
      <c r="U387" s="822"/>
      <c r="V387" s="822"/>
    </row>
    <row r="388" spans="1:22" ht="15.75" thickBot="1" x14ac:dyDescent="0.3">
      <c r="A388" s="51" t="s">
        <v>953</v>
      </c>
      <c r="B388" s="51" t="s">
        <v>19</v>
      </c>
      <c r="C388" s="51" t="s">
        <v>431</v>
      </c>
      <c r="D388" s="51" t="s">
        <v>15</v>
      </c>
      <c r="E388" s="51" t="s">
        <v>857</v>
      </c>
      <c r="F388" s="148">
        <v>7</v>
      </c>
      <c r="G388" s="56">
        <v>-2607</v>
      </c>
      <c r="H388" s="823"/>
      <c r="I388" s="56">
        <v>0</v>
      </c>
      <c r="J388" s="56">
        <v>0</v>
      </c>
      <c r="K388" s="56">
        <v>-799.57</v>
      </c>
      <c r="L388" s="56">
        <v>-886.41</v>
      </c>
      <c r="M388" s="56">
        <v>-0.48</v>
      </c>
      <c r="N388" s="56">
        <v>-72.05</v>
      </c>
      <c r="O388" s="823"/>
      <c r="P388" s="823"/>
      <c r="Q388" s="823"/>
      <c r="R388" s="823"/>
      <c r="S388" s="823"/>
      <c r="T388" s="823"/>
      <c r="U388" s="823"/>
      <c r="V388" s="823"/>
    </row>
    <row r="389" spans="1:22" ht="15.75" thickBot="1" x14ac:dyDescent="0.3">
      <c r="A389" s="51" t="s">
        <v>953</v>
      </c>
      <c r="B389" s="51" t="s">
        <v>19</v>
      </c>
      <c r="C389" s="51" t="s">
        <v>431</v>
      </c>
      <c r="D389" s="51" t="s">
        <v>15</v>
      </c>
      <c r="E389" s="51" t="s">
        <v>949</v>
      </c>
      <c r="F389" s="147">
        <v>13</v>
      </c>
      <c r="G389" s="54">
        <v>-3111</v>
      </c>
      <c r="H389" s="54">
        <v>-6604</v>
      </c>
      <c r="I389" s="54">
        <v>0</v>
      </c>
      <c r="J389" s="54">
        <v>0</v>
      </c>
      <c r="K389" s="54">
        <v>-2649.39</v>
      </c>
      <c r="L389" s="54">
        <v>-3303.21</v>
      </c>
      <c r="M389" s="54">
        <v>-3.06</v>
      </c>
      <c r="N389" s="54">
        <v>-618.04</v>
      </c>
      <c r="O389" s="822"/>
      <c r="P389" s="822"/>
      <c r="Q389" s="822"/>
      <c r="R389" s="822"/>
      <c r="S389" s="822"/>
      <c r="T389" s="822"/>
      <c r="U389" s="822"/>
      <c r="V389" s="822"/>
    </row>
    <row r="390" spans="1:22" ht="15.75" thickBot="1" x14ac:dyDescent="0.3">
      <c r="A390" s="51" t="s">
        <v>953</v>
      </c>
      <c r="B390" s="51" t="s">
        <v>19</v>
      </c>
      <c r="C390" s="51" t="s">
        <v>431</v>
      </c>
      <c r="D390" s="51" t="s">
        <v>15</v>
      </c>
      <c r="E390" s="51" t="s">
        <v>952</v>
      </c>
      <c r="F390" s="148">
        <v>70</v>
      </c>
      <c r="G390" s="56">
        <v>13105</v>
      </c>
      <c r="H390" s="56">
        <v>14192</v>
      </c>
      <c r="I390" s="56">
        <v>1964.09</v>
      </c>
      <c r="J390" s="56">
        <v>6605.85</v>
      </c>
      <c r="K390" s="56">
        <v>7662.37</v>
      </c>
      <c r="L390" s="56">
        <v>7699.76</v>
      </c>
      <c r="M390" s="56">
        <v>13.1</v>
      </c>
      <c r="N390" s="823"/>
      <c r="O390" s="823"/>
      <c r="P390" s="823"/>
      <c r="Q390" s="823"/>
      <c r="R390" s="823"/>
      <c r="S390" s="823"/>
      <c r="T390" s="823"/>
      <c r="U390" s="823"/>
      <c r="V390" s="823"/>
    </row>
    <row r="391" spans="1:22" ht="15.75" thickBot="1" x14ac:dyDescent="0.3">
      <c r="A391" s="51" t="s">
        <v>953</v>
      </c>
      <c r="B391" s="51" t="s">
        <v>19</v>
      </c>
      <c r="C391" s="51" t="s">
        <v>431</v>
      </c>
      <c r="D391" s="51" t="s">
        <v>15</v>
      </c>
      <c r="E391" s="51" t="s">
        <v>962</v>
      </c>
      <c r="F391" s="147">
        <v>1025</v>
      </c>
      <c r="G391" s="54">
        <v>148253</v>
      </c>
      <c r="H391" s="54">
        <v>116391</v>
      </c>
      <c r="I391" s="54">
        <v>48875.7</v>
      </c>
      <c r="J391" s="54">
        <v>68963.199999999997</v>
      </c>
      <c r="K391" s="54">
        <v>75346.67</v>
      </c>
      <c r="L391" s="54">
        <v>67245.899999999994</v>
      </c>
      <c r="M391" s="54">
        <v>126.67</v>
      </c>
      <c r="N391" s="822"/>
      <c r="O391" s="822"/>
      <c r="P391" s="822"/>
      <c r="Q391" s="822"/>
      <c r="R391" s="822"/>
      <c r="S391" s="822"/>
      <c r="T391" s="822"/>
      <c r="U391" s="822"/>
      <c r="V391" s="822"/>
    </row>
    <row r="392" spans="1:22" ht="15.75" thickBot="1" x14ac:dyDescent="0.3">
      <c r="A392" s="51" t="s">
        <v>953</v>
      </c>
      <c r="B392" s="51" t="s">
        <v>19</v>
      </c>
      <c r="C392" s="51" t="s">
        <v>431</v>
      </c>
      <c r="D392" s="51" t="s">
        <v>21</v>
      </c>
      <c r="E392" s="51" t="s">
        <v>952</v>
      </c>
      <c r="F392" s="147">
        <v>1</v>
      </c>
      <c r="G392" s="54">
        <v>5</v>
      </c>
      <c r="H392" s="822"/>
      <c r="I392" s="54">
        <v>31.52</v>
      </c>
      <c r="J392" s="822"/>
      <c r="K392" s="54">
        <v>1.53</v>
      </c>
      <c r="L392" s="54">
        <v>1.27</v>
      </c>
      <c r="M392" s="54">
        <v>0</v>
      </c>
      <c r="N392" s="822"/>
      <c r="O392" s="822"/>
      <c r="P392" s="822"/>
      <c r="Q392" s="822"/>
      <c r="R392" s="822"/>
      <c r="S392" s="822"/>
      <c r="T392" s="822"/>
      <c r="U392" s="822"/>
      <c r="V392" s="822"/>
    </row>
    <row r="393" spans="1:22" ht="15.75" thickBot="1" x14ac:dyDescent="0.3">
      <c r="A393" s="51" t="s">
        <v>953</v>
      </c>
      <c r="B393" s="51" t="s">
        <v>19</v>
      </c>
      <c r="C393" s="51" t="s">
        <v>431</v>
      </c>
      <c r="D393" s="51" t="s">
        <v>21</v>
      </c>
      <c r="E393" s="51" t="s">
        <v>962</v>
      </c>
      <c r="F393" s="148">
        <v>1</v>
      </c>
      <c r="G393" s="56">
        <v>0</v>
      </c>
      <c r="H393" s="823"/>
      <c r="I393" s="56">
        <v>65.010000000000005</v>
      </c>
      <c r="J393" s="823"/>
      <c r="K393" s="56">
        <v>0</v>
      </c>
      <c r="L393" s="56">
        <v>0</v>
      </c>
      <c r="M393" s="56">
        <v>0</v>
      </c>
      <c r="N393" s="823"/>
      <c r="O393" s="823"/>
      <c r="P393" s="823"/>
      <c r="Q393" s="823"/>
      <c r="R393" s="823"/>
      <c r="S393" s="823"/>
      <c r="T393" s="823"/>
      <c r="U393" s="823"/>
      <c r="V393" s="823"/>
    </row>
    <row r="394" spans="1:22" ht="15.75" thickBot="1" x14ac:dyDescent="0.3">
      <c r="A394" s="51" t="s">
        <v>953</v>
      </c>
      <c r="B394" s="51" t="s">
        <v>350</v>
      </c>
      <c r="C394" s="51" t="s">
        <v>432</v>
      </c>
      <c r="D394" s="51" t="s">
        <v>12</v>
      </c>
      <c r="E394" s="51" t="s">
        <v>962</v>
      </c>
      <c r="F394" s="147">
        <v>1</v>
      </c>
      <c r="G394" s="54">
        <v>256</v>
      </c>
      <c r="H394" s="822"/>
      <c r="I394" s="54">
        <v>57.13</v>
      </c>
      <c r="J394" s="822"/>
      <c r="K394" s="54">
        <v>78.52</v>
      </c>
      <c r="L394" s="54">
        <v>65.05</v>
      </c>
      <c r="M394" s="54">
        <v>0.12</v>
      </c>
      <c r="N394" s="822"/>
      <c r="O394" s="822"/>
      <c r="P394" s="822"/>
      <c r="Q394" s="822"/>
      <c r="R394" s="822"/>
      <c r="S394" s="822"/>
      <c r="T394" s="822"/>
      <c r="U394" s="822"/>
      <c r="V394" s="822"/>
    </row>
    <row r="395" spans="1:22" ht="15.75" thickBot="1" x14ac:dyDescent="0.3">
      <c r="A395" s="51" t="s">
        <v>953</v>
      </c>
      <c r="B395" s="51" t="s">
        <v>599</v>
      </c>
      <c r="C395" s="51" t="s">
        <v>600</v>
      </c>
      <c r="D395" s="51" t="s">
        <v>12</v>
      </c>
      <c r="E395" s="51" t="s">
        <v>962</v>
      </c>
      <c r="F395" s="148">
        <v>608</v>
      </c>
      <c r="G395" s="56">
        <v>601</v>
      </c>
      <c r="H395" s="823"/>
      <c r="I395" s="56">
        <v>36801.57</v>
      </c>
      <c r="J395" s="823"/>
      <c r="K395" s="56">
        <v>186.31</v>
      </c>
      <c r="L395" s="56">
        <v>150.25</v>
      </c>
      <c r="M395" s="56">
        <v>0</v>
      </c>
      <c r="N395" s="823"/>
      <c r="O395" s="823"/>
      <c r="P395" s="823"/>
      <c r="Q395" s="823"/>
      <c r="R395" s="823"/>
      <c r="S395" s="823"/>
      <c r="T395" s="823"/>
      <c r="U395" s="823"/>
      <c r="V395" s="823"/>
    </row>
    <row r="396" spans="1:22" ht="15.75" thickBot="1" x14ac:dyDescent="0.3">
      <c r="A396" s="51" t="s">
        <v>953</v>
      </c>
      <c r="B396" s="51" t="s">
        <v>13</v>
      </c>
      <c r="C396" s="51" t="s">
        <v>228</v>
      </c>
      <c r="D396" s="51" t="s">
        <v>12</v>
      </c>
      <c r="E396" s="51" t="s">
        <v>962</v>
      </c>
      <c r="F396" s="147">
        <v>1</v>
      </c>
      <c r="G396" s="54">
        <v>12821</v>
      </c>
      <c r="H396" s="822"/>
      <c r="I396" s="54">
        <v>500</v>
      </c>
      <c r="J396" s="822"/>
      <c r="K396" s="54">
        <v>1364.67</v>
      </c>
      <c r="L396" s="54">
        <v>3257.82</v>
      </c>
      <c r="M396" s="54">
        <v>6.15</v>
      </c>
      <c r="N396" s="822"/>
      <c r="O396" s="822"/>
      <c r="P396" s="822"/>
      <c r="Q396" s="822"/>
      <c r="R396" s="822"/>
      <c r="S396" s="822"/>
      <c r="T396" s="822"/>
      <c r="U396" s="822"/>
      <c r="V396" s="822"/>
    </row>
    <row r="397" spans="1:22" ht="15.75" thickBot="1" x14ac:dyDescent="0.3">
      <c r="A397" s="51" t="s">
        <v>953</v>
      </c>
      <c r="B397" s="51" t="s">
        <v>13</v>
      </c>
      <c r="C397" s="51" t="s">
        <v>228</v>
      </c>
      <c r="D397" s="51" t="s">
        <v>15</v>
      </c>
      <c r="E397" s="51" t="s">
        <v>962</v>
      </c>
      <c r="F397" s="148">
        <v>1</v>
      </c>
      <c r="G397" s="56">
        <v>36191</v>
      </c>
      <c r="H397" s="823"/>
      <c r="I397" s="56">
        <v>500</v>
      </c>
      <c r="J397" s="823"/>
      <c r="K397" s="56">
        <v>3852.17</v>
      </c>
      <c r="L397" s="56">
        <v>9196.1299999999992</v>
      </c>
      <c r="M397" s="56">
        <v>17.37</v>
      </c>
      <c r="N397" s="823"/>
      <c r="O397" s="823"/>
      <c r="P397" s="823"/>
      <c r="Q397" s="823"/>
      <c r="R397" s="823"/>
      <c r="S397" s="823"/>
      <c r="T397" s="823"/>
      <c r="U397" s="823"/>
      <c r="V397" s="823"/>
    </row>
    <row r="398" spans="1:22" ht="15.75" thickBot="1" x14ac:dyDescent="0.3">
      <c r="A398" s="51" t="s">
        <v>953</v>
      </c>
      <c r="B398" s="51" t="s">
        <v>563</v>
      </c>
      <c r="C398" s="51" t="s">
        <v>607</v>
      </c>
      <c r="D398" s="51" t="s">
        <v>15</v>
      </c>
      <c r="E398" s="51" t="s">
        <v>962</v>
      </c>
      <c r="F398" s="148">
        <v>1</v>
      </c>
      <c r="G398" s="56">
        <v>87</v>
      </c>
      <c r="H398" s="823"/>
      <c r="I398" s="56">
        <v>285</v>
      </c>
      <c r="J398" s="823"/>
      <c r="K398" s="56">
        <v>3.13</v>
      </c>
      <c r="L398" s="56">
        <v>22.11</v>
      </c>
      <c r="M398" s="56">
        <v>0.04</v>
      </c>
      <c r="N398" s="823"/>
      <c r="O398" s="823"/>
      <c r="P398" s="56">
        <v>15862.74</v>
      </c>
      <c r="Q398" s="823"/>
      <c r="R398" s="823"/>
      <c r="S398" s="823"/>
      <c r="T398" s="823"/>
      <c r="U398" s="823"/>
      <c r="V398" s="823"/>
    </row>
    <row r="399" spans="1:22" ht="15.75" thickBot="1" x14ac:dyDescent="0.3">
      <c r="A399" s="51" t="s">
        <v>953</v>
      </c>
      <c r="B399" s="51" t="s">
        <v>43</v>
      </c>
      <c r="C399" s="51" t="s">
        <v>433</v>
      </c>
      <c r="D399" s="51" t="s">
        <v>12</v>
      </c>
      <c r="E399" s="51" t="s">
        <v>962</v>
      </c>
      <c r="F399" s="147">
        <v>2</v>
      </c>
      <c r="G399" s="54">
        <v>29</v>
      </c>
      <c r="H399" s="822"/>
      <c r="I399" s="54">
        <v>330</v>
      </c>
      <c r="J399" s="822"/>
      <c r="K399" s="54">
        <v>0.87</v>
      </c>
      <c r="L399" s="54">
        <v>7.37</v>
      </c>
      <c r="M399" s="822"/>
      <c r="N399" s="822"/>
      <c r="O399" s="822"/>
      <c r="P399" s="54">
        <v>1078.8800000000001</v>
      </c>
      <c r="Q399" s="822"/>
      <c r="R399" s="822"/>
      <c r="S399" s="822"/>
      <c r="T399" s="822"/>
      <c r="U399" s="822"/>
      <c r="V399" s="822"/>
    </row>
    <row r="400" spans="1:22" ht="15.75" thickBot="1" x14ac:dyDescent="0.3">
      <c r="A400" s="51" t="s">
        <v>953</v>
      </c>
      <c r="B400" s="51" t="s">
        <v>43</v>
      </c>
      <c r="C400" s="51" t="s">
        <v>433</v>
      </c>
      <c r="D400" s="51" t="s">
        <v>15</v>
      </c>
      <c r="E400" s="51" t="s">
        <v>962</v>
      </c>
      <c r="F400" s="148">
        <v>1</v>
      </c>
      <c r="G400" s="56">
        <v>2</v>
      </c>
      <c r="H400" s="823"/>
      <c r="I400" s="56">
        <v>165</v>
      </c>
      <c r="J400" s="823"/>
      <c r="K400" s="56">
        <v>0.06</v>
      </c>
      <c r="L400" s="56">
        <v>0.51</v>
      </c>
      <c r="M400" s="823"/>
      <c r="N400" s="823"/>
      <c r="O400" s="823"/>
      <c r="P400" s="56">
        <v>672.44</v>
      </c>
      <c r="Q400" s="823"/>
      <c r="R400" s="823"/>
      <c r="S400" s="823"/>
      <c r="T400" s="823"/>
      <c r="U400" s="823"/>
      <c r="V400" s="823"/>
    </row>
    <row r="401" spans="1:22" ht="15.75" thickBot="1" x14ac:dyDescent="0.3">
      <c r="A401" s="51" t="s">
        <v>953</v>
      </c>
      <c r="B401" s="51" t="s">
        <v>34</v>
      </c>
      <c r="C401" s="51" t="s">
        <v>437</v>
      </c>
      <c r="D401" s="51" t="s">
        <v>318</v>
      </c>
      <c r="E401" s="51" t="s">
        <v>952</v>
      </c>
      <c r="F401" s="148">
        <v>7</v>
      </c>
      <c r="G401" s="56">
        <v>316844</v>
      </c>
      <c r="H401" s="823"/>
      <c r="I401" s="823"/>
      <c r="J401" s="823"/>
      <c r="K401" s="823"/>
      <c r="L401" s="823"/>
      <c r="M401" s="823"/>
      <c r="N401" s="823"/>
      <c r="O401" s="823"/>
      <c r="P401" s="823"/>
      <c r="Q401" s="823"/>
      <c r="R401" s="56">
        <v>16705.419999999998</v>
      </c>
      <c r="S401" s="56">
        <v>0</v>
      </c>
      <c r="T401" s="823"/>
      <c r="U401" s="56">
        <v>3850</v>
      </c>
      <c r="V401" s="56">
        <v>0</v>
      </c>
    </row>
    <row r="402" spans="1:22" ht="15.75" thickBot="1" x14ac:dyDescent="0.3">
      <c r="A402" s="51" t="s">
        <v>953</v>
      </c>
      <c r="B402" s="51" t="s">
        <v>34</v>
      </c>
      <c r="C402" s="51" t="s">
        <v>437</v>
      </c>
      <c r="D402" s="51" t="s">
        <v>319</v>
      </c>
      <c r="E402" s="51" t="s">
        <v>952</v>
      </c>
      <c r="F402" s="147">
        <v>2</v>
      </c>
      <c r="G402" s="54">
        <v>101268</v>
      </c>
      <c r="H402" s="822"/>
      <c r="I402" s="822"/>
      <c r="J402" s="822"/>
      <c r="K402" s="822"/>
      <c r="L402" s="822"/>
      <c r="M402" s="822"/>
      <c r="N402" s="822"/>
      <c r="O402" s="822"/>
      <c r="P402" s="822"/>
      <c r="Q402" s="822"/>
      <c r="R402" s="54">
        <v>5612.63</v>
      </c>
      <c r="S402" s="54">
        <v>5.74</v>
      </c>
      <c r="T402" s="54">
        <v>196.76</v>
      </c>
      <c r="U402" s="54">
        <v>1100</v>
      </c>
      <c r="V402" s="54">
        <v>59.02</v>
      </c>
    </row>
    <row r="403" spans="1:22" ht="15.75" thickBot="1" x14ac:dyDescent="0.3">
      <c r="A403" s="51" t="s">
        <v>953</v>
      </c>
      <c r="B403" s="51" t="s">
        <v>24</v>
      </c>
      <c r="C403" s="51" t="s">
        <v>436</v>
      </c>
      <c r="D403" s="51" t="s">
        <v>16</v>
      </c>
      <c r="E403" s="51" t="s">
        <v>952</v>
      </c>
      <c r="F403" s="147">
        <v>1</v>
      </c>
      <c r="G403" s="54">
        <v>684</v>
      </c>
      <c r="H403" s="822"/>
      <c r="I403" s="54">
        <v>0</v>
      </c>
      <c r="J403" s="54">
        <v>1034.8800000000001</v>
      </c>
      <c r="K403" s="54">
        <v>149.99</v>
      </c>
      <c r="L403" s="54">
        <v>188.06</v>
      </c>
      <c r="M403" s="822"/>
      <c r="N403" s="822"/>
      <c r="O403" s="822"/>
      <c r="P403" s="822"/>
      <c r="Q403" s="822"/>
      <c r="R403" s="822"/>
      <c r="S403" s="822"/>
      <c r="T403" s="822"/>
      <c r="U403" s="822"/>
      <c r="V403" s="822"/>
    </row>
    <row r="404" spans="1:22" ht="15.75" thickBot="1" x14ac:dyDescent="0.3">
      <c r="A404" s="51" t="s">
        <v>953</v>
      </c>
      <c r="B404" s="51" t="s">
        <v>24</v>
      </c>
      <c r="C404" s="51" t="s">
        <v>436</v>
      </c>
      <c r="D404" s="51" t="s">
        <v>16</v>
      </c>
      <c r="E404" s="51" t="s">
        <v>962</v>
      </c>
      <c r="F404" s="148">
        <v>76</v>
      </c>
      <c r="G404" s="56">
        <v>38999</v>
      </c>
      <c r="H404" s="56">
        <v>244280</v>
      </c>
      <c r="I404" s="56">
        <v>5230.3</v>
      </c>
      <c r="J404" s="56">
        <v>32894.400000000001</v>
      </c>
      <c r="K404" s="56">
        <v>49906.25</v>
      </c>
      <c r="L404" s="56">
        <v>71981.2</v>
      </c>
      <c r="M404" s="823"/>
      <c r="N404" s="823"/>
      <c r="O404" s="823"/>
      <c r="P404" s="823"/>
      <c r="Q404" s="823"/>
      <c r="R404" s="823"/>
      <c r="S404" s="823"/>
      <c r="T404" s="823"/>
      <c r="U404" s="823"/>
      <c r="V404" s="823"/>
    </row>
    <row r="405" spans="1:22" ht="15.75" thickBot="1" x14ac:dyDescent="0.3">
      <c r="A405" s="51" t="s">
        <v>953</v>
      </c>
      <c r="B405" s="51" t="s">
        <v>24</v>
      </c>
      <c r="C405" s="51" t="s">
        <v>436</v>
      </c>
      <c r="D405" s="51" t="s">
        <v>12</v>
      </c>
      <c r="E405" s="51" t="s">
        <v>962</v>
      </c>
      <c r="F405" s="148">
        <v>9</v>
      </c>
      <c r="G405" s="56">
        <v>4413</v>
      </c>
      <c r="H405" s="56">
        <v>37401</v>
      </c>
      <c r="I405" s="56">
        <v>1008.12</v>
      </c>
      <c r="J405" s="56">
        <v>2242.2399999999998</v>
      </c>
      <c r="K405" s="56">
        <v>7299.34</v>
      </c>
      <c r="L405" s="56">
        <v>10624.93</v>
      </c>
      <c r="M405" s="823"/>
      <c r="N405" s="823"/>
      <c r="O405" s="823"/>
      <c r="P405" s="823"/>
      <c r="Q405" s="823"/>
      <c r="R405" s="823"/>
      <c r="S405" s="823"/>
      <c r="T405" s="823"/>
      <c r="U405" s="823"/>
      <c r="V405" s="823"/>
    </row>
    <row r="406" spans="1:22" ht="15.75" thickBot="1" x14ac:dyDescent="0.3">
      <c r="A406" s="51" t="s">
        <v>953</v>
      </c>
      <c r="B406" s="51" t="s">
        <v>24</v>
      </c>
      <c r="C406" s="51" t="s">
        <v>436</v>
      </c>
      <c r="D406" s="51" t="s">
        <v>15</v>
      </c>
      <c r="E406" s="51" t="s">
        <v>952</v>
      </c>
      <c r="F406" s="147">
        <v>3</v>
      </c>
      <c r="G406" s="54">
        <v>1755</v>
      </c>
      <c r="H406" s="54">
        <v>3592</v>
      </c>
      <c r="I406" s="54">
        <v>319.77999999999997</v>
      </c>
      <c r="J406" s="54">
        <v>714.56</v>
      </c>
      <c r="K406" s="54">
        <v>992.94</v>
      </c>
      <c r="L406" s="54">
        <v>1592.08</v>
      </c>
      <c r="M406" s="822"/>
      <c r="N406" s="822"/>
      <c r="O406" s="822"/>
      <c r="P406" s="822"/>
      <c r="Q406" s="822"/>
      <c r="R406" s="822"/>
      <c r="S406" s="822"/>
      <c r="T406" s="822"/>
      <c r="U406" s="822"/>
      <c r="V406" s="822"/>
    </row>
    <row r="407" spans="1:22" ht="15.75" thickBot="1" x14ac:dyDescent="0.3">
      <c r="A407" s="51" t="s">
        <v>953</v>
      </c>
      <c r="B407" s="51" t="s">
        <v>24</v>
      </c>
      <c r="C407" s="51" t="s">
        <v>436</v>
      </c>
      <c r="D407" s="51" t="s">
        <v>15</v>
      </c>
      <c r="E407" s="51" t="s">
        <v>962</v>
      </c>
      <c r="F407" s="148">
        <v>3</v>
      </c>
      <c r="G407" s="56">
        <v>412</v>
      </c>
      <c r="H407" s="823"/>
      <c r="I407" s="56">
        <v>330.62</v>
      </c>
      <c r="J407" s="56">
        <v>813.12</v>
      </c>
      <c r="K407" s="56">
        <v>90.34</v>
      </c>
      <c r="L407" s="56">
        <v>104.69</v>
      </c>
      <c r="M407" s="823"/>
      <c r="N407" s="823"/>
      <c r="O407" s="823"/>
      <c r="P407" s="823"/>
      <c r="Q407" s="823"/>
      <c r="R407" s="823"/>
      <c r="S407" s="823"/>
      <c r="T407" s="823"/>
      <c r="U407" s="823"/>
      <c r="V407" s="823"/>
    </row>
    <row r="408" spans="1:22" ht="15.75" thickBot="1" x14ac:dyDescent="0.3">
      <c r="A408" s="51" t="s">
        <v>953</v>
      </c>
      <c r="B408" s="51" t="s">
        <v>434</v>
      </c>
      <c r="C408" s="51" t="s">
        <v>435</v>
      </c>
      <c r="D408" s="51" t="s">
        <v>16</v>
      </c>
      <c r="E408" s="51" t="s">
        <v>949</v>
      </c>
      <c r="F408" s="147">
        <v>2</v>
      </c>
      <c r="G408" s="54">
        <v>0</v>
      </c>
      <c r="H408" s="54">
        <v>-7</v>
      </c>
      <c r="I408" s="54">
        <v>0</v>
      </c>
      <c r="J408" s="54">
        <v>0</v>
      </c>
      <c r="K408" s="54">
        <v>-1.18</v>
      </c>
      <c r="L408" s="54">
        <v>-2.38</v>
      </c>
      <c r="M408" s="54">
        <v>-0.02</v>
      </c>
      <c r="N408" s="822"/>
      <c r="O408" s="822"/>
      <c r="P408" s="822"/>
      <c r="Q408" s="822"/>
      <c r="R408" s="822"/>
      <c r="S408" s="822"/>
      <c r="T408" s="822"/>
      <c r="U408" s="822"/>
      <c r="V408" s="822"/>
    </row>
    <row r="409" spans="1:22" ht="15.75" thickBot="1" x14ac:dyDescent="0.3">
      <c r="A409" s="51" t="s">
        <v>953</v>
      </c>
      <c r="B409" s="51" t="s">
        <v>434</v>
      </c>
      <c r="C409" s="51" t="s">
        <v>435</v>
      </c>
      <c r="D409" s="51" t="s">
        <v>16</v>
      </c>
      <c r="E409" s="51" t="s">
        <v>952</v>
      </c>
      <c r="F409" s="148">
        <v>3</v>
      </c>
      <c r="G409" s="56">
        <v>1002</v>
      </c>
      <c r="H409" s="823"/>
      <c r="I409" s="56">
        <v>0</v>
      </c>
      <c r="J409" s="56">
        <v>1503.04</v>
      </c>
      <c r="K409" s="56">
        <v>219.72</v>
      </c>
      <c r="L409" s="56">
        <v>293.18</v>
      </c>
      <c r="M409" s="56">
        <v>0.48</v>
      </c>
      <c r="N409" s="823"/>
      <c r="O409" s="823"/>
      <c r="P409" s="823"/>
      <c r="Q409" s="823"/>
      <c r="R409" s="823"/>
      <c r="S409" s="823"/>
      <c r="T409" s="823"/>
      <c r="U409" s="823"/>
      <c r="V409" s="823"/>
    </row>
    <row r="410" spans="1:22" ht="15.75" thickBot="1" x14ac:dyDescent="0.3">
      <c r="A410" s="51" t="s">
        <v>953</v>
      </c>
      <c r="B410" s="51" t="s">
        <v>434</v>
      </c>
      <c r="C410" s="51" t="s">
        <v>435</v>
      </c>
      <c r="D410" s="51" t="s">
        <v>16</v>
      </c>
      <c r="E410" s="51" t="s">
        <v>962</v>
      </c>
      <c r="F410" s="147">
        <v>121</v>
      </c>
      <c r="G410" s="54">
        <v>46725</v>
      </c>
      <c r="H410" s="54">
        <v>308118</v>
      </c>
      <c r="I410" s="54">
        <v>11224.82</v>
      </c>
      <c r="J410" s="54">
        <v>40705.279999999999</v>
      </c>
      <c r="K410" s="54">
        <v>62407.67</v>
      </c>
      <c r="L410" s="54">
        <v>90165.64</v>
      </c>
      <c r="M410" s="54">
        <v>170.28</v>
      </c>
      <c r="N410" s="822"/>
      <c r="O410" s="822"/>
      <c r="P410" s="822"/>
      <c r="Q410" s="822"/>
      <c r="R410" s="822"/>
      <c r="S410" s="822"/>
      <c r="T410" s="822"/>
      <c r="U410" s="822"/>
      <c r="V410" s="822"/>
    </row>
    <row r="411" spans="1:22" ht="15.75" thickBot="1" x14ac:dyDescent="0.3">
      <c r="A411" s="51" t="s">
        <v>953</v>
      </c>
      <c r="B411" s="51" t="s">
        <v>434</v>
      </c>
      <c r="C411" s="51" t="s">
        <v>435</v>
      </c>
      <c r="D411" s="51" t="s">
        <v>12</v>
      </c>
      <c r="E411" s="51" t="s">
        <v>962</v>
      </c>
      <c r="F411" s="147">
        <v>11</v>
      </c>
      <c r="G411" s="54">
        <v>6365</v>
      </c>
      <c r="H411" s="54">
        <v>63603</v>
      </c>
      <c r="I411" s="54">
        <v>975.6</v>
      </c>
      <c r="J411" s="54">
        <v>3819.2</v>
      </c>
      <c r="K411" s="54">
        <v>12163.13</v>
      </c>
      <c r="L411" s="54">
        <v>17778.87</v>
      </c>
      <c r="M411" s="54">
        <v>33.58</v>
      </c>
      <c r="N411" s="822"/>
      <c r="O411" s="822"/>
      <c r="P411" s="822"/>
      <c r="Q411" s="822"/>
      <c r="R411" s="822"/>
      <c r="S411" s="822"/>
      <c r="T411" s="822"/>
      <c r="U411" s="822"/>
      <c r="V411" s="822"/>
    </row>
    <row r="412" spans="1:22" ht="15.75" thickBot="1" x14ac:dyDescent="0.3">
      <c r="A412" s="51" t="s">
        <v>953</v>
      </c>
      <c r="B412" s="51" t="s">
        <v>429</v>
      </c>
      <c r="C412" s="51" t="s">
        <v>430</v>
      </c>
      <c r="D412" s="51" t="s">
        <v>16</v>
      </c>
      <c r="E412" s="51" t="s">
        <v>962</v>
      </c>
      <c r="F412" s="147">
        <v>1</v>
      </c>
      <c r="G412" s="54">
        <v>42569</v>
      </c>
      <c r="H412" s="822"/>
      <c r="I412" s="54">
        <v>500</v>
      </c>
      <c r="J412" s="822"/>
      <c r="K412" s="54">
        <v>4531.04</v>
      </c>
      <c r="L412" s="54">
        <v>10816.78</v>
      </c>
      <c r="M412" s="54">
        <v>20.43</v>
      </c>
      <c r="N412" s="822"/>
      <c r="O412" s="822"/>
      <c r="P412" s="822"/>
      <c r="Q412" s="822"/>
      <c r="R412" s="822"/>
      <c r="S412" s="822"/>
      <c r="T412" s="822"/>
      <c r="U412" s="822"/>
      <c r="V412" s="822"/>
    </row>
    <row r="413" spans="1:22" ht="15.75" thickBot="1" x14ac:dyDescent="0.3">
      <c r="A413" s="51" t="s">
        <v>953</v>
      </c>
      <c r="B413" s="51" t="s">
        <v>31</v>
      </c>
      <c r="C413" s="51" t="s">
        <v>835</v>
      </c>
      <c r="D413" s="51" t="s">
        <v>320</v>
      </c>
      <c r="E413" s="51" t="s">
        <v>952</v>
      </c>
      <c r="F413" s="148">
        <v>2</v>
      </c>
      <c r="G413" s="56">
        <v>2000</v>
      </c>
      <c r="H413" s="56">
        <v>94457</v>
      </c>
      <c r="I413" s="823"/>
      <c r="J413" s="823"/>
      <c r="K413" s="823"/>
      <c r="L413" s="823"/>
      <c r="M413" s="823"/>
      <c r="N413" s="823"/>
      <c r="O413" s="823"/>
      <c r="P413" s="823"/>
      <c r="Q413" s="56">
        <v>-701.57</v>
      </c>
      <c r="R413" s="56">
        <v>26257.01</v>
      </c>
      <c r="S413" s="56">
        <v>0</v>
      </c>
      <c r="T413" s="823"/>
      <c r="U413" s="56">
        <v>1100</v>
      </c>
      <c r="V413" s="823"/>
    </row>
    <row r="414" spans="1:22" ht="15.75" thickBot="1" x14ac:dyDescent="0.3">
      <c r="A414" s="51" t="s">
        <v>953</v>
      </c>
      <c r="B414" s="51" t="s">
        <v>491</v>
      </c>
      <c r="C414" s="51" t="s">
        <v>492</v>
      </c>
      <c r="D414" s="51" t="s">
        <v>320</v>
      </c>
      <c r="E414" s="51" t="s">
        <v>952</v>
      </c>
      <c r="F414" s="147">
        <v>6</v>
      </c>
      <c r="G414" s="54">
        <v>6000</v>
      </c>
      <c r="H414" s="54">
        <v>202097</v>
      </c>
      <c r="I414" s="822"/>
      <c r="J414" s="822"/>
      <c r="K414" s="822"/>
      <c r="L414" s="822"/>
      <c r="M414" s="822"/>
      <c r="N414" s="822"/>
      <c r="O414" s="822"/>
      <c r="P414" s="822"/>
      <c r="Q414" s="54">
        <v>0</v>
      </c>
      <c r="R414" s="54">
        <v>58118.44</v>
      </c>
      <c r="S414" s="54">
        <v>0</v>
      </c>
      <c r="T414" s="822"/>
      <c r="U414" s="54">
        <v>3300</v>
      </c>
      <c r="V414" s="822"/>
    </row>
    <row r="415" spans="1:22" ht="15.75" thickBot="1" x14ac:dyDescent="0.3">
      <c r="A415" s="51" t="s">
        <v>953</v>
      </c>
      <c r="B415" s="51" t="s">
        <v>52</v>
      </c>
      <c r="C415" s="51" t="s">
        <v>355</v>
      </c>
      <c r="D415" s="51" t="s">
        <v>320</v>
      </c>
      <c r="E415" s="51" t="s">
        <v>952</v>
      </c>
      <c r="F415" s="148">
        <v>2</v>
      </c>
      <c r="G415" s="823"/>
      <c r="H415" s="823"/>
      <c r="I415" s="823"/>
      <c r="J415" s="823"/>
      <c r="K415" s="823"/>
      <c r="L415" s="823"/>
      <c r="M415" s="823"/>
      <c r="N415" s="823"/>
      <c r="O415" s="823"/>
      <c r="P415" s="823"/>
      <c r="Q415" s="823"/>
      <c r="R415" s="56">
        <v>0</v>
      </c>
      <c r="S415" s="56">
        <v>-1850.95</v>
      </c>
      <c r="T415" s="56">
        <v>49.41</v>
      </c>
      <c r="U415" s="56">
        <v>675</v>
      </c>
      <c r="V415" s="56">
        <v>0</v>
      </c>
    </row>
    <row r="416" spans="1:22" ht="15.75" thickBot="1" x14ac:dyDescent="0.3">
      <c r="A416" s="51" t="s">
        <v>953</v>
      </c>
      <c r="B416" s="51" t="s">
        <v>53</v>
      </c>
      <c r="C416" s="51" t="s">
        <v>836</v>
      </c>
      <c r="D416" s="51" t="s">
        <v>320</v>
      </c>
      <c r="E416" s="51" t="s">
        <v>952</v>
      </c>
      <c r="F416" s="147">
        <v>1</v>
      </c>
      <c r="G416" s="54">
        <v>88148</v>
      </c>
      <c r="H416" s="822"/>
      <c r="I416" s="822"/>
      <c r="J416" s="822"/>
      <c r="K416" s="822"/>
      <c r="L416" s="822"/>
      <c r="M416" s="822"/>
      <c r="N416" s="822"/>
      <c r="O416" s="822"/>
      <c r="P416" s="822"/>
      <c r="Q416" s="822"/>
      <c r="R416" s="54">
        <v>17467.61</v>
      </c>
      <c r="S416" s="822"/>
      <c r="T416" s="822"/>
      <c r="U416" s="54">
        <v>550</v>
      </c>
      <c r="V416" s="822"/>
    </row>
    <row r="417" spans="1:22" ht="15.75" thickBot="1" x14ac:dyDescent="0.3">
      <c r="A417" s="51" t="s">
        <v>953</v>
      </c>
      <c r="B417" s="51" t="s">
        <v>36</v>
      </c>
      <c r="C417" s="51" t="s">
        <v>438</v>
      </c>
      <c r="D417" s="51" t="s">
        <v>320</v>
      </c>
      <c r="E417" s="51" t="s">
        <v>949</v>
      </c>
      <c r="F417" s="148">
        <v>3</v>
      </c>
      <c r="G417" s="56">
        <v>-63801</v>
      </c>
      <c r="H417" s="823"/>
      <c r="I417" s="823"/>
      <c r="J417" s="823"/>
      <c r="K417" s="823"/>
      <c r="L417" s="823"/>
      <c r="M417" s="823"/>
      <c r="N417" s="823"/>
      <c r="O417" s="823"/>
      <c r="P417" s="823"/>
      <c r="Q417" s="823"/>
      <c r="R417" s="56">
        <v>-242.43</v>
      </c>
      <c r="S417" s="56">
        <v>0</v>
      </c>
      <c r="T417" s="56">
        <v>0</v>
      </c>
      <c r="U417" s="56">
        <v>0</v>
      </c>
      <c r="V417" s="56">
        <v>0</v>
      </c>
    </row>
    <row r="418" spans="1:22" ht="15.75" thickBot="1" x14ac:dyDescent="0.3">
      <c r="A418" s="51" t="s">
        <v>953</v>
      </c>
      <c r="B418" s="51" t="s">
        <v>36</v>
      </c>
      <c r="C418" s="51" t="s">
        <v>438</v>
      </c>
      <c r="D418" s="51" t="s">
        <v>320</v>
      </c>
      <c r="E418" s="51" t="s">
        <v>952</v>
      </c>
      <c r="F418" s="147">
        <v>48</v>
      </c>
      <c r="G418" s="54">
        <v>6698933</v>
      </c>
      <c r="H418" s="822"/>
      <c r="I418" s="822"/>
      <c r="J418" s="822"/>
      <c r="K418" s="822"/>
      <c r="L418" s="822"/>
      <c r="M418" s="822"/>
      <c r="N418" s="822"/>
      <c r="O418" s="822"/>
      <c r="P418" s="822"/>
      <c r="Q418" s="822"/>
      <c r="R418" s="54">
        <v>375569</v>
      </c>
      <c r="S418" s="54">
        <v>-2076.17</v>
      </c>
      <c r="T418" s="54">
        <v>23.16</v>
      </c>
      <c r="U418" s="54">
        <v>25850</v>
      </c>
      <c r="V418" s="54">
        <v>342.45</v>
      </c>
    </row>
    <row r="419" spans="1:22" ht="15.75" thickBot="1" x14ac:dyDescent="0.3">
      <c r="A419" s="51" t="s">
        <v>953</v>
      </c>
      <c r="B419" s="51" t="s">
        <v>36</v>
      </c>
      <c r="C419" s="51" t="s">
        <v>438</v>
      </c>
      <c r="D419" s="51" t="s">
        <v>319</v>
      </c>
      <c r="E419" s="51" t="s">
        <v>952</v>
      </c>
      <c r="F419" s="147">
        <v>2</v>
      </c>
      <c r="G419" s="54">
        <v>289103</v>
      </c>
      <c r="H419" s="822"/>
      <c r="I419" s="822"/>
      <c r="J419" s="822"/>
      <c r="K419" s="822"/>
      <c r="L419" s="822"/>
      <c r="M419" s="822"/>
      <c r="N419" s="822"/>
      <c r="O419" s="822"/>
      <c r="P419" s="822"/>
      <c r="Q419" s="822"/>
      <c r="R419" s="54">
        <v>21386.959999999999</v>
      </c>
      <c r="S419" s="54">
        <v>0</v>
      </c>
      <c r="T419" s="822"/>
      <c r="U419" s="54">
        <v>1100</v>
      </c>
      <c r="V419" s="54">
        <v>0</v>
      </c>
    </row>
    <row r="420" spans="1:22" ht="15.75" thickBot="1" x14ac:dyDescent="0.3">
      <c r="A420" s="51" t="s">
        <v>953</v>
      </c>
      <c r="B420" s="51" t="s">
        <v>447</v>
      </c>
      <c r="C420" s="51" t="s">
        <v>494</v>
      </c>
      <c r="D420" s="51" t="s">
        <v>320</v>
      </c>
      <c r="E420" s="51" t="s">
        <v>857</v>
      </c>
      <c r="F420" s="147">
        <v>1</v>
      </c>
      <c r="G420" s="54">
        <v>11736</v>
      </c>
      <c r="H420" s="822"/>
      <c r="I420" s="822"/>
      <c r="J420" s="822"/>
      <c r="K420" s="822"/>
      <c r="L420" s="822"/>
      <c r="M420" s="822"/>
      <c r="N420" s="822"/>
      <c r="O420" s="822"/>
      <c r="P420" s="822"/>
      <c r="Q420" s="822"/>
      <c r="R420" s="54">
        <v>238.88</v>
      </c>
      <c r="S420" s="54">
        <v>0</v>
      </c>
      <c r="T420" s="822"/>
      <c r="U420" s="54">
        <v>0</v>
      </c>
      <c r="V420" s="54">
        <v>0</v>
      </c>
    </row>
    <row r="421" spans="1:22" ht="15.75" thickBot="1" x14ac:dyDescent="0.3">
      <c r="A421" s="51" t="s">
        <v>953</v>
      </c>
      <c r="B421" s="51" t="s">
        <v>447</v>
      </c>
      <c r="C421" s="51" t="s">
        <v>494</v>
      </c>
      <c r="D421" s="51" t="s">
        <v>320</v>
      </c>
      <c r="E421" s="51" t="s">
        <v>949</v>
      </c>
      <c r="F421" s="148">
        <v>1</v>
      </c>
      <c r="G421" s="56">
        <v>29340</v>
      </c>
      <c r="H421" s="823"/>
      <c r="I421" s="823"/>
      <c r="J421" s="823"/>
      <c r="K421" s="823"/>
      <c r="L421" s="823"/>
      <c r="M421" s="823"/>
      <c r="N421" s="823"/>
      <c r="O421" s="823"/>
      <c r="P421" s="823"/>
      <c r="Q421" s="823"/>
      <c r="R421" s="56">
        <v>570.07000000000005</v>
      </c>
      <c r="S421" s="56">
        <v>0</v>
      </c>
      <c r="T421" s="823"/>
      <c r="U421" s="56">
        <v>0</v>
      </c>
      <c r="V421" s="56">
        <v>0</v>
      </c>
    </row>
    <row r="422" spans="1:22" ht="15.75" thickBot="1" x14ac:dyDescent="0.3">
      <c r="A422" s="51" t="s">
        <v>953</v>
      </c>
      <c r="B422" s="51" t="s">
        <v>447</v>
      </c>
      <c r="C422" s="51" t="s">
        <v>494</v>
      </c>
      <c r="D422" s="51" t="s">
        <v>320</v>
      </c>
      <c r="E422" s="51" t="s">
        <v>952</v>
      </c>
      <c r="F422" s="147">
        <v>15</v>
      </c>
      <c r="G422" s="54">
        <v>729352</v>
      </c>
      <c r="H422" s="822"/>
      <c r="I422" s="822"/>
      <c r="J422" s="822"/>
      <c r="K422" s="822"/>
      <c r="L422" s="822"/>
      <c r="M422" s="822"/>
      <c r="N422" s="822"/>
      <c r="O422" s="822"/>
      <c r="P422" s="822"/>
      <c r="Q422" s="54">
        <v>0</v>
      </c>
      <c r="R422" s="54">
        <v>40588.39</v>
      </c>
      <c r="S422" s="54">
        <v>0</v>
      </c>
      <c r="T422" s="822"/>
      <c r="U422" s="54">
        <v>8250</v>
      </c>
      <c r="V422" s="54">
        <v>0</v>
      </c>
    </row>
    <row r="423" spans="1:22" ht="15.75" thickBot="1" x14ac:dyDescent="0.3">
      <c r="A423" s="51" t="s">
        <v>953</v>
      </c>
      <c r="B423" s="51" t="s">
        <v>38</v>
      </c>
      <c r="C423" s="51" t="s">
        <v>39</v>
      </c>
      <c r="D423" s="51" t="s">
        <v>320</v>
      </c>
      <c r="E423" s="51" t="s">
        <v>857</v>
      </c>
      <c r="F423" s="147">
        <v>1</v>
      </c>
      <c r="G423" s="822"/>
      <c r="H423" s="822"/>
      <c r="I423" s="822"/>
      <c r="J423" s="822"/>
      <c r="K423" s="822"/>
      <c r="L423" s="822"/>
      <c r="M423" s="822"/>
      <c r="N423" s="822"/>
      <c r="O423" s="822"/>
      <c r="P423" s="822"/>
      <c r="Q423" s="822"/>
      <c r="R423" s="54">
        <v>-265.19</v>
      </c>
      <c r="S423" s="54">
        <v>0</v>
      </c>
      <c r="T423" s="54">
        <v>2121.64</v>
      </c>
      <c r="U423" s="54">
        <v>0</v>
      </c>
      <c r="V423" s="54">
        <v>-79.510000000000005</v>
      </c>
    </row>
    <row r="424" spans="1:22" ht="15.75" thickBot="1" x14ac:dyDescent="0.3">
      <c r="A424" s="51" t="s">
        <v>953</v>
      </c>
      <c r="B424" s="51" t="s">
        <v>38</v>
      </c>
      <c r="C424" s="51" t="s">
        <v>39</v>
      </c>
      <c r="D424" s="51" t="s">
        <v>320</v>
      </c>
      <c r="E424" s="51" t="s">
        <v>949</v>
      </c>
      <c r="F424" s="148">
        <v>1</v>
      </c>
      <c r="G424" s="823"/>
      <c r="H424" s="823"/>
      <c r="I424" s="823"/>
      <c r="J424" s="823"/>
      <c r="K424" s="823"/>
      <c r="L424" s="823"/>
      <c r="M424" s="823"/>
      <c r="N424" s="823"/>
      <c r="O424" s="823"/>
      <c r="P424" s="823"/>
      <c r="Q424" s="823"/>
      <c r="R424" s="56">
        <v>-173.21</v>
      </c>
      <c r="S424" s="56">
        <v>4187.99</v>
      </c>
      <c r="T424" s="56">
        <v>0</v>
      </c>
      <c r="U424" s="56">
        <v>0</v>
      </c>
      <c r="V424" s="56">
        <v>-51.94</v>
      </c>
    </row>
    <row r="425" spans="1:22" ht="15.75" thickBot="1" x14ac:dyDescent="0.3">
      <c r="A425" s="51" t="s">
        <v>953</v>
      </c>
      <c r="B425" s="51" t="s">
        <v>38</v>
      </c>
      <c r="C425" s="51" t="s">
        <v>39</v>
      </c>
      <c r="D425" s="51" t="s">
        <v>320</v>
      </c>
      <c r="E425" s="51" t="s">
        <v>952</v>
      </c>
      <c r="F425" s="147">
        <v>3</v>
      </c>
      <c r="G425" s="822"/>
      <c r="H425" s="822"/>
      <c r="I425" s="822"/>
      <c r="J425" s="822"/>
      <c r="K425" s="822"/>
      <c r="L425" s="822"/>
      <c r="M425" s="822"/>
      <c r="N425" s="822"/>
      <c r="O425" s="822"/>
      <c r="P425" s="822"/>
      <c r="Q425" s="822"/>
      <c r="R425" s="54">
        <v>28219.4</v>
      </c>
      <c r="S425" s="54">
        <v>-60083.06</v>
      </c>
      <c r="T425" s="54">
        <v>949.56</v>
      </c>
      <c r="U425" s="54">
        <v>5325</v>
      </c>
      <c r="V425" s="54">
        <v>8461.1299999999992</v>
      </c>
    </row>
    <row r="426" spans="1:22" ht="15.75" thickBot="1" x14ac:dyDescent="0.3">
      <c r="A426" s="51" t="s">
        <v>953</v>
      </c>
      <c r="B426" s="51" t="s">
        <v>32</v>
      </c>
      <c r="C426" s="51" t="s">
        <v>33</v>
      </c>
      <c r="D426" s="51" t="s">
        <v>85</v>
      </c>
      <c r="E426" s="51" t="s">
        <v>952</v>
      </c>
      <c r="F426" s="147">
        <v>1</v>
      </c>
      <c r="G426" s="54">
        <v>-45603</v>
      </c>
      <c r="H426" s="822"/>
      <c r="I426" s="54">
        <v>0</v>
      </c>
      <c r="J426" s="54">
        <v>-1500</v>
      </c>
      <c r="K426" s="54">
        <v>-1364.44</v>
      </c>
      <c r="L426" s="54">
        <v>-11587.72</v>
      </c>
      <c r="M426" s="822"/>
      <c r="N426" s="822"/>
      <c r="O426" s="822"/>
      <c r="P426" s="54">
        <v>-360935.14</v>
      </c>
      <c r="Q426" s="822"/>
      <c r="R426" s="822"/>
      <c r="S426" s="822"/>
      <c r="T426" s="822"/>
      <c r="U426" s="822"/>
      <c r="V426" s="822"/>
    </row>
    <row r="427" spans="1:22" ht="15.75" thickBot="1" x14ac:dyDescent="0.3">
      <c r="A427" s="51" t="s">
        <v>953</v>
      </c>
      <c r="B427" s="51" t="s">
        <v>32</v>
      </c>
      <c r="C427" s="51" t="s">
        <v>33</v>
      </c>
      <c r="D427" s="51" t="s">
        <v>85</v>
      </c>
      <c r="E427" s="51" t="s">
        <v>962</v>
      </c>
      <c r="F427" s="148">
        <v>1</v>
      </c>
      <c r="G427" s="56">
        <v>145574</v>
      </c>
      <c r="H427" s="823"/>
      <c r="I427" s="56">
        <v>0</v>
      </c>
      <c r="J427" s="56">
        <v>750</v>
      </c>
      <c r="K427" s="56">
        <v>4355.57</v>
      </c>
      <c r="L427" s="56">
        <v>36990.35</v>
      </c>
      <c r="M427" s="823"/>
      <c r="N427" s="823"/>
      <c r="O427" s="823"/>
      <c r="P427" s="56">
        <v>180467.57</v>
      </c>
      <c r="Q427" s="823"/>
      <c r="R427" s="823"/>
      <c r="S427" s="823"/>
      <c r="T427" s="823"/>
      <c r="U427" s="823"/>
      <c r="V427" s="823"/>
    </row>
    <row r="428" spans="1:22" ht="15.75" thickBot="1" x14ac:dyDescent="0.3">
      <c r="A428" s="51" t="s">
        <v>953</v>
      </c>
      <c r="B428" s="51" t="s">
        <v>26</v>
      </c>
      <c r="C428" s="51" t="s">
        <v>27</v>
      </c>
      <c r="D428" s="51" t="s">
        <v>12</v>
      </c>
      <c r="E428" s="51" t="s">
        <v>962</v>
      </c>
      <c r="F428" s="148">
        <v>7</v>
      </c>
      <c r="G428" s="56">
        <v>59</v>
      </c>
      <c r="H428" s="823"/>
      <c r="I428" s="56">
        <v>138.44999999999999</v>
      </c>
      <c r="J428" s="823"/>
      <c r="K428" s="56">
        <v>21.7</v>
      </c>
      <c r="L428" s="56">
        <v>15</v>
      </c>
      <c r="M428" s="56">
        <v>-0.1</v>
      </c>
      <c r="N428" s="823"/>
      <c r="O428" s="823"/>
      <c r="P428" s="823"/>
      <c r="Q428" s="823"/>
      <c r="R428" s="823"/>
      <c r="S428" s="823"/>
      <c r="T428" s="823"/>
      <c r="U428" s="823"/>
      <c r="V428" s="823"/>
    </row>
    <row r="429" spans="1:22" ht="15.75" thickBot="1" x14ac:dyDescent="0.3">
      <c r="A429" s="51" t="s">
        <v>953</v>
      </c>
      <c r="B429" s="51" t="s">
        <v>26</v>
      </c>
      <c r="C429" s="51" t="s">
        <v>27</v>
      </c>
      <c r="D429" s="51" t="s">
        <v>15</v>
      </c>
      <c r="E429" s="51" t="s">
        <v>952</v>
      </c>
      <c r="F429" s="147">
        <v>1</v>
      </c>
      <c r="G429" s="54">
        <v>12</v>
      </c>
      <c r="H429" s="822"/>
      <c r="I429" s="54">
        <v>20.149999999999999</v>
      </c>
      <c r="J429" s="822"/>
      <c r="K429" s="54">
        <v>4.41</v>
      </c>
      <c r="L429" s="54">
        <v>3.48</v>
      </c>
      <c r="M429" s="54">
        <v>-0.02</v>
      </c>
      <c r="N429" s="822"/>
      <c r="O429" s="822"/>
      <c r="P429" s="822"/>
      <c r="Q429" s="822"/>
      <c r="R429" s="822"/>
      <c r="S429" s="822"/>
      <c r="T429" s="822"/>
      <c r="U429" s="822"/>
      <c r="V429" s="822"/>
    </row>
    <row r="430" spans="1:22" ht="15.75" thickBot="1" x14ac:dyDescent="0.3">
      <c r="A430" s="51" t="s">
        <v>953</v>
      </c>
      <c r="B430" s="51" t="s">
        <v>26</v>
      </c>
      <c r="C430" s="51" t="s">
        <v>27</v>
      </c>
      <c r="D430" s="51" t="s">
        <v>15</v>
      </c>
      <c r="E430" s="51" t="s">
        <v>962</v>
      </c>
      <c r="F430" s="148">
        <v>149</v>
      </c>
      <c r="G430" s="56">
        <v>2278</v>
      </c>
      <c r="H430" s="823"/>
      <c r="I430" s="56">
        <v>3047.2</v>
      </c>
      <c r="J430" s="823"/>
      <c r="K430" s="56">
        <v>837.89</v>
      </c>
      <c r="L430" s="56">
        <v>578.84</v>
      </c>
      <c r="M430" s="56">
        <v>-3.61</v>
      </c>
      <c r="N430" s="823"/>
      <c r="O430" s="823"/>
      <c r="P430" s="823"/>
      <c r="Q430" s="823"/>
      <c r="R430" s="823"/>
      <c r="S430" s="823"/>
      <c r="T430" s="823"/>
      <c r="U430" s="823"/>
      <c r="V430" s="823"/>
    </row>
    <row r="431" spans="1:22" ht="15.75" thickBot="1" x14ac:dyDescent="0.3">
      <c r="A431" s="51" t="s">
        <v>953</v>
      </c>
      <c r="B431" s="51" t="s">
        <v>26</v>
      </c>
      <c r="C431" s="51" t="s">
        <v>27</v>
      </c>
      <c r="D431" s="51" t="s">
        <v>21</v>
      </c>
      <c r="E431" s="51" t="s">
        <v>861</v>
      </c>
      <c r="F431" s="148">
        <v>1</v>
      </c>
      <c r="G431" s="56">
        <v>-4</v>
      </c>
      <c r="H431" s="823"/>
      <c r="I431" s="56">
        <v>-8.3800000000000008</v>
      </c>
      <c r="J431" s="823"/>
      <c r="K431" s="56">
        <v>-1.1399999999999999</v>
      </c>
      <c r="L431" s="56">
        <v>-1.43</v>
      </c>
      <c r="M431" s="56">
        <v>-0.03</v>
      </c>
      <c r="N431" s="823"/>
      <c r="O431" s="56">
        <v>-2.34</v>
      </c>
      <c r="P431" s="823"/>
      <c r="Q431" s="823"/>
      <c r="R431" s="823"/>
      <c r="S431" s="823"/>
      <c r="T431" s="823"/>
      <c r="U431" s="823"/>
      <c r="V431" s="823"/>
    </row>
    <row r="432" spans="1:22" ht="15.75" thickBot="1" x14ac:dyDescent="0.3">
      <c r="A432" s="51" t="s">
        <v>953</v>
      </c>
      <c r="B432" s="51" t="s">
        <v>26</v>
      </c>
      <c r="C432" s="51" t="s">
        <v>27</v>
      </c>
      <c r="D432" s="51" t="s">
        <v>21</v>
      </c>
      <c r="E432" s="51" t="s">
        <v>862</v>
      </c>
      <c r="F432" s="147">
        <v>1</v>
      </c>
      <c r="G432" s="54">
        <v>0</v>
      </c>
      <c r="H432" s="822"/>
      <c r="I432" s="54">
        <v>-13.5</v>
      </c>
      <c r="J432" s="822"/>
      <c r="K432" s="54">
        <v>0</v>
      </c>
      <c r="L432" s="54">
        <v>0</v>
      </c>
      <c r="M432" s="54">
        <v>0</v>
      </c>
      <c r="N432" s="822"/>
      <c r="O432" s="54">
        <v>-3.77</v>
      </c>
      <c r="P432" s="822"/>
      <c r="Q432" s="822"/>
      <c r="R432" s="822"/>
      <c r="S432" s="822"/>
      <c r="T432" s="822"/>
      <c r="U432" s="822"/>
      <c r="V432" s="822"/>
    </row>
    <row r="433" spans="1:22" ht="15.75" thickBot="1" x14ac:dyDescent="0.3">
      <c r="A433" s="51" t="s">
        <v>953</v>
      </c>
      <c r="B433" s="51" t="s">
        <v>26</v>
      </c>
      <c r="C433" s="51" t="s">
        <v>27</v>
      </c>
      <c r="D433" s="51" t="s">
        <v>21</v>
      </c>
      <c r="E433" s="51" t="s">
        <v>863</v>
      </c>
      <c r="F433" s="148">
        <v>1</v>
      </c>
      <c r="G433" s="56">
        <v>0</v>
      </c>
      <c r="H433" s="823"/>
      <c r="I433" s="56">
        <v>-13.5</v>
      </c>
      <c r="J433" s="823"/>
      <c r="K433" s="56">
        <v>0</v>
      </c>
      <c r="L433" s="56">
        <v>0</v>
      </c>
      <c r="M433" s="56">
        <v>0</v>
      </c>
      <c r="N433" s="823"/>
      <c r="O433" s="56">
        <v>-3.77</v>
      </c>
      <c r="P433" s="823"/>
      <c r="Q433" s="823"/>
      <c r="R433" s="823"/>
      <c r="S433" s="823"/>
      <c r="T433" s="823"/>
      <c r="U433" s="823"/>
      <c r="V433" s="823"/>
    </row>
    <row r="434" spans="1:22" ht="15.75" thickBot="1" x14ac:dyDescent="0.3">
      <c r="A434" s="51" t="s">
        <v>953</v>
      </c>
      <c r="B434" s="51" t="s">
        <v>26</v>
      </c>
      <c r="C434" s="51" t="s">
        <v>27</v>
      </c>
      <c r="D434" s="51" t="s">
        <v>21</v>
      </c>
      <c r="E434" s="51" t="s">
        <v>864</v>
      </c>
      <c r="F434" s="147">
        <v>1</v>
      </c>
      <c r="G434" s="54">
        <v>0</v>
      </c>
      <c r="H434" s="822"/>
      <c r="I434" s="54">
        <v>-13.5</v>
      </c>
      <c r="J434" s="822"/>
      <c r="K434" s="54">
        <v>0</v>
      </c>
      <c r="L434" s="54">
        <v>0</v>
      </c>
      <c r="M434" s="54">
        <v>0</v>
      </c>
      <c r="N434" s="822"/>
      <c r="O434" s="54">
        <v>-3.77</v>
      </c>
      <c r="P434" s="822"/>
      <c r="Q434" s="822"/>
      <c r="R434" s="822"/>
      <c r="S434" s="822"/>
      <c r="T434" s="822"/>
      <c r="U434" s="822"/>
      <c r="V434" s="822"/>
    </row>
    <row r="435" spans="1:22" ht="15.75" thickBot="1" x14ac:dyDescent="0.3">
      <c r="A435" s="51" t="s">
        <v>953</v>
      </c>
      <c r="B435" s="51" t="s">
        <v>26</v>
      </c>
      <c r="C435" s="51" t="s">
        <v>27</v>
      </c>
      <c r="D435" s="51" t="s">
        <v>21</v>
      </c>
      <c r="E435" s="51" t="s">
        <v>865</v>
      </c>
      <c r="F435" s="148">
        <v>1</v>
      </c>
      <c r="G435" s="56">
        <v>0</v>
      </c>
      <c r="H435" s="823"/>
      <c r="I435" s="56">
        <v>-13.5</v>
      </c>
      <c r="J435" s="823"/>
      <c r="K435" s="56">
        <v>0</v>
      </c>
      <c r="L435" s="56">
        <v>0</v>
      </c>
      <c r="M435" s="56">
        <v>0</v>
      </c>
      <c r="N435" s="823"/>
      <c r="O435" s="56">
        <v>-3.77</v>
      </c>
      <c r="P435" s="823"/>
      <c r="Q435" s="823"/>
      <c r="R435" s="823"/>
      <c r="S435" s="823"/>
      <c r="T435" s="823"/>
      <c r="U435" s="823"/>
      <c r="V435" s="823"/>
    </row>
    <row r="436" spans="1:22" ht="15.75" thickBot="1" x14ac:dyDescent="0.3">
      <c r="A436" s="51" t="s">
        <v>953</v>
      </c>
      <c r="B436" s="51" t="s">
        <v>26</v>
      </c>
      <c r="C436" s="51" t="s">
        <v>27</v>
      </c>
      <c r="D436" s="51" t="s">
        <v>21</v>
      </c>
      <c r="E436" s="51" t="s">
        <v>866</v>
      </c>
      <c r="F436" s="147">
        <v>1</v>
      </c>
      <c r="G436" s="54">
        <v>0</v>
      </c>
      <c r="H436" s="822"/>
      <c r="I436" s="54">
        <v>-13.5</v>
      </c>
      <c r="J436" s="822"/>
      <c r="K436" s="54">
        <v>0</v>
      </c>
      <c r="L436" s="54">
        <v>0</v>
      </c>
      <c r="M436" s="54">
        <v>0</v>
      </c>
      <c r="N436" s="822"/>
      <c r="O436" s="54">
        <v>-3.77</v>
      </c>
      <c r="P436" s="822"/>
      <c r="Q436" s="822"/>
      <c r="R436" s="822"/>
      <c r="S436" s="822"/>
      <c r="T436" s="822"/>
      <c r="U436" s="822"/>
      <c r="V436" s="822"/>
    </row>
    <row r="437" spans="1:22" ht="15.75" thickBot="1" x14ac:dyDescent="0.3">
      <c r="A437" s="51" t="s">
        <v>953</v>
      </c>
      <c r="B437" s="51" t="s">
        <v>26</v>
      </c>
      <c r="C437" s="51" t="s">
        <v>27</v>
      </c>
      <c r="D437" s="51" t="s">
        <v>21</v>
      </c>
      <c r="E437" s="51" t="s">
        <v>867</v>
      </c>
      <c r="F437" s="148">
        <v>1</v>
      </c>
      <c r="G437" s="56">
        <v>0</v>
      </c>
      <c r="H437" s="823"/>
      <c r="I437" s="56">
        <v>-13.5</v>
      </c>
      <c r="J437" s="823"/>
      <c r="K437" s="56">
        <v>0</v>
      </c>
      <c r="L437" s="56">
        <v>0</v>
      </c>
      <c r="M437" s="56">
        <v>0</v>
      </c>
      <c r="N437" s="823"/>
      <c r="O437" s="56">
        <v>-4.25</v>
      </c>
      <c r="P437" s="823"/>
      <c r="Q437" s="823"/>
      <c r="R437" s="823"/>
      <c r="S437" s="823"/>
      <c r="T437" s="823"/>
      <c r="U437" s="823"/>
      <c r="V437" s="823"/>
    </row>
    <row r="438" spans="1:22" ht="15.75" thickBot="1" x14ac:dyDescent="0.3">
      <c r="A438" s="51" t="s">
        <v>953</v>
      </c>
      <c r="B438" s="51" t="s">
        <v>26</v>
      </c>
      <c r="C438" s="51" t="s">
        <v>27</v>
      </c>
      <c r="D438" s="51" t="s">
        <v>21</v>
      </c>
      <c r="E438" s="51" t="s">
        <v>868</v>
      </c>
      <c r="F438" s="147">
        <v>1</v>
      </c>
      <c r="G438" s="54">
        <v>0</v>
      </c>
      <c r="H438" s="822"/>
      <c r="I438" s="54">
        <v>-13.5</v>
      </c>
      <c r="J438" s="822"/>
      <c r="K438" s="54">
        <v>0</v>
      </c>
      <c r="L438" s="54">
        <v>0</v>
      </c>
      <c r="M438" s="54">
        <v>0</v>
      </c>
      <c r="N438" s="822"/>
      <c r="O438" s="54">
        <v>-4.8499999999999996</v>
      </c>
      <c r="P438" s="822"/>
      <c r="Q438" s="822"/>
      <c r="R438" s="822"/>
      <c r="S438" s="822"/>
      <c r="T438" s="822"/>
      <c r="U438" s="822"/>
      <c r="V438" s="822"/>
    </row>
    <row r="439" spans="1:22" ht="15.75" thickBot="1" x14ac:dyDescent="0.3">
      <c r="A439" s="51" t="s">
        <v>953</v>
      </c>
      <c r="B439" s="51" t="s">
        <v>26</v>
      </c>
      <c r="C439" s="51" t="s">
        <v>27</v>
      </c>
      <c r="D439" s="51" t="s">
        <v>21</v>
      </c>
      <c r="E439" s="51" t="s">
        <v>869</v>
      </c>
      <c r="F439" s="148">
        <v>1</v>
      </c>
      <c r="G439" s="56">
        <v>0</v>
      </c>
      <c r="H439" s="823"/>
      <c r="I439" s="56">
        <v>-13.5</v>
      </c>
      <c r="J439" s="823"/>
      <c r="K439" s="56">
        <v>0</v>
      </c>
      <c r="L439" s="56">
        <v>0</v>
      </c>
      <c r="M439" s="56">
        <v>0</v>
      </c>
      <c r="N439" s="823"/>
      <c r="O439" s="56">
        <v>-4.8499999999999996</v>
      </c>
      <c r="P439" s="823"/>
      <c r="Q439" s="823"/>
      <c r="R439" s="823"/>
      <c r="S439" s="823"/>
      <c r="T439" s="823"/>
      <c r="U439" s="823"/>
      <c r="V439" s="823"/>
    </row>
    <row r="440" spans="1:22" ht="15.75" thickBot="1" x14ac:dyDescent="0.3">
      <c r="A440" s="51" t="s">
        <v>953</v>
      </c>
      <c r="B440" s="51" t="s">
        <v>26</v>
      </c>
      <c r="C440" s="51" t="s">
        <v>27</v>
      </c>
      <c r="D440" s="51" t="s">
        <v>21</v>
      </c>
      <c r="E440" s="51" t="s">
        <v>870</v>
      </c>
      <c r="F440" s="147">
        <v>1</v>
      </c>
      <c r="G440" s="54">
        <v>0</v>
      </c>
      <c r="H440" s="822"/>
      <c r="I440" s="54">
        <v>-13.5</v>
      </c>
      <c r="J440" s="822"/>
      <c r="K440" s="54">
        <v>0</v>
      </c>
      <c r="L440" s="54">
        <v>0</v>
      </c>
      <c r="M440" s="54">
        <v>0</v>
      </c>
      <c r="N440" s="822"/>
      <c r="O440" s="54">
        <v>-4.95</v>
      </c>
      <c r="P440" s="822"/>
      <c r="Q440" s="822"/>
      <c r="R440" s="822"/>
      <c r="S440" s="822"/>
      <c r="T440" s="822"/>
      <c r="U440" s="822"/>
      <c r="V440" s="822"/>
    </row>
    <row r="441" spans="1:22" ht="15.75" thickBot="1" x14ac:dyDescent="0.3">
      <c r="A441" s="51" t="s">
        <v>953</v>
      </c>
      <c r="B441" s="51" t="s">
        <v>26</v>
      </c>
      <c r="C441" s="51" t="s">
        <v>27</v>
      </c>
      <c r="D441" s="51" t="s">
        <v>21</v>
      </c>
      <c r="E441" s="51" t="s">
        <v>871</v>
      </c>
      <c r="F441" s="148">
        <v>1</v>
      </c>
      <c r="G441" s="56">
        <v>0</v>
      </c>
      <c r="H441" s="823"/>
      <c r="I441" s="56">
        <v>-13.5</v>
      </c>
      <c r="J441" s="823"/>
      <c r="K441" s="56">
        <v>0</v>
      </c>
      <c r="L441" s="56">
        <v>0</v>
      </c>
      <c r="M441" s="56">
        <v>0</v>
      </c>
      <c r="N441" s="823"/>
      <c r="O441" s="56">
        <v>-5.14</v>
      </c>
      <c r="P441" s="823"/>
      <c r="Q441" s="823"/>
      <c r="R441" s="823"/>
      <c r="S441" s="823"/>
      <c r="T441" s="823"/>
      <c r="U441" s="823"/>
      <c r="V441" s="823"/>
    </row>
    <row r="442" spans="1:22" ht="15.75" thickBot="1" x14ac:dyDescent="0.3">
      <c r="A442" s="51" t="s">
        <v>953</v>
      </c>
      <c r="B442" s="51" t="s">
        <v>26</v>
      </c>
      <c r="C442" s="51" t="s">
        <v>27</v>
      </c>
      <c r="D442" s="51" t="s">
        <v>21</v>
      </c>
      <c r="E442" s="51" t="s">
        <v>872</v>
      </c>
      <c r="F442" s="147">
        <v>1</v>
      </c>
      <c r="G442" s="54">
        <v>0</v>
      </c>
      <c r="H442" s="822"/>
      <c r="I442" s="54">
        <v>-13.5</v>
      </c>
      <c r="J442" s="822"/>
      <c r="K442" s="54">
        <v>0</v>
      </c>
      <c r="L442" s="54">
        <v>0</v>
      </c>
      <c r="M442" s="54">
        <v>0</v>
      </c>
      <c r="N442" s="822"/>
      <c r="O442" s="54">
        <v>-5.14</v>
      </c>
      <c r="P442" s="822"/>
      <c r="Q442" s="822"/>
      <c r="R442" s="822"/>
      <c r="S442" s="822"/>
      <c r="T442" s="822"/>
      <c r="U442" s="822"/>
      <c r="V442" s="822"/>
    </row>
    <row r="443" spans="1:22" ht="15.75" thickBot="1" x14ac:dyDescent="0.3">
      <c r="A443" s="51" t="s">
        <v>953</v>
      </c>
      <c r="B443" s="51" t="s">
        <v>26</v>
      </c>
      <c r="C443" s="51" t="s">
        <v>27</v>
      </c>
      <c r="D443" s="51" t="s">
        <v>21</v>
      </c>
      <c r="E443" s="51" t="s">
        <v>873</v>
      </c>
      <c r="F443" s="148">
        <v>1</v>
      </c>
      <c r="G443" s="56">
        <v>0</v>
      </c>
      <c r="H443" s="823"/>
      <c r="I443" s="56">
        <v>-13.5</v>
      </c>
      <c r="J443" s="823"/>
      <c r="K443" s="56">
        <v>0</v>
      </c>
      <c r="L443" s="56">
        <v>0</v>
      </c>
      <c r="M443" s="56">
        <v>0</v>
      </c>
      <c r="N443" s="823"/>
      <c r="O443" s="56">
        <v>-5.14</v>
      </c>
      <c r="P443" s="823"/>
      <c r="Q443" s="823"/>
      <c r="R443" s="823"/>
      <c r="S443" s="823"/>
      <c r="T443" s="823"/>
      <c r="U443" s="823"/>
      <c r="V443" s="823"/>
    </row>
    <row r="444" spans="1:22" ht="15.75" thickBot="1" x14ac:dyDescent="0.3">
      <c r="A444" s="51" t="s">
        <v>953</v>
      </c>
      <c r="B444" s="51" t="s">
        <v>26</v>
      </c>
      <c r="C444" s="51" t="s">
        <v>27</v>
      </c>
      <c r="D444" s="51" t="s">
        <v>21</v>
      </c>
      <c r="E444" s="51" t="s">
        <v>874</v>
      </c>
      <c r="F444" s="147">
        <v>1</v>
      </c>
      <c r="G444" s="54">
        <v>0</v>
      </c>
      <c r="H444" s="822"/>
      <c r="I444" s="54">
        <v>-13.5</v>
      </c>
      <c r="J444" s="822"/>
      <c r="K444" s="54">
        <v>0</v>
      </c>
      <c r="L444" s="54">
        <v>0</v>
      </c>
      <c r="M444" s="54">
        <v>0</v>
      </c>
      <c r="N444" s="822"/>
      <c r="O444" s="54">
        <v>-5.14</v>
      </c>
      <c r="P444" s="822"/>
      <c r="Q444" s="822"/>
      <c r="R444" s="822"/>
      <c r="S444" s="822"/>
      <c r="T444" s="822"/>
      <c r="U444" s="822"/>
      <c r="V444" s="822"/>
    </row>
    <row r="445" spans="1:22" ht="15.75" thickBot="1" x14ac:dyDescent="0.3">
      <c r="A445" s="51" t="s">
        <v>953</v>
      </c>
      <c r="B445" s="51" t="s">
        <v>26</v>
      </c>
      <c r="C445" s="51" t="s">
        <v>27</v>
      </c>
      <c r="D445" s="51" t="s">
        <v>21</v>
      </c>
      <c r="E445" s="51" t="s">
        <v>875</v>
      </c>
      <c r="F445" s="148">
        <v>1</v>
      </c>
      <c r="G445" s="56">
        <v>0</v>
      </c>
      <c r="H445" s="823"/>
      <c r="I445" s="56">
        <v>-13.5</v>
      </c>
      <c r="J445" s="823"/>
      <c r="K445" s="56">
        <v>0</v>
      </c>
      <c r="L445" s="56">
        <v>0</v>
      </c>
      <c r="M445" s="56">
        <v>0</v>
      </c>
      <c r="N445" s="823"/>
      <c r="O445" s="56">
        <v>-5.14</v>
      </c>
      <c r="P445" s="823"/>
      <c r="Q445" s="823"/>
      <c r="R445" s="823"/>
      <c r="S445" s="823"/>
      <c r="T445" s="823"/>
      <c r="U445" s="823"/>
      <c r="V445" s="823"/>
    </row>
    <row r="446" spans="1:22" ht="15.75" thickBot="1" x14ac:dyDescent="0.3">
      <c r="A446" s="51" t="s">
        <v>953</v>
      </c>
      <c r="B446" s="51" t="s">
        <v>26</v>
      </c>
      <c r="C446" s="51" t="s">
        <v>27</v>
      </c>
      <c r="D446" s="51" t="s">
        <v>21</v>
      </c>
      <c r="E446" s="51" t="s">
        <v>876</v>
      </c>
      <c r="F446" s="147">
        <v>1</v>
      </c>
      <c r="G446" s="54">
        <v>0</v>
      </c>
      <c r="H446" s="822"/>
      <c r="I446" s="54">
        <v>-13.5</v>
      </c>
      <c r="J446" s="822"/>
      <c r="K446" s="54">
        <v>0</v>
      </c>
      <c r="L446" s="54">
        <v>0</v>
      </c>
      <c r="M446" s="54">
        <v>0</v>
      </c>
      <c r="N446" s="822"/>
      <c r="O446" s="54">
        <v>-5.14</v>
      </c>
      <c r="P446" s="822"/>
      <c r="Q446" s="822"/>
      <c r="R446" s="822"/>
      <c r="S446" s="822"/>
      <c r="T446" s="822"/>
      <c r="U446" s="822"/>
      <c r="V446" s="822"/>
    </row>
    <row r="447" spans="1:22" ht="15.75" thickBot="1" x14ac:dyDescent="0.3">
      <c r="A447" s="51" t="s">
        <v>953</v>
      </c>
      <c r="B447" s="51" t="s">
        <v>26</v>
      </c>
      <c r="C447" s="51" t="s">
        <v>27</v>
      </c>
      <c r="D447" s="51" t="s">
        <v>21</v>
      </c>
      <c r="E447" s="51" t="s">
        <v>877</v>
      </c>
      <c r="F447" s="148">
        <v>1</v>
      </c>
      <c r="G447" s="56">
        <v>0</v>
      </c>
      <c r="H447" s="823"/>
      <c r="I447" s="56">
        <v>-13.5</v>
      </c>
      <c r="J447" s="823"/>
      <c r="K447" s="56">
        <v>0</v>
      </c>
      <c r="L447" s="56">
        <v>0</v>
      </c>
      <c r="M447" s="56">
        <v>0</v>
      </c>
      <c r="N447" s="823"/>
      <c r="O447" s="56">
        <v>-5.14</v>
      </c>
      <c r="P447" s="823"/>
      <c r="Q447" s="823"/>
      <c r="R447" s="823"/>
      <c r="S447" s="823"/>
      <c r="T447" s="823"/>
      <c r="U447" s="823"/>
      <c r="V447" s="823"/>
    </row>
    <row r="448" spans="1:22" ht="15.75" thickBot="1" x14ac:dyDescent="0.3">
      <c r="A448" s="51" t="s">
        <v>953</v>
      </c>
      <c r="B448" s="51" t="s">
        <v>26</v>
      </c>
      <c r="C448" s="51" t="s">
        <v>27</v>
      </c>
      <c r="D448" s="51" t="s">
        <v>21</v>
      </c>
      <c r="E448" s="51" t="s">
        <v>878</v>
      </c>
      <c r="F448" s="147">
        <v>1</v>
      </c>
      <c r="G448" s="54">
        <v>0</v>
      </c>
      <c r="H448" s="822"/>
      <c r="I448" s="54">
        <v>-13.5</v>
      </c>
      <c r="J448" s="822"/>
      <c r="K448" s="54">
        <v>0</v>
      </c>
      <c r="L448" s="54">
        <v>0</v>
      </c>
      <c r="M448" s="54">
        <v>0</v>
      </c>
      <c r="N448" s="822"/>
      <c r="O448" s="54">
        <v>-5.14</v>
      </c>
      <c r="P448" s="822"/>
      <c r="Q448" s="822"/>
      <c r="R448" s="822"/>
      <c r="S448" s="822"/>
      <c r="T448" s="822"/>
      <c r="U448" s="822"/>
      <c r="V448" s="822"/>
    </row>
    <row r="449" spans="1:22" ht="15.75" thickBot="1" x14ac:dyDescent="0.3">
      <c r="A449" s="51" t="s">
        <v>953</v>
      </c>
      <c r="B449" s="51" t="s">
        <v>26</v>
      </c>
      <c r="C449" s="51" t="s">
        <v>27</v>
      </c>
      <c r="D449" s="51" t="s">
        <v>21</v>
      </c>
      <c r="E449" s="51" t="s">
        <v>879</v>
      </c>
      <c r="F449" s="148">
        <v>1</v>
      </c>
      <c r="G449" s="56">
        <v>0</v>
      </c>
      <c r="H449" s="823"/>
      <c r="I449" s="56">
        <v>-13.5</v>
      </c>
      <c r="J449" s="823"/>
      <c r="K449" s="56">
        <v>0</v>
      </c>
      <c r="L449" s="56">
        <v>0</v>
      </c>
      <c r="M449" s="56">
        <v>0</v>
      </c>
      <c r="N449" s="823"/>
      <c r="O449" s="56">
        <v>-5.14</v>
      </c>
      <c r="P449" s="823"/>
      <c r="Q449" s="823"/>
      <c r="R449" s="823"/>
      <c r="S449" s="823"/>
      <c r="T449" s="823"/>
      <c r="U449" s="823"/>
      <c r="V449" s="823"/>
    </row>
    <row r="450" spans="1:22" ht="15.75" thickBot="1" x14ac:dyDescent="0.3">
      <c r="A450" s="51" t="s">
        <v>953</v>
      </c>
      <c r="B450" s="51" t="s">
        <v>26</v>
      </c>
      <c r="C450" s="51" t="s">
        <v>27</v>
      </c>
      <c r="D450" s="51" t="s">
        <v>21</v>
      </c>
      <c r="E450" s="51" t="s">
        <v>845</v>
      </c>
      <c r="F450" s="147">
        <v>1</v>
      </c>
      <c r="G450" s="54">
        <v>0</v>
      </c>
      <c r="H450" s="822"/>
      <c r="I450" s="54">
        <v>-13.5</v>
      </c>
      <c r="J450" s="822"/>
      <c r="K450" s="54">
        <v>0</v>
      </c>
      <c r="L450" s="54">
        <v>0</v>
      </c>
      <c r="M450" s="54">
        <v>0</v>
      </c>
      <c r="N450" s="822"/>
      <c r="O450" s="54">
        <v>-6.33</v>
      </c>
      <c r="P450" s="822"/>
      <c r="Q450" s="822"/>
      <c r="R450" s="822"/>
      <c r="S450" s="822"/>
      <c r="T450" s="822"/>
      <c r="U450" s="822"/>
      <c r="V450" s="822"/>
    </row>
    <row r="451" spans="1:22" ht="15.75" thickBot="1" x14ac:dyDescent="0.3">
      <c r="A451" s="51" t="s">
        <v>953</v>
      </c>
      <c r="B451" s="51" t="s">
        <v>26</v>
      </c>
      <c r="C451" s="51" t="s">
        <v>27</v>
      </c>
      <c r="D451" s="51" t="s">
        <v>21</v>
      </c>
      <c r="E451" s="51" t="s">
        <v>846</v>
      </c>
      <c r="F451" s="148">
        <v>1</v>
      </c>
      <c r="G451" s="56">
        <v>0</v>
      </c>
      <c r="H451" s="823"/>
      <c r="I451" s="56">
        <v>-13.5</v>
      </c>
      <c r="J451" s="823"/>
      <c r="K451" s="56">
        <v>0</v>
      </c>
      <c r="L451" s="56">
        <v>0</v>
      </c>
      <c r="M451" s="56">
        <v>0</v>
      </c>
      <c r="N451" s="823"/>
      <c r="O451" s="56">
        <v>-6.33</v>
      </c>
      <c r="P451" s="823"/>
      <c r="Q451" s="823"/>
      <c r="R451" s="823"/>
      <c r="S451" s="823"/>
      <c r="T451" s="823"/>
      <c r="U451" s="823"/>
      <c r="V451" s="823"/>
    </row>
    <row r="452" spans="1:22" ht="15.75" thickBot="1" x14ac:dyDescent="0.3">
      <c r="A452" s="51" t="s">
        <v>953</v>
      </c>
      <c r="B452" s="51" t="s">
        <v>26</v>
      </c>
      <c r="C452" s="51" t="s">
        <v>27</v>
      </c>
      <c r="D452" s="51" t="s">
        <v>21</v>
      </c>
      <c r="E452" s="51" t="s">
        <v>847</v>
      </c>
      <c r="F452" s="147">
        <v>1</v>
      </c>
      <c r="G452" s="54">
        <v>0</v>
      </c>
      <c r="H452" s="822"/>
      <c r="I452" s="54">
        <v>-13.5</v>
      </c>
      <c r="J452" s="822"/>
      <c r="K452" s="54">
        <v>0</v>
      </c>
      <c r="L452" s="54">
        <v>0</v>
      </c>
      <c r="M452" s="54">
        <v>0</v>
      </c>
      <c r="N452" s="822"/>
      <c r="O452" s="54">
        <v>-6.3</v>
      </c>
      <c r="P452" s="822"/>
      <c r="Q452" s="822"/>
      <c r="R452" s="822"/>
      <c r="S452" s="822"/>
      <c r="T452" s="822"/>
      <c r="U452" s="822"/>
      <c r="V452" s="822"/>
    </row>
    <row r="453" spans="1:22" ht="15.75" thickBot="1" x14ac:dyDescent="0.3">
      <c r="A453" s="51" t="s">
        <v>953</v>
      </c>
      <c r="B453" s="51" t="s">
        <v>26</v>
      </c>
      <c r="C453" s="51" t="s">
        <v>27</v>
      </c>
      <c r="D453" s="51" t="s">
        <v>21</v>
      </c>
      <c r="E453" s="51" t="s">
        <v>848</v>
      </c>
      <c r="F453" s="148">
        <v>1</v>
      </c>
      <c r="G453" s="56">
        <v>0</v>
      </c>
      <c r="H453" s="823"/>
      <c r="I453" s="56">
        <v>-13.5</v>
      </c>
      <c r="J453" s="823"/>
      <c r="K453" s="56">
        <v>0</v>
      </c>
      <c r="L453" s="56">
        <v>0</v>
      </c>
      <c r="M453" s="56">
        <v>0</v>
      </c>
      <c r="N453" s="823"/>
      <c r="O453" s="56">
        <v>-6.21</v>
      </c>
      <c r="P453" s="823"/>
      <c r="Q453" s="823"/>
      <c r="R453" s="823"/>
      <c r="S453" s="823"/>
      <c r="T453" s="823"/>
      <c r="U453" s="823"/>
      <c r="V453" s="823"/>
    </row>
    <row r="454" spans="1:22" ht="15.75" thickBot="1" x14ac:dyDescent="0.3">
      <c r="A454" s="51" t="s">
        <v>953</v>
      </c>
      <c r="B454" s="51" t="s">
        <v>26</v>
      </c>
      <c r="C454" s="51" t="s">
        <v>27</v>
      </c>
      <c r="D454" s="51" t="s">
        <v>21</v>
      </c>
      <c r="E454" s="51" t="s">
        <v>849</v>
      </c>
      <c r="F454" s="147">
        <v>1</v>
      </c>
      <c r="G454" s="54">
        <v>0</v>
      </c>
      <c r="H454" s="822"/>
      <c r="I454" s="54">
        <v>-14.39</v>
      </c>
      <c r="J454" s="822"/>
      <c r="K454" s="54">
        <v>0</v>
      </c>
      <c r="L454" s="54">
        <v>0</v>
      </c>
      <c r="M454" s="54">
        <v>0</v>
      </c>
      <c r="N454" s="822"/>
      <c r="O454" s="54">
        <v>-4.2699999999999996</v>
      </c>
      <c r="P454" s="822"/>
      <c r="Q454" s="822"/>
      <c r="R454" s="822"/>
      <c r="S454" s="822"/>
      <c r="T454" s="822"/>
      <c r="U454" s="822"/>
      <c r="V454" s="822"/>
    </row>
    <row r="455" spans="1:22" ht="15.75" thickBot="1" x14ac:dyDescent="0.3">
      <c r="A455" s="51" t="s">
        <v>953</v>
      </c>
      <c r="B455" s="51" t="s">
        <v>26</v>
      </c>
      <c r="C455" s="51" t="s">
        <v>27</v>
      </c>
      <c r="D455" s="51" t="s">
        <v>21</v>
      </c>
      <c r="E455" s="51" t="s">
        <v>850</v>
      </c>
      <c r="F455" s="148">
        <v>1</v>
      </c>
      <c r="G455" s="56">
        <v>0</v>
      </c>
      <c r="H455" s="823"/>
      <c r="I455" s="56">
        <v>-16.350000000000001</v>
      </c>
      <c r="J455" s="823"/>
      <c r="K455" s="56">
        <v>0</v>
      </c>
      <c r="L455" s="56">
        <v>0</v>
      </c>
      <c r="M455" s="56">
        <v>0</v>
      </c>
      <c r="N455" s="823"/>
      <c r="O455" s="823"/>
      <c r="P455" s="823"/>
      <c r="Q455" s="823"/>
      <c r="R455" s="823"/>
      <c r="S455" s="823"/>
      <c r="T455" s="823"/>
      <c r="U455" s="823"/>
      <c r="V455" s="823"/>
    </row>
    <row r="456" spans="1:22" ht="15.75" thickBot="1" x14ac:dyDescent="0.3">
      <c r="A456" s="51" t="s">
        <v>953</v>
      </c>
      <c r="B456" s="51" t="s">
        <v>26</v>
      </c>
      <c r="C456" s="51" t="s">
        <v>27</v>
      </c>
      <c r="D456" s="51" t="s">
        <v>21</v>
      </c>
      <c r="E456" s="51" t="s">
        <v>851</v>
      </c>
      <c r="F456" s="147">
        <v>1</v>
      </c>
      <c r="G456" s="54">
        <v>0</v>
      </c>
      <c r="H456" s="822"/>
      <c r="I456" s="54">
        <v>-16.350000000000001</v>
      </c>
      <c r="J456" s="822"/>
      <c r="K456" s="54">
        <v>0</v>
      </c>
      <c r="L456" s="54">
        <v>0</v>
      </c>
      <c r="M456" s="54">
        <v>0</v>
      </c>
      <c r="N456" s="822"/>
      <c r="O456" s="822"/>
      <c r="P456" s="822"/>
      <c r="Q456" s="822"/>
      <c r="R456" s="822"/>
      <c r="S456" s="822"/>
      <c r="T456" s="822"/>
      <c r="U456" s="822"/>
      <c r="V456" s="822"/>
    </row>
    <row r="457" spans="1:22" ht="15.75" thickBot="1" x14ac:dyDescent="0.3">
      <c r="A457" s="51" t="s">
        <v>953</v>
      </c>
      <c r="B457" s="51" t="s">
        <v>26</v>
      </c>
      <c r="C457" s="51" t="s">
        <v>27</v>
      </c>
      <c r="D457" s="51" t="s">
        <v>21</v>
      </c>
      <c r="E457" s="51" t="s">
        <v>852</v>
      </c>
      <c r="F457" s="148">
        <v>1</v>
      </c>
      <c r="G457" s="56">
        <v>0</v>
      </c>
      <c r="H457" s="823"/>
      <c r="I457" s="56">
        <v>-16.350000000000001</v>
      </c>
      <c r="J457" s="823"/>
      <c r="K457" s="56">
        <v>0</v>
      </c>
      <c r="L457" s="56">
        <v>0</v>
      </c>
      <c r="M457" s="56">
        <v>0</v>
      </c>
      <c r="N457" s="823"/>
      <c r="O457" s="823"/>
      <c r="P457" s="823"/>
      <c r="Q457" s="823"/>
      <c r="R457" s="823"/>
      <c r="S457" s="823"/>
      <c r="T457" s="823"/>
      <c r="U457" s="823"/>
      <c r="V457" s="823"/>
    </row>
    <row r="458" spans="1:22" ht="15.75" thickBot="1" x14ac:dyDescent="0.3">
      <c r="A458" s="51" t="s">
        <v>953</v>
      </c>
      <c r="B458" s="51" t="s">
        <v>26</v>
      </c>
      <c r="C458" s="51" t="s">
        <v>27</v>
      </c>
      <c r="D458" s="51" t="s">
        <v>21</v>
      </c>
      <c r="E458" s="51" t="s">
        <v>853</v>
      </c>
      <c r="F458" s="147">
        <v>1</v>
      </c>
      <c r="G458" s="54">
        <v>0</v>
      </c>
      <c r="H458" s="822"/>
      <c r="I458" s="54">
        <v>-16.350000000000001</v>
      </c>
      <c r="J458" s="822"/>
      <c r="K458" s="54">
        <v>0</v>
      </c>
      <c r="L458" s="54">
        <v>0</v>
      </c>
      <c r="M458" s="54">
        <v>0</v>
      </c>
      <c r="N458" s="822"/>
      <c r="O458" s="822"/>
      <c r="P458" s="822"/>
      <c r="Q458" s="822"/>
      <c r="R458" s="822"/>
      <c r="S458" s="822"/>
      <c r="T458" s="822"/>
      <c r="U458" s="822"/>
      <c r="V458" s="822"/>
    </row>
    <row r="459" spans="1:22" ht="15.75" thickBot="1" x14ac:dyDescent="0.3">
      <c r="A459" s="51" t="s">
        <v>953</v>
      </c>
      <c r="B459" s="51" t="s">
        <v>26</v>
      </c>
      <c r="C459" s="51" t="s">
        <v>27</v>
      </c>
      <c r="D459" s="51" t="s">
        <v>21</v>
      </c>
      <c r="E459" s="51" t="s">
        <v>854</v>
      </c>
      <c r="F459" s="148">
        <v>1</v>
      </c>
      <c r="G459" s="56">
        <v>0</v>
      </c>
      <c r="H459" s="823"/>
      <c r="I459" s="56">
        <v>-16.350000000000001</v>
      </c>
      <c r="J459" s="823"/>
      <c r="K459" s="56">
        <v>0</v>
      </c>
      <c r="L459" s="56">
        <v>0</v>
      </c>
      <c r="M459" s="56">
        <v>0</v>
      </c>
      <c r="N459" s="823"/>
      <c r="O459" s="823"/>
      <c r="P459" s="823"/>
      <c r="Q459" s="823"/>
      <c r="R459" s="823"/>
      <c r="S459" s="823"/>
      <c r="T459" s="823"/>
      <c r="U459" s="823"/>
      <c r="V459" s="823"/>
    </row>
    <row r="460" spans="1:22" ht="15.75" thickBot="1" x14ac:dyDescent="0.3">
      <c r="A460" s="51" t="s">
        <v>953</v>
      </c>
      <c r="B460" s="51" t="s">
        <v>26</v>
      </c>
      <c r="C460" s="51" t="s">
        <v>27</v>
      </c>
      <c r="D460" s="51" t="s">
        <v>21</v>
      </c>
      <c r="E460" s="51" t="s">
        <v>855</v>
      </c>
      <c r="F460" s="147">
        <v>1</v>
      </c>
      <c r="G460" s="54">
        <v>0</v>
      </c>
      <c r="H460" s="822"/>
      <c r="I460" s="54">
        <v>-16.350000000000001</v>
      </c>
      <c r="J460" s="822"/>
      <c r="K460" s="54">
        <v>0</v>
      </c>
      <c r="L460" s="54">
        <v>0</v>
      </c>
      <c r="M460" s="54">
        <v>0</v>
      </c>
      <c r="N460" s="822"/>
      <c r="O460" s="822"/>
      <c r="P460" s="822"/>
      <c r="Q460" s="822"/>
      <c r="R460" s="822"/>
      <c r="S460" s="822"/>
      <c r="T460" s="822"/>
      <c r="U460" s="822"/>
      <c r="V460" s="822"/>
    </row>
    <row r="461" spans="1:22" ht="15.75" thickBot="1" x14ac:dyDescent="0.3">
      <c r="A461" s="51" t="s">
        <v>953</v>
      </c>
      <c r="B461" s="51" t="s">
        <v>26</v>
      </c>
      <c r="C461" s="51" t="s">
        <v>27</v>
      </c>
      <c r="D461" s="51" t="s">
        <v>21</v>
      </c>
      <c r="E461" s="51" t="s">
        <v>856</v>
      </c>
      <c r="F461" s="148">
        <v>1</v>
      </c>
      <c r="G461" s="56">
        <v>0</v>
      </c>
      <c r="H461" s="823"/>
      <c r="I461" s="56">
        <v>-16.350000000000001</v>
      </c>
      <c r="J461" s="823"/>
      <c r="K461" s="56">
        <v>0</v>
      </c>
      <c r="L461" s="56">
        <v>0</v>
      </c>
      <c r="M461" s="56">
        <v>0</v>
      </c>
      <c r="N461" s="823"/>
      <c r="O461" s="823"/>
      <c r="P461" s="823"/>
      <c r="Q461" s="823"/>
      <c r="R461" s="823"/>
      <c r="S461" s="823"/>
      <c r="T461" s="823"/>
      <c r="U461" s="823"/>
      <c r="V461" s="823"/>
    </row>
    <row r="462" spans="1:22" ht="15.75" thickBot="1" x14ac:dyDescent="0.3">
      <c r="A462" s="51" t="s">
        <v>953</v>
      </c>
      <c r="B462" s="51" t="s">
        <v>26</v>
      </c>
      <c r="C462" s="51" t="s">
        <v>27</v>
      </c>
      <c r="D462" s="51" t="s">
        <v>21</v>
      </c>
      <c r="E462" s="51" t="s">
        <v>632</v>
      </c>
      <c r="F462" s="147">
        <v>1</v>
      </c>
      <c r="G462" s="54">
        <v>0</v>
      </c>
      <c r="H462" s="822"/>
      <c r="I462" s="54">
        <v>-16.350000000000001</v>
      </c>
      <c r="J462" s="822"/>
      <c r="K462" s="54">
        <v>0</v>
      </c>
      <c r="L462" s="54">
        <v>0</v>
      </c>
      <c r="M462" s="54">
        <v>0</v>
      </c>
      <c r="N462" s="54">
        <v>0</v>
      </c>
      <c r="O462" s="822"/>
      <c r="P462" s="822"/>
      <c r="Q462" s="822"/>
      <c r="R462" s="822"/>
      <c r="S462" s="822"/>
      <c r="T462" s="822"/>
      <c r="U462" s="822"/>
      <c r="V462" s="822"/>
    </row>
    <row r="463" spans="1:22" ht="15.75" thickBot="1" x14ac:dyDescent="0.3">
      <c r="A463" s="51" t="s">
        <v>953</v>
      </c>
      <c r="B463" s="51" t="s">
        <v>26</v>
      </c>
      <c r="C463" s="51" t="s">
        <v>27</v>
      </c>
      <c r="D463" s="51" t="s">
        <v>21</v>
      </c>
      <c r="E463" s="51" t="s">
        <v>644</v>
      </c>
      <c r="F463" s="148">
        <v>1</v>
      </c>
      <c r="G463" s="56">
        <v>0</v>
      </c>
      <c r="H463" s="823"/>
      <c r="I463" s="56">
        <v>-16.350000000000001</v>
      </c>
      <c r="J463" s="823"/>
      <c r="K463" s="56">
        <v>0</v>
      </c>
      <c r="L463" s="56">
        <v>0</v>
      </c>
      <c r="M463" s="56">
        <v>0</v>
      </c>
      <c r="N463" s="56">
        <v>0</v>
      </c>
      <c r="O463" s="823"/>
      <c r="P463" s="823"/>
      <c r="Q463" s="823"/>
      <c r="R463" s="823"/>
      <c r="S463" s="823"/>
      <c r="T463" s="823"/>
      <c r="U463" s="823"/>
      <c r="V463" s="823"/>
    </row>
    <row r="464" spans="1:22" ht="15.75" thickBot="1" x14ac:dyDescent="0.3">
      <c r="A464" s="51" t="s">
        <v>953</v>
      </c>
      <c r="B464" s="51" t="s">
        <v>26</v>
      </c>
      <c r="C464" s="51" t="s">
        <v>27</v>
      </c>
      <c r="D464" s="51" t="s">
        <v>21</v>
      </c>
      <c r="E464" s="51" t="s">
        <v>653</v>
      </c>
      <c r="F464" s="147">
        <v>2</v>
      </c>
      <c r="G464" s="54">
        <v>13</v>
      </c>
      <c r="H464" s="822"/>
      <c r="I464" s="54">
        <v>-14.17</v>
      </c>
      <c r="J464" s="822"/>
      <c r="K464" s="54">
        <v>4.72</v>
      </c>
      <c r="L464" s="54">
        <v>4.93</v>
      </c>
      <c r="M464" s="54">
        <v>0.31</v>
      </c>
      <c r="N464" s="822"/>
      <c r="O464" s="822"/>
      <c r="P464" s="822"/>
      <c r="Q464" s="822"/>
      <c r="R464" s="822"/>
      <c r="S464" s="822"/>
      <c r="T464" s="822"/>
      <c r="U464" s="822"/>
      <c r="V464" s="822"/>
    </row>
    <row r="465" spans="1:22" ht="15.75" thickBot="1" x14ac:dyDescent="0.3">
      <c r="A465" s="51" t="s">
        <v>953</v>
      </c>
      <c r="B465" s="51" t="s">
        <v>26</v>
      </c>
      <c r="C465" s="51" t="s">
        <v>27</v>
      </c>
      <c r="D465" s="51" t="s">
        <v>21</v>
      </c>
      <c r="E465" s="51" t="s">
        <v>674</v>
      </c>
      <c r="F465" s="148">
        <v>2</v>
      </c>
      <c r="G465" s="56">
        <v>-13</v>
      </c>
      <c r="H465" s="823"/>
      <c r="I465" s="56">
        <v>-32.700000000000003</v>
      </c>
      <c r="J465" s="823"/>
      <c r="K465" s="56">
        <v>-4.72</v>
      </c>
      <c r="L465" s="56">
        <v>-4.93</v>
      </c>
      <c r="M465" s="56">
        <v>-0.31</v>
      </c>
      <c r="N465" s="823"/>
      <c r="O465" s="823"/>
      <c r="P465" s="823"/>
      <c r="Q465" s="823"/>
      <c r="R465" s="823"/>
      <c r="S465" s="823"/>
      <c r="T465" s="823"/>
      <c r="U465" s="823"/>
      <c r="V465" s="823"/>
    </row>
    <row r="466" spans="1:22" ht="15.75" thickBot="1" x14ac:dyDescent="0.3">
      <c r="A466" s="51" t="s">
        <v>953</v>
      </c>
      <c r="B466" s="51" t="s">
        <v>26</v>
      </c>
      <c r="C466" s="51" t="s">
        <v>27</v>
      </c>
      <c r="D466" s="51" t="s">
        <v>21</v>
      </c>
      <c r="E466" s="51" t="s">
        <v>837</v>
      </c>
      <c r="F466" s="147">
        <v>2</v>
      </c>
      <c r="G466" s="54">
        <v>-4</v>
      </c>
      <c r="H466" s="822"/>
      <c r="I466" s="54">
        <v>-39.24</v>
      </c>
      <c r="J466" s="822"/>
      <c r="K466" s="54">
        <v>-1.45</v>
      </c>
      <c r="L466" s="54">
        <v>-1.52</v>
      </c>
      <c r="M466" s="54">
        <v>-0.09</v>
      </c>
      <c r="N466" s="822"/>
      <c r="O466" s="822"/>
      <c r="P466" s="822"/>
      <c r="Q466" s="822"/>
      <c r="R466" s="822"/>
      <c r="S466" s="822"/>
      <c r="T466" s="822"/>
      <c r="U466" s="822"/>
      <c r="V466" s="822"/>
    </row>
    <row r="467" spans="1:22" ht="15.75" thickBot="1" x14ac:dyDescent="0.3">
      <c r="A467" s="51" t="s">
        <v>953</v>
      </c>
      <c r="B467" s="51" t="s">
        <v>26</v>
      </c>
      <c r="C467" s="51" t="s">
        <v>27</v>
      </c>
      <c r="D467" s="51" t="s">
        <v>21</v>
      </c>
      <c r="E467" s="51" t="s">
        <v>838</v>
      </c>
      <c r="F467" s="148">
        <v>1</v>
      </c>
      <c r="G467" s="56">
        <v>0</v>
      </c>
      <c r="H467" s="823"/>
      <c r="I467" s="56">
        <v>-16.350000000000001</v>
      </c>
      <c r="J467" s="823"/>
      <c r="K467" s="56">
        <v>0</v>
      </c>
      <c r="L467" s="56">
        <v>0</v>
      </c>
      <c r="M467" s="56">
        <v>0</v>
      </c>
      <c r="N467" s="823"/>
      <c r="O467" s="823"/>
      <c r="P467" s="823"/>
      <c r="Q467" s="823"/>
      <c r="R467" s="823"/>
      <c r="S467" s="823"/>
      <c r="T467" s="823"/>
      <c r="U467" s="823"/>
      <c r="V467" s="823"/>
    </row>
    <row r="468" spans="1:22" ht="15.75" thickBot="1" x14ac:dyDescent="0.3">
      <c r="A468" s="51" t="s">
        <v>953</v>
      </c>
      <c r="B468" s="51" t="s">
        <v>26</v>
      </c>
      <c r="C468" s="51" t="s">
        <v>27</v>
      </c>
      <c r="D468" s="51" t="s">
        <v>21</v>
      </c>
      <c r="E468" s="51" t="s">
        <v>839</v>
      </c>
      <c r="F468" s="147">
        <v>1</v>
      </c>
      <c r="G468" s="54">
        <v>0</v>
      </c>
      <c r="H468" s="822"/>
      <c r="I468" s="54">
        <v>-16.350000000000001</v>
      </c>
      <c r="J468" s="822"/>
      <c r="K468" s="54">
        <v>0</v>
      </c>
      <c r="L468" s="54">
        <v>0</v>
      </c>
      <c r="M468" s="54">
        <v>0</v>
      </c>
      <c r="N468" s="822"/>
      <c r="O468" s="822"/>
      <c r="P468" s="822"/>
      <c r="Q468" s="822"/>
      <c r="R468" s="822"/>
      <c r="S468" s="822"/>
      <c r="T468" s="822"/>
      <c r="U468" s="822"/>
      <c r="V468" s="822"/>
    </row>
    <row r="469" spans="1:22" ht="15.75" thickBot="1" x14ac:dyDescent="0.3">
      <c r="A469" s="51" t="s">
        <v>953</v>
      </c>
      <c r="B469" s="51" t="s">
        <v>26</v>
      </c>
      <c r="C469" s="51" t="s">
        <v>27</v>
      </c>
      <c r="D469" s="51" t="s">
        <v>21</v>
      </c>
      <c r="E469" s="51" t="s">
        <v>840</v>
      </c>
      <c r="F469" s="148">
        <v>1</v>
      </c>
      <c r="G469" s="56">
        <v>0</v>
      </c>
      <c r="H469" s="823"/>
      <c r="I469" s="56">
        <v>-16.350000000000001</v>
      </c>
      <c r="J469" s="823"/>
      <c r="K469" s="56">
        <v>0</v>
      </c>
      <c r="L469" s="56">
        <v>0</v>
      </c>
      <c r="M469" s="56">
        <v>0</v>
      </c>
      <c r="N469" s="823"/>
      <c r="O469" s="823"/>
      <c r="P469" s="823"/>
      <c r="Q469" s="823"/>
      <c r="R469" s="823"/>
      <c r="S469" s="823"/>
      <c r="T469" s="823"/>
      <c r="U469" s="823"/>
      <c r="V469" s="823"/>
    </row>
    <row r="470" spans="1:22" ht="15.75" thickBot="1" x14ac:dyDescent="0.3">
      <c r="A470" s="51" t="s">
        <v>953</v>
      </c>
      <c r="B470" s="51" t="s">
        <v>26</v>
      </c>
      <c r="C470" s="51" t="s">
        <v>27</v>
      </c>
      <c r="D470" s="51" t="s">
        <v>21</v>
      </c>
      <c r="E470" s="51" t="s">
        <v>841</v>
      </c>
      <c r="F470" s="147">
        <v>1</v>
      </c>
      <c r="G470" s="54">
        <v>0</v>
      </c>
      <c r="H470" s="822"/>
      <c r="I470" s="54">
        <v>-16.350000000000001</v>
      </c>
      <c r="J470" s="822"/>
      <c r="K470" s="54">
        <v>0</v>
      </c>
      <c r="L470" s="54">
        <v>0</v>
      </c>
      <c r="M470" s="54">
        <v>0</v>
      </c>
      <c r="N470" s="54">
        <v>0</v>
      </c>
      <c r="O470" s="822"/>
      <c r="P470" s="822"/>
      <c r="Q470" s="822"/>
      <c r="R470" s="822"/>
      <c r="S470" s="822"/>
      <c r="T470" s="822"/>
      <c r="U470" s="822"/>
      <c r="V470" s="822"/>
    </row>
    <row r="471" spans="1:22" ht="15.75" thickBot="1" x14ac:dyDescent="0.3">
      <c r="A471" s="51" t="s">
        <v>953</v>
      </c>
      <c r="B471" s="51" t="s">
        <v>26</v>
      </c>
      <c r="C471" s="51" t="s">
        <v>27</v>
      </c>
      <c r="D471" s="51" t="s">
        <v>21</v>
      </c>
      <c r="E471" s="51" t="s">
        <v>842</v>
      </c>
      <c r="F471" s="148">
        <v>2</v>
      </c>
      <c r="G471" s="56">
        <v>0</v>
      </c>
      <c r="H471" s="823"/>
      <c r="I471" s="56">
        <v>-16.350000000000001</v>
      </c>
      <c r="J471" s="823"/>
      <c r="K471" s="56">
        <v>0</v>
      </c>
      <c r="L471" s="56">
        <v>0</v>
      </c>
      <c r="M471" s="56">
        <v>0</v>
      </c>
      <c r="N471" s="56">
        <v>-0.24</v>
      </c>
      <c r="O471" s="823"/>
      <c r="P471" s="823"/>
      <c r="Q471" s="823"/>
      <c r="R471" s="823"/>
      <c r="S471" s="823"/>
      <c r="T471" s="823"/>
      <c r="U471" s="823"/>
      <c r="V471" s="823"/>
    </row>
    <row r="472" spans="1:22" ht="15.75" thickBot="1" x14ac:dyDescent="0.3">
      <c r="A472" s="51" t="s">
        <v>953</v>
      </c>
      <c r="B472" s="51" t="s">
        <v>26</v>
      </c>
      <c r="C472" s="51" t="s">
        <v>27</v>
      </c>
      <c r="D472" s="51" t="s">
        <v>21</v>
      </c>
      <c r="E472" s="51" t="s">
        <v>821</v>
      </c>
      <c r="F472" s="147">
        <v>3</v>
      </c>
      <c r="G472" s="54">
        <v>0</v>
      </c>
      <c r="H472" s="822"/>
      <c r="I472" s="54">
        <v>-16.350000000000001</v>
      </c>
      <c r="J472" s="822"/>
      <c r="K472" s="54">
        <v>0</v>
      </c>
      <c r="L472" s="54">
        <v>0</v>
      </c>
      <c r="M472" s="54">
        <v>0</v>
      </c>
      <c r="N472" s="54">
        <v>-0.89</v>
      </c>
      <c r="O472" s="822"/>
      <c r="P472" s="822"/>
      <c r="Q472" s="822"/>
      <c r="R472" s="822"/>
      <c r="S472" s="822"/>
      <c r="T472" s="822"/>
      <c r="U472" s="822"/>
      <c r="V472" s="822"/>
    </row>
    <row r="473" spans="1:22" ht="15.75" thickBot="1" x14ac:dyDescent="0.3">
      <c r="A473" s="51" t="s">
        <v>953</v>
      </c>
      <c r="B473" s="51" t="s">
        <v>26</v>
      </c>
      <c r="C473" s="51" t="s">
        <v>27</v>
      </c>
      <c r="D473" s="51" t="s">
        <v>21</v>
      </c>
      <c r="E473" s="51" t="s">
        <v>822</v>
      </c>
      <c r="F473" s="148">
        <v>4</v>
      </c>
      <c r="G473" s="56">
        <v>35</v>
      </c>
      <c r="H473" s="823"/>
      <c r="I473" s="56">
        <v>-16.350000000000001</v>
      </c>
      <c r="J473" s="823"/>
      <c r="K473" s="56">
        <v>12.71</v>
      </c>
      <c r="L473" s="56">
        <v>14.28</v>
      </c>
      <c r="M473" s="56">
        <v>0.15</v>
      </c>
      <c r="N473" s="56">
        <v>0.16</v>
      </c>
      <c r="O473" s="823"/>
      <c r="P473" s="823"/>
      <c r="Q473" s="823"/>
      <c r="R473" s="823"/>
      <c r="S473" s="823"/>
      <c r="T473" s="823"/>
      <c r="U473" s="823"/>
      <c r="V473" s="823"/>
    </row>
    <row r="474" spans="1:22" ht="15.75" thickBot="1" x14ac:dyDescent="0.3">
      <c r="A474" s="51" t="s">
        <v>953</v>
      </c>
      <c r="B474" s="51" t="s">
        <v>26</v>
      </c>
      <c r="C474" s="51" t="s">
        <v>27</v>
      </c>
      <c r="D474" s="51" t="s">
        <v>21</v>
      </c>
      <c r="E474" s="51" t="s">
        <v>823</v>
      </c>
      <c r="F474" s="147">
        <v>4</v>
      </c>
      <c r="G474" s="54">
        <v>32</v>
      </c>
      <c r="H474" s="822"/>
      <c r="I474" s="54">
        <v>-16.350000000000001</v>
      </c>
      <c r="J474" s="822"/>
      <c r="K474" s="54">
        <v>11.62</v>
      </c>
      <c r="L474" s="54">
        <v>13.47</v>
      </c>
      <c r="M474" s="54">
        <v>0.14000000000000001</v>
      </c>
      <c r="N474" s="54">
        <v>-0.25</v>
      </c>
      <c r="O474" s="822"/>
      <c r="P474" s="822"/>
      <c r="Q474" s="822"/>
      <c r="R474" s="822"/>
      <c r="S474" s="822"/>
      <c r="T474" s="822"/>
      <c r="U474" s="822"/>
      <c r="V474" s="822"/>
    </row>
    <row r="475" spans="1:22" ht="15.75" thickBot="1" x14ac:dyDescent="0.3">
      <c r="A475" s="51" t="s">
        <v>953</v>
      </c>
      <c r="B475" s="51" t="s">
        <v>26</v>
      </c>
      <c r="C475" s="51" t="s">
        <v>27</v>
      </c>
      <c r="D475" s="51" t="s">
        <v>21</v>
      </c>
      <c r="E475" s="51" t="s">
        <v>824</v>
      </c>
      <c r="F475" s="148">
        <v>3</v>
      </c>
      <c r="G475" s="56">
        <v>37</v>
      </c>
      <c r="H475" s="823"/>
      <c r="I475" s="56">
        <v>-16.350000000000001</v>
      </c>
      <c r="J475" s="823"/>
      <c r="K475" s="56">
        <v>13.43</v>
      </c>
      <c r="L475" s="56">
        <v>15.58</v>
      </c>
      <c r="M475" s="56">
        <v>0.04</v>
      </c>
      <c r="N475" s="56">
        <v>-0.24</v>
      </c>
      <c r="O475" s="823"/>
      <c r="P475" s="823"/>
      <c r="Q475" s="823"/>
      <c r="R475" s="823"/>
      <c r="S475" s="823"/>
      <c r="T475" s="823"/>
      <c r="U475" s="823"/>
      <c r="V475" s="823"/>
    </row>
    <row r="476" spans="1:22" ht="15.75" thickBot="1" x14ac:dyDescent="0.3">
      <c r="A476" s="51" t="s">
        <v>953</v>
      </c>
      <c r="B476" s="51" t="s">
        <v>26</v>
      </c>
      <c r="C476" s="51" t="s">
        <v>27</v>
      </c>
      <c r="D476" s="51" t="s">
        <v>21</v>
      </c>
      <c r="E476" s="51" t="s">
        <v>825</v>
      </c>
      <c r="F476" s="147">
        <v>2</v>
      </c>
      <c r="G476" s="54">
        <v>14</v>
      </c>
      <c r="H476" s="822"/>
      <c r="I476" s="54">
        <v>-17.59</v>
      </c>
      <c r="J476" s="822"/>
      <c r="K476" s="54">
        <v>5.12</v>
      </c>
      <c r="L476" s="54">
        <v>6.02</v>
      </c>
      <c r="M476" s="54">
        <v>-0.03</v>
      </c>
      <c r="N476" s="822"/>
      <c r="O476" s="822"/>
      <c r="P476" s="822"/>
      <c r="Q476" s="822"/>
      <c r="R476" s="822"/>
      <c r="S476" s="822"/>
      <c r="T476" s="822"/>
      <c r="U476" s="822"/>
      <c r="V476" s="822"/>
    </row>
    <row r="477" spans="1:22" ht="15.75" thickBot="1" x14ac:dyDescent="0.3">
      <c r="A477" s="51" t="s">
        <v>953</v>
      </c>
      <c r="B477" s="51" t="s">
        <v>26</v>
      </c>
      <c r="C477" s="51" t="s">
        <v>27</v>
      </c>
      <c r="D477" s="51" t="s">
        <v>21</v>
      </c>
      <c r="E477" s="51" t="s">
        <v>826</v>
      </c>
      <c r="F477" s="148">
        <v>2</v>
      </c>
      <c r="G477" s="56">
        <v>14</v>
      </c>
      <c r="H477" s="823"/>
      <c r="I477" s="56">
        <v>-21.45</v>
      </c>
      <c r="J477" s="823"/>
      <c r="K477" s="56">
        <v>5.15</v>
      </c>
      <c r="L477" s="56">
        <v>6.11</v>
      </c>
      <c r="M477" s="56">
        <v>-0.03</v>
      </c>
      <c r="N477" s="823"/>
      <c r="O477" s="823"/>
      <c r="P477" s="823"/>
      <c r="Q477" s="823"/>
      <c r="R477" s="823"/>
      <c r="S477" s="823"/>
      <c r="T477" s="823"/>
      <c r="U477" s="823"/>
      <c r="V477" s="823"/>
    </row>
    <row r="478" spans="1:22" ht="15.75" thickBot="1" x14ac:dyDescent="0.3">
      <c r="A478" s="51" t="s">
        <v>953</v>
      </c>
      <c r="B478" s="51" t="s">
        <v>26</v>
      </c>
      <c r="C478" s="51" t="s">
        <v>27</v>
      </c>
      <c r="D478" s="51" t="s">
        <v>21</v>
      </c>
      <c r="E478" s="51" t="s">
        <v>827</v>
      </c>
      <c r="F478" s="147">
        <v>2</v>
      </c>
      <c r="G478" s="54">
        <v>15</v>
      </c>
      <c r="H478" s="822"/>
      <c r="I478" s="54">
        <v>-18.850000000000001</v>
      </c>
      <c r="J478" s="822"/>
      <c r="K478" s="54">
        <v>5.52</v>
      </c>
      <c r="L478" s="54">
        <v>6.54</v>
      </c>
      <c r="M478" s="54">
        <v>-0.04</v>
      </c>
      <c r="N478" s="822"/>
      <c r="O478" s="822"/>
      <c r="P478" s="822"/>
      <c r="Q478" s="822"/>
      <c r="R478" s="822"/>
      <c r="S478" s="822"/>
      <c r="T478" s="822"/>
      <c r="U478" s="822"/>
      <c r="V478" s="822"/>
    </row>
    <row r="479" spans="1:22" ht="15.75" thickBot="1" x14ac:dyDescent="0.3">
      <c r="A479" s="51" t="s">
        <v>953</v>
      </c>
      <c r="B479" s="51" t="s">
        <v>26</v>
      </c>
      <c r="C479" s="51" t="s">
        <v>27</v>
      </c>
      <c r="D479" s="51" t="s">
        <v>21</v>
      </c>
      <c r="E479" s="51" t="s">
        <v>828</v>
      </c>
      <c r="F479" s="148">
        <v>5</v>
      </c>
      <c r="G479" s="56">
        <v>10</v>
      </c>
      <c r="H479" s="823"/>
      <c r="I479" s="56">
        <v>-6.5</v>
      </c>
      <c r="J479" s="823"/>
      <c r="K479" s="56">
        <v>3.68</v>
      </c>
      <c r="L479" s="56">
        <v>3.66</v>
      </c>
      <c r="M479" s="56">
        <v>-0.02</v>
      </c>
      <c r="N479" s="823"/>
      <c r="O479" s="823"/>
      <c r="P479" s="823"/>
      <c r="Q479" s="823"/>
      <c r="R479" s="823"/>
      <c r="S479" s="823"/>
      <c r="T479" s="823"/>
      <c r="U479" s="823"/>
      <c r="V479" s="823"/>
    </row>
    <row r="480" spans="1:22" ht="15.75" thickBot="1" x14ac:dyDescent="0.3">
      <c r="A480" s="51" t="s">
        <v>953</v>
      </c>
      <c r="B480" s="51" t="s">
        <v>26</v>
      </c>
      <c r="C480" s="51" t="s">
        <v>27</v>
      </c>
      <c r="D480" s="51" t="s">
        <v>21</v>
      </c>
      <c r="E480" s="51" t="s">
        <v>829</v>
      </c>
      <c r="F480" s="147">
        <v>4</v>
      </c>
      <c r="G480" s="54">
        <v>28</v>
      </c>
      <c r="H480" s="822"/>
      <c r="I480" s="54">
        <v>0.65</v>
      </c>
      <c r="J480" s="822"/>
      <c r="K480" s="54">
        <v>10.3</v>
      </c>
      <c r="L480" s="54">
        <v>9.76</v>
      </c>
      <c r="M480" s="54">
        <v>-7.0000000000000007E-2</v>
      </c>
      <c r="N480" s="822"/>
      <c r="O480" s="822"/>
      <c r="P480" s="822"/>
      <c r="Q480" s="822"/>
      <c r="R480" s="822"/>
      <c r="S480" s="822"/>
      <c r="T480" s="822"/>
      <c r="U480" s="822"/>
      <c r="V480" s="822"/>
    </row>
    <row r="481" spans="1:22" ht="15.75" thickBot="1" x14ac:dyDescent="0.3">
      <c r="A481" s="51" t="s">
        <v>953</v>
      </c>
      <c r="B481" s="51" t="s">
        <v>26</v>
      </c>
      <c r="C481" s="51" t="s">
        <v>27</v>
      </c>
      <c r="D481" s="51" t="s">
        <v>21</v>
      </c>
      <c r="E481" s="51" t="s">
        <v>830</v>
      </c>
      <c r="F481" s="148">
        <v>6</v>
      </c>
      <c r="G481" s="56">
        <v>38</v>
      </c>
      <c r="H481" s="823"/>
      <c r="I481" s="56">
        <v>0.65</v>
      </c>
      <c r="J481" s="823"/>
      <c r="K481" s="56">
        <v>13.97</v>
      </c>
      <c r="L481" s="56">
        <v>13.25</v>
      </c>
      <c r="M481" s="56">
        <v>-0.1</v>
      </c>
      <c r="N481" s="823"/>
      <c r="O481" s="823"/>
      <c r="P481" s="823"/>
      <c r="Q481" s="823"/>
      <c r="R481" s="823"/>
      <c r="S481" s="823"/>
      <c r="T481" s="823"/>
      <c r="U481" s="823"/>
      <c r="V481" s="823"/>
    </row>
    <row r="482" spans="1:22" ht="15.75" thickBot="1" x14ac:dyDescent="0.3">
      <c r="A482" s="51" t="s">
        <v>953</v>
      </c>
      <c r="B482" s="51" t="s">
        <v>26</v>
      </c>
      <c r="C482" s="51" t="s">
        <v>27</v>
      </c>
      <c r="D482" s="51" t="s">
        <v>21</v>
      </c>
      <c r="E482" s="51" t="s">
        <v>831</v>
      </c>
      <c r="F482" s="147">
        <v>8</v>
      </c>
      <c r="G482" s="54">
        <v>113</v>
      </c>
      <c r="H482" s="822"/>
      <c r="I482" s="54">
        <v>-1.95</v>
      </c>
      <c r="J482" s="822"/>
      <c r="K482" s="54">
        <v>41.56</v>
      </c>
      <c r="L482" s="54">
        <v>41.95</v>
      </c>
      <c r="M482" s="54">
        <v>-0.27</v>
      </c>
      <c r="N482" s="54">
        <v>-10.55</v>
      </c>
      <c r="O482" s="822"/>
      <c r="P482" s="822"/>
      <c r="Q482" s="822"/>
      <c r="R482" s="822"/>
      <c r="S482" s="822"/>
      <c r="T482" s="822"/>
      <c r="U482" s="822"/>
      <c r="V482" s="822"/>
    </row>
    <row r="483" spans="1:22" ht="15.75" thickBot="1" x14ac:dyDescent="0.3">
      <c r="A483" s="51" t="s">
        <v>953</v>
      </c>
      <c r="B483" s="51" t="s">
        <v>26</v>
      </c>
      <c r="C483" s="51" t="s">
        <v>27</v>
      </c>
      <c r="D483" s="51" t="s">
        <v>21</v>
      </c>
      <c r="E483" s="51" t="s">
        <v>832</v>
      </c>
      <c r="F483" s="148">
        <v>14</v>
      </c>
      <c r="G483" s="56">
        <v>334</v>
      </c>
      <c r="H483" s="823"/>
      <c r="I483" s="56">
        <v>0</v>
      </c>
      <c r="J483" s="823"/>
      <c r="K483" s="56">
        <v>122.87</v>
      </c>
      <c r="L483" s="56">
        <v>128.31</v>
      </c>
      <c r="M483" s="56">
        <v>-0.82</v>
      </c>
      <c r="N483" s="56">
        <v>-6.79</v>
      </c>
      <c r="O483" s="823"/>
      <c r="P483" s="823"/>
      <c r="Q483" s="823"/>
      <c r="R483" s="823"/>
      <c r="S483" s="823"/>
      <c r="T483" s="823"/>
      <c r="U483" s="823"/>
      <c r="V483" s="823"/>
    </row>
    <row r="484" spans="1:22" ht="15.75" thickBot="1" x14ac:dyDescent="0.3">
      <c r="A484" s="51" t="s">
        <v>953</v>
      </c>
      <c r="B484" s="51" t="s">
        <v>26</v>
      </c>
      <c r="C484" s="51" t="s">
        <v>27</v>
      </c>
      <c r="D484" s="51" t="s">
        <v>21</v>
      </c>
      <c r="E484" s="51" t="s">
        <v>833</v>
      </c>
      <c r="F484" s="147">
        <v>18</v>
      </c>
      <c r="G484" s="54">
        <v>219</v>
      </c>
      <c r="H484" s="822"/>
      <c r="I484" s="54">
        <v>0.65</v>
      </c>
      <c r="J484" s="822"/>
      <c r="K484" s="54">
        <v>80.56</v>
      </c>
      <c r="L484" s="54">
        <v>84.08</v>
      </c>
      <c r="M484" s="54">
        <v>-0.53</v>
      </c>
      <c r="N484" s="54">
        <v>45.33</v>
      </c>
      <c r="O484" s="822"/>
      <c r="P484" s="822"/>
      <c r="Q484" s="822"/>
      <c r="R484" s="822"/>
      <c r="S484" s="822"/>
      <c r="T484" s="822"/>
      <c r="U484" s="822"/>
      <c r="V484" s="822"/>
    </row>
    <row r="485" spans="1:22" ht="15.75" thickBot="1" x14ac:dyDescent="0.3">
      <c r="A485" s="51" t="s">
        <v>953</v>
      </c>
      <c r="B485" s="51" t="s">
        <v>26</v>
      </c>
      <c r="C485" s="51" t="s">
        <v>27</v>
      </c>
      <c r="D485" s="51" t="s">
        <v>21</v>
      </c>
      <c r="E485" s="51" t="s">
        <v>834</v>
      </c>
      <c r="F485" s="148">
        <v>37</v>
      </c>
      <c r="G485" s="56">
        <v>-379</v>
      </c>
      <c r="H485" s="823"/>
      <c r="I485" s="56">
        <v>-11.05</v>
      </c>
      <c r="J485" s="823"/>
      <c r="K485" s="56">
        <v>-139.41</v>
      </c>
      <c r="L485" s="56">
        <v>-132.80000000000001</v>
      </c>
      <c r="M485" s="56">
        <v>0.85</v>
      </c>
      <c r="N485" s="56">
        <v>-13.5</v>
      </c>
      <c r="O485" s="823"/>
      <c r="P485" s="823"/>
      <c r="Q485" s="823"/>
      <c r="R485" s="823"/>
      <c r="S485" s="823"/>
      <c r="T485" s="823"/>
      <c r="U485" s="823"/>
      <c r="V485" s="823"/>
    </row>
    <row r="486" spans="1:22" ht="15.75" thickBot="1" x14ac:dyDescent="0.3">
      <c r="A486" s="51" t="s">
        <v>953</v>
      </c>
      <c r="B486" s="51" t="s">
        <v>26</v>
      </c>
      <c r="C486" s="51" t="s">
        <v>27</v>
      </c>
      <c r="D486" s="51" t="s">
        <v>21</v>
      </c>
      <c r="E486" s="51" t="s">
        <v>857</v>
      </c>
      <c r="F486" s="147">
        <v>139</v>
      </c>
      <c r="G486" s="54">
        <v>-5379</v>
      </c>
      <c r="H486" s="822"/>
      <c r="I486" s="54">
        <v>-24.05</v>
      </c>
      <c r="J486" s="822"/>
      <c r="K486" s="54">
        <v>-1978.41</v>
      </c>
      <c r="L486" s="54">
        <v>-1829.39</v>
      </c>
      <c r="M486" s="54">
        <v>12.38</v>
      </c>
      <c r="N486" s="54">
        <v>-185.29</v>
      </c>
      <c r="O486" s="822"/>
      <c r="P486" s="822"/>
      <c r="Q486" s="822"/>
      <c r="R486" s="822"/>
      <c r="S486" s="822"/>
      <c r="T486" s="822"/>
      <c r="U486" s="822"/>
      <c r="V486" s="822"/>
    </row>
    <row r="487" spans="1:22" ht="15.75" thickBot="1" x14ac:dyDescent="0.3">
      <c r="A487" s="51" t="s">
        <v>953</v>
      </c>
      <c r="B487" s="51" t="s">
        <v>26</v>
      </c>
      <c r="C487" s="51" t="s">
        <v>27</v>
      </c>
      <c r="D487" s="51" t="s">
        <v>21</v>
      </c>
      <c r="E487" s="51" t="s">
        <v>949</v>
      </c>
      <c r="F487" s="148">
        <v>409</v>
      </c>
      <c r="G487" s="56">
        <v>-13129</v>
      </c>
      <c r="H487" s="823"/>
      <c r="I487" s="56">
        <v>9.1</v>
      </c>
      <c r="J487" s="823"/>
      <c r="K487" s="56">
        <v>-4828.9799999999996</v>
      </c>
      <c r="L487" s="56">
        <v>-4463.8500000000004</v>
      </c>
      <c r="M487" s="56">
        <v>25.31</v>
      </c>
      <c r="N487" s="56">
        <v>-527.33000000000004</v>
      </c>
      <c r="O487" s="823"/>
      <c r="P487" s="823"/>
      <c r="Q487" s="823"/>
      <c r="R487" s="823"/>
      <c r="S487" s="823"/>
      <c r="T487" s="823"/>
      <c r="U487" s="823"/>
      <c r="V487" s="823"/>
    </row>
    <row r="488" spans="1:22" ht="15.75" thickBot="1" x14ac:dyDescent="0.3">
      <c r="A488" s="51" t="s">
        <v>953</v>
      </c>
      <c r="B488" s="51" t="s">
        <v>26</v>
      </c>
      <c r="C488" s="51" t="s">
        <v>27</v>
      </c>
      <c r="D488" s="51" t="s">
        <v>21</v>
      </c>
      <c r="E488" s="51" t="s">
        <v>952</v>
      </c>
      <c r="F488" s="147">
        <v>1403</v>
      </c>
      <c r="G488" s="54">
        <v>-28076</v>
      </c>
      <c r="H488" s="822"/>
      <c r="I488" s="54">
        <v>8906.9500000000007</v>
      </c>
      <c r="J488" s="822"/>
      <c r="K488" s="54">
        <v>-10326.959999999999</v>
      </c>
      <c r="L488" s="54">
        <v>-8811.67</v>
      </c>
      <c r="M488" s="54">
        <v>44.21</v>
      </c>
      <c r="N488" s="822"/>
      <c r="O488" s="822"/>
      <c r="P488" s="822"/>
      <c r="Q488" s="822"/>
      <c r="R488" s="822"/>
      <c r="S488" s="822"/>
      <c r="T488" s="822"/>
      <c r="U488" s="822"/>
      <c r="V488" s="822"/>
    </row>
    <row r="489" spans="1:22" ht="15.75" thickBot="1" x14ac:dyDescent="0.3">
      <c r="A489" s="51" t="s">
        <v>953</v>
      </c>
      <c r="B489" s="51" t="s">
        <v>26</v>
      </c>
      <c r="C489" s="51" t="s">
        <v>27</v>
      </c>
      <c r="D489" s="51" t="s">
        <v>21</v>
      </c>
      <c r="E489" s="51" t="s">
        <v>962</v>
      </c>
      <c r="F489" s="148">
        <v>301003</v>
      </c>
      <c r="G489" s="56">
        <v>5414786</v>
      </c>
      <c r="H489" s="823"/>
      <c r="I489" s="56">
        <v>6102764.8499999996</v>
      </c>
      <c r="J489" s="823"/>
      <c r="K489" s="56">
        <v>1991694.24</v>
      </c>
      <c r="L489" s="56">
        <v>1375961.92</v>
      </c>
      <c r="M489" s="56">
        <v>-8499.91</v>
      </c>
      <c r="N489" s="823"/>
      <c r="O489" s="823"/>
      <c r="P489" s="823"/>
      <c r="Q489" s="823"/>
      <c r="R489" s="823"/>
      <c r="S489" s="823"/>
      <c r="T489" s="823"/>
      <c r="U489" s="823"/>
      <c r="V489" s="823"/>
    </row>
    <row r="490" spans="1:22" ht="15.75" thickBot="1" x14ac:dyDescent="0.3">
      <c r="A490" s="51" t="s">
        <v>953</v>
      </c>
      <c r="B490" s="51" t="s">
        <v>28</v>
      </c>
      <c r="C490" s="51" t="s">
        <v>29</v>
      </c>
      <c r="D490" s="51" t="s">
        <v>15</v>
      </c>
      <c r="E490" s="51" t="s">
        <v>962</v>
      </c>
      <c r="F490" s="147">
        <v>1</v>
      </c>
      <c r="G490" s="54">
        <v>116</v>
      </c>
      <c r="H490" s="822"/>
      <c r="I490" s="54">
        <v>21.45</v>
      </c>
      <c r="J490" s="822"/>
      <c r="K490" s="54">
        <v>42.67</v>
      </c>
      <c r="L490" s="54">
        <v>29.48</v>
      </c>
      <c r="M490" s="54">
        <v>-0.18</v>
      </c>
      <c r="N490" s="822"/>
      <c r="O490" s="822"/>
      <c r="P490" s="822"/>
      <c r="Q490" s="822"/>
      <c r="R490" s="822"/>
      <c r="S490" s="822"/>
      <c r="T490" s="822"/>
      <c r="U490" s="822"/>
      <c r="V490" s="822"/>
    </row>
    <row r="491" spans="1:22" ht="15.75" thickBot="1" x14ac:dyDescent="0.3">
      <c r="A491" s="51" t="s">
        <v>953</v>
      </c>
      <c r="B491" s="51" t="s">
        <v>28</v>
      </c>
      <c r="C491" s="51" t="s">
        <v>29</v>
      </c>
      <c r="D491" s="51" t="s">
        <v>21</v>
      </c>
      <c r="E491" s="51" t="s">
        <v>962</v>
      </c>
      <c r="F491" s="148">
        <v>2</v>
      </c>
      <c r="G491" s="56">
        <v>204</v>
      </c>
      <c r="H491" s="823"/>
      <c r="I491" s="56">
        <v>39</v>
      </c>
      <c r="J491" s="823"/>
      <c r="K491" s="56">
        <v>75.03</v>
      </c>
      <c r="L491" s="56">
        <v>51.84</v>
      </c>
      <c r="M491" s="56">
        <v>-0.32</v>
      </c>
      <c r="N491" s="823"/>
      <c r="O491" s="823"/>
      <c r="P491" s="823"/>
      <c r="Q491" s="823"/>
      <c r="R491" s="823"/>
      <c r="S491" s="823"/>
      <c r="T491" s="823"/>
      <c r="U491" s="823"/>
      <c r="V491" s="823"/>
    </row>
    <row r="492" spans="1:22" ht="15.75" thickBot="1" x14ac:dyDescent="0.3">
      <c r="A492" s="51" t="s">
        <v>954</v>
      </c>
      <c r="B492" s="51" t="s">
        <v>19</v>
      </c>
      <c r="C492" s="51" t="s">
        <v>431</v>
      </c>
      <c r="D492" s="51" t="s">
        <v>12</v>
      </c>
      <c r="E492" s="51" t="s">
        <v>632</v>
      </c>
      <c r="F492" s="147">
        <v>1</v>
      </c>
      <c r="G492" s="54">
        <v>0</v>
      </c>
      <c r="H492" s="822"/>
      <c r="I492" s="54">
        <v>-36</v>
      </c>
      <c r="J492" s="822"/>
      <c r="K492" s="54">
        <v>0</v>
      </c>
      <c r="L492" s="54">
        <v>0</v>
      </c>
      <c r="M492" s="54">
        <v>0</v>
      </c>
      <c r="N492" s="822"/>
      <c r="O492" s="822"/>
      <c r="P492" s="822"/>
      <c r="Q492" s="822"/>
      <c r="R492" s="822"/>
      <c r="S492" s="822"/>
      <c r="T492" s="822"/>
      <c r="U492" s="822"/>
      <c r="V492" s="822"/>
    </row>
    <row r="493" spans="1:22" ht="15.75" thickBot="1" x14ac:dyDescent="0.3">
      <c r="A493" s="51" t="s">
        <v>954</v>
      </c>
      <c r="B493" s="51" t="s">
        <v>19</v>
      </c>
      <c r="C493" s="51" t="s">
        <v>431</v>
      </c>
      <c r="D493" s="51" t="s">
        <v>12</v>
      </c>
      <c r="E493" s="51" t="s">
        <v>644</v>
      </c>
      <c r="F493" s="148">
        <v>1</v>
      </c>
      <c r="G493" s="56">
        <v>0</v>
      </c>
      <c r="H493" s="823"/>
      <c r="I493" s="56">
        <v>-60</v>
      </c>
      <c r="J493" s="823"/>
      <c r="K493" s="56">
        <v>0</v>
      </c>
      <c r="L493" s="56">
        <v>0</v>
      </c>
      <c r="M493" s="56">
        <v>0</v>
      </c>
      <c r="N493" s="823"/>
      <c r="O493" s="823"/>
      <c r="P493" s="823"/>
      <c r="Q493" s="823"/>
      <c r="R493" s="823"/>
      <c r="S493" s="823"/>
      <c r="T493" s="823"/>
      <c r="U493" s="823"/>
      <c r="V493" s="823"/>
    </row>
    <row r="494" spans="1:22" ht="15.75" thickBot="1" x14ac:dyDescent="0.3">
      <c r="A494" s="51" t="s">
        <v>954</v>
      </c>
      <c r="B494" s="51" t="s">
        <v>19</v>
      </c>
      <c r="C494" s="51" t="s">
        <v>431</v>
      </c>
      <c r="D494" s="51" t="s">
        <v>12</v>
      </c>
      <c r="E494" s="51" t="s">
        <v>653</v>
      </c>
      <c r="F494" s="147">
        <v>1</v>
      </c>
      <c r="G494" s="54">
        <v>0</v>
      </c>
      <c r="H494" s="822"/>
      <c r="I494" s="54">
        <v>-60</v>
      </c>
      <c r="J494" s="822"/>
      <c r="K494" s="54">
        <v>0</v>
      </c>
      <c r="L494" s="54">
        <v>0</v>
      </c>
      <c r="M494" s="54">
        <v>0</v>
      </c>
      <c r="N494" s="822"/>
      <c r="O494" s="822"/>
      <c r="P494" s="822"/>
      <c r="Q494" s="822"/>
      <c r="R494" s="822"/>
      <c r="S494" s="822"/>
      <c r="T494" s="822"/>
      <c r="U494" s="822"/>
      <c r="V494" s="822"/>
    </row>
    <row r="495" spans="1:22" ht="15.75" thickBot="1" x14ac:dyDescent="0.3">
      <c r="A495" s="51" t="s">
        <v>954</v>
      </c>
      <c r="B495" s="51" t="s">
        <v>19</v>
      </c>
      <c r="C495" s="51" t="s">
        <v>431</v>
      </c>
      <c r="D495" s="51" t="s">
        <v>12</v>
      </c>
      <c r="E495" s="51" t="s">
        <v>674</v>
      </c>
      <c r="F495" s="148">
        <v>1</v>
      </c>
      <c r="G495" s="56">
        <v>0</v>
      </c>
      <c r="H495" s="823"/>
      <c r="I495" s="56">
        <v>-60</v>
      </c>
      <c r="J495" s="823"/>
      <c r="K495" s="56">
        <v>0</v>
      </c>
      <c r="L495" s="56">
        <v>0</v>
      </c>
      <c r="M495" s="56">
        <v>0</v>
      </c>
      <c r="N495" s="823"/>
      <c r="O495" s="823"/>
      <c r="P495" s="823"/>
      <c r="Q495" s="823"/>
      <c r="R495" s="823"/>
      <c r="S495" s="823"/>
      <c r="T495" s="823"/>
      <c r="U495" s="823"/>
      <c r="V495" s="823"/>
    </row>
    <row r="496" spans="1:22" ht="15.75" thickBot="1" x14ac:dyDescent="0.3">
      <c r="A496" s="51" t="s">
        <v>954</v>
      </c>
      <c r="B496" s="51" t="s">
        <v>19</v>
      </c>
      <c r="C496" s="51" t="s">
        <v>431</v>
      </c>
      <c r="D496" s="51" t="s">
        <v>12</v>
      </c>
      <c r="E496" s="51" t="s">
        <v>837</v>
      </c>
      <c r="F496" s="147">
        <v>1</v>
      </c>
      <c r="G496" s="54">
        <v>0</v>
      </c>
      <c r="H496" s="822"/>
      <c r="I496" s="54">
        <v>-60</v>
      </c>
      <c r="J496" s="822"/>
      <c r="K496" s="54">
        <v>0</v>
      </c>
      <c r="L496" s="54">
        <v>0</v>
      </c>
      <c r="M496" s="54">
        <v>0</v>
      </c>
      <c r="N496" s="822"/>
      <c r="O496" s="822"/>
      <c r="P496" s="822"/>
      <c r="Q496" s="822"/>
      <c r="R496" s="822"/>
      <c r="S496" s="822"/>
      <c r="T496" s="822"/>
      <c r="U496" s="822"/>
      <c r="V496" s="822"/>
    </row>
    <row r="497" spans="1:22" ht="15.75" thickBot="1" x14ac:dyDescent="0.3">
      <c r="A497" s="51" t="s">
        <v>954</v>
      </c>
      <c r="B497" s="51" t="s">
        <v>19</v>
      </c>
      <c r="C497" s="51" t="s">
        <v>431</v>
      </c>
      <c r="D497" s="51" t="s">
        <v>12</v>
      </c>
      <c r="E497" s="51" t="s">
        <v>838</v>
      </c>
      <c r="F497" s="148">
        <v>1</v>
      </c>
      <c r="G497" s="56">
        <v>0</v>
      </c>
      <c r="H497" s="823"/>
      <c r="I497" s="56">
        <v>-60</v>
      </c>
      <c r="J497" s="823"/>
      <c r="K497" s="56">
        <v>0</v>
      </c>
      <c r="L497" s="56">
        <v>0</v>
      </c>
      <c r="M497" s="56">
        <v>0</v>
      </c>
      <c r="N497" s="823"/>
      <c r="O497" s="823"/>
      <c r="P497" s="823"/>
      <c r="Q497" s="823"/>
      <c r="R497" s="823"/>
      <c r="S497" s="823"/>
      <c r="T497" s="823"/>
      <c r="U497" s="823"/>
      <c r="V497" s="823"/>
    </row>
    <row r="498" spans="1:22" ht="15.75" thickBot="1" x14ac:dyDescent="0.3">
      <c r="A498" s="51" t="s">
        <v>954</v>
      </c>
      <c r="B498" s="51" t="s">
        <v>19</v>
      </c>
      <c r="C498" s="51" t="s">
        <v>431</v>
      </c>
      <c r="D498" s="51" t="s">
        <v>12</v>
      </c>
      <c r="E498" s="51" t="s">
        <v>839</v>
      </c>
      <c r="F498" s="147">
        <v>1</v>
      </c>
      <c r="G498" s="54">
        <v>0</v>
      </c>
      <c r="H498" s="822"/>
      <c r="I498" s="54">
        <v>-60</v>
      </c>
      <c r="J498" s="822"/>
      <c r="K498" s="54">
        <v>0</v>
      </c>
      <c r="L498" s="54">
        <v>0</v>
      </c>
      <c r="M498" s="54">
        <v>0</v>
      </c>
      <c r="N498" s="822"/>
      <c r="O498" s="822"/>
      <c r="P498" s="822"/>
      <c r="Q498" s="822"/>
      <c r="R498" s="822"/>
      <c r="S498" s="822"/>
      <c r="T498" s="822"/>
      <c r="U498" s="822"/>
      <c r="V498" s="822"/>
    </row>
    <row r="499" spans="1:22" ht="15.75" thickBot="1" x14ac:dyDescent="0.3">
      <c r="A499" s="51" t="s">
        <v>954</v>
      </c>
      <c r="B499" s="51" t="s">
        <v>19</v>
      </c>
      <c r="C499" s="51" t="s">
        <v>431</v>
      </c>
      <c r="D499" s="51" t="s">
        <v>12</v>
      </c>
      <c r="E499" s="51" t="s">
        <v>840</v>
      </c>
      <c r="F499" s="148">
        <v>1</v>
      </c>
      <c r="G499" s="56">
        <v>0</v>
      </c>
      <c r="H499" s="823"/>
      <c r="I499" s="56">
        <v>-60</v>
      </c>
      <c r="J499" s="823"/>
      <c r="K499" s="56">
        <v>0</v>
      </c>
      <c r="L499" s="56">
        <v>0</v>
      </c>
      <c r="M499" s="56">
        <v>0</v>
      </c>
      <c r="N499" s="823"/>
      <c r="O499" s="823"/>
      <c r="P499" s="823"/>
      <c r="Q499" s="823"/>
      <c r="R499" s="823"/>
      <c r="S499" s="823"/>
      <c r="T499" s="823"/>
      <c r="U499" s="823"/>
      <c r="V499" s="823"/>
    </row>
    <row r="500" spans="1:22" ht="15.75" thickBot="1" x14ac:dyDescent="0.3">
      <c r="A500" s="51" t="s">
        <v>954</v>
      </c>
      <c r="B500" s="51" t="s">
        <v>19</v>
      </c>
      <c r="C500" s="51" t="s">
        <v>431</v>
      </c>
      <c r="D500" s="51" t="s">
        <v>12</v>
      </c>
      <c r="E500" s="51" t="s">
        <v>841</v>
      </c>
      <c r="F500" s="147">
        <v>1</v>
      </c>
      <c r="G500" s="54">
        <v>0</v>
      </c>
      <c r="H500" s="822"/>
      <c r="I500" s="54">
        <v>-60</v>
      </c>
      <c r="J500" s="822"/>
      <c r="K500" s="54">
        <v>0</v>
      </c>
      <c r="L500" s="54">
        <v>0</v>
      </c>
      <c r="M500" s="54">
        <v>0</v>
      </c>
      <c r="N500" s="822"/>
      <c r="O500" s="822"/>
      <c r="P500" s="822"/>
      <c r="Q500" s="822"/>
      <c r="R500" s="822"/>
      <c r="S500" s="822"/>
      <c r="T500" s="822"/>
      <c r="U500" s="822"/>
      <c r="V500" s="822"/>
    </row>
    <row r="501" spans="1:22" ht="15.75" thickBot="1" x14ac:dyDescent="0.3">
      <c r="A501" s="51" t="s">
        <v>954</v>
      </c>
      <c r="B501" s="51" t="s">
        <v>19</v>
      </c>
      <c r="C501" s="51" t="s">
        <v>431</v>
      </c>
      <c r="D501" s="51" t="s">
        <v>12</v>
      </c>
      <c r="E501" s="51" t="s">
        <v>842</v>
      </c>
      <c r="F501" s="148">
        <v>1</v>
      </c>
      <c r="G501" s="56">
        <v>0</v>
      </c>
      <c r="H501" s="823"/>
      <c r="I501" s="56">
        <v>-60</v>
      </c>
      <c r="J501" s="823"/>
      <c r="K501" s="56">
        <v>0</v>
      </c>
      <c r="L501" s="56">
        <v>0</v>
      </c>
      <c r="M501" s="56">
        <v>0</v>
      </c>
      <c r="N501" s="823"/>
      <c r="O501" s="823"/>
      <c r="P501" s="823"/>
      <c r="Q501" s="823"/>
      <c r="R501" s="823"/>
      <c r="S501" s="823"/>
      <c r="T501" s="823"/>
      <c r="U501" s="823"/>
      <c r="V501" s="823"/>
    </row>
    <row r="502" spans="1:22" ht="15.75" thickBot="1" x14ac:dyDescent="0.3">
      <c r="A502" s="51" t="s">
        <v>954</v>
      </c>
      <c r="B502" s="51" t="s">
        <v>19</v>
      </c>
      <c r="C502" s="51" t="s">
        <v>431</v>
      </c>
      <c r="D502" s="51" t="s">
        <v>12</v>
      </c>
      <c r="E502" s="51" t="s">
        <v>821</v>
      </c>
      <c r="F502" s="147">
        <v>1</v>
      </c>
      <c r="G502" s="54">
        <v>0</v>
      </c>
      <c r="H502" s="822"/>
      <c r="I502" s="54">
        <v>-60</v>
      </c>
      <c r="J502" s="822"/>
      <c r="K502" s="54">
        <v>0</v>
      </c>
      <c r="L502" s="54">
        <v>0</v>
      </c>
      <c r="M502" s="54">
        <v>0</v>
      </c>
      <c r="N502" s="822"/>
      <c r="O502" s="822"/>
      <c r="P502" s="822"/>
      <c r="Q502" s="822"/>
      <c r="R502" s="822"/>
      <c r="S502" s="822"/>
      <c r="T502" s="822"/>
      <c r="U502" s="822"/>
      <c r="V502" s="822"/>
    </row>
    <row r="503" spans="1:22" ht="15.75" thickBot="1" x14ac:dyDescent="0.3">
      <c r="A503" s="51" t="s">
        <v>954</v>
      </c>
      <c r="B503" s="51" t="s">
        <v>19</v>
      </c>
      <c r="C503" s="51" t="s">
        <v>431</v>
      </c>
      <c r="D503" s="51" t="s">
        <v>12</v>
      </c>
      <c r="E503" s="51" t="s">
        <v>822</v>
      </c>
      <c r="F503" s="148">
        <v>1</v>
      </c>
      <c r="G503" s="56">
        <v>0</v>
      </c>
      <c r="H503" s="823"/>
      <c r="I503" s="56">
        <v>-60</v>
      </c>
      <c r="J503" s="823"/>
      <c r="K503" s="56">
        <v>0</v>
      </c>
      <c r="L503" s="56">
        <v>0</v>
      </c>
      <c r="M503" s="56">
        <v>0</v>
      </c>
      <c r="N503" s="823"/>
      <c r="O503" s="823"/>
      <c r="P503" s="823"/>
      <c r="Q503" s="823"/>
      <c r="R503" s="823"/>
      <c r="S503" s="823"/>
      <c r="T503" s="823"/>
      <c r="U503" s="823"/>
      <c r="V503" s="823"/>
    </row>
    <row r="504" spans="1:22" ht="15.75" thickBot="1" x14ac:dyDescent="0.3">
      <c r="A504" s="51" t="s">
        <v>954</v>
      </c>
      <c r="B504" s="51" t="s">
        <v>19</v>
      </c>
      <c r="C504" s="51" t="s">
        <v>431</v>
      </c>
      <c r="D504" s="51" t="s">
        <v>12</v>
      </c>
      <c r="E504" s="51" t="s">
        <v>823</v>
      </c>
      <c r="F504" s="147">
        <v>1</v>
      </c>
      <c r="G504" s="54">
        <v>0</v>
      </c>
      <c r="H504" s="822"/>
      <c r="I504" s="54">
        <v>-60</v>
      </c>
      <c r="J504" s="822"/>
      <c r="K504" s="54">
        <v>0</v>
      </c>
      <c r="L504" s="54">
        <v>0</v>
      </c>
      <c r="M504" s="54">
        <v>0</v>
      </c>
      <c r="N504" s="822"/>
      <c r="O504" s="822"/>
      <c r="P504" s="822"/>
      <c r="Q504" s="822"/>
      <c r="R504" s="822"/>
      <c r="S504" s="822"/>
      <c r="T504" s="822"/>
      <c r="U504" s="822"/>
      <c r="V504" s="822"/>
    </row>
    <row r="505" spans="1:22" ht="15.75" thickBot="1" x14ac:dyDescent="0.3">
      <c r="A505" s="51" t="s">
        <v>954</v>
      </c>
      <c r="B505" s="51" t="s">
        <v>19</v>
      </c>
      <c r="C505" s="51" t="s">
        <v>431</v>
      </c>
      <c r="D505" s="51" t="s">
        <v>12</v>
      </c>
      <c r="E505" s="51" t="s">
        <v>824</v>
      </c>
      <c r="F505" s="148">
        <v>1</v>
      </c>
      <c r="G505" s="56">
        <v>0</v>
      </c>
      <c r="H505" s="823"/>
      <c r="I505" s="56">
        <v>-60</v>
      </c>
      <c r="J505" s="823"/>
      <c r="K505" s="56">
        <v>0</v>
      </c>
      <c r="L505" s="56">
        <v>0</v>
      </c>
      <c r="M505" s="56">
        <v>0</v>
      </c>
      <c r="N505" s="823"/>
      <c r="O505" s="823"/>
      <c r="P505" s="823"/>
      <c r="Q505" s="823"/>
      <c r="R505" s="823"/>
      <c r="S505" s="823"/>
      <c r="T505" s="823"/>
      <c r="U505" s="823"/>
      <c r="V505" s="823"/>
    </row>
    <row r="506" spans="1:22" ht="15.75" thickBot="1" x14ac:dyDescent="0.3">
      <c r="A506" s="51" t="s">
        <v>954</v>
      </c>
      <c r="B506" s="51" t="s">
        <v>19</v>
      </c>
      <c r="C506" s="51" t="s">
        <v>431</v>
      </c>
      <c r="D506" s="51" t="s">
        <v>12</v>
      </c>
      <c r="E506" s="51" t="s">
        <v>825</v>
      </c>
      <c r="F506" s="147">
        <v>1</v>
      </c>
      <c r="G506" s="54">
        <v>0</v>
      </c>
      <c r="H506" s="822"/>
      <c r="I506" s="54">
        <v>-61.24</v>
      </c>
      <c r="J506" s="822"/>
      <c r="K506" s="54">
        <v>0</v>
      </c>
      <c r="L506" s="54">
        <v>0</v>
      </c>
      <c r="M506" s="54">
        <v>0</v>
      </c>
      <c r="N506" s="822"/>
      <c r="O506" s="822"/>
      <c r="P506" s="822"/>
      <c r="Q506" s="822"/>
      <c r="R506" s="822"/>
      <c r="S506" s="822"/>
      <c r="T506" s="822"/>
      <c r="U506" s="822"/>
      <c r="V506" s="822"/>
    </row>
    <row r="507" spans="1:22" ht="15.75" thickBot="1" x14ac:dyDescent="0.3">
      <c r="A507" s="51" t="s">
        <v>954</v>
      </c>
      <c r="B507" s="51" t="s">
        <v>19</v>
      </c>
      <c r="C507" s="51" t="s">
        <v>431</v>
      </c>
      <c r="D507" s="51" t="s">
        <v>12</v>
      </c>
      <c r="E507" s="51" t="s">
        <v>826</v>
      </c>
      <c r="F507" s="148">
        <v>1</v>
      </c>
      <c r="G507" s="56">
        <v>0</v>
      </c>
      <c r="H507" s="823"/>
      <c r="I507" s="56">
        <v>-61.07</v>
      </c>
      <c r="J507" s="823"/>
      <c r="K507" s="56">
        <v>0</v>
      </c>
      <c r="L507" s="56">
        <v>0</v>
      </c>
      <c r="M507" s="56">
        <v>0</v>
      </c>
      <c r="N507" s="823"/>
      <c r="O507" s="823"/>
      <c r="P507" s="823"/>
      <c r="Q507" s="823"/>
      <c r="R507" s="823"/>
      <c r="S507" s="823"/>
      <c r="T507" s="823"/>
      <c r="U507" s="823"/>
      <c r="V507" s="823"/>
    </row>
    <row r="508" spans="1:22" ht="15.75" thickBot="1" x14ac:dyDescent="0.3">
      <c r="A508" s="51" t="s">
        <v>954</v>
      </c>
      <c r="B508" s="51" t="s">
        <v>19</v>
      </c>
      <c r="C508" s="51" t="s">
        <v>431</v>
      </c>
      <c r="D508" s="51" t="s">
        <v>12</v>
      </c>
      <c r="E508" s="51" t="s">
        <v>827</v>
      </c>
      <c r="F508" s="147">
        <v>1</v>
      </c>
      <c r="G508" s="54">
        <v>0</v>
      </c>
      <c r="H508" s="822"/>
      <c r="I508" s="54">
        <v>-57.13</v>
      </c>
      <c r="J508" s="822"/>
      <c r="K508" s="54">
        <v>0</v>
      </c>
      <c r="L508" s="54">
        <v>0</v>
      </c>
      <c r="M508" s="54">
        <v>0</v>
      </c>
      <c r="N508" s="822"/>
      <c r="O508" s="822"/>
      <c r="P508" s="822"/>
      <c r="Q508" s="822"/>
      <c r="R508" s="822"/>
      <c r="S508" s="822"/>
      <c r="T508" s="822"/>
      <c r="U508" s="822"/>
      <c r="V508" s="822"/>
    </row>
    <row r="509" spans="1:22" ht="15.75" thickBot="1" x14ac:dyDescent="0.3">
      <c r="A509" s="51" t="s">
        <v>954</v>
      </c>
      <c r="B509" s="51" t="s">
        <v>19</v>
      </c>
      <c r="C509" s="51" t="s">
        <v>431</v>
      </c>
      <c r="D509" s="51" t="s">
        <v>12</v>
      </c>
      <c r="E509" s="51" t="s">
        <v>828</v>
      </c>
      <c r="F509" s="148">
        <v>1</v>
      </c>
      <c r="G509" s="56">
        <v>0</v>
      </c>
      <c r="H509" s="823"/>
      <c r="I509" s="56">
        <v>-57.13</v>
      </c>
      <c r="J509" s="823"/>
      <c r="K509" s="56">
        <v>0</v>
      </c>
      <c r="L509" s="56">
        <v>0</v>
      </c>
      <c r="M509" s="56">
        <v>0</v>
      </c>
      <c r="N509" s="823"/>
      <c r="O509" s="823"/>
      <c r="P509" s="823"/>
      <c r="Q509" s="823"/>
      <c r="R509" s="823"/>
      <c r="S509" s="823"/>
      <c r="T509" s="823"/>
      <c r="U509" s="823"/>
      <c r="V509" s="823"/>
    </row>
    <row r="510" spans="1:22" ht="15.75" thickBot="1" x14ac:dyDescent="0.3">
      <c r="A510" s="51" t="s">
        <v>954</v>
      </c>
      <c r="B510" s="51" t="s">
        <v>19</v>
      </c>
      <c r="C510" s="51" t="s">
        <v>431</v>
      </c>
      <c r="D510" s="51" t="s">
        <v>12</v>
      </c>
      <c r="E510" s="51" t="s">
        <v>829</v>
      </c>
      <c r="F510" s="147">
        <v>2</v>
      </c>
      <c r="G510" s="54">
        <v>-1</v>
      </c>
      <c r="H510" s="822"/>
      <c r="I510" s="54">
        <v>-61.07</v>
      </c>
      <c r="J510" s="822"/>
      <c r="K510" s="54">
        <v>-0.3</v>
      </c>
      <c r="L510" s="54">
        <v>-0.35</v>
      </c>
      <c r="M510" s="54">
        <v>0</v>
      </c>
      <c r="N510" s="822"/>
      <c r="O510" s="822"/>
      <c r="P510" s="822"/>
      <c r="Q510" s="822"/>
      <c r="R510" s="822"/>
      <c r="S510" s="822"/>
      <c r="T510" s="822"/>
      <c r="U510" s="822"/>
      <c r="V510" s="822"/>
    </row>
    <row r="511" spans="1:22" ht="15.75" thickBot="1" x14ac:dyDescent="0.3">
      <c r="A511" s="51" t="s">
        <v>954</v>
      </c>
      <c r="B511" s="51" t="s">
        <v>19</v>
      </c>
      <c r="C511" s="51" t="s">
        <v>431</v>
      </c>
      <c r="D511" s="51" t="s">
        <v>12</v>
      </c>
      <c r="E511" s="51" t="s">
        <v>830</v>
      </c>
      <c r="F511" s="148">
        <v>1</v>
      </c>
      <c r="G511" s="56">
        <v>0</v>
      </c>
      <c r="H511" s="823"/>
      <c r="I511" s="56">
        <v>-57.13</v>
      </c>
      <c r="J511" s="823"/>
      <c r="K511" s="56">
        <v>0</v>
      </c>
      <c r="L511" s="56">
        <v>0</v>
      </c>
      <c r="M511" s="56">
        <v>0</v>
      </c>
      <c r="N511" s="823"/>
      <c r="O511" s="823"/>
      <c r="P511" s="823"/>
      <c r="Q511" s="823"/>
      <c r="R511" s="823"/>
      <c r="S511" s="823"/>
      <c r="T511" s="823"/>
      <c r="U511" s="823"/>
      <c r="V511" s="823"/>
    </row>
    <row r="512" spans="1:22" ht="15.75" thickBot="1" x14ac:dyDescent="0.3">
      <c r="A512" s="51" t="s">
        <v>954</v>
      </c>
      <c r="B512" s="51" t="s">
        <v>19</v>
      </c>
      <c r="C512" s="51" t="s">
        <v>431</v>
      </c>
      <c r="D512" s="51" t="s">
        <v>12</v>
      </c>
      <c r="E512" s="51" t="s">
        <v>831</v>
      </c>
      <c r="F512" s="147">
        <v>2</v>
      </c>
      <c r="G512" s="54">
        <v>25</v>
      </c>
      <c r="H512" s="822"/>
      <c r="I512" s="54">
        <v>-59.1</v>
      </c>
      <c r="J512" s="822"/>
      <c r="K512" s="54">
        <v>7.66</v>
      </c>
      <c r="L512" s="54">
        <v>9.42</v>
      </c>
      <c r="M512" s="54">
        <v>0</v>
      </c>
      <c r="N512" s="54">
        <v>-2.0499999999999998</v>
      </c>
      <c r="O512" s="822"/>
      <c r="P512" s="822"/>
      <c r="Q512" s="822"/>
      <c r="R512" s="822"/>
      <c r="S512" s="822"/>
      <c r="T512" s="822"/>
      <c r="U512" s="822"/>
      <c r="V512" s="822"/>
    </row>
    <row r="513" spans="1:22" ht="15.75" thickBot="1" x14ac:dyDescent="0.3">
      <c r="A513" s="51" t="s">
        <v>954</v>
      </c>
      <c r="B513" s="51" t="s">
        <v>19</v>
      </c>
      <c r="C513" s="51" t="s">
        <v>431</v>
      </c>
      <c r="D513" s="51" t="s">
        <v>12</v>
      </c>
      <c r="E513" s="51" t="s">
        <v>832</v>
      </c>
      <c r="F513" s="148">
        <v>2</v>
      </c>
      <c r="G513" s="56">
        <v>88</v>
      </c>
      <c r="H513" s="823"/>
      <c r="I513" s="56">
        <v>-66.98</v>
      </c>
      <c r="J513" s="823"/>
      <c r="K513" s="56">
        <v>26.99</v>
      </c>
      <c r="L513" s="56">
        <v>33.799999999999997</v>
      </c>
      <c r="M513" s="56">
        <v>0.01</v>
      </c>
      <c r="N513" s="56">
        <v>9.49</v>
      </c>
      <c r="O513" s="823"/>
      <c r="P513" s="823"/>
      <c r="Q513" s="823"/>
      <c r="R513" s="823"/>
      <c r="S513" s="823"/>
      <c r="T513" s="823"/>
      <c r="U513" s="823"/>
      <c r="V513" s="823"/>
    </row>
    <row r="514" spans="1:22" ht="15.75" thickBot="1" x14ac:dyDescent="0.3">
      <c r="A514" s="51" t="s">
        <v>954</v>
      </c>
      <c r="B514" s="51" t="s">
        <v>19</v>
      </c>
      <c r="C514" s="51" t="s">
        <v>431</v>
      </c>
      <c r="D514" s="51" t="s">
        <v>12</v>
      </c>
      <c r="E514" s="51" t="s">
        <v>833</v>
      </c>
      <c r="F514" s="147">
        <v>3</v>
      </c>
      <c r="G514" s="54">
        <v>431</v>
      </c>
      <c r="H514" s="822"/>
      <c r="I514" s="54">
        <v>-65.010000000000005</v>
      </c>
      <c r="J514" s="822"/>
      <c r="K514" s="54">
        <v>132.18</v>
      </c>
      <c r="L514" s="54">
        <v>165.53</v>
      </c>
      <c r="M514" s="54">
        <v>0.08</v>
      </c>
      <c r="N514" s="54">
        <v>41.82</v>
      </c>
      <c r="O514" s="822"/>
      <c r="P514" s="822"/>
      <c r="Q514" s="822"/>
      <c r="R514" s="822"/>
      <c r="S514" s="822"/>
      <c r="T514" s="822"/>
      <c r="U514" s="822"/>
      <c r="V514" s="822"/>
    </row>
    <row r="515" spans="1:22" ht="15.75" thickBot="1" x14ac:dyDescent="0.3">
      <c r="A515" s="51" t="s">
        <v>954</v>
      </c>
      <c r="B515" s="51" t="s">
        <v>19</v>
      </c>
      <c r="C515" s="51" t="s">
        <v>431</v>
      </c>
      <c r="D515" s="51" t="s">
        <v>12</v>
      </c>
      <c r="E515" s="51" t="s">
        <v>834</v>
      </c>
      <c r="F515" s="148">
        <v>8</v>
      </c>
      <c r="G515" s="56">
        <v>-916</v>
      </c>
      <c r="H515" s="823"/>
      <c r="I515" s="56">
        <v>-55.16</v>
      </c>
      <c r="J515" s="823"/>
      <c r="K515" s="56">
        <v>-280.93</v>
      </c>
      <c r="L515" s="56">
        <v>-342.81</v>
      </c>
      <c r="M515" s="56">
        <v>-0.18</v>
      </c>
      <c r="N515" s="56">
        <v>-67.3</v>
      </c>
      <c r="O515" s="823"/>
      <c r="P515" s="823"/>
      <c r="Q515" s="823"/>
      <c r="R515" s="823"/>
      <c r="S515" s="823"/>
      <c r="T515" s="823"/>
      <c r="U515" s="823"/>
      <c r="V515" s="823"/>
    </row>
    <row r="516" spans="1:22" ht="15.75" thickBot="1" x14ac:dyDescent="0.3">
      <c r="A516" s="51" t="s">
        <v>954</v>
      </c>
      <c r="B516" s="51" t="s">
        <v>19</v>
      </c>
      <c r="C516" s="51" t="s">
        <v>431</v>
      </c>
      <c r="D516" s="51" t="s">
        <v>12</v>
      </c>
      <c r="E516" s="51" t="s">
        <v>857</v>
      </c>
      <c r="F516" s="147">
        <v>26</v>
      </c>
      <c r="G516" s="54">
        <v>-5543</v>
      </c>
      <c r="H516" s="822"/>
      <c r="I516" s="54">
        <v>-98.5</v>
      </c>
      <c r="J516" s="54">
        <v>0</v>
      </c>
      <c r="K516" s="54">
        <v>-1700.04</v>
      </c>
      <c r="L516" s="54">
        <v>-1884.65</v>
      </c>
      <c r="M516" s="54">
        <v>-1</v>
      </c>
      <c r="N516" s="54">
        <v>-87.17</v>
      </c>
      <c r="O516" s="822"/>
      <c r="P516" s="822"/>
      <c r="Q516" s="822"/>
      <c r="R516" s="822"/>
      <c r="S516" s="822"/>
      <c r="T516" s="822"/>
      <c r="U516" s="822"/>
      <c r="V516" s="822"/>
    </row>
    <row r="517" spans="1:22" ht="15.75" thickBot="1" x14ac:dyDescent="0.3">
      <c r="A517" s="51" t="s">
        <v>954</v>
      </c>
      <c r="B517" s="51" t="s">
        <v>19</v>
      </c>
      <c r="C517" s="51" t="s">
        <v>431</v>
      </c>
      <c r="D517" s="51" t="s">
        <v>12</v>
      </c>
      <c r="E517" s="51" t="s">
        <v>949</v>
      </c>
      <c r="F517" s="148">
        <v>65</v>
      </c>
      <c r="G517" s="56">
        <v>-7015</v>
      </c>
      <c r="H517" s="56">
        <v>-18606</v>
      </c>
      <c r="I517" s="56">
        <v>-189.12</v>
      </c>
      <c r="J517" s="56">
        <v>0</v>
      </c>
      <c r="K517" s="56">
        <v>-6927.65</v>
      </c>
      <c r="L517" s="56">
        <v>-8711.3700000000008</v>
      </c>
      <c r="M517" s="56">
        <v>-6.33</v>
      </c>
      <c r="N517" s="56">
        <v>-2021.21</v>
      </c>
      <c r="O517" s="823"/>
      <c r="P517" s="823"/>
      <c r="Q517" s="823"/>
      <c r="R517" s="823"/>
      <c r="S517" s="823"/>
      <c r="T517" s="823"/>
      <c r="U517" s="823"/>
      <c r="V517" s="823"/>
    </row>
    <row r="518" spans="1:22" ht="15.75" thickBot="1" x14ac:dyDescent="0.3">
      <c r="A518" s="51" t="s">
        <v>954</v>
      </c>
      <c r="B518" s="51" t="s">
        <v>19</v>
      </c>
      <c r="C518" s="51" t="s">
        <v>431</v>
      </c>
      <c r="D518" s="51" t="s">
        <v>12</v>
      </c>
      <c r="E518" s="51" t="s">
        <v>952</v>
      </c>
      <c r="F518" s="147">
        <v>98</v>
      </c>
      <c r="G518" s="54">
        <v>-4790</v>
      </c>
      <c r="H518" s="54">
        <v>-13930</v>
      </c>
      <c r="I518" s="54">
        <v>-72.89</v>
      </c>
      <c r="J518" s="54">
        <v>-121.81</v>
      </c>
      <c r="K518" s="54">
        <v>-5044.93</v>
      </c>
      <c r="L518" s="54">
        <v>-5826.34</v>
      </c>
      <c r="M518" s="54">
        <v>-8.9499999999999993</v>
      </c>
      <c r="N518" s="822"/>
      <c r="O518" s="822"/>
      <c r="P518" s="822"/>
      <c r="Q518" s="822"/>
      <c r="R518" s="822"/>
      <c r="S518" s="822"/>
      <c r="T518" s="822"/>
      <c r="U518" s="822"/>
      <c r="V518" s="822"/>
    </row>
    <row r="519" spans="1:22" ht="15.75" thickBot="1" x14ac:dyDescent="0.3">
      <c r="A519" s="51" t="s">
        <v>954</v>
      </c>
      <c r="B519" s="51" t="s">
        <v>19</v>
      </c>
      <c r="C519" s="51" t="s">
        <v>431</v>
      </c>
      <c r="D519" s="51" t="s">
        <v>12</v>
      </c>
      <c r="E519" s="51" t="s">
        <v>962</v>
      </c>
      <c r="F519" s="148">
        <v>480</v>
      </c>
      <c r="G519" s="56">
        <v>5410</v>
      </c>
      <c r="H519" s="56">
        <v>-107025</v>
      </c>
      <c r="I519" s="56">
        <v>15724.54</v>
      </c>
      <c r="J519" s="56">
        <v>4244.6099999999997</v>
      </c>
      <c r="K519" s="56">
        <v>-25814.09</v>
      </c>
      <c r="L519" s="56">
        <v>-25821.4</v>
      </c>
      <c r="M519" s="56">
        <v>-48.98</v>
      </c>
      <c r="N519" s="823"/>
      <c r="O519" s="823"/>
      <c r="P519" s="823"/>
      <c r="Q519" s="823"/>
      <c r="R519" s="823"/>
      <c r="S519" s="823"/>
      <c r="T519" s="823"/>
      <c r="U519" s="823"/>
      <c r="V519" s="823"/>
    </row>
    <row r="520" spans="1:22" ht="15.75" thickBot="1" x14ac:dyDescent="0.3">
      <c r="A520" s="51" t="s">
        <v>954</v>
      </c>
      <c r="B520" s="51" t="s">
        <v>19</v>
      </c>
      <c r="C520" s="51" t="s">
        <v>431</v>
      </c>
      <c r="D520" s="51" t="s">
        <v>12</v>
      </c>
      <c r="E520" s="51" t="s">
        <v>963</v>
      </c>
      <c r="F520" s="147">
        <v>23470</v>
      </c>
      <c r="G520" s="54">
        <v>1628317</v>
      </c>
      <c r="H520" s="54">
        <v>646699</v>
      </c>
      <c r="I520" s="54">
        <v>1392155.66</v>
      </c>
      <c r="J520" s="54">
        <v>261816.54</v>
      </c>
      <c r="K520" s="54">
        <v>665412.01</v>
      </c>
      <c r="L520" s="54">
        <v>578079.44999999995</v>
      </c>
      <c r="M520" s="54">
        <v>1082.99</v>
      </c>
      <c r="N520" s="822"/>
      <c r="O520" s="822"/>
      <c r="P520" s="822"/>
      <c r="Q520" s="822"/>
      <c r="R520" s="822"/>
      <c r="S520" s="822"/>
      <c r="T520" s="822"/>
      <c r="U520" s="822"/>
      <c r="V520" s="822"/>
    </row>
    <row r="521" spans="1:22" ht="15.75" thickBot="1" x14ac:dyDescent="0.3">
      <c r="A521" s="51" t="s">
        <v>954</v>
      </c>
      <c r="B521" s="51" t="s">
        <v>19</v>
      </c>
      <c r="C521" s="51" t="s">
        <v>431</v>
      </c>
      <c r="D521" s="51" t="s">
        <v>15</v>
      </c>
      <c r="E521" s="51" t="s">
        <v>833</v>
      </c>
      <c r="F521" s="147">
        <v>1</v>
      </c>
      <c r="G521" s="54">
        <v>-3714</v>
      </c>
      <c r="H521" s="822"/>
      <c r="I521" s="54">
        <v>0</v>
      </c>
      <c r="J521" s="54">
        <v>0</v>
      </c>
      <c r="K521" s="54">
        <v>-1139.08</v>
      </c>
      <c r="L521" s="54">
        <v>-1426.36</v>
      </c>
      <c r="M521" s="54">
        <v>-0.52</v>
      </c>
      <c r="N521" s="54">
        <v>-483.55</v>
      </c>
      <c r="O521" s="822"/>
      <c r="P521" s="822"/>
      <c r="Q521" s="822"/>
      <c r="R521" s="822"/>
      <c r="S521" s="822"/>
      <c r="T521" s="822"/>
      <c r="U521" s="822"/>
      <c r="V521" s="822"/>
    </row>
    <row r="522" spans="1:22" ht="15.75" thickBot="1" x14ac:dyDescent="0.3">
      <c r="A522" s="51" t="s">
        <v>954</v>
      </c>
      <c r="B522" s="51" t="s">
        <v>19</v>
      </c>
      <c r="C522" s="51" t="s">
        <v>431</v>
      </c>
      <c r="D522" s="51" t="s">
        <v>15</v>
      </c>
      <c r="E522" s="51" t="s">
        <v>834</v>
      </c>
      <c r="F522" s="148">
        <v>1</v>
      </c>
      <c r="G522" s="56">
        <v>-3864</v>
      </c>
      <c r="H522" s="823"/>
      <c r="I522" s="56">
        <v>0</v>
      </c>
      <c r="J522" s="56">
        <v>0</v>
      </c>
      <c r="K522" s="56">
        <v>-1185.0899999999999</v>
      </c>
      <c r="L522" s="56">
        <v>-1427.25</v>
      </c>
      <c r="M522" s="56">
        <v>-0.7</v>
      </c>
      <c r="N522" s="56">
        <v>-195.29</v>
      </c>
      <c r="O522" s="823"/>
      <c r="P522" s="823"/>
      <c r="Q522" s="823"/>
      <c r="R522" s="823"/>
      <c r="S522" s="823"/>
      <c r="T522" s="823"/>
      <c r="U522" s="823"/>
      <c r="V522" s="823"/>
    </row>
    <row r="523" spans="1:22" ht="15.75" thickBot="1" x14ac:dyDescent="0.3">
      <c r="A523" s="51" t="s">
        <v>954</v>
      </c>
      <c r="B523" s="51" t="s">
        <v>19</v>
      </c>
      <c r="C523" s="51" t="s">
        <v>431</v>
      </c>
      <c r="D523" s="51" t="s">
        <v>15</v>
      </c>
      <c r="E523" s="51" t="s">
        <v>857</v>
      </c>
      <c r="F523" s="147">
        <v>4</v>
      </c>
      <c r="G523" s="54">
        <v>-12276</v>
      </c>
      <c r="H523" s="822"/>
      <c r="I523" s="54">
        <v>0</v>
      </c>
      <c r="J523" s="54">
        <v>0</v>
      </c>
      <c r="K523" s="54">
        <v>-3765.04</v>
      </c>
      <c r="L523" s="54">
        <v>-4173.96</v>
      </c>
      <c r="M523" s="54">
        <v>-2.21</v>
      </c>
      <c r="N523" s="54">
        <v>-160.61000000000001</v>
      </c>
      <c r="O523" s="822"/>
      <c r="P523" s="822"/>
      <c r="Q523" s="822"/>
      <c r="R523" s="822"/>
      <c r="S523" s="822"/>
      <c r="T523" s="822"/>
      <c r="U523" s="822"/>
      <c r="V523" s="822"/>
    </row>
    <row r="524" spans="1:22" ht="15.75" thickBot="1" x14ac:dyDescent="0.3">
      <c r="A524" s="51" t="s">
        <v>954</v>
      </c>
      <c r="B524" s="51" t="s">
        <v>19</v>
      </c>
      <c r="C524" s="51" t="s">
        <v>431</v>
      </c>
      <c r="D524" s="51" t="s">
        <v>15</v>
      </c>
      <c r="E524" s="51" t="s">
        <v>949</v>
      </c>
      <c r="F524" s="148">
        <v>7</v>
      </c>
      <c r="G524" s="56">
        <v>-2264</v>
      </c>
      <c r="H524" s="56">
        <v>-3451</v>
      </c>
      <c r="I524" s="56">
        <v>0</v>
      </c>
      <c r="J524" s="56">
        <v>0</v>
      </c>
      <c r="K524" s="56">
        <v>-1580.25</v>
      </c>
      <c r="L524" s="56">
        <v>-1943.16</v>
      </c>
      <c r="M524" s="56">
        <v>-2</v>
      </c>
      <c r="N524" s="56">
        <v>-201.07</v>
      </c>
      <c r="O524" s="823"/>
      <c r="P524" s="823"/>
      <c r="Q524" s="823"/>
      <c r="R524" s="823"/>
      <c r="S524" s="823"/>
      <c r="T524" s="823"/>
      <c r="U524" s="823"/>
      <c r="V524" s="823"/>
    </row>
    <row r="525" spans="1:22" ht="15.75" thickBot="1" x14ac:dyDescent="0.3">
      <c r="A525" s="51" t="s">
        <v>954</v>
      </c>
      <c r="B525" s="51" t="s">
        <v>19</v>
      </c>
      <c r="C525" s="51" t="s">
        <v>431</v>
      </c>
      <c r="D525" s="51" t="s">
        <v>15</v>
      </c>
      <c r="E525" s="51" t="s">
        <v>952</v>
      </c>
      <c r="F525" s="147">
        <v>13</v>
      </c>
      <c r="G525" s="54">
        <v>-1596</v>
      </c>
      <c r="H525" s="54">
        <v>11</v>
      </c>
      <c r="I525" s="54">
        <v>25.61</v>
      </c>
      <c r="J525" s="54">
        <v>0</v>
      </c>
      <c r="K525" s="54">
        <v>-486.67</v>
      </c>
      <c r="L525" s="54">
        <v>-525.41999999999996</v>
      </c>
      <c r="M525" s="54">
        <v>-0.76</v>
      </c>
      <c r="N525" s="822"/>
      <c r="O525" s="822"/>
      <c r="P525" s="822"/>
      <c r="Q525" s="822"/>
      <c r="R525" s="822"/>
      <c r="S525" s="822"/>
      <c r="T525" s="822"/>
      <c r="U525" s="822"/>
      <c r="V525" s="822"/>
    </row>
    <row r="526" spans="1:22" ht="15.75" thickBot="1" x14ac:dyDescent="0.3">
      <c r="A526" s="51" t="s">
        <v>954</v>
      </c>
      <c r="B526" s="51" t="s">
        <v>19</v>
      </c>
      <c r="C526" s="51" t="s">
        <v>431</v>
      </c>
      <c r="D526" s="51" t="s">
        <v>15</v>
      </c>
      <c r="E526" s="51" t="s">
        <v>962</v>
      </c>
      <c r="F526" s="148">
        <v>78</v>
      </c>
      <c r="G526" s="56">
        <v>10426</v>
      </c>
      <c r="H526" s="56">
        <v>13864</v>
      </c>
      <c r="I526" s="56">
        <v>2338.39</v>
      </c>
      <c r="J526" s="56">
        <v>6840.1</v>
      </c>
      <c r="K526" s="56">
        <v>6756.52</v>
      </c>
      <c r="L526" s="56">
        <v>6172.08</v>
      </c>
      <c r="M526" s="56">
        <v>11.62</v>
      </c>
      <c r="N526" s="823"/>
      <c r="O526" s="823"/>
      <c r="P526" s="823"/>
      <c r="Q526" s="823"/>
      <c r="R526" s="823"/>
      <c r="S526" s="823"/>
      <c r="T526" s="823"/>
      <c r="U526" s="823"/>
      <c r="V526" s="823"/>
    </row>
    <row r="527" spans="1:22" ht="15.75" thickBot="1" x14ac:dyDescent="0.3">
      <c r="A527" s="51" t="s">
        <v>954</v>
      </c>
      <c r="B527" s="51" t="s">
        <v>19</v>
      </c>
      <c r="C527" s="51" t="s">
        <v>431</v>
      </c>
      <c r="D527" s="51" t="s">
        <v>15</v>
      </c>
      <c r="E527" s="51" t="s">
        <v>963</v>
      </c>
      <c r="F527" s="147">
        <v>1039</v>
      </c>
      <c r="G527" s="54">
        <v>106703</v>
      </c>
      <c r="H527" s="54">
        <v>89173</v>
      </c>
      <c r="I527" s="54">
        <v>48792.959999999999</v>
      </c>
      <c r="J527" s="54">
        <v>68860.13</v>
      </c>
      <c r="K527" s="54">
        <v>55616.53</v>
      </c>
      <c r="L527" s="54">
        <v>49771.87</v>
      </c>
      <c r="M527" s="54">
        <v>93.51</v>
      </c>
      <c r="N527" s="822"/>
      <c r="O527" s="822"/>
      <c r="P527" s="822"/>
      <c r="Q527" s="822"/>
      <c r="R527" s="822"/>
      <c r="S527" s="822"/>
      <c r="T527" s="822"/>
      <c r="U527" s="822"/>
      <c r="V527" s="822"/>
    </row>
    <row r="528" spans="1:22" ht="15.75" thickBot="1" x14ac:dyDescent="0.3">
      <c r="A528" s="51" t="s">
        <v>954</v>
      </c>
      <c r="B528" s="51" t="s">
        <v>19</v>
      </c>
      <c r="C528" s="51" t="s">
        <v>431</v>
      </c>
      <c r="D528" s="51" t="s">
        <v>21</v>
      </c>
      <c r="E528" s="51" t="s">
        <v>963</v>
      </c>
      <c r="F528" s="147">
        <v>1</v>
      </c>
      <c r="G528" s="54">
        <v>1</v>
      </c>
      <c r="H528" s="822"/>
      <c r="I528" s="54">
        <v>59.1</v>
      </c>
      <c r="J528" s="822"/>
      <c r="K528" s="54">
        <v>0.31</v>
      </c>
      <c r="L528" s="54">
        <v>0.25</v>
      </c>
      <c r="M528" s="54">
        <v>0</v>
      </c>
      <c r="N528" s="822"/>
      <c r="O528" s="822"/>
      <c r="P528" s="822"/>
      <c r="Q528" s="822"/>
      <c r="R528" s="822"/>
      <c r="S528" s="822"/>
      <c r="T528" s="822"/>
      <c r="U528" s="822"/>
      <c r="V528" s="822"/>
    </row>
    <row r="529" spans="1:22" ht="15.75" thickBot="1" x14ac:dyDescent="0.3">
      <c r="A529" s="51" t="s">
        <v>954</v>
      </c>
      <c r="B529" s="51" t="s">
        <v>350</v>
      </c>
      <c r="C529" s="51" t="s">
        <v>432</v>
      </c>
      <c r="D529" s="51" t="s">
        <v>12</v>
      </c>
      <c r="E529" s="51" t="s">
        <v>963</v>
      </c>
      <c r="F529" s="147">
        <v>1</v>
      </c>
      <c r="G529" s="54">
        <v>344</v>
      </c>
      <c r="H529" s="822"/>
      <c r="I529" s="54">
        <v>57.13</v>
      </c>
      <c r="J529" s="822"/>
      <c r="K529" s="54">
        <v>105.5</v>
      </c>
      <c r="L529" s="54">
        <v>87.41</v>
      </c>
      <c r="M529" s="54">
        <v>0.17</v>
      </c>
      <c r="N529" s="822"/>
      <c r="O529" s="822"/>
      <c r="P529" s="822"/>
      <c r="Q529" s="822"/>
      <c r="R529" s="822"/>
      <c r="S529" s="822"/>
      <c r="T529" s="822"/>
      <c r="U529" s="822"/>
      <c r="V529" s="822"/>
    </row>
    <row r="530" spans="1:22" ht="15.75" thickBot="1" x14ac:dyDescent="0.3">
      <c r="A530" s="51" t="s">
        <v>954</v>
      </c>
      <c r="B530" s="51" t="s">
        <v>599</v>
      </c>
      <c r="C530" s="51" t="s">
        <v>600</v>
      </c>
      <c r="D530" s="51" t="s">
        <v>12</v>
      </c>
      <c r="E530" s="51" t="s">
        <v>963</v>
      </c>
      <c r="F530" s="148">
        <v>608</v>
      </c>
      <c r="G530" s="56">
        <v>601</v>
      </c>
      <c r="H530" s="823"/>
      <c r="I530" s="56">
        <v>36777.93</v>
      </c>
      <c r="J530" s="823"/>
      <c r="K530" s="56">
        <v>186.31</v>
      </c>
      <c r="L530" s="56">
        <v>150.25</v>
      </c>
      <c r="M530" s="56">
        <v>0</v>
      </c>
      <c r="N530" s="823"/>
      <c r="O530" s="823"/>
      <c r="P530" s="823"/>
      <c r="Q530" s="823"/>
      <c r="R530" s="823"/>
      <c r="S530" s="823"/>
      <c r="T530" s="823"/>
      <c r="U530" s="823"/>
      <c r="V530" s="823"/>
    </row>
    <row r="531" spans="1:22" ht="15.75" thickBot="1" x14ac:dyDescent="0.3">
      <c r="A531" s="51" t="s">
        <v>954</v>
      </c>
      <c r="B531" s="51" t="s">
        <v>13</v>
      </c>
      <c r="C531" s="51" t="s">
        <v>228</v>
      </c>
      <c r="D531" s="51" t="s">
        <v>12</v>
      </c>
      <c r="E531" s="51" t="s">
        <v>963</v>
      </c>
      <c r="F531" s="147">
        <v>1</v>
      </c>
      <c r="G531" s="54">
        <v>9433</v>
      </c>
      <c r="H531" s="822"/>
      <c r="I531" s="54">
        <v>500</v>
      </c>
      <c r="J531" s="822"/>
      <c r="K531" s="54">
        <v>1004.05</v>
      </c>
      <c r="L531" s="54">
        <v>2396.9299999999998</v>
      </c>
      <c r="M531" s="54">
        <v>4.53</v>
      </c>
      <c r="N531" s="822"/>
      <c r="O531" s="822"/>
      <c r="P531" s="822"/>
      <c r="Q531" s="822"/>
      <c r="R531" s="822"/>
      <c r="S531" s="822"/>
      <c r="T531" s="822"/>
      <c r="U531" s="822"/>
      <c r="V531" s="822"/>
    </row>
    <row r="532" spans="1:22" ht="15.75" thickBot="1" x14ac:dyDescent="0.3">
      <c r="A532" s="51" t="s">
        <v>954</v>
      </c>
      <c r="B532" s="51" t="s">
        <v>13</v>
      </c>
      <c r="C532" s="51" t="s">
        <v>228</v>
      </c>
      <c r="D532" s="51" t="s">
        <v>15</v>
      </c>
      <c r="E532" s="51" t="s">
        <v>963</v>
      </c>
      <c r="F532" s="148">
        <v>1</v>
      </c>
      <c r="G532" s="56">
        <v>33661</v>
      </c>
      <c r="H532" s="823"/>
      <c r="I532" s="56">
        <v>500</v>
      </c>
      <c r="J532" s="823"/>
      <c r="K532" s="56">
        <v>3582.88</v>
      </c>
      <c r="L532" s="56">
        <v>8553.26</v>
      </c>
      <c r="M532" s="56">
        <v>16.16</v>
      </c>
      <c r="N532" s="823"/>
      <c r="O532" s="823"/>
      <c r="P532" s="823"/>
      <c r="Q532" s="823"/>
      <c r="R532" s="823"/>
      <c r="S532" s="823"/>
      <c r="T532" s="823"/>
      <c r="U532" s="823"/>
      <c r="V532" s="823"/>
    </row>
    <row r="533" spans="1:22" ht="15.75" thickBot="1" x14ac:dyDescent="0.3">
      <c r="A533" s="51" t="s">
        <v>954</v>
      </c>
      <c r="B533" s="51" t="s">
        <v>563</v>
      </c>
      <c r="C533" s="51" t="s">
        <v>607</v>
      </c>
      <c r="D533" s="51" t="s">
        <v>15</v>
      </c>
      <c r="E533" s="51" t="s">
        <v>963</v>
      </c>
      <c r="F533" s="148">
        <v>1</v>
      </c>
      <c r="G533" s="56">
        <v>12</v>
      </c>
      <c r="H533" s="823"/>
      <c r="I533" s="56">
        <v>285</v>
      </c>
      <c r="J533" s="823"/>
      <c r="K533" s="56">
        <v>0.43</v>
      </c>
      <c r="L533" s="56">
        <v>3.05</v>
      </c>
      <c r="M533" s="56">
        <v>0.01</v>
      </c>
      <c r="N533" s="823"/>
      <c r="O533" s="823"/>
      <c r="P533" s="56">
        <v>15862.74</v>
      </c>
      <c r="Q533" s="823"/>
      <c r="R533" s="823"/>
      <c r="S533" s="823"/>
      <c r="T533" s="823"/>
      <c r="U533" s="823"/>
      <c r="V533" s="823"/>
    </row>
    <row r="534" spans="1:22" ht="15.75" thickBot="1" x14ac:dyDescent="0.3">
      <c r="A534" s="51" t="s">
        <v>954</v>
      </c>
      <c r="B534" s="51" t="s">
        <v>43</v>
      </c>
      <c r="C534" s="51" t="s">
        <v>433</v>
      </c>
      <c r="D534" s="51" t="s">
        <v>12</v>
      </c>
      <c r="E534" s="51" t="s">
        <v>963</v>
      </c>
      <c r="F534" s="147">
        <v>2</v>
      </c>
      <c r="G534" s="54">
        <v>18</v>
      </c>
      <c r="H534" s="822"/>
      <c r="I534" s="54">
        <v>330</v>
      </c>
      <c r="J534" s="822"/>
      <c r="K534" s="54">
        <v>0.54</v>
      </c>
      <c r="L534" s="54">
        <v>4.57</v>
      </c>
      <c r="M534" s="822"/>
      <c r="N534" s="822"/>
      <c r="O534" s="822"/>
      <c r="P534" s="54">
        <v>1078.8800000000001</v>
      </c>
      <c r="Q534" s="822"/>
      <c r="R534" s="822"/>
      <c r="S534" s="822"/>
      <c r="T534" s="822"/>
      <c r="U534" s="822"/>
      <c r="V534" s="822"/>
    </row>
    <row r="535" spans="1:22" ht="15.75" thickBot="1" x14ac:dyDescent="0.3">
      <c r="A535" s="51" t="s">
        <v>954</v>
      </c>
      <c r="B535" s="51" t="s">
        <v>43</v>
      </c>
      <c r="C535" s="51" t="s">
        <v>433</v>
      </c>
      <c r="D535" s="51" t="s">
        <v>15</v>
      </c>
      <c r="E535" s="51" t="s">
        <v>963</v>
      </c>
      <c r="F535" s="148">
        <v>1</v>
      </c>
      <c r="G535" s="56">
        <v>3</v>
      </c>
      <c r="H535" s="823"/>
      <c r="I535" s="56">
        <v>165</v>
      </c>
      <c r="J535" s="823"/>
      <c r="K535" s="56">
        <v>0.09</v>
      </c>
      <c r="L535" s="56">
        <v>0.76</v>
      </c>
      <c r="M535" s="823"/>
      <c r="N535" s="823"/>
      <c r="O535" s="823"/>
      <c r="P535" s="56">
        <v>672.44</v>
      </c>
      <c r="Q535" s="823"/>
      <c r="R535" s="823"/>
      <c r="S535" s="823"/>
      <c r="T535" s="823"/>
      <c r="U535" s="823"/>
      <c r="V535" s="823"/>
    </row>
    <row r="536" spans="1:22" ht="15.75" thickBot="1" x14ac:dyDescent="0.3">
      <c r="A536" s="51" t="s">
        <v>954</v>
      </c>
      <c r="B536" s="51" t="s">
        <v>34</v>
      </c>
      <c r="C536" s="51" t="s">
        <v>437</v>
      </c>
      <c r="D536" s="51" t="s">
        <v>318</v>
      </c>
      <c r="E536" s="51" t="s">
        <v>962</v>
      </c>
      <c r="F536" s="148">
        <v>7</v>
      </c>
      <c r="G536" s="56">
        <v>261954</v>
      </c>
      <c r="H536" s="823"/>
      <c r="I536" s="823"/>
      <c r="J536" s="823"/>
      <c r="K536" s="823"/>
      <c r="L536" s="823"/>
      <c r="M536" s="823"/>
      <c r="N536" s="823"/>
      <c r="O536" s="823"/>
      <c r="P536" s="823"/>
      <c r="Q536" s="823"/>
      <c r="R536" s="56">
        <v>16470.490000000002</v>
      </c>
      <c r="S536" s="56">
        <v>0</v>
      </c>
      <c r="T536" s="823"/>
      <c r="U536" s="56">
        <v>3850</v>
      </c>
      <c r="V536" s="56">
        <v>0</v>
      </c>
    </row>
    <row r="537" spans="1:22" ht="15.75" thickBot="1" x14ac:dyDescent="0.3">
      <c r="A537" s="51" t="s">
        <v>954</v>
      </c>
      <c r="B537" s="51" t="s">
        <v>34</v>
      </c>
      <c r="C537" s="51" t="s">
        <v>437</v>
      </c>
      <c r="D537" s="51" t="s">
        <v>319</v>
      </c>
      <c r="E537" s="51" t="s">
        <v>962</v>
      </c>
      <c r="F537" s="147">
        <v>2</v>
      </c>
      <c r="G537" s="54">
        <v>78768</v>
      </c>
      <c r="H537" s="822"/>
      <c r="I537" s="822"/>
      <c r="J537" s="822"/>
      <c r="K537" s="822"/>
      <c r="L537" s="822"/>
      <c r="M537" s="822"/>
      <c r="N537" s="822"/>
      <c r="O537" s="822"/>
      <c r="P537" s="822"/>
      <c r="Q537" s="822"/>
      <c r="R537" s="54">
        <v>5466.71</v>
      </c>
      <c r="S537" s="54">
        <v>32.31</v>
      </c>
      <c r="T537" s="54">
        <v>1393.82</v>
      </c>
      <c r="U537" s="54">
        <v>1100</v>
      </c>
      <c r="V537" s="54">
        <v>51.09</v>
      </c>
    </row>
    <row r="538" spans="1:22" ht="15.75" thickBot="1" x14ac:dyDescent="0.3">
      <c r="A538" s="51" t="s">
        <v>954</v>
      </c>
      <c r="B538" s="51" t="s">
        <v>24</v>
      </c>
      <c r="C538" s="51" t="s">
        <v>436</v>
      </c>
      <c r="D538" s="51" t="s">
        <v>16</v>
      </c>
      <c r="E538" s="51" t="s">
        <v>962</v>
      </c>
      <c r="F538" s="147">
        <v>1</v>
      </c>
      <c r="G538" s="54">
        <v>52</v>
      </c>
      <c r="H538" s="54">
        <v>0</v>
      </c>
      <c r="I538" s="54">
        <v>0</v>
      </c>
      <c r="J538" s="54">
        <v>739.2</v>
      </c>
      <c r="K538" s="54">
        <v>11.4</v>
      </c>
      <c r="L538" s="54">
        <v>13.21</v>
      </c>
      <c r="M538" s="822"/>
      <c r="N538" s="822"/>
      <c r="O538" s="822"/>
      <c r="P538" s="822"/>
      <c r="Q538" s="822"/>
      <c r="R538" s="822"/>
      <c r="S538" s="822"/>
      <c r="T538" s="822"/>
      <c r="U538" s="822"/>
      <c r="V538" s="822"/>
    </row>
    <row r="539" spans="1:22" ht="15.75" thickBot="1" x14ac:dyDescent="0.3">
      <c r="A539" s="51" t="s">
        <v>954</v>
      </c>
      <c r="B539" s="51" t="s">
        <v>24</v>
      </c>
      <c r="C539" s="51" t="s">
        <v>436</v>
      </c>
      <c r="D539" s="51" t="s">
        <v>16</v>
      </c>
      <c r="E539" s="51" t="s">
        <v>963</v>
      </c>
      <c r="F539" s="148">
        <v>76</v>
      </c>
      <c r="G539" s="56">
        <v>34838</v>
      </c>
      <c r="H539" s="56">
        <v>266898</v>
      </c>
      <c r="I539" s="56">
        <v>5463.36</v>
      </c>
      <c r="J539" s="56">
        <v>33584.32</v>
      </c>
      <c r="K539" s="56">
        <v>52822.78</v>
      </c>
      <c r="L539" s="56">
        <v>76671.070000000007</v>
      </c>
      <c r="M539" s="823"/>
      <c r="N539" s="823"/>
      <c r="O539" s="823"/>
      <c r="P539" s="823"/>
      <c r="Q539" s="823"/>
      <c r="R539" s="823"/>
      <c r="S539" s="823"/>
      <c r="T539" s="823"/>
      <c r="U539" s="823"/>
      <c r="V539" s="823"/>
    </row>
    <row r="540" spans="1:22" ht="15.75" thickBot="1" x14ac:dyDescent="0.3">
      <c r="A540" s="51" t="s">
        <v>954</v>
      </c>
      <c r="B540" s="51" t="s">
        <v>24</v>
      </c>
      <c r="C540" s="51" t="s">
        <v>436</v>
      </c>
      <c r="D540" s="51" t="s">
        <v>12</v>
      </c>
      <c r="E540" s="51" t="s">
        <v>963</v>
      </c>
      <c r="F540" s="148">
        <v>9</v>
      </c>
      <c r="G540" s="56">
        <v>4285</v>
      </c>
      <c r="H540" s="56">
        <v>50335</v>
      </c>
      <c r="I540" s="56">
        <v>1002.7</v>
      </c>
      <c r="J540" s="56">
        <v>2316.16</v>
      </c>
      <c r="K540" s="56">
        <v>9460.8700000000008</v>
      </c>
      <c r="L540" s="56">
        <v>13878.95</v>
      </c>
      <c r="M540" s="823"/>
      <c r="N540" s="823"/>
      <c r="O540" s="823"/>
      <c r="P540" s="823"/>
      <c r="Q540" s="823"/>
      <c r="R540" s="823"/>
      <c r="S540" s="823"/>
      <c r="T540" s="823"/>
      <c r="U540" s="823"/>
      <c r="V540" s="823"/>
    </row>
    <row r="541" spans="1:22" ht="15.75" thickBot="1" x14ac:dyDescent="0.3">
      <c r="A541" s="51" t="s">
        <v>954</v>
      </c>
      <c r="B541" s="51" t="s">
        <v>24</v>
      </c>
      <c r="C541" s="51" t="s">
        <v>436</v>
      </c>
      <c r="D541" s="51" t="s">
        <v>15</v>
      </c>
      <c r="E541" s="51" t="s">
        <v>963</v>
      </c>
      <c r="F541" s="147">
        <v>3</v>
      </c>
      <c r="G541" s="54">
        <v>62</v>
      </c>
      <c r="H541" s="822"/>
      <c r="I541" s="54">
        <v>341.46</v>
      </c>
      <c r="J541" s="54">
        <v>739.2</v>
      </c>
      <c r="K541" s="54">
        <v>13.59</v>
      </c>
      <c r="L541" s="54">
        <v>15.75</v>
      </c>
      <c r="M541" s="822"/>
      <c r="N541" s="822"/>
      <c r="O541" s="822"/>
      <c r="P541" s="822"/>
      <c r="Q541" s="822"/>
      <c r="R541" s="822"/>
      <c r="S541" s="822"/>
      <c r="T541" s="822"/>
      <c r="U541" s="822"/>
      <c r="V541" s="822"/>
    </row>
    <row r="542" spans="1:22" ht="15.75" thickBot="1" x14ac:dyDescent="0.3">
      <c r="A542" s="51" t="s">
        <v>954</v>
      </c>
      <c r="B542" s="51" t="s">
        <v>434</v>
      </c>
      <c r="C542" s="51" t="s">
        <v>435</v>
      </c>
      <c r="D542" s="51" t="s">
        <v>16</v>
      </c>
      <c r="E542" s="51" t="s">
        <v>962</v>
      </c>
      <c r="F542" s="147">
        <v>2</v>
      </c>
      <c r="G542" s="54">
        <v>-338</v>
      </c>
      <c r="H542" s="822"/>
      <c r="I542" s="54">
        <v>0</v>
      </c>
      <c r="J542" s="54">
        <v>837.76</v>
      </c>
      <c r="K542" s="54">
        <v>-74.12</v>
      </c>
      <c r="L542" s="54">
        <v>-85.89</v>
      </c>
      <c r="M542" s="54">
        <v>-0.16</v>
      </c>
      <c r="N542" s="822"/>
      <c r="O542" s="822"/>
      <c r="P542" s="822"/>
      <c r="Q542" s="822"/>
      <c r="R542" s="822"/>
      <c r="S542" s="822"/>
      <c r="T542" s="822"/>
      <c r="U542" s="822"/>
      <c r="V542" s="822"/>
    </row>
    <row r="543" spans="1:22" ht="15.75" thickBot="1" x14ac:dyDescent="0.3">
      <c r="A543" s="51" t="s">
        <v>954</v>
      </c>
      <c r="B543" s="51" t="s">
        <v>434</v>
      </c>
      <c r="C543" s="51" t="s">
        <v>435</v>
      </c>
      <c r="D543" s="51" t="s">
        <v>16</v>
      </c>
      <c r="E543" s="51" t="s">
        <v>963</v>
      </c>
      <c r="F543" s="148">
        <v>118</v>
      </c>
      <c r="G543" s="56">
        <v>42105</v>
      </c>
      <c r="H543" s="56">
        <v>265067</v>
      </c>
      <c r="I543" s="56">
        <v>10926.72</v>
      </c>
      <c r="J543" s="56">
        <v>40557.440000000002</v>
      </c>
      <c r="K543" s="56">
        <v>54106.41</v>
      </c>
      <c r="L543" s="56">
        <v>78052.38</v>
      </c>
      <c r="M543" s="56">
        <v>147.38999999999999</v>
      </c>
      <c r="N543" s="823"/>
      <c r="O543" s="823"/>
      <c r="P543" s="823"/>
      <c r="Q543" s="823"/>
      <c r="R543" s="823"/>
      <c r="S543" s="823"/>
      <c r="T543" s="823"/>
      <c r="U543" s="823"/>
      <c r="V543" s="823"/>
    </row>
    <row r="544" spans="1:22" ht="15.75" thickBot="1" x14ac:dyDescent="0.3">
      <c r="A544" s="51" t="s">
        <v>954</v>
      </c>
      <c r="B544" s="51" t="s">
        <v>434</v>
      </c>
      <c r="C544" s="51" t="s">
        <v>435</v>
      </c>
      <c r="D544" s="51" t="s">
        <v>12</v>
      </c>
      <c r="E544" s="51" t="s">
        <v>963</v>
      </c>
      <c r="F544" s="148">
        <v>11</v>
      </c>
      <c r="G544" s="56">
        <v>4994</v>
      </c>
      <c r="H544" s="56">
        <v>44187</v>
      </c>
      <c r="I544" s="56">
        <v>1046.06</v>
      </c>
      <c r="J544" s="56">
        <v>3843.84</v>
      </c>
      <c r="K544" s="56">
        <v>8575.57</v>
      </c>
      <c r="L544" s="56">
        <v>12496.89</v>
      </c>
      <c r="M544" s="56">
        <v>23.6</v>
      </c>
      <c r="N544" s="823"/>
      <c r="O544" s="823"/>
      <c r="P544" s="823"/>
      <c r="Q544" s="823"/>
      <c r="R544" s="823"/>
      <c r="S544" s="823"/>
      <c r="T544" s="823"/>
      <c r="U544" s="823"/>
      <c r="V544" s="823"/>
    </row>
    <row r="545" spans="1:22" ht="15.75" thickBot="1" x14ac:dyDescent="0.3">
      <c r="A545" s="51" t="s">
        <v>954</v>
      </c>
      <c r="B545" s="51" t="s">
        <v>429</v>
      </c>
      <c r="C545" s="51" t="s">
        <v>430</v>
      </c>
      <c r="D545" s="51" t="s">
        <v>16</v>
      </c>
      <c r="E545" s="51" t="s">
        <v>963</v>
      </c>
      <c r="F545" s="148">
        <v>1</v>
      </c>
      <c r="G545" s="56">
        <v>45465</v>
      </c>
      <c r="H545" s="823"/>
      <c r="I545" s="56">
        <v>500</v>
      </c>
      <c r="J545" s="823"/>
      <c r="K545" s="56">
        <v>4839.29</v>
      </c>
      <c r="L545" s="56">
        <v>11552.66</v>
      </c>
      <c r="M545" s="56">
        <v>21.82</v>
      </c>
      <c r="N545" s="823"/>
      <c r="O545" s="823"/>
      <c r="P545" s="823"/>
      <c r="Q545" s="823"/>
      <c r="R545" s="823"/>
      <c r="S545" s="823"/>
      <c r="T545" s="823"/>
      <c r="U545" s="823"/>
      <c r="V545" s="823"/>
    </row>
    <row r="546" spans="1:22" ht="15.75" thickBot="1" x14ac:dyDescent="0.3">
      <c r="A546" s="51" t="s">
        <v>954</v>
      </c>
      <c r="B546" s="51" t="s">
        <v>31</v>
      </c>
      <c r="C546" s="51" t="s">
        <v>835</v>
      </c>
      <c r="D546" s="51" t="s">
        <v>320</v>
      </c>
      <c r="E546" s="51" t="s">
        <v>962</v>
      </c>
      <c r="F546" s="147">
        <v>2</v>
      </c>
      <c r="G546" s="54">
        <v>2000</v>
      </c>
      <c r="H546" s="54">
        <v>112707</v>
      </c>
      <c r="I546" s="822"/>
      <c r="J546" s="822"/>
      <c r="K546" s="822"/>
      <c r="L546" s="822"/>
      <c r="M546" s="822"/>
      <c r="N546" s="822"/>
      <c r="O546" s="822"/>
      <c r="P546" s="822"/>
      <c r="Q546" s="54">
        <v>-954.91</v>
      </c>
      <c r="R546" s="54">
        <v>30867.68</v>
      </c>
      <c r="S546" s="54">
        <v>0</v>
      </c>
      <c r="T546" s="822"/>
      <c r="U546" s="54">
        <v>1100</v>
      </c>
      <c r="V546" s="822"/>
    </row>
    <row r="547" spans="1:22" ht="15.75" thickBot="1" x14ac:dyDescent="0.3">
      <c r="A547" s="51" t="s">
        <v>954</v>
      </c>
      <c r="B547" s="51" t="s">
        <v>491</v>
      </c>
      <c r="C547" s="51" t="s">
        <v>492</v>
      </c>
      <c r="D547" s="51" t="s">
        <v>320</v>
      </c>
      <c r="E547" s="51" t="s">
        <v>962</v>
      </c>
      <c r="F547" s="148">
        <v>6</v>
      </c>
      <c r="G547" s="56">
        <v>6000</v>
      </c>
      <c r="H547" s="56">
        <v>183798</v>
      </c>
      <c r="I547" s="823"/>
      <c r="J547" s="823"/>
      <c r="K547" s="823"/>
      <c r="L547" s="823"/>
      <c r="M547" s="823"/>
      <c r="N547" s="823"/>
      <c r="O547" s="823"/>
      <c r="P547" s="823"/>
      <c r="Q547" s="823"/>
      <c r="R547" s="56">
        <v>53289.3</v>
      </c>
      <c r="S547" s="56">
        <v>0</v>
      </c>
      <c r="T547" s="823"/>
      <c r="U547" s="56">
        <v>3300</v>
      </c>
      <c r="V547" s="823"/>
    </row>
    <row r="548" spans="1:22" ht="15.75" thickBot="1" x14ac:dyDescent="0.3">
      <c r="A548" s="51" t="s">
        <v>954</v>
      </c>
      <c r="B548" s="51" t="s">
        <v>52</v>
      </c>
      <c r="C548" s="51" t="s">
        <v>355</v>
      </c>
      <c r="D548" s="51" t="s">
        <v>320</v>
      </c>
      <c r="E548" s="51" t="s">
        <v>962</v>
      </c>
      <c r="F548" s="147">
        <v>2</v>
      </c>
      <c r="G548" s="822"/>
      <c r="H548" s="822"/>
      <c r="I548" s="822"/>
      <c r="J548" s="822"/>
      <c r="K548" s="822"/>
      <c r="L548" s="822"/>
      <c r="M548" s="822"/>
      <c r="N548" s="822"/>
      <c r="O548" s="822"/>
      <c r="P548" s="822"/>
      <c r="Q548" s="822"/>
      <c r="R548" s="54">
        <v>0</v>
      </c>
      <c r="S548" s="54">
        <v>-8262.84</v>
      </c>
      <c r="T548" s="54">
        <v>75.44</v>
      </c>
      <c r="U548" s="54">
        <v>675</v>
      </c>
      <c r="V548" s="54">
        <v>0</v>
      </c>
    </row>
    <row r="549" spans="1:22" ht="15.75" thickBot="1" x14ac:dyDescent="0.3">
      <c r="A549" s="51" t="s">
        <v>954</v>
      </c>
      <c r="B549" s="51" t="s">
        <v>53</v>
      </c>
      <c r="C549" s="51" t="s">
        <v>836</v>
      </c>
      <c r="D549" s="51" t="s">
        <v>320</v>
      </c>
      <c r="E549" s="51" t="s">
        <v>962</v>
      </c>
      <c r="F549" s="148">
        <v>1</v>
      </c>
      <c r="G549" s="56">
        <v>189660</v>
      </c>
      <c r="H549" s="823"/>
      <c r="I549" s="823"/>
      <c r="J549" s="823"/>
      <c r="K549" s="823"/>
      <c r="L549" s="823"/>
      <c r="M549" s="823"/>
      <c r="N549" s="823"/>
      <c r="O549" s="823"/>
      <c r="P549" s="823"/>
      <c r="Q549" s="823"/>
      <c r="R549" s="56">
        <v>37007.65</v>
      </c>
      <c r="S549" s="823"/>
      <c r="T549" s="823"/>
      <c r="U549" s="56">
        <v>550</v>
      </c>
      <c r="V549" s="823"/>
    </row>
    <row r="550" spans="1:22" ht="15.75" thickBot="1" x14ac:dyDescent="0.3">
      <c r="A550" s="51" t="s">
        <v>954</v>
      </c>
      <c r="B550" s="51" t="s">
        <v>36</v>
      </c>
      <c r="C550" s="51" t="s">
        <v>438</v>
      </c>
      <c r="D550" s="51" t="s">
        <v>320</v>
      </c>
      <c r="E550" s="51" t="s">
        <v>962</v>
      </c>
      <c r="F550" s="147">
        <v>48</v>
      </c>
      <c r="G550" s="54">
        <v>6738584</v>
      </c>
      <c r="H550" s="822"/>
      <c r="I550" s="822"/>
      <c r="J550" s="822"/>
      <c r="K550" s="822"/>
      <c r="L550" s="822"/>
      <c r="M550" s="822"/>
      <c r="N550" s="822"/>
      <c r="O550" s="822"/>
      <c r="P550" s="822"/>
      <c r="Q550" s="822"/>
      <c r="R550" s="54">
        <v>382640.26</v>
      </c>
      <c r="S550" s="54">
        <v>-1589.01</v>
      </c>
      <c r="T550" s="54">
        <v>27.94</v>
      </c>
      <c r="U550" s="54">
        <v>26400</v>
      </c>
      <c r="V550" s="54">
        <v>369.68</v>
      </c>
    </row>
    <row r="551" spans="1:22" ht="15.75" thickBot="1" x14ac:dyDescent="0.3">
      <c r="A551" s="51" t="s">
        <v>954</v>
      </c>
      <c r="B551" s="51" t="s">
        <v>36</v>
      </c>
      <c r="C551" s="51" t="s">
        <v>438</v>
      </c>
      <c r="D551" s="51" t="s">
        <v>319</v>
      </c>
      <c r="E551" s="51" t="s">
        <v>962</v>
      </c>
      <c r="F551" s="148">
        <v>2</v>
      </c>
      <c r="G551" s="56">
        <v>253826</v>
      </c>
      <c r="H551" s="823"/>
      <c r="I551" s="823"/>
      <c r="J551" s="823"/>
      <c r="K551" s="823"/>
      <c r="L551" s="823"/>
      <c r="M551" s="823"/>
      <c r="N551" s="823"/>
      <c r="O551" s="823"/>
      <c r="P551" s="823"/>
      <c r="Q551" s="823"/>
      <c r="R551" s="56">
        <v>21252.9</v>
      </c>
      <c r="S551" s="56">
        <v>0</v>
      </c>
      <c r="T551" s="823"/>
      <c r="U551" s="56">
        <v>1100</v>
      </c>
      <c r="V551" s="56">
        <v>0</v>
      </c>
    </row>
    <row r="552" spans="1:22" ht="15.75" thickBot="1" x14ac:dyDescent="0.3">
      <c r="A552" s="51" t="s">
        <v>954</v>
      </c>
      <c r="B552" s="51" t="s">
        <v>447</v>
      </c>
      <c r="C552" s="51" t="s">
        <v>494</v>
      </c>
      <c r="D552" s="51" t="s">
        <v>320</v>
      </c>
      <c r="E552" s="51" t="s">
        <v>962</v>
      </c>
      <c r="F552" s="148">
        <v>15</v>
      </c>
      <c r="G552" s="56">
        <v>687485</v>
      </c>
      <c r="H552" s="823"/>
      <c r="I552" s="823"/>
      <c r="J552" s="823"/>
      <c r="K552" s="823"/>
      <c r="L552" s="823"/>
      <c r="M552" s="823"/>
      <c r="N552" s="823"/>
      <c r="O552" s="823"/>
      <c r="P552" s="823"/>
      <c r="Q552" s="823"/>
      <c r="R552" s="56">
        <v>40363.71</v>
      </c>
      <c r="S552" s="56">
        <v>0</v>
      </c>
      <c r="T552" s="823"/>
      <c r="U552" s="56">
        <v>8250</v>
      </c>
      <c r="V552" s="56">
        <v>0</v>
      </c>
    </row>
    <row r="553" spans="1:22" ht="15.75" thickBot="1" x14ac:dyDescent="0.3">
      <c r="A553" s="51" t="s">
        <v>954</v>
      </c>
      <c r="B553" s="51" t="s">
        <v>38</v>
      </c>
      <c r="C553" s="51" t="s">
        <v>39</v>
      </c>
      <c r="D553" s="51" t="s">
        <v>320</v>
      </c>
      <c r="E553" s="51" t="s">
        <v>962</v>
      </c>
      <c r="F553" s="147">
        <v>3</v>
      </c>
      <c r="G553" s="822"/>
      <c r="H553" s="822"/>
      <c r="I553" s="822"/>
      <c r="J553" s="822"/>
      <c r="K553" s="822"/>
      <c r="L553" s="822"/>
      <c r="M553" s="822"/>
      <c r="N553" s="822"/>
      <c r="O553" s="822"/>
      <c r="P553" s="822"/>
      <c r="Q553" s="822"/>
      <c r="R553" s="54">
        <v>22530.13</v>
      </c>
      <c r="S553" s="54">
        <v>-17922.91</v>
      </c>
      <c r="T553" s="54">
        <v>14152.46</v>
      </c>
      <c r="U553" s="54">
        <v>5325</v>
      </c>
      <c r="V553" s="54">
        <v>6755.3</v>
      </c>
    </row>
    <row r="554" spans="1:22" ht="15.75" thickBot="1" x14ac:dyDescent="0.3">
      <c r="A554" s="51" t="s">
        <v>954</v>
      </c>
      <c r="B554" s="51" t="s">
        <v>32</v>
      </c>
      <c r="C554" s="51" t="s">
        <v>33</v>
      </c>
      <c r="D554" s="51" t="s">
        <v>85</v>
      </c>
      <c r="E554" s="51" t="s">
        <v>963</v>
      </c>
      <c r="F554" s="148">
        <v>1</v>
      </c>
      <c r="G554" s="56">
        <v>137726</v>
      </c>
      <c r="H554" s="823"/>
      <c r="I554" s="56">
        <v>0</v>
      </c>
      <c r="J554" s="56">
        <v>750</v>
      </c>
      <c r="K554" s="56">
        <v>4120.76</v>
      </c>
      <c r="L554" s="56">
        <v>34996.18</v>
      </c>
      <c r="M554" s="823"/>
      <c r="N554" s="823"/>
      <c r="O554" s="823"/>
      <c r="P554" s="56">
        <v>180467.57</v>
      </c>
      <c r="Q554" s="823"/>
      <c r="R554" s="823"/>
      <c r="S554" s="823"/>
      <c r="T554" s="823"/>
      <c r="U554" s="823"/>
      <c r="V554" s="823"/>
    </row>
    <row r="555" spans="1:22" ht="15.75" thickBot="1" x14ac:dyDescent="0.3">
      <c r="A555" s="51" t="s">
        <v>954</v>
      </c>
      <c r="B555" s="51" t="s">
        <v>26</v>
      </c>
      <c r="C555" s="51" t="s">
        <v>27</v>
      </c>
      <c r="D555" s="51" t="s">
        <v>12</v>
      </c>
      <c r="E555" s="51" t="s">
        <v>963</v>
      </c>
      <c r="F555" s="147">
        <v>8</v>
      </c>
      <c r="G555" s="54">
        <v>69</v>
      </c>
      <c r="H555" s="822"/>
      <c r="I555" s="54">
        <v>164.45</v>
      </c>
      <c r="J555" s="822"/>
      <c r="K555" s="54">
        <v>25.38</v>
      </c>
      <c r="L555" s="54">
        <v>17.53</v>
      </c>
      <c r="M555" s="54">
        <v>-0.11</v>
      </c>
      <c r="N555" s="822"/>
      <c r="O555" s="822"/>
      <c r="P555" s="822"/>
      <c r="Q555" s="822"/>
      <c r="R555" s="822"/>
      <c r="S555" s="822"/>
      <c r="T555" s="822"/>
      <c r="U555" s="822"/>
      <c r="V555" s="822"/>
    </row>
    <row r="556" spans="1:22" ht="15.75" thickBot="1" x14ac:dyDescent="0.3">
      <c r="A556" s="51" t="s">
        <v>954</v>
      </c>
      <c r="B556" s="51" t="s">
        <v>26</v>
      </c>
      <c r="C556" s="51" t="s">
        <v>27</v>
      </c>
      <c r="D556" s="51" t="s">
        <v>15</v>
      </c>
      <c r="E556" s="51" t="s">
        <v>962</v>
      </c>
      <c r="F556" s="148">
        <v>1</v>
      </c>
      <c r="G556" s="56">
        <v>11</v>
      </c>
      <c r="H556" s="823"/>
      <c r="I556" s="56">
        <v>20.149999999999999</v>
      </c>
      <c r="J556" s="823"/>
      <c r="K556" s="56">
        <v>4.05</v>
      </c>
      <c r="L556" s="56">
        <v>2.8</v>
      </c>
      <c r="M556" s="56">
        <v>-0.02</v>
      </c>
      <c r="N556" s="823"/>
      <c r="O556" s="823"/>
      <c r="P556" s="823"/>
      <c r="Q556" s="823"/>
      <c r="R556" s="823"/>
      <c r="S556" s="823"/>
      <c r="T556" s="823"/>
      <c r="U556" s="823"/>
      <c r="V556" s="823"/>
    </row>
    <row r="557" spans="1:22" ht="15.75" thickBot="1" x14ac:dyDescent="0.3">
      <c r="A557" s="51" t="s">
        <v>954</v>
      </c>
      <c r="B557" s="51" t="s">
        <v>26</v>
      </c>
      <c r="C557" s="51" t="s">
        <v>27</v>
      </c>
      <c r="D557" s="51" t="s">
        <v>15</v>
      </c>
      <c r="E557" s="51" t="s">
        <v>963</v>
      </c>
      <c r="F557" s="147">
        <v>146</v>
      </c>
      <c r="G557" s="54">
        <v>1721</v>
      </c>
      <c r="H557" s="822"/>
      <c r="I557" s="54">
        <v>2958.15</v>
      </c>
      <c r="J557" s="822"/>
      <c r="K557" s="54">
        <v>633.03</v>
      </c>
      <c r="L557" s="54">
        <v>437.31</v>
      </c>
      <c r="M557" s="54">
        <v>-2.71</v>
      </c>
      <c r="N557" s="822"/>
      <c r="O557" s="822"/>
      <c r="P557" s="822"/>
      <c r="Q557" s="822"/>
      <c r="R557" s="822"/>
      <c r="S557" s="822"/>
      <c r="T557" s="822"/>
      <c r="U557" s="822"/>
      <c r="V557" s="822"/>
    </row>
    <row r="558" spans="1:22" ht="15.75" thickBot="1" x14ac:dyDescent="0.3">
      <c r="A558" s="51" t="s">
        <v>954</v>
      </c>
      <c r="B558" s="51" t="s">
        <v>26</v>
      </c>
      <c r="C558" s="51" t="s">
        <v>27</v>
      </c>
      <c r="D558" s="51" t="s">
        <v>21</v>
      </c>
      <c r="E558" s="51" t="s">
        <v>853</v>
      </c>
      <c r="F558" s="147">
        <v>1</v>
      </c>
      <c r="G558" s="54">
        <v>0</v>
      </c>
      <c r="H558" s="822"/>
      <c r="I558" s="54">
        <v>-10.35</v>
      </c>
      <c r="J558" s="822"/>
      <c r="K558" s="54">
        <v>0</v>
      </c>
      <c r="L558" s="54">
        <v>0</v>
      </c>
      <c r="M558" s="54">
        <v>0</v>
      </c>
      <c r="N558" s="822"/>
      <c r="O558" s="822"/>
      <c r="P558" s="822"/>
      <c r="Q558" s="822"/>
      <c r="R558" s="822"/>
      <c r="S558" s="822"/>
      <c r="T558" s="822"/>
      <c r="U558" s="822"/>
      <c r="V558" s="822"/>
    </row>
    <row r="559" spans="1:22" ht="15.75" thickBot="1" x14ac:dyDescent="0.3">
      <c r="A559" s="51" t="s">
        <v>954</v>
      </c>
      <c r="B559" s="51" t="s">
        <v>26</v>
      </c>
      <c r="C559" s="51" t="s">
        <v>27</v>
      </c>
      <c r="D559" s="51" t="s">
        <v>21</v>
      </c>
      <c r="E559" s="51" t="s">
        <v>854</v>
      </c>
      <c r="F559" s="148">
        <v>1</v>
      </c>
      <c r="G559" s="56">
        <v>0</v>
      </c>
      <c r="H559" s="823"/>
      <c r="I559" s="56">
        <v>-16.350000000000001</v>
      </c>
      <c r="J559" s="823"/>
      <c r="K559" s="56">
        <v>0</v>
      </c>
      <c r="L559" s="56">
        <v>0</v>
      </c>
      <c r="M559" s="56">
        <v>0</v>
      </c>
      <c r="N559" s="823"/>
      <c r="O559" s="823"/>
      <c r="P559" s="823"/>
      <c r="Q559" s="823"/>
      <c r="R559" s="823"/>
      <c r="S559" s="823"/>
      <c r="T559" s="823"/>
      <c r="U559" s="823"/>
      <c r="V559" s="823"/>
    </row>
    <row r="560" spans="1:22" ht="15.75" thickBot="1" x14ac:dyDescent="0.3">
      <c r="A560" s="51" t="s">
        <v>954</v>
      </c>
      <c r="B560" s="51" t="s">
        <v>26</v>
      </c>
      <c r="C560" s="51" t="s">
        <v>27</v>
      </c>
      <c r="D560" s="51" t="s">
        <v>21</v>
      </c>
      <c r="E560" s="51" t="s">
        <v>855</v>
      </c>
      <c r="F560" s="147">
        <v>1</v>
      </c>
      <c r="G560" s="54">
        <v>0</v>
      </c>
      <c r="H560" s="822"/>
      <c r="I560" s="54">
        <v>-16.350000000000001</v>
      </c>
      <c r="J560" s="822"/>
      <c r="K560" s="54">
        <v>0</v>
      </c>
      <c r="L560" s="54">
        <v>0</v>
      </c>
      <c r="M560" s="54">
        <v>0</v>
      </c>
      <c r="N560" s="822"/>
      <c r="O560" s="822"/>
      <c r="P560" s="822"/>
      <c r="Q560" s="822"/>
      <c r="R560" s="822"/>
      <c r="S560" s="822"/>
      <c r="T560" s="822"/>
      <c r="U560" s="822"/>
      <c r="V560" s="822"/>
    </row>
    <row r="561" spans="1:22" ht="15.75" thickBot="1" x14ac:dyDescent="0.3">
      <c r="A561" s="51" t="s">
        <v>954</v>
      </c>
      <c r="B561" s="51" t="s">
        <v>26</v>
      </c>
      <c r="C561" s="51" t="s">
        <v>27</v>
      </c>
      <c r="D561" s="51" t="s">
        <v>21</v>
      </c>
      <c r="E561" s="51" t="s">
        <v>856</v>
      </c>
      <c r="F561" s="148">
        <v>1</v>
      </c>
      <c r="G561" s="56">
        <v>0</v>
      </c>
      <c r="H561" s="823"/>
      <c r="I561" s="56">
        <v>-16.350000000000001</v>
      </c>
      <c r="J561" s="823"/>
      <c r="K561" s="56">
        <v>0</v>
      </c>
      <c r="L561" s="56">
        <v>0</v>
      </c>
      <c r="M561" s="56">
        <v>0</v>
      </c>
      <c r="N561" s="823"/>
      <c r="O561" s="823"/>
      <c r="P561" s="823"/>
      <c r="Q561" s="823"/>
      <c r="R561" s="823"/>
      <c r="S561" s="823"/>
      <c r="T561" s="823"/>
      <c r="U561" s="823"/>
      <c r="V561" s="823"/>
    </row>
    <row r="562" spans="1:22" ht="15.75" thickBot="1" x14ac:dyDescent="0.3">
      <c r="A562" s="51" t="s">
        <v>954</v>
      </c>
      <c r="B562" s="51" t="s">
        <v>26</v>
      </c>
      <c r="C562" s="51" t="s">
        <v>27</v>
      </c>
      <c r="D562" s="51" t="s">
        <v>21</v>
      </c>
      <c r="E562" s="51" t="s">
        <v>632</v>
      </c>
      <c r="F562" s="147">
        <v>1</v>
      </c>
      <c r="G562" s="54">
        <v>0</v>
      </c>
      <c r="H562" s="822"/>
      <c r="I562" s="54">
        <v>-16.350000000000001</v>
      </c>
      <c r="J562" s="822"/>
      <c r="K562" s="54">
        <v>0</v>
      </c>
      <c r="L562" s="54">
        <v>0</v>
      </c>
      <c r="M562" s="54">
        <v>0</v>
      </c>
      <c r="N562" s="822"/>
      <c r="O562" s="822"/>
      <c r="P562" s="822"/>
      <c r="Q562" s="822"/>
      <c r="R562" s="822"/>
      <c r="S562" s="822"/>
      <c r="T562" s="822"/>
      <c r="U562" s="822"/>
      <c r="V562" s="822"/>
    </row>
    <row r="563" spans="1:22" ht="15.75" thickBot="1" x14ac:dyDescent="0.3">
      <c r="A563" s="51" t="s">
        <v>954</v>
      </c>
      <c r="B563" s="51" t="s">
        <v>26</v>
      </c>
      <c r="C563" s="51" t="s">
        <v>27</v>
      </c>
      <c r="D563" s="51" t="s">
        <v>21</v>
      </c>
      <c r="E563" s="51" t="s">
        <v>644</v>
      </c>
      <c r="F563" s="148">
        <v>1</v>
      </c>
      <c r="G563" s="56">
        <v>0</v>
      </c>
      <c r="H563" s="823"/>
      <c r="I563" s="56">
        <v>-16.350000000000001</v>
      </c>
      <c r="J563" s="823"/>
      <c r="K563" s="56">
        <v>0</v>
      </c>
      <c r="L563" s="56">
        <v>0</v>
      </c>
      <c r="M563" s="56">
        <v>0</v>
      </c>
      <c r="N563" s="823"/>
      <c r="O563" s="823"/>
      <c r="P563" s="823"/>
      <c r="Q563" s="823"/>
      <c r="R563" s="823"/>
      <c r="S563" s="823"/>
      <c r="T563" s="823"/>
      <c r="U563" s="823"/>
      <c r="V563" s="823"/>
    </row>
    <row r="564" spans="1:22" ht="15.75" thickBot="1" x14ac:dyDescent="0.3">
      <c r="A564" s="51" t="s">
        <v>954</v>
      </c>
      <c r="B564" s="51" t="s">
        <v>26</v>
      </c>
      <c r="C564" s="51" t="s">
        <v>27</v>
      </c>
      <c r="D564" s="51" t="s">
        <v>21</v>
      </c>
      <c r="E564" s="51" t="s">
        <v>653</v>
      </c>
      <c r="F564" s="147">
        <v>1</v>
      </c>
      <c r="G564" s="54">
        <v>0</v>
      </c>
      <c r="H564" s="822"/>
      <c r="I564" s="54">
        <v>-16.350000000000001</v>
      </c>
      <c r="J564" s="822"/>
      <c r="K564" s="54">
        <v>0</v>
      </c>
      <c r="L564" s="54">
        <v>0</v>
      </c>
      <c r="M564" s="54">
        <v>0</v>
      </c>
      <c r="N564" s="822"/>
      <c r="O564" s="822"/>
      <c r="P564" s="822"/>
      <c r="Q564" s="822"/>
      <c r="R564" s="822"/>
      <c r="S564" s="822"/>
      <c r="T564" s="822"/>
      <c r="U564" s="822"/>
      <c r="V564" s="822"/>
    </row>
    <row r="565" spans="1:22" ht="15.75" thickBot="1" x14ac:dyDescent="0.3">
      <c r="A565" s="51" t="s">
        <v>954</v>
      </c>
      <c r="B565" s="51" t="s">
        <v>26</v>
      </c>
      <c r="C565" s="51" t="s">
        <v>27</v>
      </c>
      <c r="D565" s="51" t="s">
        <v>21</v>
      </c>
      <c r="E565" s="51" t="s">
        <v>674</v>
      </c>
      <c r="F565" s="148">
        <v>1</v>
      </c>
      <c r="G565" s="56">
        <v>0</v>
      </c>
      <c r="H565" s="823"/>
      <c r="I565" s="56">
        <v>-16.350000000000001</v>
      </c>
      <c r="J565" s="823"/>
      <c r="K565" s="56">
        <v>0</v>
      </c>
      <c r="L565" s="56">
        <v>0</v>
      </c>
      <c r="M565" s="56">
        <v>0</v>
      </c>
      <c r="N565" s="823"/>
      <c r="O565" s="823"/>
      <c r="P565" s="823"/>
      <c r="Q565" s="823"/>
      <c r="R565" s="823"/>
      <c r="S565" s="823"/>
      <c r="T565" s="823"/>
      <c r="U565" s="823"/>
      <c r="V565" s="823"/>
    </row>
    <row r="566" spans="1:22" ht="15.75" thickBot="1" x14ac:dyDescent="0.3">
      <c r="A566" s="51" t="s">
        <v>954</v>
      </c>
      <c r="B566" s="51" t="s">
        <v>26</v>
      </c>
      <c r="C566" s="51" t="s">
        <v>27</v>
      </c>
      <c r="D566" s="51" t="s">
        <v>21</v>
      </c>
      <c r="E566" s="51" t="s">
        <v>837</v>
      </c>
      <c r="F566" s="147">
        <v>2</v>
      </c>
      <c r="G566" s="54">
        <v>0</v>
      </c>
      <c r="H566" s="822"/>
      <c r="I566" s="54">
        <v>-15.81</v>
      </c>
      <c r="J566" s="822"/>
      <c r="K566" s="54">
        <v>0</v>
      </c>
      <c r="L566" s="54">
        <v>0</v>
      </c>
      <c r="M566" s="54">
        <v>0</v>
      </c>
      <c r="N566" s="822"/>
      <c r="O566" s="822"/>
      <c r="P566" s="822"/>
      <c r="Q566" s="822"/>
      <c r="R566" s="822"/>
      <c r="S566" s="822"/>
      <c r="T566" s="822"/>
      <c r="U566" s="822"/>
      <c r="V566" s="822"/>
    </row>
    <row r="567" spans="1:22" ht="15.75" thickBot="1" x14ac:dyDescent="0.3">
      <c r="A567" s="51" t="s">
        <v>954</v>
      </c>
      <c r="B567" s="51" t="s">
        <v>26</v>
      </c>
      <c r="C567" s="51" t="s">
        <v>27</v>
      </c>
      <c r="D567" s="51" t="s">
        <v>21</v>
      </c>
      <c r="E567" s="51" t="s">
        <v>838</v>
      </c>
      <c r="F567" s="148">
        <v>2</v>
      </c>
      <c r="G567" s="56">
        <v>223</v>
      </c>
      <c r="H567" s="823"/>
      <c r="I567" s="56">
        <v>0</v>
      </c>
      <c r="J567" s="823"/>
      <c r="K567" s="56">
        <v>80.95</v>
      </c>
      <c r="L567" s="56">
        <v>87.15</v>
      </c>
      <c r="M567" s="56">
        <v>5.36</v>
      </c>
      <c r="N567" s="823"/>
      <c r="O567" s="823"/>
      <c r="P567" s="823"/>
      <c r="Q567" s="823"/>
      <c r="R567" s="823"/>
      <c r="S567" s="823"/>
      <c r="T567" s="823"/>
      <c r="U567" s="823"/>
      <c r="V567" s="823"/>
    </row>
    <row r="568" spans="1:22" ht="15.75" thickBot="1" x14ac:dyDescent="0.3">
      <c r="A568" s="51" t="s">
        <v>954</v>
      </c>
      <c r="B568" s="51" t="s">
        <v>26</v>
      </c>
      <c r="C568" s="51" t="s">
        <v>27</v>
      </c>
      <c r="D568" s="51" t="s">
        <v>21</v>
      </c>
      <c r="E568" s="51" t="s">
        <v>839</v>
      </c>
      <c r="F568" s="147">
        <v>2</v>
      </c>
      <c r="G568" s="54">
        <v>223</v>
      </c>
      <c r="H568" s="822"/>
      <c r="I568" s="54">
        <v>0</v>
      </c>
      <c r="J568" s="822"/>
      <c r="K568" s="54">
        <v>80.95</v>
      </c>
      <c r="L568" s="54">
        <v>92.42</v>
      </c>
      <c r="M568" s="54">
        <v>5.36</v>
      </c>
      <c r="N568" s="822"/>
      <c r="O568" s="822"/>
      <c r="P568" s="822"/>
      <c r="Q568" s="822"/>
      <c r="R568" s="822"/>
      <c r="S568" s="822"/>
      <c r="T568" s="822"/>
      <c r="U568" s="822"/>
      <c r="V568" s="822"/>
    </row>
    <row r="569" spans="1:22" ht="15.75" thickBot="1" x14ac:dyDescent="0.3">
      <c r="A569" s="51" t="s">
        <v>954</v>
      </c>
      <c r="B569" s="51" t="s">
        <v>26</v>
      </c>
      <c r="C569" s="51" t="s">
        <v>27</v>
      </c>
      <c r="D569" s="51" t="s">
        <v>21</v>
      </c>
      <c r="E569" s="51" t="s">
        <v>840</v>
      </c>
      <c r="F569" s="148">
        <v>2</v>
      </c>
      <c r="G569" s="56">
        <v>230</v>
      </c>
      <c r="H569" s="823"/>
      <c r="I569" s="56">
        <v>5.45</v>
      </c>
      <c r="J569" s="823"/>
      <c r="K569" s="56">
        <v>83.49</v>
      </c>
      <c r="L569" s="56">
        <v>95.33</v>
      </c>
      <c r="M569" s="56">
        <v>5.53</v>
      </c>
      <c r="N569" s="823"/>
      <c r="O569" s="823"/>
      <c r="P569" s="823"/>
      <c r="Q569" s="823"/>
      <c r="R569" s="823"/>
      <c r="S569" s="823"/>
      <c r="T569" s="823"/>
      <c r="U569" s="823"/>
      <c r="V569" s="823"/>
    </row>
    <row r="570" spans="1:22" ht="15.75" thickBot="1" x14ac:dyDescent="0.3">
      <c r="A570" s="51" t="s">
        <v>954</v>
      </c>
      <c r="B570" s="51" t="s">
        <v>26</v>
      </c>
      <c r="C570" s="51" t="s">
        <v>27</v>
      </c>
      <c r="D570" s="51" t="s">
        <v>21</v>
      </c>
      <c r="E570" s="51" t="s">
        <v>841</v>
      </c>
      <c r="F570" s="147">
        <v>2</v>
      </c>
      <c r="G570" s="54">
        <v>215</v>
      </c>
      <c r="H570" s="822"/>
      <c r="I570" s="54">
        <v>0</v>
      </c>
      <c r="J570" s="822"/>
      <c r="K570" s="54">
        <v>78.05</v>
      </c>
      <c r="L570" s="54">
        <v>88.3</v>
      </c>
      <c r="M570" s="54">
        <v>5.17</v>
      </c>
      <c r="N570" s="54">
        <v>0.03</v>
      </c>
      <c r="O570" s="822"/>
      <c r="P570" s="822"/>
      <c r="Q570" s="822"/>
      <c r="R570" s="822"/>
      <c r="S570" s="822"/>
      <c r="T570" s="822"/>
      <c r="U570" s="822"/>
      <c r="V570" s="822"/>
    </row>
    <row r="571" spans="1:22" ht="15.75" thickBot="1" x14ac:dyDescent="0.3">
      <c r="A571" s="51" t="s">
        <v>954</v>
      </c>
      <c r="B571" s="51" t="s">
        <v>26</v>
      </c>
      <c r="C571" s="51" t="s">
        <v>27</v>
      </c>
      <c r="D571" s="51" t="s">
        <v>21</v>
      </c>
      <c r="E571" s="51" t="s">
        <v>842</v>
      </c>
      <c r="F571" s="148">
        <v>2</v>
      </c>
      <c r="G571" s="56">
        <v>223</v>
      </c>
      <c r="H571" s="823"/>
      <c r="I571" s="56">
        <v>0</v>
      </c>
      <c r="J571" s="823"/>
      <c r="K571" s="56">
        <v>80.95</v>
      </c>
      <c r="L571" s="56">
        <v>88.89</v>
      </c>
      <c r="M571" s="56">
        <v>5.36</v>
      </c>
      <c r="N571" s="56">
        <v>0</v>
      </c>
      <c r="O571" s="823"/>
      <c r="P571" s="823"/>
      <c r="Q571" s="823"/>
      <c r="R571" s="823"/>
      <c r="S571" s="823"/>
      <c r="T571" s="823"/>
      <c r="U571" s="823"/>
      <c r="V571" s="823"/>
    </row>
    <row r="572" spans="1:22" ht="15.75" thickBot="1" x14ac:dyDescent="0.3">
      <c r="A572" s="51" t="s">
        <v>954</v>
      </c>
      <c r="B572" s="51" t="s">
        <v>26</v>
      </c>
      <c r="C572" s="51" t="s">
        <v>27</v>
      </c>
      <c r="D572" s="51" t="s">
        <v>21</v>
      </c>
      <c r="E572" s="51" t="s">
        <v>821</v>
      </c>
      <c r="F572" s="147">
        <v>2</v>
      </c>
      <c r="G572" s="54">
        <v>245</v>
      </c>
      <c r="H572" s="822"/>
      <c r="I572" s="54">
        <v>0</v>
      </c>
      <c r="J572" s="822"/>
      <c r="K572" s="54">
        <v>88.94</v>
      </c>
      <c r="L572" s="54">
        <v>97.66</v>
      </c>
      <c r="M572" s="54">
        <v>4.63</v>
      </c>
      <c r="N572" s="54">
        <v>-0.04</v>
      </c>
      <c r="O572" s="822"/>
      <c r="P572" s="822"/>
      <c r="Q572" s="822"/>
      <c r="R572" s="822"/>
      <c r="S572" s="822"/>
      <c r="T572" s="822"/>
      <c r="U572" s="822"/>
      <c r="V572" s="822"/>
    </row>
    <row r="573" spans="1:22" ht="15.75" thickBot="1" x14ac:dyDescent="0.3">
      <c r="A573" s="51" t="s">
        <v>954</v>
      </c>
      <c r="B573" s="51" t="s">
        <v>26</v>
      </c>
      <c r="C573" s="51" t="s">
        <v>27</v>
      </c>
      <c r="D573" s="51" t="s">
        <v>21</v>
      </c>
      <c r="E573" s="51" t="s">
        <v>822</v>
      </c>
      <c r="F573" s="148">
        <v>2</v>
      </c>
      <c r="G573" s="56">
        <v>215</v>
      </c>
      <c r="H573" s="823"/>
      <c r="I573" s="56">
        <v>0</v>
      </c>
      <c r="J573" s="823"/>
      <c r="K573" s="56">
        <v>78.05</v>
      </c>
      <c r="L573" s="56">
        <v>86.6</v>
      </c>
      <c r="M573" s="56">
        <v>0.96</v>
      </c>
      <c r="N573" s="56">
        <v>0</v>
      </c>
      <c r="O573" s="823"/>
      <c r="P573" s="823"/>
      <c r="Q573" s="823"/>
      <c r="R573" s="823"/>
      <c r="S573" s="823"/>
      <c r="T573" s="823"/>
      <c r="U573" s="823"/>
      <c r="V573" s="823"/>
    </row>
    <row r="574" spans="1:22" ht="15.75" thickBot="1" x14ac:dyDescent="0.3">
      <c r="A574" s="51" t="s">
        <v>954</v>
      </c>
      <c r="B574" s="51" t="s">
        <v>26</v>
      </c>
      <c r="C574" s="51" t="s">
        <v>27</v>
      </c>
      <c r="D574" s="51" t="s">
        <v>21</v>
      </c>
      <c r="E574" s="51" t="s">
        <v>823</v>
      </c>
      <c r="F574" s="147">
        <v>2</v>
      </c>
      <c r="G574" s="54">
        <v>215</v>
      </c>
      <c r="H574" s="822"/>
      <c r="I574" s="54">
        <v>0</v>
      </c>
      <c r="J574" s="822"/>
      <c r="K574" s="54">
        <v>78.05</v>
      </c>
      <c r="L574" s="54">
        <v>90.52</v>
      </c>
      <c r="M574" s="54">
        <v>0.96</v>
      </c>
      <c r="N574" s="54">
        <v>0.03</v>
      </c>
      <c r="O574" s="822"/>
      <c r="P574" s="822"/>
      <c r="Q574" s="822"/>
      <c r="R574" s="822"/>
      <c r="S574" s="822"/>
      <c r="T574" s="822"/>
      <c r="U574" s="822"/>
      <c r="V574" s="822"/>
    </row>
    <row r="575" spans="1:22" ht="15.75" thickBot="1" x14ac:dyDescent="0.3">
      <c r="A575" s="51" t="s">
        <v>954</v>
      </c>
      <c r="B575" s="51" t="s">
        <v>26</v>
      </c>
      <c r="C575" s="51" t="s">
        <v>27</v>
      </c>
      <c r="D575" s="51" t="s">
        <v>21</v>
      </c>
      <c r="E575" s="51" t="s">
        <v>824</v>
      </c>
      <c r="F575" s="148">
        <v>2</v>
      </c>
      <c r="G575" s="56">
        <v>230</v>
      </c>
      <c r="H575" s="823"/>
      <c r="I575" s="56">
        <v>0</v>
      </c>
      <c r="J575" s="823"/>
      <c r="K575" s="56">
        <v>83.49</v>
      </c>
      <c r="L575" s="56">
        <v>96.84</v>
      </c>
      <c r="M575" s="56">
        <v>0.68</v>
      </c>
      <c r="N575" s="56">
        <v>0.01</v>
      </c>
      <c r="O575" s="823"/>
      <c r="P575" s="823"/>
      <c r="Q575" s="823"/>
      <c r="R575" s="823"/>
      <c r="S575" s="823"/>
      <c r="T575" s="823"/>
      <c r="U575" s="823"/>
      <c r="V575" s="823"/>
    </row>
    <row r="576" spans="1:22" ht="15.75" thickBot="1" x14ac:dyDescent="0.3">
      <c r="A576" s="51" t="s">
        <v>954</v>
      </c>
      <c r="B576" s="51" t="s">
        <v>26</v>
      </c>
      <c r="C576" s="51" t="s">
        <v>27</v>
      </c>
      <c r="D576" s="51" t="s">
        <v>21</v>
      </c>
      <c r="E576" s="51" t="s">
        <v>825</v>
      </c>
      <c r="F576" s="147">
        <v>3</v>
      </c>
      <c r="G576" s="54">
        <v>223</v>
      </c>
      <c r="H576" s="822"/>
      <c r="I576" s="54">
        <v>0.74</v>
      </c>
      <c r="J576" s="822"/>
      <c r="K576" s="54">
        <v>81.22</v>
      </c>
      <c r="L576" s="54">
        <v>94.74</v>
      </c>
      <c r="M576" s="54">
        <v>-0.48</v>
      </c>
      <c r="N576" s="822"/>
      <c r="O576" s="822"/>
      <c r="P576" s="822"/>
      <c r="Q576" s="822"/>
      <c r="R576" s="822"/>
      <c r="S576" s="822"/>
      <c r="T576" s="822"/>
      <c r="U576" s="822"/>
      <c r="V576" s="822"/>
    </row>
    <row r="577" spans="1:22" ht="15.75" thickBot="1" x14ac:dyDescent="0.3">
      <c r="A577" s="51" t="s">
        <v>954</v>
      </c>
      <c r="B577" s="51" t="s">
        <v>26</v>
      </c>
      <c r="C577" s="51" t="s">
        <v>27</v>
      </c>
      <c r="D577" s="51" t="s">
        <v>21</v>
      </c>
      <c r="E577" s="51" t="s">
        <v>826</v>
      </c>
      <c r="F577" s="148">
        <v>2</v>
      </c>
      <c r="G577" s="56">
        <v>230</v>
      </c>
      <c r="H577" s="823"/>
      <c r="I577" s="56">
        <v>0.65</v>
      </c>
      <c r="J577" s="823"/>
      <c r="K577" s="56">
        <v>84.6</v>
      </c>
      <c r="L577" s="56">
        <v>100.32</v>
      </c>
      <c r="M577" s="56">
        <v>-0.56999999999999995</v>
      </c>
      <c r="N577" s="823"/>
      <c r="O577" s="823"/>
      <c r="P577" s="823"/>
      <c r="Q577" s="823"/>
      <c r="R577" s="823"/>
      <c r="S577" s="823"/>
      <c r="T577" s="823"/>
      <c r="U577" s="823"/>
      <c r="V577" s="823"/>
    </row>
    <row r="578" spans="1:22" ht="15.75" thickBot="1" x14ac:dyDescent="0.3">
      <c r="A578" s="51" t="s">
        <v>954</v>
      </c>
      <c r="B578" s="51" t="s">
        <v>26</v>
      </c>
      <c r="C578" s="51" t="s">
        <v>27</v>
      </c>
      <c r="D578" s="51" t="s">
        <v>21</v>
      </c>
      <c r="E578" s="51" t="s">
        <v>827</v>
      </c>
      <c r="F578" s="147">
        <v>3</v>
      </c>
      <c r="G578" s="54">
        <v>237</v>
      </c>
      <c r="H578" s="822"/>
      <c r="I578" s="54">
        <v>-16.899999999999999</v>
      </c>
      <c r="J578" s="822"/>
      <c r="K578" s="54">
        <v>87.18</v>
      </c>
      <c r="L578" s="54">
        <v>103.37</v>
      </c>
      <c r="M578" s="54">
        <v>-0.57999999999999996</v>
      </c>
      <c r="N578" s="822"/>
      <c r="O578" s="822"/>
      <c r="P578" s="822"/>
      <c r="Q578" s="822"/>
      <c r="R578" s="822"/>
      <c r="S578" s="822"/>
      <c r="T578" s="822"/>
      <c r="U578" s="822"/>
      <c r="V578" s="822"/>
    </row>
    <row r="579" spans="1:22" ht="15.75" thickBot="1" x14ac:dyDescent="0.3">
      <c r="A579" s="51" t="s">
        <v>954</v>
      </c>
      <c r="B579" s="51" t="s">
        <v>26</v>
      </c>
      <c r="C579" s="51" t="s">
        <v>27</v>
      </c>
      <c r="D579" s="51" t="s">
        <v>21</v>
      </c>
      <c r="E579" s="51" t="s">
        <v>828</v>
      </c>
      <c r="F579" s="148">
        <v>3</v>
      </c>
      <c r="G579" s="56">
        <v>210</v>
      </c>
      <c r="H579" s="823"/>
      <c r="I579" s="56">
        <v>-13.65</v>
      </c>
      <c r="J579" s="823"/>
      <c r="K579" s="56">
        <v>77.239999999999995</v>
      </c>
      <c r="L579" s="56">
        <v>86.86</v>
      </c>
      <c r="M579" s="56">
        <v>-0.52</v>
      </c>
      <c r="N579" s="823"/>
      <c r="O579" s="823"/>
      <c r="P579" s="823"/>
      <c r="Q579" s="823"/>
      <c r="R579" s="823"/>
      <c r="S579" s="823"/>
      <c r="T579" s="823"/>
      <c r="U579" s="823"/>
      <c r="V579" s="823"/>
    </row>
    <row r="580" spans="1:22" ht="15.75" thickBot="1" x14ac:dyDescent="0.3">
      <c r="A580" s="51" t="s">
        <v>954</v>
      </c>
      <c r="B580" s="51" t="s">
        <v>26</v>
      </c>
      <c r="C580" s="51" t="s">
        <v>27</v>
      </c>
      <c r="D580" s="51" t="s">
        <v>21</v>
      </c>
      <c r="E580" s="51" t="s">
        <v>829</v>
      </c>
      <c r="F580" s="147">
        <v>3</v>
      </c>
      <c r="G580" s="54">
        <v>200</v>
      </c>
      <c r="H580" s="822"/>
      <c r="I580" s="54">
        <v>-19.5</v>
      </c>
      <c r="J580" s="822"/>
      <c r="K580" s="54">
        <v>73.569999999999993</v>
      </c>
      <c r="L580" s="54">
        <v>69.69</v>
      </c>
      <c r="M580" s="54">
        <v>-0.49</v>
      </c>
      <c r="N580" s="822"/>
      <c r="O580" s="822"/>
      <c r="P580" s="822"/>
      <c r="Q580" s="822"/>
      <c r="R580" s="822"/>
      <c r="S580" s="822"/>
      <c r="T580" s="822"/>
      <c r="U580" s="822"/>
      <c r="V580" s="822"/>
    </row>
    <row r="581" spans="1:22" ht="15.75" thickBot="1" x14ac:dyDescent="0.3">
      <c r="A581" s="51" t="s">
        <v>954</v>
      </c>
      <c r="B581" s="51" t="s">
        <v>26</v>
      </c>
      <c r="C581" s="51" t="s">
        <v>27</v>
      </c>
      <c r="D581" s="51" t="s">
        <v>21</v>
      </c>
      <c r="E581" s="51" t="s">
        <v>830</v>
      </c>
      <c r="F581" s="148">
        <v>3</v>
      </c>
      <c r="G581" s="56">
        <v>199</v>
      </c>
      <c r="H581" s="823"/>
      <c r="I581" s="56">
        <v>-21.45</v>
      </c>
      <c r="J581" s="823"/>
      <c r="K581" s="56">
        <v>73.19</v>
      </c>
      <c r="L581" s="56">
        <v>69.34</v>
      </c>
      <c r="M581" s="56">
        <v>-0.49</v>
      </c>
      <c r="N581" s="823"/>
      <c r="O581" s="823"/>
      <c r="P581" s="823"/>
      <c r="Q581" s="823"/>
      <c r="R581" s="823"/>
      <c r="S581" s="823"/>
      <c r="T581" s="823"/>
      <c r="U581" s="823"/>
      <c r="V581" s="823"/>
    </row>
    <row r="582" spans="1:22" ht="15.75" thickBot="1" x14ac:dyDescent="0.3">
      <c r="A582" s="51" t="s">
        <v>954</v>
      </c>
      <c r="B582" s="51" t="s">
        <v>26</v>
      </c>
      <c r="C582" s="51" t="s">
        <v>27</v>
      </c>
      <c r="D582" s="51" t="s">
        <v>21</v>
      </c>
      <c r="E582" s="51" t="s">
        <v>831</v>
      </c>
      <c r="F582" s="147">
        <v>6</v>
      </c>
      <c r="G582" s="54">
        <v>182</v>
      </c>
      <c r="H582" s="822"/>
      <c r="I582" s="54">
        <v>-16.899999999999999</v>
      </c>
      <c r="J582" s="822"/>
      <c r="K582" s="54">
        <v>66.94</v>
      </c>
      <c r="L582" s="54">
        <v>64.319999999999993</v>
      </c>
      <c r="M582" s="54">
        <v>-0.45</v>
      </c>
      <c r="N582" s="54">
        <v>5.63</v>
      </c>
      <c r="O582" s="822"/>
      <c r="P582" s="822"/>
      <c r="Q582" s="822"/>
      <c r="R582" s="822"/>
      <c r="S582" s="822"/>
      <c r="T582" s="822"/>
      <c r="U582" s="822"/>
      <c r="V582" s="822"/>
    </row>
    <row r="583" spans="1:22" ht="15.75" thickBot="1" x14ac:dyDescent="0.3">
      <c r="A583" s="51" t="s">
        <v>954</v>
      </c>
      <c r="B583" s="51" t="s">
        <v>26</v>
      </c>
      <c r="C583" s="51" t="s">
        <v>27</v>
      </c>
      <c r="D583" s="51" t="s">
        <v>21</v>
      </c>
      <c r="E583" s="51" t="s">
        <v>832</v>
      </c>
      <c r="F583" s="148">
        <v>14</v>
      </c>
      <c r="G583" s="56">
        <v>-138</v>
      </c>
      <c r="H583" s="823"/>
      <c r="I583" s="56">
        <v>-27.95</v>
      </c>
      <c r="J583" s="823"/>
      <c r="K583" s="56">
        <v>-50.75</v>
      </c>
      <c r="L583" s="56">
        <v>-52.79</v>
      </c>
      <c r="M583" s="56">
        <v>0.34</v>
      </c>
      <c r="N583" s="56">
        <v>0.51</v>
      </c>
      <c r="O583" s="823"/>
      <c r="P583" s="823"/>
      <c r="Q583" s="823"/>
      <c r="R583" s="823"/>
      <c r="S583" s="823"/>
      <c r="T583" s="823"/>
      <c r="U583" s="823"/>
      <c r="V583" s="823"/>
    </row>
    <row r="584" spans="1:22" ht="15.75" thickBot="1" x14ac:dyDescent="0.3">
      <c r="A584" s="51" t="s">
        <v>954</v>
      </c>
      <c r="B584" s="51" t="s">
        <v>26</v>
      </c>
      <c r="C584" s="51" t="s">
        <v>27</v>
      </c>
      <c r="D584" s="51" t="s">
        <v>21</v>
      </c>
      <c r="E584" s="51" t="s">
        <v>833</v>
      </c>
      <c r="F584" s="147">
        <v>21</v>
      </c>
      <c r="G584" s="54">
        <v>267</v>
      </c>
      <c r="H584" s="822"/>
      <c r="I584" s="54">
        <v>-43.55</v>
      </c>
      <c r="J584" s="822"/>
      <c r="K584" s="54">
        <v>98.22</v>
      </c>
      <c r="L584" s="54">
        <v>102.55</v>
      </c>
      <c r="M584" s="54">
        <v>-0.65</v>
      </c>
      <c r="N584" s="54">
        <v>-17.239999999999998</v>
      </c>
      <c r="O584" s="822"/>
      <c r="P584" s="822"/>
      <c r="Q584" s="822"/>
      <c r="R584" s="822"/>
      <c r="S584" s="822"/>
      <c r="T584" s="822"/>
      <c r="U584" s="822"/>
      <c r="V584" s="822"/>
    </row>
    <row r="585" spans="1:22" ht="15.75" thickBot="1" x14ac:dyDescent="0.3">
      <c r="A585" s="51" t="s">
        <v>954</v>
      </c>
      <c r="B585" s="51" t="s">
        <v>26</v>
      </c>
      <c r="C585" s="51" t="s">
        <v>27</v>
      </c>
      <c r="D585" s="51" t="s">
        <v>21</v>
      </c>
      <c r="E585" s="51" t="s">
        <v>834</v>
      </c>
      <c r="F585" s="148">
        <v>32</v>
      </c>
      <c r="G585" s="56">
        <v>423</v>
      </c>
      <c r="H585" s="823"/>
      <c r="I585" s="56">
        <v>-53.95</v>
      </c>
      <c r="J585" s="823"/>
      <c r="K585" s="56">
        <v>155.6</v>
      </c>
      <c r="L585" s="56">
        <v>159.49</v>
      </c>
      <c r="M585" s="56">
        <v>-0.97</v>
      </c>
      <c r="N585" s="56">
        <v>22.13</v>
      </c>
      <c r="O585" s="823"/>
      <c r="P585" s="823"/>
      <c r="Q585" s="823"/>
      <c r="R585" s="823"/>
      <c r="S585" s="823"/>
      <c r="T585" s="823"/>
      <c r="U585" s="823"/>
      <c r="V585" s="823"/>
    </row>
    <row r="586" spans="1:22" ht="15.75" thickBot="1" x14ac:dyDescent="0.3">
      <c r="A586" s="51" t="s">
        <v>954</v>
      </c>
      <c r="B586" s="51" t="s">
        <v>26</v>
      </c>
      <c r="C586" s="51" t="s">
        <v>27</v>
      </c>
      <c r="D586" s="51" t="s">
        <v>21</v>
      </c>
      <c r="E586" s="51" t="s">
        <v>857</v>
      </c>
      <c r="F586" s="147">
        <v>83</v>
      </c>
      <c r="G586" s="54">
        <v>-1039</v>
      </c>
      <c r="H586" s="822"/>
      <c r="I586" s="54">
        <v>-72.8</v>
      </c>
      <c r="J586" s="822"/>
      <c r="K586" s="54">
        <v>-382.19</v>
      </c>
      <c r="L586" s="54">
        <v>-353.39</v>
      </c>
      <c r="M586" s="54">
        <v>2.38</v>
      </c>
      <c r="N586" s="54">
        <v>-24</v>
      </c>
      <c r="O586" s="822"/>
      <c r="P586" s="822"/>
      <c r="Q586" s="822"/>
      <c r="R586" s="822"/>
      <c r="S586" s="822"/>
      <c r="T586" s="822"/>
      <c r="U586" s="822"/>
      <c r="V586" s="822"/>
    </row>
    <row r="587" spans="1:22" ht="15.75" thickBot="1" x14ac:dyDescent="0.3">
      <c r="A587" s="51" t="s">
        <v>954</v>
      </c>
      <c r="B587" s="51" t="s">
        <v>26</v>
      </c>
      <c r="C587" s="51" t="s">
        <v>27</v>
      </c>
      <c r="D587" s="51" t="s">
        <v>21</v>
      </c>
      <c r="E587" s="51" t="s">
        <v>949</v>
      </c>
      <c r="F587" s="148">
        <v>143</v>
      </c>
      <c r="G587" s="56">
        <v>-2430</v>
      </c>
      <c r="H587" s="823"/>
      <c r="I587" s="56">
        <v>-92.3</v>
      </c>
      <c r="J587" s="823"/>
      <c r="K587" s="56">
        <v>-893.83</v>
      </c>
      <c r="L587" s="56">
        <v>-826.2</v>
      </c>
      <c r="M587" s="56">
        <v>4.8099999999999996</v>
      </c>
      <c r="N587" s="56">
        <v>-209.8</v>
      </c>
      <c r="O587" s="823"/>
      <c r="P587" s="823"/>
      <c r="Q587" s="823"/>
      <c r="R587" s="823"/>
      <c r="S587" s="823"/>
      <c r="T587" s="823"/>
      <c r="U587" s="823"/>
      <c r="V587" s="823"/>
    </row>
    <row r="588" spans="1:22" ht="15.75" thickBot="1" x14ac:dyDescent="0.3">
      <c r="A588" s="51" t="s">
        <v>954</v>
      </c>
      <c r="B588" s="51" t="s">
        <v>26</v>
      </c>
      <c r="C588" s="51" t="s">
        <v>27</v>
      </c>
      <c r="D588" s="51" t="s">
        <v>21</v>
      </c>
      <c r="E588" s="51" t="s">
        <v>952</v>
      </c>
      <c r="F588" s="147">
        <v>229</v>
      </c>
      <c r="G588" s="54">
        <v>-6200</v>
      </c>
      <c r="H588" s="822"/>
      <c r="I588" s="54">
        <v>-94.25</v>
      </c>
      <c r="J588" s="822"/>
      <c r="K588" s="54">
        <v>-2280.44</v>
      </c>
      <c r="L588" s="54">
        <v>-1744.67</v>
      </c>
      <c r="M588" s="54">
        <v>9.65</v>
      </c>
      <c r="N588" s="822"/>
      <c r="O588" s="822"/>
      <c r="P588" s="822"/>
      <c r="Q588" s="822"/>
      <c r="R588" s="822"/>
      <c r="S588" s="822"/>
      <c r="T588" s="822"/>
      <c r="U588" s="822"/>
      <c r="V588" s="822"/>
    </row>
    <row r="589" spans="1:22" ht="15.75" thickBot="1" x14ac:dyDescent="0.3">
      <c r="A589" s="51" t="s">
        <v>954</v>
      </c>
      <c r="B589" s="51" t="s">
        <v>26</v>
      </c>
      <c r="C589" s="51" t="s">
        <v>27</v>
      </c>
      <c r="D589" s="51" t="s">
        <v>21</v>
      </c>
      <c r="E589" s="51" t="s">
        <v>962</v>
      </c>
      <c r="F589" s="148">
        <v>1063</v>
      </c>
      <c r="G589" s="56">
        <v>-21387</v>
      </c>
      <c r="H589" s="823"/>
      <c r="I589" s="56">
        <v>5754.45</v>
      </c>
      <c r="J589" s="823"/>
      <c r="K589" s="56">
        <v>-7866.56</v>
      </c>
      <c r="L589" s="56">
        <v>-5434.95</v>
      </c>
      <c r="M589" s="56">
        <v>33.65</v>
      </c>
      <c r="N589" s="823"/>
      <c r="O589" s="823"/>
      <c r="P589" s="823"/>
      <c r="Q589" s="823"/>
      <c r="R589" s="823"/>
      <c r="S589" s="823"/>
      <c r="T589" s="823"/>
      <c r="U589" s="823"/>
      <c r="V589" s="823"/>
    </row>
    <row r="590" spans="1:22" ht="15.75" thickBot="1" x14ac:dyDescent="0.3">
      <c r="A590" s="51" t="s">
        <v>954</v>
      </c>
      <c r="B590" s="51" t="s">
        <v>26</v>
      </c>
      <c r="C590" s="51" t="s">
        <v>27</v>
      </c>
      <c r="D590" s="51" t="s">
        <v>21</v>
      </c>
      <c r="E590" s="51" t="s">
        <v>963</v>
      </c>
      <c r="F590" s="147">
        <v>300877</v>
      </c>
      <c r="G590" s="54">
        <v>3641255</v>
      </c>
      <c r="H590" s="822"/>
      <c r="I590" s="54">
        <v>6082513.4500000002</v>
      </c>
      <c r="J590" s="822"/>
      <c r="K590" s="54">
        <v>1339342.67</v>
      </c>
      <c r="L590" s="54">
        <v>925268.28</v>
      </c>
      <c r="M590" s="54">
        <v>-5724.81</v>
      </c>
      <c r="N590" s="822"/>
      <c r="O590" s="822"/>
      <c r="P590" s="822"/>
      <c r="Q590" s="822"/>
      <c r="R590" s="822"/>
      <c r="S590" s="822"/>
      <c r="T590" s="822"/>
      <c r="U590" s="822"/>
      <c r="V590" s="822"/>
    </row>
    <row r="591" spans="1:22" ht="15.75" thickBot="1" x14ac:dyDescent="0.3">
      <c r="A591" s="51" t="s">
        <v>954</v>
      </c>
      <c r="B591" s="51" t="s">
        <v>28</v>
      </c>
      <c r="C591" s="51" t="s">
        <v>29</v>
      </c>
      <c r="D591" s="51" t="s">
        <v>15</v>
      </c>
      <c r="E591" s="51" t="s">
        <v>963</v>
      </c>
      <c r="F591" s="148">
        <v>1</v>
      </c>
      <c r="G591" s="56">
        <v>108</v>
      </c>
      <c r="H591" s="823"/>
      <c r="I591" s="56">
        <v>20.149999999999999</v>
      </c>
      <c r="J591" s="823"/>
      <c r="K591" s="56">
        <v>39.72</v>
      </c>
      <c r="L591" s="56">
        <v>27.44</v>
      </c>
      <c r="M591" s="56">
        <v>-0.17</v>
      </c>
      <c r="N591" s="823"/>
      <c r="O591" s="823"/>
      <c r="P591" s="823"/>
      <c r="Q591" s="823"/>
      <c r="R591" s="823"/>
      <c r="S591" s="823"/>
      <c r="T591" s="823"/>
      <c r="U591" s="823"/>
      <c r="V591" s="823"/>
    </row>
    <row r="592" spans="1:22" ht="15.75" thickBot="1" x14ac:dyDescent="0.3">
      <c r="A592" s="51" t="s">
        <v>954</v>
      </c>
      <c r="B592" s="51" t="s">
        <v>28</v>
      </c>
      <c r="C592" s="51" t="s">
        <v>29</v>
      </c>
      <c r="D592" s="51" t="s">
        <v>21</v>
      </c>
      <c r="E592" s="51" t="s">
        <v>963</v>
      </c>
      <c r="F592" s="147">
        <v>2</v>
      </c>
      <c r="G592" s="54">
        <v>191</v>
      </c>
      <c r="H592" s="822"/>
      <c r="I592" s="54">
        <v>40.950000000000003</v>
      </c>
      <c r="J592" s="822"/>
      <c r="K592" s="54">
        <v>70.25</v>
      </c>
      <c r="L592" s="54">
        <v>48.53</v>
      </c>
      <c r="M592" s="54">
        <v>-0.3</v>
      </c>
      <c r="N592" s="822"/>
      <c r="O592" s="822"/>
      <c r="P592" s="822"/>
      <c r="Q592" s="822"/>
      <c r="R592" s="822"/>
      <c r="S592" s="822"/>
      <c r="T592" s="822"/>
      <c r="U592" s="822"/>
      <c r="V592" s="822"/>
    </row>
    <row r="593" spans="1:22" ht="15.75" thickBot="1" x14ac:dyDescent="0.3">
      <c r="A593" s="51" t="s">
        <v>1022</v>
      </c>
      <c r="B593" s="51" t="s">
        <v>19</v>
      </c>
      <c r="C593" s="51" t="s">
        <v>431</v>
      </c>
      <c r="D593" s="51" t="s">
        <v>12</v>
      </c>
      <c r="E593" s="51" t="s">
        <v>832</v>
      </c>
      <c r="F593" s="147">
        <v>1</v>
      </c>
      <c r="G593" s="54">
        <v>-938</v>
      </c>
      <c r="H593" s="822"/>
      <c r="I593" s="54">
        <v>0</v>
      </c>
      <c r="J593" s="822"/>
      <c r="K593" s="54">
        <v>-287.68</v>
      </c>
      <c r="L593" s="54">
        <v>-360.24</v>
      </c>
      <c r="M593" s="54">
        <v>-0.1</v>
      </c>
      <c r="N593" s="54">
        <v>29.6</v>
      </c>
      <c r="O593" s="822"/>
      <c r="P593" s="822"/>
      <c r="Q593" s="822"/>
      <c r="R593" s="822"/>
      <c r="S593" s="822"/>
      <c r="T593" s="822"/>
      <c r="U593" s="822"/>
      <c r="V593" s="822"/>
    </row>
    <row r="594" spans="1:22" ht="15.75" thickBot="1" x14ac:dyDescent="0.3">
      <c r="A594" s="51" t="s">
        <v>1022</v>
      </c>
      <c r="B594" s="51" t="s">
        <v>19</v>
      </c>
      <c r="C594" s="51" t="s">
        <v>431</v>
      </c>
      <c r="D594" s="51" t="s">
        <v>12</v>
      </c>
      <c r="E594" s="51" t="s">
        <v>833</v>
      </c>
      <c r="F594" s="148">
        <v>4</v>
      </c>
      <c r="G594" s="56">
        <v>-49</v>
      </c>
      <c r="H594" s="823"/>
      <c r="I594" s="56">
        <v>0</v>
      </c>
      <c r="J594" s="823"/>
      <c r="K594" s="56">
        <v>-15.03</v>
      </c>
      <c r="L594" s="56">
        <v>-18.82</v>
      </c>
      <c r="M594" s="56">
        <v>-0.01</v>
      </c>
      <c r="N594" s="56">
        <v>-8.58</v>
      </c>
      <c r="O594" s="823"/>
      <c r="P594" s="823"/>
      <c r="Q594" s="823"/>
      <c r="R594" s="823"/>
      <c r="S594" s="823"/>
      <c r="T594" s="823"/>
      <c r="U594" s="823"/>
      <c r="V594" s="823"/>
    </row>
    <row r="595" spans="1:22" ht="15.75" thickBot="1" x14ac:dyDescent="0.3">
      <c r="A595" s="51" t="s">
        <v>1022</v>
      </c>
      <c r="B595" s="51" t="s">
        <v>19</v>
      </c>
      <c r="C595" s="51" t="s">
        <v>431</v>
      </c>
      <c r="D595" s="51" t="s">
        <v>12</v>
      </c>
      <c r="E595" s="51" t="s">
        <v>834</v>
      </c>
      <c r="F595" s="147">
        <v>3</v>
      </c>
      <c r="G595" s="54">
        <v>-62</v>
      </c>
      <c r="H595" s="822"/>
      <c r="I595" s="54">
        <v>0</v>
      </c>
      <c r="J595" s="822"/>
      <c r="K595" s="54">
        <v>-19.010000000000002</v>
      </c>
      <c r="L595" s="54">
        <v>-22.45</v>
      </c>
      <c r="M595" s="54">
        <v>0</v>
      </c>
      <c r="N595" s="54">
        <v>-4.07</v>
      </c>
      <c r="O595" s="822"/>
      <c r="P595" s="822"/>
      <c r="Q595" s="822"/>
      <c r="R595" s="822"/>
      <c r="S595" s="822"/>
      <c r="T595" s="822"/>
      <c r="U595" s="822"/>
      <c r="V595" s="822"/>
    </row>
    <row r="596" spans="1:22" ht="15.75" thickBot="1" x14ac:dyDescent="0.3">
      <c r="A596" s="51" t="s">
        <v>1022</v>
      </c>
      <c r="B596" s="51" t="s">
        <v>19</v>
      </c>
      <c r="C596" s="51" t="s">
        <v>431</v>
      </c>
      <c r="D596" s="51" t="s">
        <v>12</v>
      </c>
      <c r="E596" s="51" t="s">
        <v>857</v>
      </c>
      <c r="F596" s="148">
        <v>9</v>
      </c>
      <c r="G596" s="56">
        <v>-1679</v>
      </c>
      <c r="H596" s="823"/>
      <c r="I596" s="56">
        <v>0</v>
      </c>
      <c r="J596" s="823"/>
      <c r="K596" s="56">
        <v>-514.95000000000005</v>
      </c>
      <c r="L596" s="56">
        <v>-570.87</v>
      </c>
      <c r="M596" s="56">
        <v>-0.3</v>
      </c>
      <c r="N596" s="56">
        <v>-43.24</v>
      </c>
      <c r="O596" s="823"/>
      <c r="P596" s="823"/>
      <c r="Q596" s="823"/>
      <c r="R596" s="823"/>
      <c r="S596" s="823"/>
      <c r="T596" s="823"/>
      <c r="U596" s="823"/>
      <c r="V596" s="823"/>
    </row>
    <row r="597" spans="1:22" ht="15.75" thickBot="1" x14ac:dyDescent="0.3">
      <c r="A597" s="51" t="s">
        <v>1022</v>
      </c>
      <c r="B597" s="51" t="s">
        <v>19</v>
      </c>
      <c r="C597" s="51" t="s">
        <v>431</v>
      </c>
      <c r="D597" s="51" t="s">
        <v>12</v>
      </c>
      <c r="E597" s="51" t="s">
        <v>949</v>
      </c>
      <c r="F597" s="147">
        <v>20</v>
      </c>
      <c r="G597" s="54">
        <v>-3369</v>
      </c>
      <c r="H597" s="54">
        <v>-216</v>
      </c>
      <c r="I597" s="54">
        <v>0</v>
      </c>
      <c r="J597" s="54">
        <v>0</v>
      </c>
      <c r="K597" s="54">
        <v>-1088.76</v>
      </c>
      <c r="L597" s="54">
        <v>-1218.94</v>
      </c>
      <c r="M597" s="54">
        <v>-1.1399999999999999</v>
      </c>
      <c r="N597" s="54">
        <v>-254.67</v>
      </c>
      <c r="O597" s="822"/>
      <c r="P597" s="822"/>
      <c r="Q597" s="822"/>
      <c r="R597" s="822"/>
      <c r="S597" s="822"/>
      <c r="T597" s="822"/>
      <c r="U597" s="822"/>
      <c r="V597" s="822"/>
    </row>
    <row r="598" spans="1:22" ht="15.75" thickBot="1" x14ac:dyDescent="0.3">
      <c r="A598" s="51" t="s">
        <v>1022</v>
      </c>
      <c r="B598" s="51" t="s">
        <v>19</v>
      </c>
      <c r="C598" s="51" t="s">
        <v>431</v>
      </c>
      <c r="D598" s="51" t="s">
        <v>12</v>
      </c>
      <c r="E598" s="51" t="s">
        <v>952</v>
      </c>
      <c r="F598" s="148">
        <v>29</v>
      </c>
      <c r="G598" s="56">
        <v>-853</v>
      </c>
      <c r="H598" s="56">
        <v>0</v>
      </c>
      <c r="I598" s="56">
        <v>43.34</v>
      </c>
      <c r="J598" s="56">
        <v>0</v>
      </c>
      <c r="K598" s="56">
        <v>-261.60000000000002</v>
      </c>
      <c r="L598" s="56">
        <v>-272.39</v>
      </c>
      <c r="M598" s="56">
        <v>-0.45</v>
      </c>
      <c r="N598" s="823"/>
      <c r="O598" s="823"/>
      <c r="P598" s="823"/>
      <c r="Q598" s="823"/>
      <c r="R598" s="823"/>
      <c r="S598" s="823"/>
      <c r="T598" s="823"/>
      <c r="U598" s="823"/>
      <c r="V598" s="823"/>
    </row>
    <row r="599" spans="1:22" ht="15.75" thickBot="1" x14ac:dyDescent="0.3">
      <c r="A599" s="51" t="s">
        <v>1022</v>
      </c>
      <c r="B599" s="51" t="s">
        <v>19</v>
      </c>
      <c r="C599" s="51" t="s">
        <v>431</v>
      </c>
      <c r="D599" s="51" t="s">
        <v>12</v>
      </c>
      <c r="E599" s="51" t="s">
        <v>962</v>
      </c>
      <c r="F599" s="147">
        <v>51</v>
      </c>
      <c r="G599" s="54">
        <v>-1981</v>
      </c>
      <c r="H599" s="54">
        <v>-2393</v>
      </c>
      <c r="I599" s="54">
        <v>-29.55</v>
      </c>
      <c r="J599" s="54">
        <v>0</v>
      </c>
      <c r="K599" s="54">
        <v>-1221.83</v>
      </c>
      <c r="L599" s="54">
        <v>-1111.47</v>
      </c>
      <c r="M599" s="54">
        <v>-2.15</v>
      </c>
      <c r="N599" s="822"/>
      <c r="O599" s="822"/>
      <c r="P599" s="822"/>
      <c r="Q599" s="822"/>
      <c r="R599" s="822"/>
      <c r="S599" s="822"/>
      <c r="T599" s="822"/>
      <c r="U599" s="822"/>
      <c r="V599" s="822"/>
    </row>
    <row r="600" spans="1:22" ht="15.75" thickBot="1" x14ac:dyDescent="0.3">
      <c r="A600" s="51" t="s">
        <v>1022</v>
      </c>
      <c r="B600" s="51" t="s">
        <v>19</v>
      </c>
      <c r="C600" s="51" t="s">
        <v>431</v>
      </c>
      <c r="D600" s="51" t="s">
        <v>12</v>
      </c>
      <c r="E600" s="51" t="s">
        <v>963</v>
      </c>
      <c r="F600" s="148">
        <v>358</v>
      </c>
      <c r="G600" s="56">
        <v>10609</v>
      </c>
      <c r="H600" s="56">
        <v>-39740</v>
      </c>
      <c r="I600" s="56">
        <v>13490.56</v>
      </c>
      <c r="J600" s="56">
        <v>5593.89</v>
      </c>
      <c r="K600" s="56">
        <v>-6947.53</v>
      </c>
      <c r="L600" s="56">
        <v>-7402.23</v>
      </c>
      <c r="M600" s="56">
        <v>-14.03</v>
      </c>
      <c r="N600" s="823"/>
      <c r="O600" s="823"/>
      <c r="P600" s="823"/>
      <c r="Q600" s="823"/>
      <c r="R600" s="823"/>
      <c r="S600" s="823"/>
      <c r="T600" s="823"/>
      <c r="U600" s="823"/>
      <c r="V600" s="823"/>
    </row>
    <row r="601" spans="1:22" ht="15.75" thickBot="1" x14ac:dyDescent="0.3">
      <c r="A601" s="51" t="s">
        <v>1022</v>
      </c>
      <c r="B601" s="51" t="s">
        <v>19</v>
      </c>
      <c r="C601" s="51" t="s">
        <v>431</v>
      </c>
      <c r="D601" s="51" t="s">
        <v>12</v>
      </c>
      <c r="E601" s="51" t="s">
        <v>1025</v>
      </c>
      <c r="F601" s="147">
        <v>23383</v>
      </c>
      <c r="G601" s="54">
        <v>1552127</v>
      </c>
      <c r="H601" s="54">
        <v>581317</v>
      </c>
      <c r="I601" s="54">
        <v>1324823.03</v>
      </c>
      <c r="J601" s="54">
        <v>253983.22</v>
      </c>
      <c r="K601" s="54">
        <v>625260.77</v>
      </c>
      <c r="L601" s="54">
        <v>595290.72</v>
      </c>
      <c r="M601" s="54">
        <v>1015.53</v>
      </c>
      <c r="N601" s="822"/>
      <c r="O601" s="822"/>
      <c r="P601" s="822"/>
      <c r="Q601" s="822"/>
      <c r="R601" s="822"/>
      <c r="S601" s="822"/>
      <c r="T601" s="822"/>
      <c r="U601" s="822"/>
      <c r="V601" s="822"/>
    </row>
    <row r="602" spans="1:22" ht="15.75" thickBot="1" x14ac:dyDescent="0.3">
      <c r="A602" s="51" t="s">
        <v>1022</v>
      </c>
      <c r="B602" s="51" t="s">
        <v>19</v>
      </c>
      <c r="C602" s="51" t="s">
        <v>431</v>
      </c>
      <c r="D602" s="51" t="s">
        <v>15</v>
      </c>
      <c r="E602" s="51" t="s">
        <v>857</v>
      </c>
      <c r="F602" s="147">
        <v>3</v>
      </c>
      <c r="G602" s="54">
        <v>-2009</v>
      </c>
      <c r="H602" s="822"/>
      <c r="I602" s="54">
        <v>0</v>
      </c>
      <c r="J602" s="54">
        <v>0</v>
      </c>
      <c r="K602" s="54">
        <v>-616.16</v>
      </c>
      <c r="L602" s="54">
        <v>-683.09</v>
      </c>
      <c r="M602" s="54">
        <v>-0.36</v>
      </c>
      <c r="N602" s="54">
        <v>-116.22</v>
      </c>
      <c r="O602" s="822"/>
      <c r="P602" s="822"/>
      <c r="Q602" s="822"/>
      <c r="R602" s="822"/>
      <c r="S602" s="822"/>
      <c r="T602" s="822"/>
      <c r="U602" s="822"/>
      <c r="V602" s="822"/>
    </row>
    <row r="603" spans="1:22" ht="15.75" thickBot="1" x14ac:dyDescent="0.3">
      <c r="A603" s="51" t="s">
        <v>1022</v>
      </c>
      <c r="B603" s="51" t="s">
        <v>19</v>
      </c>
      <c r="C603" s="51" t="s">
        <v>431</v>
      </c>
      <c r="D603" s="51" t="s">
        <v>15</v>
      </c>
      <c r="E603" s="51" t="s">
        <v>949</v>
      </c>
      <c r="F603" s="148">
        <v>5</v>
      </c>
      <c r="G603" s="56">
        <v>-1893</v>
      </c>
      <c r="H603" s="56">
        <v>-3687</v>
      </c>
      <c r="I603" s="56">
        <v>0</v>
      </c>
      <c r="J603" s="56">
        <v>0</v>
      </c>
      <c r="K603" s="56">
        <v>-1527.04</v>
      </c>
      <c r="L603" s="56">
        <v>-1897.28</v>
      </c>
      <c r="M603" s="56">
        <v>-1.67</v>
      </c>
      <c r="N603" s="56">
        <v>-234.1</v>
      </c>
      <c r="O603" s="823"/>
      <c r="P603" s="823"/>
      <c r="Q603" s="823"/>
      <c r="R603" s="823"/>
      <c r="S603" s="823"/>
      <c r="T603" s="823"/>
      <c r="U603" s="823"/>
      <c r="V603" s="823"/>
    </row>
    <row r="604" spans="1:22" ht="15.75" thickBot="1" x14ac:dyDescent="0.3">
      <c r="A604" s="51" t="s">
        <v>1022</v>
      </c>
      <c r="B604" s="51" t="s">
        <v>19</v>
      </c>
      <c r="C604" s="51" t="s">
        <v>431</v>
      </c>
      <c r="D604" s="51" t="s">
        <v>15</v>
      </c>
      <c r="E604" s="51" t="s">
        <v>952</v>
      </c>
      <c r="F604" s="147">
        <v>6</v>
      </c>
      <c r="G604" s="54">
        <v>-228</v>
      </c>
      <c r="H604" s="54">
        <v>0</v>
      </c>
      <c r="I604" s="54">
        <v>0</v>
      </c>
      <c r="J604" s="54">
        <v>0</v>
      </c>
      <c r="K604" s="54">
        <v>-69.930000000000007</v>
      </c>
      <c r="L604" s="54">
        <v>-73.75</v>
      </c>
      <c r="M604" s="54">
        <v>-0.13</v>
      </c>
      <c r="N604" s="822"/>
      <c r="O604" s="822"/>
      <c r="P604" s="822"/>
      <c r="Q604" s="822"/>
      <c r="R604" s="822"/>
      <c r="S604" s="822"/>
      <c r="T604" s="822"/>
      <c r="U604" s="822"/>
      <c r="V604" s="822"/>
    </row>
    <row r="605" spans="1:22" ht="15.75" thickBot="1" x14ac:dyDescent="0.3">
      <c r="A605" s="51" t="s">
        <v>1022</v>
      </c>
      <c r="B605" s="51" t="s">
        <v>19</v>
      </c>
      <c r="C605" s="51" t="s">
        <v>431</v>
      </c>
      <c r="D605" s="51" t="s">
        <v>15</v>
      </c>
      <c r="E605" s="51" t="s">
        <v>962</v>
      </c>
      <c r="F605" s="148">
        <v>6</v>
      </c>
      <c r="G605" s="56">
        <v>-669</v>
      </c>
      <c r="H605" s="823"/>
      <c r="I605" s="56">
        <v>0</v>
      </c>
      <c r="J605" s="56">
        <v>0</v>
      </c>
      <c r="K605" s="56">
        <v>-205.19</v>
      </c>
      <c r="L605" s="56">
        <v>-169.99</v>
      </c>
      <c r="M605" s="56">
        <v>-0.34</v>
      </c>
      <c r="N605" s="823"/>
      <c r="O605" s="823"/>
      <c r="P605" s="823"/>
      <c r="Q605" s="823"/>
      <c r="R605" s="823"/>
      <c r="S605" s="823"/>
      <c r="T605" s="823"/>
      <c r="U605" s="823"/>
      <c r="V605" s="823"/>
    </row>
    <row r="606" spans="1:22" ht="15.75" thickBot="1" x14ac:dyDescent="0.3">
      <c r="A606" s="51" t="s">
        <v>1022</v>
      </c>
      <c r="B606" s="51" t="s">
        <v>19</v>
      </c>
      <c r="C606" s="51" t="s">
        <v>431</v>
      </c>
      <c r="D606" s="51" t="s">
        <v>15</v>
      </c>
      <c r="E606" s="51" t="s">
        <v>963</v>
      </c>
      <c r="F606" s="147">
        <v>57</v>
      </c>
      <c r="G606" s="54">
        <v>6109</v>
      </c>
      <c r="H606" s="54">
        <v>1713</v>
      </c>
      <c r="I606" s="54">
        <v>1711.93</v>
      </c>
      <c r="J606" s="54">
        <v>5565.78</v>
      </c>
      <c r="K606" s="54">
        <v>2313.36</v>
      </c>
      <c r="L606" s="54">
        <v>1987.56</v>
      </c>
      <c r="M606" s="54">
        <v>3.72</v>
      </c>
      <c r="N606" s="822"/>
      <c r="O606" s="822"/>
      <c r="P606" s="822"/>
      <c r="Q606" s="822"/>
      <c r="R606" s="822"/>
      <c r="S606" s="822"/>
      <c r="T606" s="822"/>
      <c r="U606" s="822"/>
      <c r="V606" s="822"/>
    </row>
    <row r="607" spans="1:22" ht="15.75" thickBot="1" x14ac:dyDescent="0.3">
      <c r="A607" s="51" t="s">
        <v>1022</v>
      </c>
      <c r="B607" s="51" t="s">
        <v>19</v>
      </c>
      <c r="C607" s="51" t="s">
        <v>431</v>
      </c>
      <c r="D607" s="51" t="s">
        <v>15</v>
      </c>
      <c r="E607" s="51" t="s">
        <v>1025</v>
      </c>
      <c r="F607" s="148">
        <v>1040</v>
      </c>
      <c r="G607" s="56">
        <v>100838</v>
      </c>
      <c r="H607" s="56">
        <v>73186</v>
      </c>
      <c r="I607" s="56">
        <v>47410.02</v>
      </c>
      <c r="J607" s="56">
        <v>67089.2</v>
      </c>
      <c r="K607" s="56">
        <v>49713.79</v>
      </c>
      <c r="L607" s="56">
        <v>48934.69</v>
      </c>
      <c r="M607" s="56">
        <v>83.04</v>
      </c>
      <c r="N607" s="823"/>
      <c r="O607" s="823"/>
      <c r="P607" s="823"/>
      <c r="Q607" s="823"/>
      <c r="R607" s="823"/>
      <c r="S607" s="823"/>
      <c r="T607" s="823"/>
      <c r="U607" s="823"/>
      <c r="V607" s="823"/>
    </row>
    <row r="608" spans="1:22" ht="15.75" thickBot="1" x14ac:dyDescent="0.3">
      <c r="A608" s="51" t="s">
        <v>1022</v>
      </c>
      <c r="B608" s="51" t="s">
        <v>19</v>
      </c>
      <c r="C608" s="51" t="s">
        <v>431</v>
      </c>
      <c r="D608" s="51" t="s">
        <v>21</v>
      </c>
      <c r="E608" s="51" t="s">
        <v>1025</v>
      </c>
      <c r="F608" s="148">
        <v>1</v>
      </c>
      <c r="G608" s="56">
        <v>23</v>
      </c>
      <c r="H608" s="823"/>
      <c r="I608" s="56">
        <v>59.1</v>
      </c>
      <c r="J608" s="823"/>
      <c r="K608" s="56">
        <v>7.05</v>
      </c>
      <c r="L608" s="56">
        <v>6.41</v>
      </c>
      <c r="M608" s="56">
        <v>0.01</v>
      </c>
      <c r="N608" s="823"/>
      <c r="O608" s="823"/>
      <c r="P608" s="823"/>
      <c r="Q608" s="823"/>
      <c r="R608" s="823"/>
      <c r="S608" s="823"/>
      <c r="T608" s="823"/>
      <c r="U608" s="823"/>
      <c r="V608" s="823"/>
    </row>
    <row r="609" spans="1:22" ht="15.75" thickBot="1" x14ac:dyDescent="0.3">
      <c r="A609" s="51" t="s">
        <v>1022</v>
      </c>
      <c r="B609" s="51" t="s">
        <v>350</v>
      </c>
      <c r="C609" s="51" t="s">
        <v>432</v>
      </c>
      <c r="D609" s="51" t="s">
        <v>12</v>
      </c>
      <c r="E609" s="51" t="s">
        <v>1025</v>
      </c>
      <c r="F609" s="148">
        <v>1</v>
      </c>
      <c r="G609" s="56">
        <v>212</v>
      </c>
      <c r="H609" s="823"/>
      <c r="I609" s="56">
        <v>65.010000000000005</v>
      </c>
      <c r="J609" s="823"/>
      <c r="K609" s="56">
        <v>65.02</v>
      </c>
      <c r="L609" s="56">
        <v>62.04</v>
      </c>
      <c r="M609" s="56">
        <v>0.1</v>
      </c>
      <c r="N609" s="823"/>
      <c r="O609" s="823"/>
      <c r="P609" s="823"/>
      <c r="Q609" s="823"/>
      <c r="R609" s="823"/>
      <c r="S609" s="823"/>
      <c r="T609" s="823"/>
      <c r="U609" s="823"/>
      <c r="V609" s="823"/>
    </row>
    <row r="610" spans="1:22" ht="15.75" thickBot="1" x14ac:dyDescent="0.3">
      <c r="A610" s="51" t="s">
        <v>1022</v>
      </c>
      <c r="B610" s="51" t="s">
        <v>599</v>
      </c>
      <c r="C610" s="51" t="s">
        <v>600</v>
      </c>
      <c r="D610" s="51" t="s">
        <v>12</v>
      </c>
      <c r="E610" s="51" t="s">
        <v>1025</v>
      </c>
      <c r="F610" s="147">
        <v>608</v>
      </c>
      <c r="G610" s="54">
        <v>601</v>
      </c>
      <c r="H610" s="822"/>
      <c r="I610" s="54">
        <v>35292.550000000003</v>
      </c>
      <c r="J610" s="822"/>
      <c r="K610" s="54">
        <v>186.31</v>
      </c>
      <c r="L610" s="54">
        <v>163.63</v>
      </c>
      <c r="M610" s="54">
        <v>0</v>
      </c>
      <c r="N610" s="822"/>
      <c r="O610" s="822"/>
      <c r="P610" s="822"/>
      <c r="Q610" s="822"/>
      <c r="R610" s="822"/>
      <c r="S610" s="822"/>
      <c r="T610" s="822"/>
      <c r="U610" s="822"/>
      <c r="V610" s="822"/>
    </row>
    <row r="611" spans="1:22" ht="15.75" thickBot="1" x14ac:dyDescent="0.3">
      <c r="A611" s="51" t="s">
        <v>1022</v>
      </c>
      <c r="B611" s="51" t="s">
        <v>13</v>
      </c>
      <c r="C611" s="51" t="s">
        <v>228</v>
      </c>
      <c r="D611" s="51" t="s">
        <v>12</v>
      </c>
      <c r="E611" s="51" t="s">
        <v>1025</v>
      </c>
      <c r="F611" s="148">
        <v>1</v>
      </c>
      <c r="G611" s="56">
        <v>10818</v>
      </c>
      <c r="H611" s="823"/>
      <c r="I611" s="56">
        <v>500</v>
      </c>
      <c r="J611" s="823"/>
      <c r="K611" s="56">
        <v>1151.47</v>
      </c>
      <c r="L611" s="56">
        <v>2907.35</v>
      </c>
      <c r="M611" s="56">
        <v>5.19</v>
      </c>
      <c r="N611" s="823"/>
      <c r="O611" s="823"/>
      <c r="P611" s="823"/>
      <c r="Q611" s="823"/>
      <c r="R611" s="823"/>
      <c r="S611" s="823"/>
      <c r="T611" s="823"/>
      <c r="U611" s="823"/>
      <c r="V611" s="823"/>
    </row>
    <row r="612" spans="1:22" ht="15.75" thickBot="1" x14ac:dyDescent="0.3">
      <c r="A612" s="51" t="s">
        <v>1022</v>
      </c>
      <c r="B612" s="51" t="s">
        <v>13</v>
      </c>
      <c r="C612" s="51" t="s">
        <v>228</v>
      </c>
      <c r="D612" s="51" t="s">
        <v>15</v>
      </c>
      <c r="E612" s="51" t="s">
        <v>1025</v>
      </c>
      <c r="F612" s="147">
        <v>1</v>
      </c>
      <c r="G612" s="54">
        <v>31775</v>
      </c>
      <c r="H612" s="822"/>
      <c r="I612" s="54">
        <v>500</v>
      </c>
      <c r="J612" s="822"/>
      <c r="K612" s="54">
        <v>3382.13</v>
      </c>
      <c r="L612" s="54">
        <v>9220.42</v>
      </c>
      <c r="M612" s="54">
        <v>15.25</v>
      </c>
      <c r="N612" s="822"/>
      <c r="O612" s="822"/>
      <c r="P612" s="822"/>
      <c r="Q612" s="822"/>
      <c r="R612" s="822"/>
      <c r="S612" s="822"/>
      <c r="T612" s="822"/>
      <c r="U612" s="822"/>
      <c r="V612" s="822"/>
    </row>
    <row r="613" spans="1:22" ht="15.75" thickBot="1" x14ac:dyDescent="0.3">
      <c r="A613" s="51" t="s">
        <v>1022</v>
      </c>
      <c r="B613" s="51" t="s">
        <v>563</v>
      </c>
      <c r="C613" s="51" t="s">
        <v>607</v>
      </c>
      <c r="D613" s="51" t="s">
        <v>15</v>
      </c>
      <c r="E613" s="51" t="s">
        <v>1025</v>
      </c>
      <c r="F613" s="147">
        <v>1</v>
      </c>
      <c r="G613" s="54">
        <v>152</v>
      </c>
      <c r="H613" s="822"/>
      <c r="I613" s="54">
        <v>285</v>
      </c>
      <c r="J613" s="822"/>
      <c r="K613" s="54">
        <v>5.48</v>
      </c>
      <c r="L613" s="54">
        <v>46.38</v>
      </c>
      <c r="M613" s="54">
        <v>7.0000000000000007E-2</v>
      </c>
      <c r="N613" s="822"/>
      <c r="O613" s="822"/>
      <c r="P613" s="54">
        <v>15862.74</v>
      </c>
      <c r="Q613" s="822"/>
      <c r="R613" s="822"/>
      <c r="S613" s="822"/>
      <c r="T613" s="822"/>
      <c r="U613" s="822"/>
      <c r="V613" s="822"/>
    </row>
    <row r="614" spans="1:22" ht="15.75" thickBot="1" x14ac:dyDescent="0.3">
      <c r="A614" s="51" t="s">
        <v>1022</v>
      </c>
      <c r="B614" s="51" t="s">
        <v>43</v>
      </c>
      <c r="C614" s="51" t="s">
        <v>433</v>
      </c>
      <c r="D614" s="51" t="s">
        <v>12</v>
      </c>
      <c r="E614" s="51" t="s">
        <v>1025</v>
      </c>
      <c r="F614" s="148">
        <v>2</v>
      </c>
      <c r="G614" s="56">
        <v>12</v>
      </c>
      <c r="H614" s="823"/>
      <c r="I614" s="56">
        <v>330</v>
      </c>
      <c r="J614" s="823"/>
      <c r="K614" s="56">
        <v>0.36</v>
      </c>
      <c r="L614" s="56">
        <v>3.31</v>
      </c>
      <c r="M614" s="823"/>
      <c r="N614" s="823"/>
      <c r="O614" s="823"/>
      <c r="P614" s="56">
        <v>1078.8800000000001</v>
      </c>
      <c r="Q614" s="823"/>
      <c r="R614" s="823"/>
      <c r="S614" s="823"/>
      <c r="T614" s="823"/>
      <c r="U614" s="823"/>
      <c r="V614" s="823"/>
    </row>
    <row r="615" spans="1:22" ht="15.75" thickBot="1" x14ac:dyDescent="0.3">
      <c r="A615" s="51" t="s">
        <v>1022</v>
      </c>
      <c r="B615" s="51" t="s">
        <v>43</v>
      </c>
      <c r="C615" s="51" t="s">
        <v>433</v>
      </c>
      <c r="D615" s="51" t="s">
        <v>15</v>
      </c>
      <c r="E615" s="51" t="s">
        <v>1025</v>
      </c>
      <c r="F615" s="147">
        <v>1</v>
      </c>
      <c r="G615" s="54">
        <v>58</v>
      </c>
      <c r="H615" s="822"/>
      <c r="I615" s="54">
        <v>165</v>
      </c>
      <c r="J615" s="822"/>
      <c r="K615" s="54">
        <v>1.74</v>
      </c>
      <c r="L615" s="54">
        <v>16.63</v>
      </c>
      <c r="M615" s="822"/>
      <c r="N615" s="822"/>
      <c r="O615" s="822"/>
      <c r="P615" s="54">
        <v>672.44</v>
      </c>
      <c r="Q615" s="822"/>
      <c r="R615" s="822"/>
      <c r="S615" s="822"/>
      <c r="T615" s="822"/>
      <c r="U615" s="822"/>
      <c r="V615" s="822"/>
    </row>
    <row r="616" spans="1:22" ht="15.75" thickBot="1" x14ac:dyDescent="0.3">
      <c r="A616" s="51" t="s">
        <v>1022</v>
      </c>
      <c r="B616" s="51" t="s">
        <v>34</v>
      </c>
      <c r="C616" s="51" t="s">
        <v>437</v>
      </c>
      <c r="D616" s="51" t="s">
        <v>318</v>
      </c>
      <c r="E616" s="51" t="s">
        <v>963</v>
      </c>
      <c r="F616" s="147">
        <v>7</v>
      </c>
      <c r="G616" s="54">
        <v>251027</v>
      </c>
      <c r="H616" s="822"/>
      <c r="I616" s="822"/>
      <c r="J616" s="822"/>
      <c r="K616" s="822"/>
      <c r="L616" s="822"/>
      <c r="M616" s="822"/>
      <c r="N616" s="822"/>
      <c r="O616" s="822"/>
      <c r="P616" s="822"/>
      <c r="Q616" s="822"/>
      <c r="R616" s="54">
        <v>16423.73</v>
      </c>
      <c r="S616" s="54">
        <v>0</v>
      </c>
      <c r="T616" s="822"/>
      <c r="U616" s="54">
        <v>3850</v>
      </c>
      <c r="V616" s="54">
        <v>0</v>
      </c>
    </row>
    <row r="617" spans="1:22" ht="15.75" thickBot="1" x14ac:dyDescent="0.3">
      <c r="A617" s="51" t="s">
        <v>1022</v>
      </c>
      <c r="B617" s="51" t="s">
        <v>34</v>
      </c>
      <c r="C617" s="51" t="s">
        <v>437</v>
      </c>
      <c r="D617" s="51" t="s">
        <v>319</v>
      </c>
      <c r="E617" s="51" t="s">
        <v>963</v>
      </c>
      <c r="F617" s="148">
        <v>2</v>
      </c>
      <c r="G617" s="56">
        <v>77422</v>
      </c>
      <c r="H617" s="823"/>
      <c r="I617" s="823"/>
      <c r="J617" s="823"/>
      <c r="K617" s="823"/>
      <c r="L617" s="823"/>
      <c r="M617" s="823"/>
      <c r="N617" s="823"/>
      <c r="O617" s="823"/>
      <c r="P617" s="823"/>
      <c r="Q617" s="823"/>
      <c r="R617" s="56">
        <v>5416.84</v>
      </c>
      <c r="S617" s="56">
        <v>-141.75</v>
      </c>
      <c r="T617" s="56">
        <v>-9.08</v>
      </c>
      <c r="U617" s="56">
        <v>1100</v>
      </c>
      <c r="V617" s="56">
        <v>29.8</v>
      </c>
    </row>
    <row r="618" spans="1:22" ht="15.75" thickBot="1" x14ac:dyDescent="0.3">
      <c r="A618" s="51" t="s">
        <v>1022</v>
      </c>
      <c r="B618" s="51" t="s">
        <v>24</v>
      </c>
      <c r="C618" s="51" t="s">
        <v>436</v>
      </c>
      <c r="D618" s="51" t="s">
        <v>16</v>
      </c>
      <c r="E618" s="51" t="s">
        <v>963</v>
      </c>
      <c r="F618" s="148">
        <v>1</v>
      </c>
      <c r="G618" s="56">
        <v>0</v>
      </c>
      <c r="H618" s="56">
        <v>-57869</v>
      </c>
      <c r="I618" s="56">
        <v>0</v>
      </c>
      <c r="J618" s="56">
        <v>0</v>
      </c>
      <c r="K618" s="56">
        <v>-9796.64</v>
      </c>
      <c r="L618" s="56">
        <v>-14704.52</v>
      </c>
      <c r="M618" s="823"/>
      <c r="N618" s="823"/>
      <c r="O618" s="823"/>
      <c r="P618" s="823"/>
      <c r="Q618" s="823"/>
      <c r="R618" s="823"/>
      <c r="S618" s="823"/>
      <c r="T618" s="823"/>
      <c r="U618" s="823"/>
      <c r="V618" s="823"/>
    </row>
    <row r="619" spans="1:22" ht="15.75" thickBot="1" x14ac:dyDescent="0.3">
      <c r="A619" s="51" t="s">
        <v>1022</v>
      </c>
      <c r="B619" s="51" t="s">
        <v>24</v>
      </c>
      <c r="C619" s="51" t="s">
        <v>436</v>
      </c>
      <c r="D619" s="51" t="s">
        <v>16</v>
      </c>
      <c r="E619" s="51" t="s">
        <v>1025</v>
      </c>
      <c r="F619" s="147">
        <v>76</v>
      </c>
      <c r="G619" s="54">
        <v>32986</v>
      </c>
      <c r="H619" s="54">
        <v>231450</v>
      </c>
      <c r="I619" s="54">
        <v>4915.9399999999996</v>
      </c>
      <c r="J619" s="54">
        <v>32746.560000000001</v>
      </c>
      <c r="K619" s="54">
        <v>46415.72</v>
      </c>
      <c r="L619" s="54">
        <v>74132.27</v>
      </c>
      <c r="M619" s="822"/>
      <c r="N619" s="822"/>
      <c r="O619" s="822"/>
      <c r="P619" s="822"/>
      <c r="Q619" s="822"/>
      <c r="R619" s="822"/>
      <c r="S619" s="822"/>
      <c r="T619" s="822"/>
      <c r="U619" s="822"/>
      <c r="V619" s="822"/>
    </row>
    <row r="620" spans="1:22" ht="15.75" thickBot="1" x14ac:dyDescent="0.3">
      <c r="A620" s="51" t="s">
        <v>1022</v>
      </c>
      <c r="B620" s="51" t="s">
        <v>24</v>
      </c>
      <c r="C620" s="51" t="s">
        <v>436</v>
      </c>
      <c r="D620" s="51" t="s">
        <v>12</v>
      </c>
      <c r="E620" s="51" t="s">
        <v>1025</v>
      </c>
      <c r="F620" s="147">
        <v>8</v>
      </c>
      <c r="G620" s="54">
        <v>3458</v>
      </c>
      <c r="H620" s="54">
        <v>15682</v>
      </c>
      <c r="I620" s="54">
        <v>953.92</v>
      </c>
      <c r="J620" s="54">
        <v>1429.12</v>
      </c>
      <c r="K620" s="54">
        <v>3413.1</v>
      </c>
      <c r="L620" s="54">
        <v>5548.4</v>
      </c>
      <c r="M620" s="822"/>
      <c r="N620" s="822"/>
      <c r="O620" s="822"/>
      <c r="P620" s="822"/>
      <c r="Q620" s="822"/>
      <c r="R620" s="822"/>
      <c r="S620" s="822"/>
      <c r="T620" s="822"/>
      <c r="U620" s="822"/>
      <c r="V620" s="822"/>
    </row>
    <row r="621" spans="1:22" ht="15.75" thickBot="1" x14ac:dyDescent="0.3">
      <c r="A621" s="51" t="s">
        <v>1022</v>
      </c>
      <c r="B621" s="51" t="s">
        <v>24</v>
      </c>
      <c r="C621" s="51" t="s">
        <v>436</v>
      </c>
      <c r="D621" s="51" t="s">
        <v>15</v>
      </c>
      <c r="E621" s="51" t="s">
        <v>1025</v>
      </c>
      <c r="F621" s="148">
        <v>3</v>
      </c>
      <c r="G621" s="56">
        <v>50</v>
      </c>
      <c r="H621" s="823"/>
      <c r="I621" s="56">
        <v>308.94</v>
      </c>
      <c r="J621" s="56">
        <v>788.48</v>
      </c>
      <c r="K621" s="56">
        <v>10.97</v>
      </c>
      <c r="L621" s="56">
        <v>13.88</v>
      </c>
      <c r="M621" s="823"/>
      <c r="N621" s="823"/>
      <c r="O621" s="823"/>
      <c r="P621" s="823"/>
      <c r="Q621" s="823"/>
      <c r="R621" s="823"/>
      <c r="S621" s="823"/>
      <c r="T621" s="823"/>
      <c r="U621" s="823"/>
      <c r="V621" s="823"/>
    </row>
    <row r="622" spans="1:22" ht="15.75" thickBot="1" x14ac:dyDescent="0.3">
      <c r="A622" s="51" t="s">
        <v>1022</v>
      </c>
      <c r="B622" s="51" t="s">
        <v>434</v>
      </c>
      <c r="C622" s="51" t="s">
        <v>435</v>
      </c>
      <c r="D622" s="51" t="s">
        <v>16</v>
      </c>
      <c r="E622" s="51" t="s">
        <v>952</v>
      </c>
      <c r="F622" s="148">
        <v>1</v>
      </c>
      <c r="G622" s="56">
        <v>-91</v>
      </c>
      <c r="H622" s="823"/>
      <c r="I622" s="56">
        <v>0</v>
      </c>
      <c r="J622" s="823"/>
      <c r="K622" s="56">
        <v>-19.95</v>
      </c>
      <c r="L622" s="56">
        <v>-23.12</v>
      </c>
      <c r="M622" s="56">
        <v>-0.04</v>
      </c>
      <c r="N622" s="823"/>
      <c r="O622" s="823"/>
      <c r="P622" s="823"/>
      <c r="Q622" s="823"/>
      <c r="R622" s="823"/>
      <c r="S622" s="823"/>
      <c r="T622" s="823"/>
      <c r="U622" s="823"/>
      <c r="V622" s="823"/>
    </row>
    <row r="623" spans="1:22" ht="15.75" thickBot="1" x14ac:dyDescent="0.3">
      <c r="A623" s="51" t="s">
        <v>1022</v>
      </c>
      <c r="B623" s="51" t="s">
        <v>434</v>
      </c>
      <c r="C623" s="51" t="s">
        <v>435</v>
      </c>
      <c r="D623" s="51" t="s">
        <v>16</v>
      </c>
      <c r="E623" s="51" t="s">
        <v>962</v>
      </c>
      <c r="F623" s="147">
        <v>1</v>
      </c>
      <c r="G623" s="54">
        <v>8</v>
      </c>
      <c r="H623" s="822"/>
      <c r="I623" s="54">
        <v>0</v>
      </c>
      <c r="J623" s="822"/>
      <c r="K623" s="54">
        <v>1.75</v>
      </c>
      <c r="L623" s="54">
        <v>2.0299999999999998</v>
      </c>
      <c r="M623" s="54">
        <v>0</v>
      </c>
      <c r="N623" s="822"/>
      <c r="O623" s="822"/>
      <c r="P623" s="822"/>
      <c r="Q623" s="822"/>
      <c r="R623" s="822"/>
      <c r="S623" s="822"/>
      <c r="T623" s="822"/>
      <c r="U623" s="822"/>
      <c r="V623" s="822"/>
    </row>
    <row r="624" spans="1:22" ht="15.75" thickBot="1" x14ac:dyDescent="0.3">
      <c r="A624" s="51" t="s">
        <v>1022</v>
      </c>
      <c r="B624" s="51" t="s">
        <v>434</v>
      </c>
      <c r="C624" s="51" t="s">
        <v>435</v>
      </c>
      <c r="D624" s="51" t="s">
        <v>16</v>
      </c>
      <c r="E624" s="51" t="s">
        <v>963</v>
      </c>
      <c r="F624" s="148">
        <v>3</v>
      </c>
      <c r="G624" s="56">
        <v>71</v>
      </c>
      <c r="H624" s="823"/>
      <c r="I624" s="56">
        <v>205.96</v>
      </c>
      <c r="J624" s="56">
        <v>689.92</v>
      </c>
      <c r="K624" s="56">
        <v>15.57</v>
      </c>
      <c r="L624" s="56">
        <v>18.04</v>
      </c>
      <c r="M624" s="56">
        <v>0.03</v>
      </c>
      <c r="N624" s="823"/>
      <c r="O624" s="823"/>
      <c r="P624" s="823"/>
      <c r="Q624" s="823"/>
      <c r="R624" s="823"/>
      <c r="S624" s="823"/>
      <c r="T624" s="823"/>
      <c r="U624" s="823"/>
      <c r="V624" s="823"/>
    </row>
    <row r="625" spans="1:22" ht="15.75" thickBot="1" x14ac:dyDescent="0.3">
      <c r="A625" s="51" t="s">
        <v>1022</v>
      </c>
      <c r="B625" s="51" t="s">
        <v>434</v>
      </c>
      <c r="C625" s="51" t="s">
        <v>435</v>
      </c>
      <c r="D625" s="51" t="s">
        <v>16</v>
      </c>
      <c r="E625" s="51" t="s">
        <v>1025</v>
      </c>
      <c r="F625" s="147">
        <v>119</v>
      </c>
      <c r="G625" s="54">
        <v>41296</v>
      </c>
      <c r="H625" s="54">
        <v>269232</v>
      </c>
      <c r="I625" s="54">
        <v>10661.14</v>
      </c>
      <c r="J625" s="54">
        <v>37847.040000000001</v>
      </c>
      <c r="K625" s="54">
        <v>54634.080000000002</v>
      </c>
      <c r="L625" s="54">
        <v>87551.67</v>
      </c>
      <c r="M625" s="54">
        <v>149</v>
      </c>
      <c r="N625" s="822"/>
      <c r="O625" s="822"/>
      <c r="P625" s="822"/>
      <c r="Q625" s="822"/>
      <c r="R625" s="822"/>
      <c r="S625" s="822"/>
      <c r="T625" s="822"/>
      <c r="U625" s="822"/>
      <c r="V625" s="822"/>
    </row>
    <row r="626" spans="1:22" ht="15.75" thickBot="1" x14ac:dyDescent="0.3">
      <c r="A626" s="51" t="s">
        <v>1022</v>
      </c>
      <c r="B626" s="51" t="s">
        <v>434</v>
      </c>
      <c r="C626" s="51" t="s">
        <v>435</v>
      </c>
      <c r="D626" s="51" t="s">
        <v>12</v>
      </c>
      <c r="E626" s="51" t="s">
        <v>1025</v>
      </c>
      <c r="F626" s="147">
        <v>11</v>
      </c>
      <c r="G626" s="54">
        <v>4115</v>
      </c>
      <c r="H626" s="54">
        <v>66952</v>
      </c>
      <c r="I626" s="54">
        <v>948.5</v>
      </c>
      <c r="J626" s="54">
        <v>3622.08</v>
      </c>
      <c r="K626" s="54">
        <v>12236.68</v>
      </c>
      <c r="L626" s="54">
        <v>19610.8</v>
      </c>
      <c r="M626" s="54">
        <v>34.119999999999997</v>
      </c>
      <c r="N626" s="822"/>
      <c r="O626" s="822"/>
      <c r="P626" s="822"/>
      <c r="Q626" s="822"/>
      <c r="R626" s="822"/>
      <c r="S626" s="822"/>
      <c r="T626" s="822"/>
      <c r="U626" s="822"/>
      <c r="V626" s="822"/>
    </row>
    <row r="627" spans="1:22" ht="15.75" thickBot="1" x14ac:dyDescent="0.3">
      <c r="A627" s="51" t="s">
        <v>1022</v>
      </c>
      <c r="B627" s="51" t="s">
        <v>429</v>
      </c>
      <c r="C627" s="51" t="s">
        <v>430</v>
      </c>
      <c r="D627" s="51" t="s">
        <v>16</v>
      </c>
      <c r="E627" s="51" t="s">
        <v>1025</v>
      </c>
      <c r="F627" s="147">
        <v>1</v>
      </c>
      <c r="G627" s="54">
        <v>33297</v>
      </c>
      <c r="H627" s="822"/>
      <c r="I627" s="54">
        <v>500</v>
      </c>
      <c r="J627" s="822"/>
      <c r="K627" s="54">
        <v>3544.13</v>
      </c>
      <c r="L627" s="54">
        <v>10045.27</v>
      </c>
      <c r="M627" s="54">
        <v>15.98</v>
      </c>
      <c r="N627" s="822"/>
      <c r="O627" s="822"/>
      <c r="P627" s="822"/>
      <c r="Q627" s="822"/>
      <c r="R627" s="822"/>
      <c r="S627" s="822"/>
      <c r="T627" s="822"/>
      <c r="U627" s="822"/>
      <c r="V627" s="822"/>
    </row>
    <row r="628" spans="1:22" ht="15.75" thickBot="1" x14ac:dyDescent="0.3">
      <c r="A628" s="51" t="s">
        <v>1022</v>
      </c>
      <c r="B628" s="51" t="s">
        <v>31</v>
      </c>
      <c r="C628" s="51" t="s">
        <v>835</v>
      </c>
      <c r="D628" s="51" t="s">
        <v>320</v>
      </c>
      <c r="E628" s="51" t="s">
        <v>963</v>
      </c>
      <c r="F628" s="148">
        <v>2</v>
      </c>
      <c r="G628" s="56">
        <v>2000</v>
      </c>
      <c r="H628" s="56">
        <v>80317</v>
      </c>
      <c r="I628" s="823"/>
      <c r="J628" s="823"/>
      <c r="K628" s="823"/>
      <c r="L628" s="823"/>
      <c r="M628" s="823"/>
      <c r="N628" s="823"/>
      <c r="O628" s="823"/>
      <c r="P628" s="823"/>
      <c r="Q628" s="56">
        <v>-695.74</v>
      </c>
      <c r="R628" s="56">
        <v>22646.49</v>
      </c>
      <c r="S628" s="56">
        <v>0</v>
      </c>
      <c r="T628" s="823"/>
      <c r="U628" s="56">
        <v>1100</v>
      </c>
      <c r="V628" s="823"/>
    </row>
    <row r="629" spans="1:22" ht="15.75" thickBot="1" x14ac:dyDescent="0.3">
      <c r="A629" s="51" t="s">
        <v>1022</v>
      </c>
      <c r="B629" s="51" t="s">
        <v>491</v>
      </c>
      <c r="C629" s="51" t="s">
        <v>492</v>
      </c>
      <c r="D629" s="51" t="s">
        <v>320</v>
      </c>
      <c r="E629" s="51" t="s">
        <v>963</v>
      </c>
      <c r="F629" s="147">
        <v>5</v>
      </c>
      <c r="G629" s="54">
        <v>4000</v>
      </c>
      <c r="H629" s="54">
        <v>169818</v>
      </c>
      <c r="I629" s="822"/>
      <c r="J629" s="822"/>
      <c r="K629" s="822"/>
      <c r="L629" s="822"/>
      <c r="M629" s="822"/>
      <c r="N629" s="822"/>
      <c r="O629" s="822"/>
      <c r="P629" s="822"/>
      <c r="Q629" s="822"/>
      <c r="R629" s="54">
        <v>48485.33</v>
      </c>
      <c r="S629" s="54">
        <v>0</v>
      </c>
      <c r="T629" s="822"/>
      <c r="U629" s="54">
        <v>2750</v>
      </c>
      <c r="V629" s="822"/>
    </row>
    <row r="630" spans="1:22" ht="15.75" thickBot="1" x14ac:dyDescent="0.3">
      <c r="A630" s="51" t="s">
        <v>1022</v>
      </c>
      <c r="B630" s="51" t="s">
        <v>491</v>
      </c>
      <c r="C630" s="51" t="s">
        <v>492</v>
      </c>
      <c r="D630" s="51" t="s">
        <v>320</v>
      </c>
      <c r="E630" s="51" t="s">
        <v>1025</v>
      </c>
      <c r="F630" s="148">
        <v>1</v>
      </c>
      <c r="G630" s="56">
        <v>1000</v>
      </c>
      <c r="H630" s="56">
        <v>52248</v>
      </c>
      <c r="I630" s="823"/>
      <c r="J630" s="823"/>
      <c r="K630" s="823"/>
      <c r="L630" s="823"/>
      <c r="M630" s="823"/>
      <c r="N630" s="823"/>
      <c r="O630" s="823"/>
      <c r="P630" s="823"/>
      <c r="Q630" s="823"/>
      <c r="R630" s="56">
        <v>14435.74</v>
      </c>
      <c r="S630" s="56">
        <v>0</v>
      </c>
      <c r="T630" s="823"/>
      <c r="U630" s="56">
        <v>550</v>
      </c>
      <c r="V630" s="823"/>
    </row>
    <row r="631" spans="1:22" ht="15.75" thickBot="1" x14ac:dyDescent="0.3">
      <c r="A631" s="51" t="s">
        <v>1022</v>
      </c>
      <c r="B631" s="51" t="s">
        <v>52</v>
      </c>
      <c r="C631" s="51" t="s">
        <v>355</v>
      </c>
      <c r="D631" s="51" t="s">
        <v>320</v>
      </c>
      <c r="E631" s="51" t="s">
        <v>963</v>
      </c>
      <c r="F631" s="148">
        <v>2</v>
      </c>
      <c r="G631" s="823"/>
      <c r="H631" s="823"/>
      <c r="I631" s="823"/>
      <c r="J631" s="823"/>
      <c r="K631" s="823"/>
      <c r="L631" s="823"/>
      <c r="M631" s="823"/>
      <c r="N631" s="823"/>
      <c r="O631" s="823"/>
      <c r="P631" s="823"/>
      <c r="Q631" s="823"/>
      <c r="R631" s="56">
        <v>0</v>
      </c>
      <c r="S631" s="56">
        <v>-4056.38</v>
      </c>
      <c r="T631" s="56">
        <v>46.9</v>
      </c>
      <c r="U631" s="56">
        <v>675</v>
      </c>
      <c r="V631" s="56">
        <v>0</v>
      </c>
    </row>
    <row r="632" spans="1:22" ht="15.75" thickBot="1" x14ac:dyDescent="0.3">
      <c r="A632" s="51" t="s">
        <v>1022</v>
      </c>
      <c r="B632" s="51" t="s">
        <v>53</v>
      </c>
      <c r="C632" s="51" t="s">
        <v>836</v>
      </c>
      <c r="D632" s="51" t="s">
        <v>320</v>
      </c>
      <c r="E632" s="51" t="s">
        <v>963</v>
      </c>
      <c r="F632" s="147">
        <v>1</v>
      </c>
      <c r="G632" s="54">
        <v>189</v>
      </c>
      <c r="H632" s="822"/>
      <c r="I632" s="822"/>
      <c r="J632" s="822"/>
      <c r="K632" s="822"/>
      <c r="L632" s="822"/>
      <c r="M632" s="822"/>
      <c r="N632" s="822"/>
      <c r="O632" s="822"/>
      <c r="P632" s="822"/>
      <c r="Q632" s="822"/>
      <c r="R632" s="54">
        <v>536.38</v>
      </c>
      <c r="S632" s="822"/>
      <c r="T632" s="822"/>
      <c r="U632" s="54">
        <v>550</v>
      </c>
      <c r="V632" s="822"/>
    </row>
    <row r="633" spans="1:22" ht="15.75" thickBot="1" x14ac:dyDescent="0.3">
      <c r="A633" s="51" t="s">
        <v>1022</v>
      </c>
      <c r="B633" s="51" t="s">
        <v>36</v>
      </c>
      <c r="C633" s="51" t="s">
        <v>438</v>
      </c>
      <c r="D633" s="51" t="s">
        <v>320</v>
      </c>
      <c r="E633" s="51" t="s">
        <v>963</v>
      </c>
      <c r="F633" s="148">
        <v>48</v>
      </c>
      <c r="G633" s="56">
        <v>6232130</v>
      </c>
      <c r="H633" s="823"/>
      <c r="I633" s="823"/>
      <c r="J633" s="823"/>
      <c r="K633" s="823"/>
      <c r="L633" s="823"/>
      <c r="M633" s="823"/>
      <c r="N633" s="823"/>
      <c r="O633" s="823"/>
      <c r="P633" s="823"/>
      <c r="Q633" s="823"/>
      <c r="R633" s="56">
        <v>380830.05</v>
      </c>
      <c r="S633" s="56">
        <v>-1193.1500000000001</v>
      </c>
      <c r="T633" s="56">
        <v>25.72</v>
      </c>
      <c r="U633" s="56">
        <v>26400</v>
      </c>
      <c r="V633" s="56">
        <v>344.6</v>
      </c>
    </row>
    <row r="634" spans="1:22" ht="15.75" thickBot="1" x14ac:dyDescent="0.3">
      <c r="A634" s="51" t="s">
        <v>1022</v>
      </c>
      <c r="B634" s="51" t="s">
        <v>36</v>
      </c>
      <c r="C634" s="51" t="s">
        <v>438</v>
      </c>
      <c r="D634" s="51" t="s">
        <v>319</v>
      </c>
      <c r="E634" s="51" t="s">
        <v>963</v>
      </c>
      <c r="F634" s="147">
        <v>2</v>
      </c>
      <c r="G634" s="54">
        <v>368584</v>
      </c>
      <c r="H634" s="822"/>
      <c r="I634" s="822"/>
      <c r="J634" s="822"/>
      <c r="K634" s="822"/>
      <c r="L634" s="822"/>
      <c r="M634" s="822"/>
      <c r="N634" s="822"/>
      <c r="O634" s="822"/>
      <c r="P634" s="822"/>
      <c r="Q634" s="822"/>
      <c r="R634" s="54">
        <v>21688.98</v>
      </c>
      <c r="S634" s="54">
        <v>0</v>
      </c>
      <c r="T634" s="822"/>
      <c r="U634" s="54">
        <v>1100</v>
      </c>
      <c r="V634" s="54">
        <v>0</v>
      </c>
    </row>
    <row r="635" spans="1:22" ht="15.75" thickBot="1" x14ac:dyDescent="0.3">
      <c r="A635" s="51" t="s">
        <v>1022</v>
      </c>
      <c r="B635" s="51" t="s">
        <v>447</v>
      </c>
      <c r="C635" s="51" t="s">
        <v>494</v>
      </c>
      <c r="D635" s="51" t="s">
        <v>320</v>
      </c>
      <c r="E635" s="51" t="s">
        <v>963</v>
      </c>
      <c r="F635" s="147">
        <v>16</v>
      </c>
      <c r="G635" s="54">
        <v>702817</v>
      </c>
      <c r="H635" s="822"/>
      <c r="I635" s="822"/>
      <c r="J635" s="822"/>
      <c r="K635" s="822"/>
      <c r="L635" s="822"/>
      <c r="M635" s="822"/>
      <c r="N635" s="822"/>
      <c r="O635" s="822"/>
      <c r="P635" s="822"/>
      <c r="Q635" s="822"/>
      <c r="R635" s="54">
        <v>40627.120000000003</v>
      </c>
      <c r="S635" s="54">
        <v>0</v>
      </c>
      <c r="T635" s="822"/>
      <c r="U635" s="54">
        <v>8323.33</v>
      </c>
      <c r="V635" s="54">
        <v>0</v>
      </c>
    </row>
    <row r="636" spans="1:22" ht="15.75" thickBot="1" x14ac:dyDescent="0.3">
      <c r="A636" s="51" t="s">
        <v>1022</v>
      </c>
      <c r="B636" s="51" t="s">
        <v>38</v>
      </c>
      <c r="C636" s="51" t="s">
        <v>39</v>
      </c>
      <c r="D636" s="51" t="s">
        <v>320</v>
      </c>
      <c r="E636" s="51" t="s">
        <v>963</v>
      </c>
      <c r="F636" s="148">
        <v>3</v>
      </c>
      <c r="G636" s="823"/>
      <c r="H636" s="823"/>
      <c r="I636" s="823"/>
      <c r="J636" s="823"/>
      <c r="K636" s="823"/>
      <c r="L636" s="823"/>
      <c r="M636" s="823"/>
      <c r="N636" s="823"/>
      <c r="O636" s="823"/>
      <c r="P636" s="823"/>
      <c r="Q636" s="823"/>
      <c r="R636" s="56">
        <v>16600.34</v>
      </c>
      <c r="S636" s="56">
        <v>-5856.62</v>
      </c>
      <c r="T636" s="56">
        <v>2074.2600000000002</v>
      </c>
      <c r="U636" s="56">
        <v>5325</v>
      </c>
      <c r="V636" s="56">
        <v>4977.3500000000004</v>
      </c>
    </row>
    <row r="637" spans="1:22" ht="15.75" thickBot="1" x14ac:dyDescent="0.3">
      <c r="A637" s="51" t="s">
        <v>1022</v>
      </c>
      <c r="B637" s="51" t="s">
        <v>32</v>
      </c>
      <c r="C637" s="51" t="s">
        <v>33</v>
      </c>
      <c r="D637" s="51" t="s">
        <v>85</v>
      </c>
      <c r="E637" s="51" t="s">
        <v>1025</v>
      </c>
      <c r="F637" s="147">
        <v>1</v>
      </c>
      <c r="G637" s="54">
        <v>125866</v>
      </c>
      <c r="H637" s="822"/>
      <c r="I637" s="54">
        <v>0</v>
      </c>
      <c r="J637" s="54">
        <v>750</v>
      </c>
      <c r="K637" s="54">
        <v>3765.91</v>
      </c>
      <c r="L637" s="54">
        <v>38409.269999999997</v>
      </c>
      <c r="M637" s="822"/>
      <c r="N637" s="822"/>
      <c r="O637" s="822"/>
      <c r="P637" s="54">
        <v>180467.57</v>
      </c>
      <c r="Q637" s="822"/>
      <c r="R637" s="822"/>
      <c r="S637" s="822"/>
      <c r="T637" s="822"/>
      <c r="U637" s="822"/>
      <c r="V637" s="822"/>
    </row>
    <row r="638" spans="1:22" ht="15.75" thickBot="1" x14ac:dyDescent="0.3">
      <c r="A638" s="51" t="s">
        <v>1022</v>
      </c>
      <c r="B638" s="51" t="s">
        <v>26</v>
      </c>
      <c r="C638" s="51" t="s">
        <v>27</v>
      </c>
      <c r="D638" s="51" t="s">
        <v>12</v>
      </c>
      <c r="E638" s="51" t="s">
        <v>1025</v>
      </c>
      <c r="F638" s="148">
        <v>8</v>
      </c>
      <c r="G638" s="56">
        <v>46</v>
      </c>
      <c r="H638" s="823"/>
      <c r="I638" s="56">
        <v>157.30000000000001</v>
      </c>
      <c r="J638" s="823"/>
      <c r="K638" s="56">
        <v>16.91</v>
      </c>
      <c r="L638" s="56">
        <v>13.38</v>
      </c>
      <c r="M638" s="56">
        <v>-7.0000000000000007E-2</v>
      </c>
      <c r="N638" s="823"/>
      <c r="O638" s="823"/>
      <c r="P638" s="823"/>
      <c r="Q638" s="823"/>
      <c r="R638" s="823"/>
      <c r="S638" s="823"/>
      <c r="T638" s="823"/>
      <c r="U638" s="823"/>
      <c r="V638" s="823"/>
    </row>
    <row r="639" spans="1:22" ht="15.75" thickBot="1" x14ac:dyDescent="0.3">
      <c r="A639" s="51" t="s">
        <v>1022</v>
      </c>
      <c r="B639" s="51" t="s">
        <v>26</v>
      </c>
      <c r="C639" s="51" t="s">
        <v>27</v>
      </c>
      <c r="D639" s="51" t="s">
        <v>15</v>
      </c>
      <c r="E639" s="51" t="s">
        <v>963</v>
      </c>
      <c r="F639" s="147">
        <v>1</v>
      </c>
      <c r="G639" s="54">
        <v>12</v>
      </c>
      <c r="H639" s="822"/>
      <c r="I639" s="54">
        <v>21.45</v>
      </c>
      <c r="J639" s="822"/>
      <c r="K639" s="54">
        <v>4.41</v>
      </c>
      <c r="L639" s="54">
        <v>3.05</v>
      </c>
      <c r="M639" s="54">
        <v>-0.02</v>
      </c>
      <c r="N639" s="822"/>
      <c r="O639" s="822"/>
      <c r="P639" s="822"/>
      <c r="Q639" s="822"/>
      <c r="R639" s="822"/>
      <c r="S639" s="822"/>
      <c r="T639" s="822"/>
      <c r="U639" s="822"/>
      <c r="V639" s="822"/>
    </row>
    <row r="640" spans="1:22" ht="15.75" thickBot="1" x14ac:dyDescent="0.3">
      <c r="A640" s="51" t="s">
        <v>1022</v>
      </c>
      <c r="B640" s="51" t="s">
        <v>26</v>
      </c>
      <c r="C640" s="51" t="s">
        <v>27</v>
      </c>
      <c r="D640" s="51" t="s">
        <v>15</v>
      </c>
      <c r="E640" s="51" t="s">
        <v>1025</v>
      </c>
      <c r="F640" s="148">
        <v>147</v>
      </c>
      <c r="G640" s="56">
        <v>1489</v>
      </c>
      <c r="H640" s="823"/>
      <c r="I640" s="56">
        <v>2822.3</v>
      </c>
      <c r="J640" s="823"/>
      <c r="K640" s="56">
        <v>547.69000000000005</v>
      </c>
      <c r="L640" s="56">
        <v>408.42</v>
      </c>
      <c r="M640" s="56">
        <v>-2.33</v>
      </c>
      <c r="N640" s="823"/>
      <c r="O640" s="823"/>
      <c r="P640" s="823"/>
      <c r="Q640" s="823"/>
      <c r="R640" s="823"/>
      <c r="S640" s="823"/>
      <c r="T640" s="823"/>
      <c r="U640" s="823"/>
      <c r="V640" s="823"/>
    </row>
    <row r="641" spans="1:22" ht="15.75" thickBot="1" x14ac:dyDescent="0.3">
      <c r="A641" s="51" t="s">
        <v>1022</v>
      </c>
      <c r="B641" s="51" t="s">
        <v>26</v>
      </c>
      <c r="C641" s="51" t="s">
        <v>27</v>
      </c>
      <c r="D641" s="51" t="s">
        <v>21</v>
      </c>
      <c r="E641" s="51" t="s">
        <v>856</v>
      </c>
      <c r="F641" s="148">
        <v>1</v>
      </c>
      <c r="G641" s="56">
        <v>0</v>
      </c>
      <c r="H641" s="823"/>
      <c r="I641" s="56">
        <v>-8.7200000000000006</v>
      </c>
      <c r="J641" s="823"/>
      <c r="K641" s="56">
        <v>0</v>
      </c>
      <c r="L641" s="56">
        <v>0</v>
      </c>
      <c r="M641" s="56">
        <v>0</v>
      </c>
      <c r="N641" s="823"/>
      <c r="O641" s="823"/>
      <c r="P641" s="823"/>
      <c r="Q641" s="823"/>
      <c r="R641" s="823"/>
      <c r="S641" s="823"/>
      <c r="T641" s="823"/>
      <c r="U641" s="823"/>
      <c r="V641" s="823"/>
    </row>
    <row r="642" spans="1:22" ht="15.75" thickBot="1" x14ac:dyDescent="0.3">
      <c r="A642" s="51" t="s">
        <v>1022</v>
      </c>
      <c r="B642" s="51" t="s">
        <v>26</v>
      </c>
      <c r="C642" s="51" t="s">
        <v>27</v>
      </c>
      <c r="D642" s="51" t="s">
        <v>21</v>
      </c>
      <c r="E642" s="51" t="s">
        <v>632</v>
      </c>
      <c r="F642" s="147">
        <v>1</v>
      </c>
      <c r="G642" s="54">
        <v>0</v>
      </c>
      <c r="H642" s="822"/>
      <c r="I642" s="54">
        <v>-16.350000000000001</v>
      </c>
      <c r="J642" s="822"/>
      <c r="K642" s="54">
        <v>0</v>
      </c>
      <c r="L642" s="54">
        <v>0</v>
      </c>
      <c r="M642" s="54">
        <v>0</v>
      </c>
      <c r="N642" s="822"/>
      <c r="O642" s="822"/>
      <c r="P642" s="822"/>
      <c r="Q642" s="822"/>
      <c r="R642" s="822"/>
      <c r="S642" s="822"/>
      <c r="T642" s="822"/>
      <c r="U642" s="822"/>
      <c r="V642" s="822"/>
    </row>
    <row r="643" spans="1:22" ht="15.75" thickBot="1" x14ac:dyDescent="0.3">
      <c r="A643" s="51" t="s">
        <v>1022</v>
      </c>
      <c r="B643" s="51" t="s">
        <v>26</v>
      </c>
      <c r="C643" s="51" t="s">
        <v>27</v>
      </c>
      <c r="D643" s="51" t="s">
        <v>21</v>
      </c>
      <c r="E643" s="51" t="s">
        <v>644</v>
      </c>
      <c r="F643" s="148">
        <v>1</v>
      </c>
      <c r="G643" s="56">
        <v>0</v>
      </c>
      <c r="H643" s="823"/>
      <c r="I643" s="56">
        <v>-16.350000000000001</v>
      </c>
      <c r="J643" s="823"/>
      <c r="K643" s="56">
        <v>0</v>
      </c>
      <c r="L643" s="56">
        <v>0</v>
      </c>
      <c r="M643" s="56">
        <v>0</v>
      </c>
      <c r="N643" s="823"/>
      <c r="O643" s="823"/>
      <c r="P643" s="823"/>
      <c r="Q643" s="823"/>
      <c r="R643" s="823"/>
      <c r="S643" s="823"/>
      <c r="T643" s="823"/>
      <c r="U643" s="823"/>
      <c r="V643" s="823"/>
    </row>
    <row r="644" spans="1:22" ht="15.75" thickBot="1" x14ac:dyDescent="0.3">
      <c r="A644" s="51" t="s">
        <v>1022</v>
      </c>
      <c r="B644" s="51" t="s">
        <v>26</v>
      </c>
      <c r="C644" s="51" t="s">
        <v>27</v>
      </c>
      <c r="D644" s="51" t="s">
        <v>21</v>
      </c>
      <c r="E644" s="51" t="s">
        <v>653</v>
      </c>
      <c r="F644" s="147">
        <v>1</v>
      </c>
      <c r="G644" s="54">
        <v>0</v>
      </c>
      <c r="H644" s="822"/>
      <c r="I644" s="54">
        <v>-16.350000000000001</v>
      </c>
      <c r="J644" s="822"/>
      <c r="K644" s="54">
        <v>0</v>
      </c>
      <c r="L644" s="54">
        <v>0</v>
      </c>
      <c r="M644" s="54">
        <v>0</v>
      </c>
      <c r="N644" s="822"/>
      <c r="O644" s="822"/>
      <c r="P644" s="822"/>
      <c r="Q644" s="822"/>
      <c r="R644" s="822"/>
      <c r="S644" s="822"/>
      <c r="T644" s="822"/>
      <c r="U644" s="822"/>
      <c r="V644" s="822"/>
    </row>
    <row r="645" spans="1:22" ht="15.75" thickBot="1" x14ac:dyDescent="0.3">
      <c r="A645" s="51" t="s">
        <v>1022</v>
      </c>
      <c r="B645" s="51" t="s">
        <v>26</v>
      </c>
      <c r="C645" s="51" t="s">
        <v>27</v>
      </c>
      <c r="D645" s="51" t="s">
        <v>21</v>
      </c>
      <c r="E645" s="51" t="s">
        <v>674</v>
      </c>
      <c r="F645" s="148">
        <v>1</v>
      </c>
      <c r="G645" s="56">
        <v>0</v>
      </c>
      <c r="H645" s="823"/>
      <c r="I645" s="56">
        <v>-16.350000000000001</v>
      </c>
      <c r="J645" s="823"/>
      <c r="K645" s="56">
        <v>0</v>
      </c>
      <c r="L645" s="56">
        <v>0</v>
      </c>
      <c r="M645" s="56">
        <v>0</v>
      </c>
      <c r="N645" s="823"/>
      <c r="O645" s="823"/>
      <c r="P645" s="823"/>
      <c r="Q645" s="823"/>
      <c r="R645" s="823"/>
      <c r="S645" s="823"/>
      <c r="T645" s="823"/>
      <c r="U645" s="823"/>
      <c r="V645" s="823"/>
    </row>
    <row r="646" spans="1:22" ht="15.75" thickBot="1" x14ac:dyDescent="0.3">
      <c r="A646" s="51" t="s">
        <v>1022</v>
      </c>
      <c r="B646" s="51" t="s">
        <v>26</v>
      </c>
      <c r="C646" s="51" t="s">
        <v>27</v>
      </c>
      <c r="D646" s="51" t="s">
        <v>21</v>
      </c>
      <c r="E646" s="51" t="s">
        <v>837</v>
      </c>
      <c r="F646" s="147">
        <v>1</v>
      </c>
      <c r="G646" s="54">
        <v>0</v>
      </c>
      <c r="H646" s="822"/>
      <c r="I646" s="54">
        <v>-16.350000000000001</v>
      </c>
      <c r="J646" s="822"/>
      <c r="K646" s="54">
        <v>0</v>
      </c>
      <c r="L646" s="54">
        <v>0</v>
      </c>
      <c r="M646" s="54">
        <v>0</v>
      </c>
      <c r="N646" s="822"/>
      <c r="O646" s="822"/>
      <c r="P646" s="822"/>
      <c r="Q646" s="822"/>
      <c r="R646" s="822"/>
      <c r="S646" s="822"/>
      <c r="T646" s="822"/>
      <c r="U646" s="822"/>
      <c r="V646" s="822"/>
    </row>
    <row r="647" spans="1:22" ht="15.75" thickBot="1" x14ac:dyDescent="0.3">
      <c r="A647" s="51" t="s">
        <v>1022</v>
      </c>
      <c r="B647" s="51" t="s">
        <v>26</v>
      </c>
      <c r="C647" s="51" t="s">
        <v>27</v>
      </c>
      <c r="D647" s="51" t="s">
        <v>21</v>
      </c>
      <c r="E647" s="51" t="s">
        <v>838</v>
      </c>
      <c r="F647" s="148">
        <v>1</v>
      </c>
      <c r="G647" s="56">
        <v>0</v>
      </c>
      <c r="H647" s="823"/>
      <c r="I647" s="56">
        <v>-16.350000000000001</v>
      </c>
      <c r="J647" s="823"/>
      <c r="K647" s="56">
        <v>0</v>
      </c>
      <c r="L647" s="56">
        <v>0</v>
      </c>
      <c r="M647" s="56">
        <v>0</v>
      </c>
      <c r="N647" s="823"/>
      <c r="O647" s="823"/>
      <c r="P647" s="823"/>
      <c r="Q647" s="823"/>
      <c r="R647" s="823"/>
      <c r="S647" s="823"/>
      <c r="T647" s="823"/>
      <c r="U647" s="823"/>
      <c r="V647" s="823"/>
    </row>
    <row r="648" spans="1:22" ht="15.75" thickBot="1" x14ac:dyDescent="0.3">
      <c r="A648" s="51" t="s">
        <v>1022</v>
      </c>
      <c r="B648" s="51" t="s">
        <v>26</v>
      </c>
      <c r="C648" s="51" t="s">
        <v>27</v>
      </c>
      <c r="D648" s="51" t="s">
        <v>21</v>
      </c>
      <c r="E648" s="51" t="s">
        <v>839</v>
      </c>
      <c r="F648" s="147">
        <v>1</v>
      </c>
      <c r="G648" s="54">
        <v>0</v>
      </c>
      <c r="H648" s="822"/>
      <c r="I648" s="54">
        <v>-16.350000000000001</v>
      </c>
      <c r="J648" s="822"/>
      <c r="K648" s="54">
        <v>0</v>
      </c>
      <c r="L648" s="54">
        <v>0</v>
      </c>
      <c r="M648" s="54">
        <v>0</v>
      </c>
      <c r="N648" s="822"/>
      <c r="O648" s="822"/>
      <c r="P648" s="822"/>
      <c r="Q648" s="822"/>
      <c r="R648" s="822"/>
      <c r="S648" s="822"/>
      <c r="T648" s="822"/>
      <c r="U648" s="822"/>
      <c r="V648" s="822"/>
    </row>
    <row r="649" spans="1:22" ht="15.75" thickBot="1" x14ac:dyDescent="0.3">
      <c r="A649" s="51" t="s">
        <v>1022</v>
      </c>
      <c r="B649" s="51" t="s">
        <v>26</v>
      </c>
      <c r="C649" s="51" t="s">
        <v>27</v>
      </c>
      <c r="D649" s="51" t="s">
        <v>21</v>
      </c>
      <c r="E649" s="51" t="s">
        <v>840</v>
      </c>
      <c r="F649" s="148">
        <v>1</v>
      </c>
      <c r="G649" s="56">
        <v>0</v>
      </c>
      <c r="H649" s="823"/>
      <c r="I649" s="56">
        <v>-16.350000000000001</v>
      </c>
      <c r="J649" s="823"/>
      <c r="K649" s="56">
        <v>0</v>
      </c>
      <c r="L649" s="56">
        <v>0</v>
      </c>
      <c r="M649" s="56">
        <v>0</v>
      </c>
      <c r="N649" s="823"/>
      <c r="O649" s="823"/>
      <c r="P649" s="823"/>
      <c r="Q649" s="823"/>
      <c r="R649" s="823"/>
      <c r="S649" s="823"/>
      <c r="T649" s="823"/>
      <c r="U649" s="823"/>
      <c r="V649" s="823"/>
    </row>
    <row r="650" spans="1:22" ht="15.75" thickBot="1" x14ac:dyDescent="0.3">
      <c r="A650" s="51" t="s">
        <v>1022</v>
      </c>
      <c r="B650" s="51" t="s">
        <v>26</v>
      </c>
      <c r="C650" s="51" t="s">
        <v>27</v>
      </c>
      <c r="D650" s="51" t="s">
        <v>21</v>
      </c>
      <c r="E650" s="51" t="s">
        <v>841</v>
      </c>
      <c r="F650" s="147">
        <v>1</v>
      </c>
      <c r="G650" s="54">
        <v>0</v>
      </c>
      <c r="H650" s="822"/>
      <c r="I650" s="54">
        <v>-16.350000000000001</v>
      </c>
      <c r="J650" s="822"/>
      <c r="K650" s="54">
        <v>0</v>
      </c>
      <c r="L650" s="54">
        <v>0</v>
      </c>
      <c r="M650" s="54">
        <v>0</v>
      </c>
      <c r="N650" s="54">
        <v>0</v>
      </c>
      <c r="O650" s="822"/>
      <c r="P650" s="822"/>
      <c r="Q650" s="822"/>
      <c r="R650" s="822"/>
      <c r="S650" s="822"/>
      <c r="T650" s="822"/>
      <c r="U650" s="822"/>
      <c r="V650" s="822"/>
    </row>
    <row r="651" spans="1:22" ht="15.75" thickBot="1" x14ac:dyDescent="0.3">
      <c r="A651" s="51" t="s">
        <v>1022</v>
      </c>
      <c r="B651" s="51" t="s">
        <v>26</v>
      </c>
      <c r="C651" s="51" t="s">
        <v>27</v>
      </c>
      <c r="D651" s="51" t="s">
        <v>21</v>
      </c>
      <c r="E651" s="51" t="s">
        <v>842</v>
      </c>
      <c r="F651" s="148">
        <v>1</v>
      </c>
      <c r="G651" s="56">
        <v>0</v>
      </c>
      <c r="H651" s="823"/>
      <c r="I651" s="56">
        <v>-16.350000000000001</v>
      </c>
      <c r="J651" s="823"/>
      <c r="K651" s="56">
        <v>0</v>
      </c>
      <c r="L651" s="56">
        <v>0</v>
      </c>
      <c r="M651" s="56">
        <v>0</v>
      </c>
      <c r="N651" s="56">
        <v>0</v>
      </c>
      <c r="O651" s="823"/>
      <c r="P651" s="823"/>
      <c r="Q651" s="823"/>
      <c r="R651" s="823"/>
      <c r="S651" s="823"/>
      <c r="T651" s="823"/>
      <c r="U651" s="823"/>
      <c r="V651" s="823"/>
    </row>
    <row r="652" spans="1:22" ht="15.75" thickBot="1" x14ac:dyDescent="0.3">
      <c r="A652" s="51" t="s">
        <v>1022</v>
      </c>
      <c r="B652" s="51" t="s">
        <v>26</v>
      </c>
      <c r="C652" s="51" t="s">
        <v>27</v>
      </c>
      <c r="D652" s="51" t="s">
        <v>21</v>
      </c>
      <c r="E652" s="51" t="s">
        <v>821</v>
      </c>
      <c r="F652" s="147">
        <v>1</v>
      </c>
      <c r="G652" s="54">
        <v>0</v>
      </c>
      <c r="H652" s="822"/>
      <c r="I652" s="54">
        <v>-16.350000000000001</v>
      </c>
      <c r="J652" s="822"/>
      <c r="K652" s="54">
        <v>0</v>
      </c>
      <c r="L652" s="54">
        <v>0</v>
      </c>
      <c r="M652" s="54">
        <v>0</v>
      </c>
      <c r="N652" s="54">
        <v>0</v>
      </c>
      <c r="O652" s="822"/>
      <c r="P652" s="822"/>
      <c r="Q652" s="822"/>
      <c r="R652" s="822"/>
      <c r="S652" s="822"/>
      <c r="T652" s="822"/>
      <c r="U652" s="822"/>
      <c r="V652" s="822"/>
    </row>
    <row r="653" spans="1:22" ht="15.75" thickBot="1" x14ac:dyDescent="0.3">
      <c r="A653" s="51" t="s">
        <v>1022</v>
      </c>
      <c r="B653" s="51" t="s">
        <v>26</v>
      </c>
      <c r="C653" s="51" t="s">
        <v>27</v>
      </c>
      <c r="D653" s="51" t="s">
        <v>21</v>
      </c>
      <c r="E653" s="51" t="s">
        <v>822</v>
      </c>
      <c r="F653" s="148">
        <v>1</v>
      </c>
      <c r="G653" s="56">
        <v>0</v>
      </c>
      <c r="H653" s="823"/>
      <c r="I653" s="56">
        <v>-16.350000000000001</v>
      </c>
      <c r="J653" s="823"/>
      <c r="K653" s="56">
        <v>0</v>
      </c>
      <c r="L653" s="56">
        <v>0</v>
      </c>
      <c r="M653" s="56">
        <v>0</v>
      </c>
      <c r="N653" s="56">
        <v>0</v>
      </c>
      <c r="O653" s="823"/>
      <c r="P653" s="823"/>
      <c r="Q653" s="823"/>
      <c r="R653" s="823"/>
      <c r="S653" s="823"/>
      <c r="T653" s="823"/>
      <c r="U653" s="823"/>
      <c r="V653" s="823"/>
    </row>
    <row r="654" spans="1:22" ht="15.75" thickBot="1" x14ac:dyDescent="0.3">
      <c r="A654" s="51" t="s">
        <v>1022</v>
      </c>
      <c r="B654" s="51" t="s">
        <v>26</v>
      </c>
      <c r="C654" s="51" t="s">
        <v>27</v>
      </c>
      <c r="D654" s="51" t="s">
        <v>21</v>
      </c>
      <c r="E654" s="51" t="s">
        <v>823</v>
      </c>
      <c r="F654" s="147">
        <v>2</v>
      </c>
      <c r="G654" s="54">
        <v>63</v>
      </c>
      <c r="H654" s="822"/>
      <c r="I654" s="54">
        <v>-16.350000000000001</v>
      </c>
      <c r="J654" s="822"/>
      <c r="K654" s="54">
        <v>22.87</v>
      </c>
      <c r="L654" s="54">
        <v>26.53</v>
      </c>
      <c r="M654" s="54">
        <v>0.28000000000000003</v>
      </c>
      <c r="N654" s="54">
        <v>-2.4500000000000002</v>
      </c>
      <c r="O654" s="822"/>
      <c r="P654" s="822"/>
      <c r="Q654" s="822"/>
      <c r="R654" s="822"/>
      <c r="S654" s="822"/>
      <c r="T654" s="822"/>
      <c r="U654" s="822"/>
      <c r="V654" s="822"/>
    </row>
    <row r="655" spans="1:22" ht="15.75" thickBot="1" x14ac:dyDescent="0.3">
      <c r="A655" s="51" t="s">
        <v>1022</v>
      </c>
      <c r="B655" s="51" t="s">
        <v>26</v>
      </c>
      <c r="C655" s="51" t="s">
        <v>27</v>
      </c>
      <c r="D655" s="51" t="s">
        <v>21</v>
      </c>
      <c r="E655" s="51" t="s">
        <v>824</v>
      </c>
      <c r="F655" s="148">
        <v>2</v>
      </c>
      <c r="G655" s="56">
        <v>62</v>
      </c>
      <c r="H655" s="823"/>
      <c r="I655" s="56">
        <v>-16.350000000000001</v>
      </c>
      <c r="J655" s="823"/>
      <c r="K655" s="56">
        <v>22.51</v>
      </c>
      <c r="L655" s="56">
        <v>26.1</v>
      </c>
      <c r="M655" s="56">
        <v>0.16</v>
      </c>
      <c r="N655" s="56">
        <v>-1.57</v>
      </c>
      <c r="O655" s="823"/>
      <c r="P655" s="823"/>
      <c r="Q655" s="823"/>
      <c r="R655" s="823"/>
      <c r="S655" s="823"/>
      <c r="T655" s="823"/>
      <c r="U655" s="823"/>
      <c r="V655" s="823"/>
    </row>
    <row r="656" spans="1:22" ht="15.75" thickBot="1" x14ac:dyDescent="0.3">
      <c r="A656" s="51" t="s">
        <v>1022</v>
      </c>
      <c r="B656" s="51" t="s">
        <v>26</v>
      </c>
      <c r="C656" s="51" t="s">
        <v>27</v>
      </c>
      <c r="D656" s="51" t="s">
        <v>21</v>
      </c>
      <c r="E656" s="51" t="s">
        <v>825</v>
      </c>
      <c r="F656" s="147">
        <v>2</v>
      </c>
      <c r="G656" s="54">
        <v>16</v>
      </c>
      <c r="H656" s="822"/>
      <c r="I656" s="54">
        <v>-18.3</v>
      </c>
      <c r="J656" s="822"/>
      <c r="K656" s="54">
        <v>5.83</v>
      </c>
      <c r="L656" s="54">
        <v>6.81</v>
      </c>
      <c r="M656" s="54">
        <v>-0.03</v>
      </c>
      <c r="N656" s="822"/>
      <c r="O656" s="822"/>
      <c r="P656" s="822"/>
      <c r="Q656" s="822"/>
      <c r="R656" s="822"/>
      <c r="S656" s="822"/>
      <c r="T656" s="822"/>
      <c r="U656" s="822"/>
      <c r="V656" s="822"/>
    </row>
    <row r="657" spans="1:22" ht="15.75" thickBot="1" x14ac:dyDescent="0.3">
      <c r="A657" s="51" t="s">
        <v>1022</v>
      </c>
      <c r="B657" s="51" t="s">
        <v>26</v>
      </c>
      <c r="C657" s="51" t="s">
        <v>27</v>
      </c>
      <c r="D657" s="51" t="s">
        <v>21</v>
      </c>
      <c r="E657" s="51" t="s">
        <v>826</v>
      </c>
      <c r="F657" s="148">
        <v>2</v>
      </c>
      <c r="G657" s="56">
        <v>7</v>
      </c>
      <c r="H657" s="823"/>
      <c r="I657" s="56">
        <v>-20.149999999999999</v>
      </c>
      <c r="J657" s="823"/>
      <c r="K657" s="56">
        <v>2.57</v>
      </c>
      <c r="L657" s="56">
        <v>3.05</v>
      </c>
      <c r="M657" s="56">
        <v>-0.02</v>
      </c>
      <c r="N657" s="823"/>
      <c r="O657" s="823"/>
      <c r="P657" s="823"/>
      <c r="Q657" s="823"/>
      <c r="R657" s="823"/>
      <c r="S657" s="823"/>
      <c r="T657" s="823"/>
      <c r="U657" s="823"/>
      <c r="V657" s="823"/>
    </row>
    <row r="658" spans="1:22" ht="15.75" thickBot="1" x14ac:dyDescent="0.3">
      <c r="A658" s="51" t="s">
        <v>1022</v>
      </c>
      <c r="B658" s="51" t="s">
        <v>26</v>
      </c>
      <c r="C658" s="51" t="s">
        <v>27</v>
      </c>
      <c r="D658" s="51" t="s">
        <v>21</v>
      </c>
      <c r="E658" s="51" t="s">
        <v>827</v>
      </c>
      <c r="F658" s="147">
        <v>2</v>
      </c>
      <c r="G658" s="54">
        <v>6</v>
      </c>
      <c r="H658" s="822"/>
      <c r="I658" s="54">
        <v>-20.8</v>
      </c>
      <c r="J658" s="822"/>
      <c r="K658" s="54">
        <v>2.21</v>
      </c>
      <c r="L658" s="54">
        <v>2.62</v>
      </c>
      <c r="M658" s="54">
        <v>-0.01</v>
      </c>
      <c r="N658" s="822"/>
      <c r="O658" s="822"/>
      <c r="P658" s="822"/>
      <c r="Q658" s="822"/>
      <c r="R658" s="822"/>
      <c r="S658" s="822"/>
      <c r="T658" s="822"/>
      <c r="U658" s="822"/>
      <c r="V658" s="822"/>
    </row>
    <row r="659" spans="1:22" ht="15.75" thickBot="1" x14ac:dyDescent="0.3">
      <c r="A659" s="51" t="s">
        <v>1022</v>
      </c>
      <c r="B659" s="51" t="s">
        <v>26</v>
      </c>
      <c r="C659" s="51" t="s">
        <v>27</v>
      </c>
      <c r="D659" s="51" t="s">
        <v>21</v>
      </c>
      <c r="E659" s="51" t="s">
        <v>828</v>
      </c>
      <c r="F659" s="148">
        <v>2</v>
      </c>
      <c r="G659" s="56">
        <v>5</v>
      </c>
      <c r="H659" s="823"/>
      <c r="I659" s="56">
        <v>-18.2</v>
      </c>
      <c r="J659" s="823"/>
      <c r="K659" s="56">
        <v>1.84</v>
      </c>
      <c r="L659" s="56">
        <v>2.0099999999999998</v>
      </c>
      <c r="M659" s="56">
        <v>-0.01</v>
      </c>
      <c r="N659" s="823"/>
      <c r="O659" s="823"/>
      <c r="P659" s="823"/>
      <c r="Q659" s="823"/>
      <c r="R659" s="823"/>
      <c r="S659" s="823"/>
      <c r="T659" s="823"/>
      <c r="U659" s="823"/>
      <c r="V659" s="823"/>
    </row>
    <row r="660" spans="1:22" ht="15.75" thickBot="1" x14ac:dyDescent="0.3">
      <c r="A660" s="51" t="s">
        <v>1022</v>
      </c>
      <c r="B660" s="51" t="s">
        <v>26</v>
      </c>
      <c r="C660" s="51" t="s">
        <v>27</v>
      </c>
      <c r="D660" s="51" t="s">
        <v>21</v>
      </c>
      <c r="E660" s="51" t="s">
        <v>829</v>
      </c>
      <c r="F660" s="147">
        <v>2</v>
      </c>
      <c r="G660" s="54">
        <v>7</v>
      </c>
      <c r="H660" s="822"/>
      <c r="I660" s="54">
        <v>-19.5</v>
      </c>
      <c r="J660" s="822"/>
      <c r="K660" s="54">
        <v>2.57</v>
      </c>
      <c r="L660" s="54">
        <v>2.44</v>
      </c>
      <c r="M660" s="54">
        <v>-0.02</v>
      </c>
      <c r="N660" s="822"/>
      <c r="O660" s="822"/>
      <c r="P660" s="822"/>
      <c r="Q660" s="822"/>
      <c r="R660" s="822"/>
      <c r="S660" s="822"/>
      <c r="T660" s="822"/>
      <c r="U660" s="822"/>
      <c r="V660" s="822"/>
    </row>
    <row r="661" spans="1:22" ht="15.75" thickBot="1" x14ac:dyDescent="0.3">
      <c r="A661" s="51" t="s">
        <v>1022</v>
      </c>
      <c r="B661" s="51" t="s">
        <v>26</v>
      </c>
      <c r="C661" s="51" t="s">
        <v>27</v>
      </c>
      <c r="D661" s="51" t="s">
        <v>21</v>
      </c>
      <c r="E661" s="51" t="s">
        <v>830</v>
      </c>
      <c r="F661" s="148">
        <v>2</v>
      </c>
      <c r="G661" s="56">
        <v>4</v>
      </c>
      <c r="H661" s="823"/>
      <c r="I661" s="56">
        <v>-18.2</v>
      </c>
      <c r="J661" s="823"/>
      <c r="K661" s="56">
        <v>1.47</v>
      </c>
      <c r="L661" s="56">
        <v>1.39</v>
      </c>
      <c r="M661" s="56">
        <v>-0.01</v>
      </c>
      <c r="N661" s="823"/>
      <c r="O661" s="823"/>
      <c r="P661" s="823"/>
      <c r="Q661" s="823"/>
      <c r="R661" s="823"/>
      <c r="S661" s="823"/>
      <c r="T661" s="823"/>
      <c r="U661" s="823"/>
      <c r="V661" s="823"/>
    </row>
    <row r="662" spans="1:22" ht="15.75" thickBot="1" x14ac:dyDescent="0.3">
      <c r="A662" s="51" t="s">
        <v>1022</v>
      </c>
      <c r="B662" s="51" t="s">
        <v>26</v>
      </c>
      <c r="C662" s="51" t="s">
        <v>27</v>
      </c>
      <c r="D662" s="51" t="s">
        <v>21</v>
      </c>
      <c r="E662" s="51" t="s">
        <v>831</v>
      </c>
      <c r="F662" s="147">
        <v>4</v>
      </c>
      <c r="G662" s="54">
        <v>20</v>
      </c>
      <c r="H662" s="822"/>
      <c r="I662" s="54">
        <v>-18.850000000000001</v>
      </c>
      <c r="J662" s="822"/>
      <c r="K662" s="54">
        <v>7.36</v>
      </c>
      <c r="L662" s="54">
        <v>7.12</v>
      </c>
      <c r="M662" s="54">
        <v>-0.04</v>
      </c>
      <c r="N662" s="54">
        <v>-0.96</v>
      </c>
      <c r="O662" s="822"/>
      <c r="P662" s="822"/>
      <c r="Q662" s="822"/>
      <c r="R662" s="822"/>
      <c r="S662" s="822"/>
      <c r="T662" s="822"/>
      <c r="U662" s="822"/>
      <c r="V662" s="822"/>
    </row>
    <row r="663" spans="1:22" ht="15.75" thickBot="1" x14ac:dyDescent="0.3">
      <c r="A663" s="51" t="s">
        <v>1022</v>
      </c>
      <c r="B663" s="51" t="s">
        <v>26</v>
      </c>
      <c r="C663" s="51" t="s">
        <v>27</v>
      </c>
      <c r="D663" s="51" t="s">
        <v>21</v>
      </c>
      <c r="E663" s="51" t="s">
        <v>832</v>
      </c>
      <c r="F663" s="148">
        <v>10</v>
      </c>
      <c r="G663" s="56">
        <v>-181</v>
      </c>
      <c r="H663" s="823"/>
      <c r="I663" s="56">
        <v>-22.75</v>
      </c>
      <c r="J663" s="823"/>
      <c r="K663" s="56">
        <v>-66.56</v>
      </c>
      <c r="L663" s="56">
        <v>-69.510000000000005</v>
      </c>
      <c r="M663" s="56">
        <v>0.43</v>
      </c>
      <c r="N663" s="56">
        <v>-15.9</v>
      </c>
      <c r="O663" s="823"/>
      <c r="P663" s="823"/>
      <c r="Q663" s="823"/>
      <c r="R663" s="823"/>
      <c r="S663" s="823"/>
      <c r="T663" s="823"/>
      <c r="U663" s="823"/>
      <c r="V663" s="823"/>
    </row>
    <row r="664" spans="1:22" ht="15.75" thickBot="1" x14ac:dyDescent="0.3">
      <c r="A664" s="51" t="s">
        <v>1022</v>
      </c>
      <c r="B664" s="51" t="s">
        <v>26</v>
      </c>
      <c r="C664" s="51" t="s">
        <v>27</v>
      </c>
      <c r="D664" s="51" t="s">
        <v>21</v>
      </c>
      <c r="E664" s="51" t="s">
        <v>833</v>
      </c>
      <c r="F664" s="147">
        <v>15</v>
      </c>
      <c r="G664" s="54">
        <v>13</v>
      </c>
      <c r="H664" s="822"/>
      <c r="I664" s="54">
        <v>-20.8</v>
      </c>
      <c r="J664" s="822"/>
      <c r="K664" s="54">
        <v>4.79</v>
      </c>
      <c r="L664" s="54">
        <v>4.99</v>
      </c>
      <c r="M664" s="54">
        <v>-0.06</v>
      </c>
      <c r="N664" s="54">
        <v>3.08</v>
      </c>
      <c r="O664" s="822"/>
      <c r="P664" s="822"/>
      <c r="Q664" s="822"/>
      <c r="R664" s="822"/>
      <c r="S664" s="822"/>
      <c r="T664" s="822"/>
      <c r="U664" s="822"/>
      <c r="V664" s="822"/>
    </row>
    <row r="665" spans="1:22" ht="15.75" thickBot="1" x14ac:dyDescent="0.3">
      <c r="A665" s="51" t="s">
        <v>1022</v>
      </c>
      <c r="B665" s="51" t="s">
        <v>26</v>
      </c>
      <c r="C665" s="51" t="s">
        <v>27</v>
      </c>
      <c r="D665" s="51" t="s">
        <v>21</v>
      </c>
      <c r="E665" s="51" t="s">
        <v>834</v>
      </c>
      <c r="F665" s="148">
        <v>28</v>
      </c>
      <c r="G665" s="56">
        <v>-390</v>
      </c>
      <c r="H665" s="823"/>
      <c r="I665" s="56">
        <v>-18.850000000000001</v>
      </c>
      <c r="J665" s="823"/>
      <c r="K665" s="56">
        <v>-143.43</v>
      </c>
      <c r="L665" s="56">
        <v>-133.99</v>
      </c>
      <c r="M665" s="56">
        <v>0.9</v>
      </c>
      <c r="N665" s="56">
        <v>-9.8699999999999992</v>
      </c>
      <c r="O665" s="823"/>
      <c r="P665" s="823"/>
      <c r="Q665" s="823"/>
      <c r="R665" s="823"/>
      <c r="S665" s="823"/>
      <c r="T665" s="823"/>
      <c r="U665" s="823"/>
      <c r="V665" s="823"/>
    </row>
    <row r="666" spans="1:22" ht="15.75" thickBot="1" x14ac:dyDescent="0.3">
      <c r="A666" s="51" t="s">
        <v>1022</v>
      </c>
      <c r="B666" s="51" t="s">
        <v>26</v>
      </c>
      <c r="C666" s="51" t="s">
        <v>27</v>
      </c>
      <c r="D666" s="51" t="s">
        <v>21</v>
      </c>
      <c r="E666" s="51" t="s">
        <v>857</v>
      </c>
      <c r="F666" s="147">
        <v>54</v>
      </c>
      <c r="G666" s="54">
        <v>-1640</v>
      </c>
      <c r="H666" s="822"/>
      <c r="I666" s="54">
        <v>-40.950000000000003</v>
      </c>
      <c r="J666" s="822"/>
      <c r="K666" s="54">
        <v>-603.25</v>
      </c>
      <c r="L666" s="54">
        <v>-557.69000000000005</v>
      </c>
      <c r="M666" s="54">
        <v>3.77</v>
      </c>
      <c r="N666" s="54">
        <v>-27.4</v>
      </c>
      <c r="O666" s="822"/>
      <c r="P666" s="822"/>
      <c r="Q666" s="822"/>
      <c r="R666" s="822"/>
      <c r="S666" s="822"/>
      <c r="T666" s="822"/>
      <c r="U666" s="822"/>
      <c r="V666" s="822"/>
    </row>
    <row r="667" spans="1:22" ht="15.75" thickBot="1" x14ac:dyDescent="0.3">
      <c r="A667" s="51" t="s">
        <v>1022</v>
      </c>
      <c r="B667" s="51" t="s">
        <v>26</v>
      </c>
      <c r="C667" s="51" t="s">
        <v>27</v>
      </c>
      <c r="D667" s="51" t="s">
        <v>21</v>
      </c>
      <c r="E667" s="51" t="s">
        <v>949</v>
      </c>
      <c r="F667" s="148">
        <v>87</v>
      </c>
      <c r="G667" s="56">
        <v>-1896</v>
      </c>
      <c r="H667" s="823"/>
      <c r="I667" s="56">
        <v>-3.25</v>
      </c>
      <c r="J667" s="823"/>
      <c r="K667" s="56">
        <v>-697.33</v>
      </c>
      <c r="L667" s="56">
        <v>-644.64</v>
      </c>
      <c r="M667" s="56">
        <v>3.83</v>
      </c>
      <c r="N667" s="56">
        <v>-126.09</v>
      </c>
      <c r="O667" s="823"/>
      <c r="P667" s="823"/>
      <c r="Q667" s="823"/>
      <c r="R667" s="823"/>
      <c r="S667" s="823"/>
      <c r="T667" s="823"/>
      <c r="U667" s="823"/>
      <c r="V667" s="823"/>
    </row>
    <row r="668" spans="1:22" ht="15.75" thickBot="1" x14ac:dyDescent="0.3">
      <c r="A668" s="51" t="s">
        <v>1022</v>
      </c>
      <c r="B668" s="51" t="s">
        <v>26</v>
      </c>
      <c r="C668" s="51" t="s">
        <v>27</v>
      </c>
      <c r="D668" s="51" t="s">
        <v>21</v>
      </c>
      <c r="E668" s="51" t="s">
        <v>952</v>
      </c>
      <c r="F668" s="147">
        <v>119</v>
      </c>
      <c r="G668" s="54">
        <v>-1966</v>
      </c>
      <c r="H668" s="822"/>
      <c r="I668" s="54">
        <v>-55.9</v>
      </c>
      <c r="J668" s="822"/>
      <c r="K668" s="54">
        <v>-723.11</v>
      </c>
      <c r="L668" s="54">
        <v>-575.47</v>
      </c>
      <c r="M668" s="54">
        <v>3.1</v>
      </c>
      <c r="N668" s="822"/>
      <c r="O668" s="822"/>
      <c r="P668" s="822"/>
      <c r="Q668" s="822"/>
      <c r="R668" s="822"/>
      <c r="S668" s="822"/>
      <c r="T668" s="822"/>
      <c r="U668" s="822"/>
      <c r="V668" s="822"/>
    </row>
    <row r="669" spans="1:22" ht="15.75" thickBot="1" x14ac:dyDescent="0.3">
      <c r="A669" s="51" t="s">
        <v>1022</v>
      </c>
      <c r="B669" s="51" t="s">
        <v>26</v>
      </c>
      <c r="C669" s="51" t="s">
        <v>27</v>
      </c>
      <c r="D669" s="51" t="s">
        <v>21</v>
      </c>
      <c r="E669" s="51" t="s">
        <v>962</v>
      </c>
      <c r="F669" s="148">
        <v>252</v>
      </c>
      <c r="G669" s="56">
        <v>-6992</v>
      </c>
      <c r="H669" s="823"/>
      <c r="I669" s="56">
        <v>42.9</v>
      </c>
      <c r="J669" s="823"/>
      <c r="K669" s="56">
        <v>-2571.86</v>
      </c>
      <c r="L669" s="56">
        <v>-1777.07</v>
      </c>
      <c r="M669" s="56">
        <v>11.01</v>
      </c>
      <c r="N669" s="823"/>
      <c r="O669" s="823"/>
      <c r="P669" s="823"/>
      <c r="Q669" s="823"/>
      <c r="R669" s="823"/>
      <c r="S669" s="823"/>
      <c r="T669" s="823"/>
      <c r="U669" s="823"/>
      <c r="V669" s="823"/>
    </row>
    <row r="670" spans="1:22" ht="15.75" thickBot="1" x14ac:dyDescent="0.3">
      <c r="A670" s="51" t="s">
        <v>1022</v>
      </c>
      <c r="B670" s="51" t="s">
        <v>26</v>
      </c>
      <c r="C670" s="51" t="s">
        <v>27</v>
      </c>
      <c r="D670" s="51" t="s">
        <v>21</v>
      </c>
      <c r="E670" s="51" t="s">
        <v>963</v>
      </c>
      <c r="F670" s="147">
        <v>1107</v>
      </c>
      <c r="G670" s="54">
        <v>-24308</v>
      </c>
      <c r="H670" s="822"/>
      <c r="I670" s="54">
        <v>5318.95</v>
      </c>
      <c r="J670" s="822"/>
      <c r="K670" s="54">
        <v>-8941.06</v>
      </c>
      <c r="L670" s="54">
        <v>-6176.97</v>
      </c>
      <c r="M670" s="54">
        <v>38.49</v>
      </c>
      <c r="N670" s="822"/>
      <c r="O670" s="822"/>
      <c r="P670" s="822"/>
      <c r="Q670" s="822"/>
      <c r="R670" s="822"/>
      <c r="S670" s="822"/>
      <c r="T670" s="822"/>
      <c r="U670" s="822"/>
      <c r="V670" s="822"/>
    </row>
    <row r="671" spans="1:22" ht="15.75" thickBot="1" x14ac:dyDescent="0.3">
      <c r="A671" s="51" t="s">
        <v>1022</v>
      </c>
      <c r="B671" s="51" t="s">
        <v>26</v>
      </c>
      <c r="C671" s="51" t="s">
        <v>27</v>
      </c>
      <c r="D671" s="51" t="s">
        <v>21</v>
      </c>
      <c r="E671" s="51" t="s">
        <v>1025</v>
      </c>
      <c r="F671" s="148">
        <v>300709</v>
      </c>
      <c r="G671" s="56">
        <v>3266035</v>
      </c>
      <c r="H671" s="823"/>
      <c r="I671" s="56">
        <v>5855182.4500000002</v>
      </c>
      <c r="J671" s="823"/>
      <c r="K671" s="56">
        <v>1201307.7</v>
      </c>
      <c r="L671" s="56">
        <v>916031.12</v>
      </c>
      <c r="M671" s="56">
        <v>-5129.37</v>
      </c>
      <c r="N671" s="823"/>
      <c r="O671" s="823"/>
      <c r="P671" s="823"/>
      <c r="Q671" s="823"/>
      <c r="R671" s="823"/>
      <c r="S671" s="823"/>
      <c r="T671" s="823"/>
      <c r="U671" s="823"/>
      <c r="V671" s="823"/>
    </row>
    <row r="672" spans="1:22" ht="15.75" thickBot="1" x14ac:dyDescent="0.3">
      <c r="A672" s="51" t="s">
        <v>1022</v>
      </c>
      <c r="B672" s="51" t="s">
        <v>28</v>
      </c>
      <c r="C672" s="51" t="s">
        <v>29</v>
      </c>
      <c r="D672" s="51" t="s">
        <v>15</v>
      </c>
      <c r="E672" s="51" t="s">
        <v>1025</v>
      </c>
      <c r="F672" s="147">
        <v>1</v>
      </c>
      <c r="G672" s="54">
        <v>105</v>
      </c>
      <c r="H672" s="822"/>
      <c r="I672" s="54">
        <v>20.149999999999999</v>
      </c>
      <c r="J672" s="822"/>
      <c r="K672" s="54">
        <v>38.619999999999997</v>
      </c>
      <c r="L672" s="54">
        <v>30.76</v>
      </c>
      <c r="M672" s="54">
        <v>-0.16</v>
      </c>
      <c r="N672" s="822"/>
      <c r="O672" s="822"/>
      <c r="P672" s="822"/>
      <c r="Q672" s="822"/>
      <c r="R672" s="822"/>
      <c r="S672" s="822"/>
      <c r="T672" s="822"/>
      <c r="U672" s="822"/>
      <c r="V672" s="822"/>
    </row>
    <row r="673" spans="1:22" ht="15.75" thickBot="1" x14ac:dyDescent="0.3">
      <c r="A673" s="51" t="s">
        <v>1022</v>
      </c>
      <c r="B673" s="51" t="s">
        <v>28</v>
      </c>
      <c r="C673" s="51" t="s">
        <v>29</v>
      </c>
      <c r="D673" s="51" t="s">
        <v>21</v>
      </c>
      <c r="E673" s="51" t="s">
        <v>1025</v>
      </c>
      <c r="F673" s="148">
        <v>2</v>
      </c>
      <c r="G673" s="56">
        <v>169</v>
      </c>
      <c r="H673" s="823"/>
      <c r="I673" s="56">
        <v>40.299999999999997</v>
      </c>
      <c r="J673" s="823"/>
      <c r="K673" s="56">
        <v>62.16</v>
      </c>
      <c r="L673" s="56">
        <v>46.73</v>
      </c>
      <c r="M673" s="56">
        <v>-0.27</v>
      </c>
      <c r="N673" s="823"/>
      <c r="O673" s="823"/>
      <c r="P673" s="823"/>
      <c r="Q673" s="823"/>
      <c r="R673" s="823"/>
      <c r="S673" s="823"/>
      <c r="T673" s="823"/>
      <c r="U673" s="823"/>
      <c r="V673" s="823"/>
    </row>
    <row r="675" spans="1:22" x14ac:dyDescent="0.25">
      <c r="F675" s="887">
        <f>SUM(F3:F673)</f>
        <v>1977045</v>
      </c>
      <c r="G675" s="887">
        <f>SUM(G3:G673)</f>
        <v>155071385</v>
      </c>
      <c r="H675" s="887">
        <f t="shared" ref="H675:V675" si="0">SUM(H3:H673)</f>
        <v>10767204</v>
      </c>
      <c r="I675" s="887">
        <f t="shared" si="0"/>
        <v>44599187.86999996</v>
      </c>
      <c r="J675" s="887">
        <f t="shared" si="0"/>
        <v>2503913.54</v>
      </c>
      <c r="K675" s="887">
        <f t="shared" si="0"/>
        <v>34787773.639999956</v>
      </c>
      <c r="L675" s="887">
        <f t="shared" si="0"/>
        <v>33180407.770000007</v>
      </c>
      <c r="M675" s="887">
        <f t="shared" si="0"/>
        <v>-114894.94000000005</v>
      </c>
      <c r="N675" s="887">
        <f t="shared" si="0"/>
        <v>1459473.5699999994</v>
      </c>
      <c r="O675" s="887">
        <f t="shared" si="0"/>
        <v>-1564.1000000000004</v>
      </c>
      <c r="P675" s="887">
        <f t="shared" si="0"/>
        <v>1203247.4799999997</v>
      </c>
      <c r="Q675" s="887">
        <f t="shared" si="0"/>
        <v>3271.2300000000005</v>
      </c>
      <c r="R675" s="887">
        <f t="shared" si="0"/>
        <v>3589821.0499999993</v>
      </c>
      <c r="S675" s="887">
        <f t="shared" si="0"/>
        <v>-110664.99999999999</v>
      </c>
      <c r="T675" s="887">
        <f t="shared" si="0"/>
        <v>111588.00999999998</v>
      </c>
      <c r="U675" s="887">
        <f t="shared" si="0"/>
        <v>310083.33</v>
      </c>
      <c r="V675" s="887">
        <f t="shared" si="0"/>
        <v>46749.930000000008</v>
      </c>
    </row>
    <row r="679" spans="1:22" x14ac:dyDescent="0.25">
      <c r="F679" s="887"/>
      <c r="G679" s="887"/>
    </row>
    <row r="681" spans="1:22" x14ac:dyDescent="0.25">
      <c r="C681" s="905"/>
    </row>
  </sheetData>
  <autoFilter ref="A2:V673" xr:uid="{DAC97AD0-080F-4A4D-9E20-95443855E4CB}">
    <filterColumn colId="1" showButton="0"/>
  </autoFilter>
  <mergeCells count="2">
    <mergeCell ref="A1:D1"/>
    <mergeCell ref="B2:C2"/>
  </mergeCells>
  <pageMargins left="0.7" right="0.7" top="0.75" bottom="0.75" header="0.3" footer="0.3"/>
  <pageSetup scale="3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tabColor theme="9" tint="0.39997558519241921"/>
    <pageSetUpPr fitToPage="1"/>
  </sheetPr>
  <dimension ref="A1:AL4655"/>
  <sheetViews>
    <sheetView workbookViewId="0">
      <selection activeCell="I16" sqref="I16"/>
    </sheetView>
  </sheetViews>
  <sheetFormatPr defaultRowHeight="21.75" customHeight="1" x14ac:dyDescent="0.25"/>
  <cols>
    <col min="1" max="1" width="15.140625" customWidth="1"/>
    <col min="2" max="2" width="13" customWidth="1"/>
    <col min="3" max="3" width="31.7109375" bestFit="1" customWidth="1"/>
    <col min="4" max="4" width="34.140625" customWidth="1"/>
    <col min="5" max="5" width="14.85546875" bestFit="1" customWidth="1"/>
    <col min="6" max="6" width="26.7109375" bestFit="1" customWidth="1"/>
    <col min="7" max="7" width="12.85546875" bestFit="1" customWidth="1"/>
    <col min="8" max="8" width="10.85546875" bestFit="1" customWidth="1"/>
    <col min="9" max="9" width="14.140625" customWidth="1"/>
    <col min="10" max="10" width="13.5703125" customWidth="1"/>
    <col min="11" max="12" width="15.28515625" customWidth="1"/>
    <col min="13" max="13" width="17.85546875" customWidth="1"/>
    <col min="14" max="14" width="14.7109375" bestFit="1" customWidth="1"/>
    <col min="15" max="15" width="8.7109375" customWidth="1"/>
    <col min="16" max="16" width="10.85546875" bestFit="1" customWidth="1"/>
    <col min="17" max="17" width="9.7109375" bestFit="1" customWidth="1"/>
    <col min="18" max="18" width="10.85546875" bestFit="1" customWidth="1"/>
    <col min="19" max="19" width="8.42578125" customWidth="1"/>
    <col min="20" max="20" width="9.28515625" bestFit="1" customWidth="1"/>
    <col min="21" max="22" width="7.85546875" customWidth="1"/>
    <col min="23" max="23" width="13.140625" customWidth="1"/>
    <col min="24" max="24" width="12.85546875" bestFit="1" customWidth="1"/>
    <col min="25" max="25" width="10" bestFit="1" customWidth="1"/>
    <col min="26" max="26" width="14.5703125" customWidth="1"/>
    <col min="27" max="27" width="15.42578125" customWidth="1"/>
    <col min="28" max="28" width="10.5703125" bestFit="1" customWidth="1"/>
    <col min="29" max="29" width="10.5703125" customWidth="1"/>
    <col min="30" max="30" width="14" customWidth="1"/>
    <col min="31" max="31" width="8.7109375" customWidth="1"/>
    <col min="32" max="32" width="9.140625" customWidth="1"/>
    <col min="33" max="33" width="10.42578125" customWidth="1"/>
    <col min="34" max="34" width="14.42578125" bestFit="1" customWidth="1"/>
    <col min="35" max="35" width="4.85546875" customWidth="1"/>
    <col min="37" max="37" width="10.85546875" bestFit="1" customWidth="1"/>
  </cols>
  <sheetData>
    <row r="1" spans="1:38" ht="15.75" thickBot="1" x14ac:dyDescent="0.3"/>
    <row r="2" spans="1:38" ht="23.25" thickBot="1" x14ac:dyDescent="0.3">
      <c r="A2" s="939"/>
      <c r="B2" s="940"/>
      <c r="C2" s="940"/>
      <c r="D2" s="940"/>
      <c r="E2" s="941"/>
      <c r="F2" s="52"/>
      <c r="G2" s="51" t="s">
        <v>0</v>
      </c>
      <c r="H2" s="51" t="s">
        <v>10</v>
      </c>
      <c r="I2" s="51" t="s">
        <v>616</v>
      </c>
      <c r="J2" s="51" t="s">
        <v>617</v>
      </c>
      <c r="K2" s="51" t="s">
        <v>331</v>
      </c>
      <c r="L2" s="51" t="s">
        <v>168</v>
      </c>
      <c r="M2" s="51" t="s">
        <v>1</v>
      </c>
      <c r="N2" s="51" t="s">
        <v>332</v>
      </c>
      <c r="O2" s="51" t="s">
        <v>341</v>
      </c>
      <c r="P2" s="51" t="s">
        <v>342</v>
      </c>
      <c r="Q2" s="51" t="s">
        <v>109</v>
      </c>
      <c r="R2" s="51" t="s">
        <v>107</v>
      </c>
      <c r="S2" s="51" t="s">
        <v>343</v>
      </c>
      <c r="T2" s="51" t="s">
        <v>285</v>
      </c>
      <c r="U2" s="51" t="s">
        <v>333</v>
      </c>
      <c r="V2" s="51" t="s">
        <v>334</v>
      </c>
      <c r="W2" s="51" t="s">
        <v>335</v>
      </c>
      <c r="X2" s="51" t="s">
        <v>330</v>
      </c>
      <c r="Y2" s="51" t="s">
        <v>336</v>
      </c>
      <c r="Z2" s="51" t="s">
        <v>618</v>
      </c>
      <c r="AA2" s="51" t="s">
        <v>619</v>
      </c>
      <c r="AB2" s="51" t="s">
        <v>171</v>
      </c>
      <c r="AC2" s="51" t="s">
        <v>645</v>
      </c>
      <c r="AD2" s="51" t="s">
        <v>5</v>
      </c>
      <c r="AE2" s="51" t="s">
        <v>317</v>
      </c>
      <c r="AF2" s="51" t="s">
        <v>6</v>
      </c>
      <c r="AG2" s="51" t="s">
        <v>337</v>
      </c>
      <c r="AH2" s="51" t="s">
        <v>77</v>
      </c>
      <c r="AI2" s="51" t="s">
        <v>344</v>
      </c>
      <c r="AJ2" s="51" t="s">
        <v>78</v>
      </c>
      <c r="AK2" s="51" t="s">
        <v>79</v>
      </c>
      <c r="AL2" s="51" t="s">
        <v>80</v>
      </c>
    </row>
    <row r="3" spans="1:38" ht="15.75" thickBot="1" x14ac:dyDescent="0.3">
      <c r="A3" s="51" t="s">
        <v>81</v>
      </c>
      <c r="B3" s="854" t="s">
        <v>8</v>
      </c>
      <c r="C3" s="855"/>
      <c r="D3" s="51" t="s">
        <v>7</v>
      </c>
      <c r="E3" s="51" t="s">
        <v>267</v>
      </c>
      <c r="F3" s="51"/>
      <c r="G3" s="52" t="s">
        <v>11</v>
      </c>
      <c r="H3" s="52" t="s">
        <v>10</v>
      </c>
      <c r="I3" s="150"/>
      <c r="J3" s="150"/>
      <c r="K3" s="52" t="s">
        <v>11</v>
      </c>
      <c r="L3" s="52" t="s">
        <v>11</v>
      </c>
      <c r="M3" s="52" t="s">
        <v>11</v>
      </c>
      <c r="N3" s="52" t="s">
        <v>11</v>
      </c>
      <c r="O3" s="150"/>
      <c r="P3" s="52" t="s">
        <v>11</v>
      </c>
      <c r="Q3" s="52" t="s">
        <v>11</v>
      </c>
      <c r="R3" s="52" t="s">
        <v>11</v>
      </c>
      <c r="S3" s="52" t="s">
        <v>11</v>
      </c>
      <c r="T3" s="52" t="s">
        <v>11</v>
      </c>
      <c r="U3" s="52" t="s">
        <v>11</v>
      </c>
      <c r="V3" s="52" t="s">
        <v>11</v>
      </c>
      <c r="W3" s="52" t="s">
        <v>11</v>
      </c>
      <c r="X3" s="52" t="s">
        <v>11</v>
      </c>
      <c r="Y3" s="52" t="s">
        <v>11</v>
      </c>
      <c r="Z3" s="52" t="s">
        <v>11</v>
      </c>
      <c r="AA3" s="52" t="s">
        <v>11</v>
      </c>
      <c r="AB3" s="52" t="s">
        <v>11</v>
      </c>
      <c r="AC3" s="52"/>
      <c r="AD3" s="52" t="s">
        <v>11</v>
      </c>
      <c r="AE3" s="52" t="s">
        <v>11</v>
      </c>
      <c r="AF3" s="52" t="s">
        <v>11</v>
      </c>
      <c r="AG3" s="52" t="s">
        <v>11</v>
      </c>
      <c r="AH3" s="52" t="s">
        <v>11</v>
      </c>
      <c r="AI3" s="52" t="s">
        <v>10</v>
      </c>
      <c r="AJ3" s="52" t="s">
        <v>11</v>
      </c>
      <c r="AK3" s="52" t="s">
        <v>11</v>
      </c>
      <c r="AL3" s="52" t="s">
        <v>11</v>
      </c>
    </row>
    <row r="4" spans="1:38" ht="15.75" thickBot="1" x14ac:dyDescent="0.3">
      <c r="A4" s="51" t="s">
        <v>844</v>
      </c>
      <c r="B4" s="856" t="s">
        <v>34</v>
      </c>
      <c r="C4" s="51" t="s">
        <v>437</v>
      </c>
      <c r="D4" s="51" t="s">
        <v>318</v>
      </c>
      <c r="E4" s="51" t="s">
        <v>109</v>
      </c>
      <c r="F4" s="841" t="s">
        <v>266</v>
      </c>
      <c r="G4" s="54">
        <v>81.150000000000006</v>
      </c>
      <c r="H4" s="822"/>
      <c r="I4" s="822"/>
      <c r="J4" s="822"/>
      <c r="K4" s="822"/>
      <c r="L4" s="822"/>
      <c r="M4" s="822"/>
      <c r="N4" s="822"/>
      <c r="O4" s="822"/>
      <c r="P4" s="822"/>
      <c r="Q4" s="54">
        <v>81.150000000000006</v>
      </c>
      <c r="R4" s="822"/>
      <c r="S4" s="822"/>
      <c r="T4" s="822"/>
      <c r="U4" s="822"/>
      <c r="V4" s="822"/>
      <c r="W4" s="822"/>
      <c r="X4" s="822"/>
      <c r="Y4" s="822"/>
      <c r="Z4" s="822"/>
      <c r="AA4" s="822"/>
      <c r="AB4" s="822"/>
      <c r="AC4" s="822"/>
      <c r="AD4" s="822"/>
      <c r="AE4" s="822"/>
      <c r="AF4" s="822"/>
      <c r="AG4" s="822"/>
      <c r="AH4" s="54">
        <v>0.48</v>
      </c>
      <c r="AI4" s="822"/>
      <c r="AJ4" s="822"/>
      <c r="AK4" s="54">
        <v>81.63</v>
      </c>
      <c r="AL4" s="54">
        <v>0</v>
      </c>
    </row>
    <row r="5" spans="1:38" ht="15.75" thickBot="1" x14ac:dyDescent="0.3">
      <c r="A5" s="51" t="s">
        <v>844</v>
      </c>
      <c r="B5" s="51" t="s">
        <v>34</v>
      </c>
      <c r="C5" s="51" t="s">
        <v>437</v>
      </c>
      <c r="D5" s="51" t="s">
        <v>318</v>
      </c>
      <c r="E5" s="51" t="s">
        <v>272</v>
      </c>
      <c r="F5" s="841" t="s">
        <v>266</v>
      </c>
      <c r="G5" s="54">
        <v>5250</v>
      </c>
      <c r="H5" s="822"/>
      <c r="I5" s="822"/>
      <c r="J5" s="822"/>
      <c r="K5" s="54">
        <v>5250</v>
      </c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2"/>
      <c r="AF5" s="822"/>
      <c r="AG5" s="822"/>
      <c r="AH5" s="54">
        <v>45.01</v>
      </c>
      <c r="AI5" s="822"/>
      <c r="AJ5" s="822"/>
      <c r="AK5" s="54">
        <v>5295.01</v>
      </c>
      <c r="AL5" s="54">
        <v>0</v>
      </c>
    </row>
    <row r="6" spans="1:38" ht="15.75" thickBot="1" x14ac:dyDescent="0.3">
      <c r="A6" s="51" t="s">
        <v>844</v>
      </c>
      <c r="B6" s="51" t="s">
        <v>34</v>
      </c>
      <c r="C6" s="51" t="s">
        <v>437</v>
      </c>
      <c r="D6" s="51" t="s">
        <v>318</v>
      </c>
      <c r="E6" s="51" t="s">
        <v>265</v>
      </c>
      <c r="F6" s="841" t="s">
        <v>266</v>
      </c>
      <c r="G6" s="54">
        <v>1713.3</v>
      </c>
      <c r="H6" s="866">
        <v>450864</v>
      </c>
      <c r="I6" s="822"/>
      <c r="J6" s="822"/>
      <c r="K6" s="822"/>
      <c r="L6" s="822"/>
      <c r="M6" s="54">
        <v>1713.3</v>
      </c>
      <c r="N6" s="822"/>
      <c r="O6" s="822"/>
      <c r="P6" s="822"/>
      <c r="Q6" s="822"/>
      <c r="R6" s="822"/>
      <c r="S6" s="822"/>
      <c r="T6" s="822"/>
      <c r="U6" s="822"/>
      <c r="V6" s="822"/>
      <c r="W6" s="822"/>
      <c r="X6" s="822"/>
      <c r="Y6" s="822"/>
      <c r="Z6" s="822"/>
      <c r="AA6" s="822"/>
      <c r="AB6" s="822"/>
      <c r="AC6" s="822"/>
      <c r="AD6" s="822"/>
      <c r="AE6" s="822"/>
      <c r="AF6" s="822"/>
      <c r="AG6" s="822"/>
      <c r="AH6" s="54">
        <v>10.16</v>
      </c>
      <c r="AI6" s="822"/>
      <c r="AJ6" s="822"/>
      <c r="AK6" s="54">
        <v>1723.46</v>
      </c>
      <c r="AL6" s="54">
        <v>0</v>
      </c>
    </row>
    <row r="7" spans="1:38" ht="15.75" thickBot="1" x14ac:dyDescent="0.3">
      <c r="A7" s="51" t="s">
        <v>844</v>
      </c>
      <c r="B7" s="51" t="s">
        <v>34</v>
      </c>
      <c r="C7" s="51" t="s">
        <v>437</v>
      </c>
      <c r="D7" s="51" t="s">
        <v>318</v>
      </c>
      <c r="E7" s="51" t="s">
        <v>621</v>
      </c>
      <c r="F7" s="841" t="s">
        <v>266</v>
      </c>
      <c r="G7" s="54">
        <v>216.42</v>
      </c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54">
        <v>216.42</v>
      </c>
      <c r="AB7" s="822"/>
      <c r="AC7" s="822"/>
      <c r="AD7" s="822"/>
      <c r="AE7" s="822"/>
      <c r="AF7" s="822"/>
      <c r="AG7" s="822"/>
      <c r="AH7" s="54">
        <v>1.28</v>
      </c>
      <c r="AI7" s="822"/>
      <c r="AJ7" s="822"/>
      <c r="AK7" s="54">
        <v>217.7</v>
      </c>
      <c r="AL7" s="54">
        <v>0</v>
      </c>
    </row>
    <row r="8" spans="1:38" ht="15.75" thickBot="1" x14ac:dyDescent="0.3">
      <c r="A8" s="51" t="s">
        <v>844</v>
      </c>
      <c r="B8" s="51" t="s">
        <v>34</v>
      </c>
      <c r="C8" s="51" t="s">
        <v>437</v>
      </c>
      <c r="D8" s="51" t="s">
        <v>318</v>
      </c>
      <c r="E8" s="51" t="s">
        <v>268</v>
      </c>
      <c r="F8" s="841" t="s">
        <v>266</v>
      </c>
      <c r="G8" s="54">
        <v>3850</v>
      </c>
      <c r="H8" s="822"/>
      <c r="I8" s="822"/>
      <c r="J8" s="822"/>
      <c r="K8" s="54">
        <v>3850</v>
      </c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822"/>
      <c r="W8" s="822"/>
      <c r="X8" s="822"/>
      <c r="Y8" s="822"/>
      <c r="Z8" s="822"/>
      <c r="AA8" s="822"/>
      <c r="AB8" s="822"/>
      <c r="AC8" s="822"/>
      <c r="AD8" s="822"/>
      <c r="AE8" s="822"/>
      <c r="AF8" s="822"/>
      <c r="AG8" s="822"/>
      <c r="AH8" s="54">
        <v>33</v>
      </c>
      <c r="AI8" s="822"/>
      <c r="AJ8" s="822"/>
      <c r="AK8" s="54">
        <v>3883</v>
      </c>
      <c r="AL8" s="54">
        <v>0</v>
      </c>
    </row>
    <row r="9" spans="1:38" ht="15.75" thickBot="1" x14ac:dyDescent="0.3">
      <c r="A9" s="51" t="s">
        <v>844</v>
      </c>
      <c r="B9" s="51" t="s">
        <v>34</v>
      </c>
      <c r="C9" s="51" t="s">
        <v>437</v>
      </c>
      <c r="D9" s="51" t="s">
        <v>318</v>
      </c>
      <c r="E9" s="51" t="s">
        <v>914</v>
      </c>
      <c r="F9" s="841" t="s">
        <v>266</v>
      </c>
      <c r="G9" s="54">
        <v>10099.32</v>
      </c>
      <c r="H9" s="822"/>
      <c r="I9" s="822"/>
      <c r="J9" s="822"/>
      <c r="K9" s="822"/>
      <c r="L9" s="54">
        <v>10099.32</v>
      </c>
      <c r="M9" s="822"/>
      <c r="N9" s="822"/>
      <c r="O9" s="822"/>
      <c r="P9" s="822"/>
      <c r="Q9" s="822"/>
      <c r="R9" s="822"/>
      <c r="S9" s="822"/>
      <c r="T9" s="822"/>
      <c r="U9" s="822"/>
      <c r="V9" s="822"/>
      <c r="W9" s="822"/>
      <c r="X9" s="822"/>
      <c r="Y9" s="822"/>
      <c r="Z9" s="822"/>
      <c r="AA9" s="822"/>
      <c r="AB9" s="822"/>
      <c r="AC9" s="822"/>
      <c r="AD9" s="822"/>
      <c r="AE9" s="822"/>
      <c r="AF9" s="822"/>
      <c r="AG9" s="822"/>
      <c r="AH9" s="54">
        <v>55.39</v>
      </c>
      <c r="AI9" s="822"/>
      <c r="AJ9" s="822"/>
      <c r="AK9" s="54">
        <v>10154.709999999999</v>
      </c>
      <c r="AL9" s="54">
        <v>0</v>
      </c>
    </row>
    <row r="10" spans="1:38" ht="15.75" thickBot="1" x14ac:dyDescent="0.3">
      <c r="A10" s="51" t="s">
        <v>844</v>
      </c>
      <c r="B10" s="856" t="s">
        <v>34</v>
      </c>
      <c r="C10" s="51" t="s">
        <v>437</v>
      </c>
      <c r="D10" s="51" t="s">
        <v>319</v>
      </c>
      <c r="E10" s="51" t="s">
        <v>109</v>
      </c>
      <c r="F10" s="841" t="s">
        <v>266</v>
      </c>
      <c r="G10" s="54">
        <v>29.07</v>
      </c>
      <c r="H10" s="822"/>
      <c r="I10" s="822"/>
      <c r="J10" s="822"/>
      <c r="K10" s="822"/>
      <c r="L10" s="822"/>
      <c r="M10" s="822"/>
      <c r="N10" s="822"/>
      <c r="O10" s="822"/>
      <c r="P10" s="822"/>
      <c r="Q10" s="54">
        <v>29.07</v>
      </c>
      <c r="R10" s="822"/>
      <c r="S10" s="822"/>
      <c r="T10" s="822"/>
      <c r="U10" s="822"/>
      <c r="V10" s="822"/>
      <c r="W10" s="822"/>
      <c r="X10" s="822"/>
      <c r="Y10" s="822"/>
      <c r="Z10" s="822"/>
      <c r="AA10" s="822"/>
      <c r="AB10" s="822"/>
      <c r="AC10" s="822"/>
      <c r="AD10" s="822"/>
      <c r="AE10" s="822"/>
      <c r="AF10" s="822"/>
      <c r="AG10" s="822"/>
      <c r="AH10" s="54">
        <v>0.72</v>
      </c>
      <c r="AI10" s="822"/>
      <c r="AJ10" s="822"/>
      <c r="AK10" s="54">
        <v>29.79</v>
      </c>
      <c r="AL10" s="54">
        <v>0</v>
      </c>
    </row>
    <row r="11" spans="1:38" ht="15.75" thickBot="1" x14ac:dyDescent="0.3">
      <c r="A11" s="51" t="s">
        <v>844</v>
      </c>
      <c r="B11" s="51" t="s">
        <v>34</v>
      </c>
      <c r="C11" s="51" t="s">
        <v>437</v>
      </c>
      <c r="D11" s="51" t="s">
        <v>319</v>
      </c>
      <c r="E11" s="51" t="s">
        <v>269</v>
      </c>
      <c r="F11" s="841" t="s">
        <v>915</v>
      </c>
      <c r="G11" s="54">
        <v>-423.02</v>
      </c>
      <c r="H11" s="822"/>
      <c r="I11" s="822"/>
      <c r="J11" s="822"/>
      <c r="K11" s="822"/>
      <c r="L11" s="822"/>
      <c r="M11" s="822"/>
      <c r="N11" s="822"/>
      <c r="O11" s="822"/>
      <c r="P11" s="822"/>
      <c r="Q11" s="822"/>
      <c r="R11" s="822"/>
      <c r="S11" s="822"/>
      <c r="T11" s="54">
        <v>-423.02</v>
      </c>
      <c r="U11" s="822"/>
      <c r="V11" s="822"/>
      <c r="W11" s="822"/>
      <c r="X11" s="822"/>
      <c r="Y11" s="822"/>
      <c r="Z11" s="822"/>
      <c r="AA11" s="822"/>
      <c r="AB11" s="822"/>
      <c r="AC11" s="822"/>
      <c r="AD11" s="822"/>
      <c r="AE11" s="822"/>
      <c r="AF11" s="822"/>
      <c r="AG11" s="822"/>
      <c r="AH11" s="54">
        <v>-12.69</v>
      </c>
      <c r="AI11" s="822"/>
      <c r="AJ11" s="822"/>
      <c r="AK11" s="54">
        <v>-435.71</v>
      </c>
      <c r="AL11" s="54">
        <v>0</v>
      </c>
    </row>
    <row r="12" spans="1:38" ht="15.75" thickBot="1" x14ac:dyDescent="0.3">
      <c r="A12" s="51" t="s">
        <v>844</v>
      </c>
      <c r="B12" s="51" t="s">
        <v>34</v>
      </c>
      <c r="C12" s="51" t="s">
        <v>437</v>
      </c>
      <c r="D12" s="51" t="s">
        <v>319</v>
      </c>
      <c r="E12" s="51" t="s">
        <v>272</v>
      </c>
      <c r="F12" s="841" t="s">
        <v>266</v>
      </c>
      <c r="G12" s="54">
        <v>1500</v>
      </c>
      <c r="H12" s="822"/>
      <c r="I12" s="822"/>
      <c r="J12" s="822"/>
      <c r="K12" s="54">
        <v>1500</v>
      </c>
      <c r="L12" s="822"/>
      <c r="M12" s="822"/>
      <c r="N12" s="822"/>
      <c r="O12" s="822"/>
      <c r="P12" s="822"/>
      <c r="Q12" s="822"/>
      <c r="R12" s="822"/>
      <c r="S12" s="822"/>
      <c r="T12" s="822"/>
      <c r="U12" s="822"/>
      <c r="V12" s="822"/>
      <c r="W12" s="822"/>
      <c r="X12" s="822"/>
      <c r="Y12" s="822"/>
      <c r="Z12" s="822"/>
      <c r="AA12" s="822"/>
      <c r="AB12" s="822"/>
      <c r="AC12" s="822"/>
      <c r="AD12" s="822"/>
      <c r="AE12" s="822"/>
      <c r="AF12" s="822"/>
      <c r="AG12" s="822"/>
      <c r="AH12" s="54">
        <v>22.51</v>
      </c>
      <c r="AI12" s="822"/>
      <c r="AJ12" s="822"/>
      <c r="AK12" s="54">
        <v>1522.51</v>
      </c>
      <c r="AL12" s="54">
        <v>0</v>
      </c>
    </row>
    <row r="13" spans="1:38" ht="15.75" thickBot="1" x14ac:dyDescent="0.3">
      <c r="A13" s="51" t="s">
        <v>844</v>
      </c>
      <c r="B13" s="51" t="s">
        <v>34</v>
      </c>
      <c r="C13" s="51" t="s">
        <v>437</v>
      </c>
      <c r="D13" s="51" t="s">
        <v>319</v>
      </c>
      <c r="E13" s="51" t="s">
        <v>265</v>
      </c>
      <c r="F13" s="841" t="s">
        <v>266</v>
      </c>
      <c r="G13" s="54">
        <v>613.65</v>
      </c>
      <c r="H13" s="866">
        <v>161487</v>
      </c>
      <c r="I13" s="822"/>
      <c r="J13" s="822"/>
      <c r="K13" s="822"/>
      <c r="L13" s="822"/>
      <c r="M13" s="54">
        <v>613.65</v>
      </c>
      <c r="N13" s="822"/>
      <c r="O13" s="822"/>
      <c r="P13" s="822"/>
      <c r="Q13" s="822"/>
      <c r="R13" s="822"/>
      <c r="S13" s="822"/>
      <c r="T13" s="822"/>
      <c r="U13" s="822"/>
      <c r="V13" s="822"/>
      <c r="W13" s="822"/>
      <c r="X13" s="822"/>
      <c r="Y13" s="822"/>
      <c r="Z13" s="822"/>
      <c r="AA13" s="822"/>
      <c r="AB13" s="822"/>
      <c r="AC13" s="822"/>
      <c r="AD13" s="822"/>
      <c r="AE13" s="822"/>
      <c r="AF13" s="822"/>
      <c r="AG13" s="822"/>
      <c r="AH13" s="54">
        <v>15.29</v>
      </c>
      <c r="AI13" s="822"/>
      <c r="AJ13" s="822"/>
      <c r="AK13" s="54">
        <v>628.94000000000005</v>
      </c>
      <c r="AL13" s="54">
        <v>0</v>
      </c>
    </row>
    <row r="14" spans="1:38" ht="15.75" thickBot="1" x14ac:dyDescent="0.3">
      <c r="A14" s="51" t="s">
        <v>844</v>
      </c>
      <c r="B14" s="51" t="s">
        <v>34</v>
      </c>
      <c r="C14" s="51" t="s">
        <v>437</v>
      </c>
      <c r="D14" s="51" t="s">
        <v>319</v>
      </c>
      <c r="E14" s="51" t="s">
        <v>621</v>
      </c>
      <c r="F14" s="841" t="s">
        <v>266</v>
      </c>
      <c r="G14" s="54">
        <v>77.510000000000005</v>
      </c>
      <c r="H14" s="822"/>
      <c r="I14" s="822"/>
      <c r="J14" s="822"/>
      <c r="K14" s="822"/>
      <c r="L14" s="822"/>
      <c r="M14" s="822"/>
      <c r="N14" s="822"/>
      <c r="O14" s="822"/>
      <c r="P14" s="822"/>
      <c r="Q14" s="822"/>
      <c r="R14" s="822"/>
      <c r="S14" s="822"/>
      <c r="T14" s="822"/>
      <c r="U14" s="822"/>
      <c r="V14" s="822"/>
      <c r="W14" s="822"/>
      <c r="X14" s="822"/>
      <c r="Y14" s="822"/>
      <c r="Z14" s="822"/>
      <c r="AA14" s="54">
        <v>77.510000000000005</v>
      </c>
      <c r="AB14" s="822"/>
      <c r="AC14" s="822"/>
      <c r="AD14" s="822"/>
      <c r="AE14" s="822"/>
      <c r="AF14" s="822"/>
      <c r="AG14" s="822"/>
      <c r="AH14" s="54">
        <v>1.93</v>
      </c>
      <c r="AI14" s="822"/>
      <c r="AJ14" s="822"/>
      <c r="AK14" s="54">
        <v>79.44</v>
      </c>
      <c r="AL14" s="54">
        <v>0</v>
      </c>
    </row>
    <row r="15" spans="1:38" ht="15.75" thickBot="1" x14ac:dyDescent="0.3">
      <c r="A15" s="51" t="s">
        <v>844</v>
      </c>
      <c r="B15" s="51" t="s">
        <v>34</v>
      </c>
      <c r="C15" s="51" t="s">
        <v>437</v>
      </c>
      <c r="D15" s="51" t="s">
        <v>319</v>
      </c>
      <c r="E15" s="51" t="s">
        <v>271</v>
      </c>
      <c r="F15" s="841" t="s">
        <v>915</v>
      </c>
      <c r="G15" s="54">
        <v>-22.18</v>
      </c>
      <c r="H15" s="822"/>
      <c r="I15" s="822"/>
      <c r="J15" s="822"/>
      <c r="K15" s="822"/>
      <c r="L15" s="822"/>
      <c r="M15" s="822"/>
      <c r="N15" s="822"/>
      <c r="O15" s="822"/>
      <c r="P15" s="822"/>
      <c r="Q15" s="822"/>
      <c r="R15" s="822"/>
      <c r="S15" s="822"/>
      <c r="T15" s="822"/>
      <c r="U15" s="54">
        <v>-22.18</v>
      </c>
      <c r="V15" s="822"/>
      <c r="W15" s="822"/>
      <c r="X15" s="822"/>
      <c r="Y15" s="822"/>
      <c r="Z15" s="822"/>
      <c r="AA15" s="822"/>
      <c r="AB15" s="822"/>
      <c r="AC15" s="822"/>
      <c r="AD15" s="822"/>
      <c r="AE15" s="822"/>
      <c r="AF15" s="822"/>
      <c r="AG15" s="822"/>
      <c r="AH15" s="54">
        <v>-0.67</v>
      </c>
      <c r="AI15" s="822"/>
      <c r="AJ15" s="822"/>
      <c r="AK15" s="54">
        <v>-22.85</v>
      </c>
      <c r="AL15" s="54">
        <v>0</v>
      </c>
    </row>
    <row r="16" spans="1:38" ht="15.75" thickBot="1" x14ac:dyDescent="0.3">
      <c r="A16" s="51" t="s">
        <v>844</v>
      </c>
      <c r="B16" s="51" t="s">
        <v>34</v>
      </c>
      <c r="C16" s="51" t="s">
        <v>437</v>
      </c>
      <c r="D16" s="51" t="s">
        <v>319</v>
      </c>
      <c r="E16" s="51" t="s">
        <v>325</v>
      </c>
      <c r="F16" s="841" t="s">
        <v>266</v>
      </c>
      <c r="G16" s="54">
        <v>3.8</v>
      </c>
      <c r="H16" s="822"/>
      <c r="I16" s="822"/>
      <c r="J16" s="822"/>
      <c r="K16" s="822"/>
      <c r="L16" s="822"/>
      <c r="M16" s="822"/>
      <c r="N16" s="54">
        <v>3.8</v>
      </c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822"/>
      <c r="AE16" s="822"/>
      <c r="AF16" s="822"/>
      <c r="AG16" s="822"/>
      <c r="AH16" s="54">
        <v>0</v>
      </c>
      <c r="AI16" s="822"/>
      <c r="AJ16" s="822"/>
      <c r="AK16" s="54">
        <v>3.8</v>
      </c>
      <c r="AL16" s="54">
        <v>0</v>
      </c>
    </row>
    <row r="17" spans="1:38" ht="15.75" thickBot="1" x14ac:dyDescent="0.3">
      <c r="A17" s="51" t="s">
        <v>844</v>
      </c>
      <c r="B17" s="51" t="s">
        <v>34</v>
      </c>
      <c r="C17" s="51" t="s">
        <v>437</v>
      </c>
      <c r="D17" s="51" t="s">
        <v>319</v>
      </c>
      <c r="E17" s="51" t="s">
        <v>268</v>
      </c>
      <c r="F17" s="841" t="s">
        <v>266</v>
      </c>
      <c r="G17" s="54">
        <v>1100</v>
      </c>
      <c r="H17" s="822"/>
      <c r="I17" s="822"/>
      <c r="J17" s="822"/>
      <c r="K17" s="54">
        <v>1100</v>
      </c>
      <c r="L17" s="822"/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2"/>
      <c r="AB17" s="822"/>
      <c r="AC17" s="822"/>
      <c r="AD17" s="822"/>
      <c r="AE17" s="822"/>
      <c r="AF17" s="822"/>
      <c r="AG17" s="822"/>
      <c r="AH17" s="54">
        <v>16.5</v>
      </c>
      <c r="AI17" s="822"/>
      <c r="AJ17" s="822"/>
      <c r="AK17" s="54">
        <v>1116.5</v>
      </c>
      <c r="AL17" s="54">
        <v>0</v>
      </c>
    </row>
    <row r="18" spans="1:38" ht="15.75" thickBot="1" x14ac:dyDescent="0.3">
      <c r="A18" s="51" t="s">
        <v>844</v>
      </c>
      <c r="B18" s="51" t="s">
        <v>34</v>
      </c>
      <c r="C18" s="51" t="s">
        <v>437</v>
      </c>
      <c r="D18" s="51" t="s">
        <v>319</v>
      </c>
      <c r="E18" s="51" t="s">
        <v>914</v>
      </c>
      <c r="F18" s="841" t="s">
        <v>266</v>
      </c>
      <c r="G18" s="54">
        <v>3486.08</v>
      </c>
      <c r="H18" s="822"/>
      <c r="I18" s="822"/>
      <c r="J18" s="822"/>
      <c r="K18" s="822"/>
      <c r="L18" s="54">
        <v>3486.08</v>
      </c>
      <c r="M18" s="822"/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822"/>
      <c r="AF18" s="822"/>
      <c r="AG18" s="822"/>
      <c r="AH18" s="54">
        <v>78.91</v>
      </c>
      <c r="AI18" s="822"/>
      <c r="AJ18" s="822"/>
      <c r="AK18" s="54">
        <v>3564.99</v>
      </c>
      <c r="AL18" s="54">
        <v>0</v>
      </c>
    </row>
    <row r="19" spans="1:38" ht="15.75" thickBot="1" x14ac:dyDescent="0.3">
      <c r="A19" s="51" t="s">
        <v>844</v>
      </c>
      <c r="B19" s="51" t="s">
        <v>34</v>
      </c>
      <c r="C19" s="51" t="s">
        <v>437</v>
      </c>
      <c r="D19" s="51" t="s">
        <v>319</v>
      </c>
      <c r="E19" s="51" t="s">
        <v>329</v>
      </c>
      <c r="F19" s="841" t="s">
        <v>266</v>
      </c>
      <c r="G19" s="54">
        <v>48.88</v>
      </c>
      <c r="H19" s="822"/>
      <c r="I19" s="822"/>
      <c r="J19" s="822"/>
      <c r="K19" s="822"/>
      <c r="L19" s="822"/>
      <c r="M19" s="822"/>
      <c r="N19" s="822"/>
      <c r="O19" s="822"/>
      <c r="P19" s="822"/>
      <c r="Q19" s="822"/>
      <c r="R19" s="822"/>
      <c r="S19" s="822"/>
      <c r="T19" s="822"/>
      <c r="U19" s="822"/>
      <c r="V19" s="822"/>
      <c r="W19" s="54">
        <v>48.88</v>
      </c>
      <c r="X19" s="822"/>
      <c r="Y19" s="822"/>
      <c r="Z19" s="822"/>
      <c r="AA19" s="822"/>
      <c r="AB19" s="822"/>
      <c r="AC19" s="822"/>
      <c r="AD19" s="822"/>
      <c r="AE19" s="822"/>
      <c r="AF19" s="822"/>
      <c r="AG19" s="822"/>
      <c r="AH19" s="54">
        <v>1.47</v>
      </c>
      <c r="AI19" s="822"/>
      <c r="AJ19" s="822"/>
      <c r="AK19" s="54">
        <v>50.35</v>
      </c>
      <c r="AL19" s="54">
        <v>0</v>
      </c>
    </row>
    <row r="20" spans="1:38" ht="15.75" thickBot="1" x14ac:dyDescent="0.3">
      <c r="A20" s="51" t="s">
        <v>844</v>
      </c>
      <c r="B20" s="51" t="s">
        <v>34</v>
      </c>
      <c r="C20" s="51" t="s">
        <v>437</v>
      </c>
      <c r="D20" s="51" t="s">
        <v>319</v>
      </c>
      <c r="E20" s="51" t="s">
        <v>330</v>
      </c>
      <c r="F20" s="841" t="s">
        <v>266</v>
      </c>
      <c r="G20" s="54">
        <v>114.14</v>
      </c>
      <c r="H20" s="822"/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822"/>
      <c r="V20" s="822"/>
      <c r="W20" s="822"/>
      <c r="X20" s="54">
        <v>114.14</v>
      </c>
      <c r="Y20" s="822"/>
      <c r="Z20" s="822"/>
      <c r="AA20" s="822"/>
      <c r="AB20" s="822"/>
      <c r="AC20" s="822"/>
      <c r="AD20" s="822"/>
      <c r="AE20" s="822"/>
      <c r="AF20" s="822"/>
      <c r="AG20" s="822"/>
      <c r="AH20" s="54">
        <v>3.42</v>
      </c>
      <c r="AI20" s="822"/>
      <c r="AJ20" s="822"/>
      <c r="AK20" s="54">
        <v>117.56</v>
      </c>
      <c r="AL20" s="54">
        <v>0</v>
      </c>
    </row>
    <row r="21" spans="1:38" ht="15.75" thickBot="1" x14ac:dyDescent="0.3">
      <c r="A21" s="51" t="s">
        <v>844</v>
      </c>
      <c r="B21" s="856" t="s">
        <v>31</v>
      </c>
      <c r="C21" s="51" t="s">
        <v>835</v>
      </c>
      <c r="D21" s="51" t="s">
        <v>320</v>
      </c>
      <c r="E21" s="51" t="s">
        <v>357</v>
      </c>
      <c r="F21" s="841" t="s">
        <v>266</v>
      </c>
      <c r="G21" s="54">
        <v>2.7</v>
      </c>
      <c r="H21" s="822"/>
      <c r="I21" s="822"/>
      <c r="J21" s="822"/>
      <c r="K21" s="822"/>
      <c r="L21" s="822"/>
      <c r="M21" s="822"/>
      <c r="N21" s="822"/>
      <c r="O21" s="822"/>
      <c r="P21" s="822"/>
      <c r="Q21" s="822"/>
      <c r="R21" s="822"/>
      <c r="S21" s="54">
        <v>2.7</v>
      </c>
      <c r="T21" s="822"/>
      <c r="U21" s="822"/>
      <c r="V21" s="822"/>
      <c r="W21" s="822"/>
      <c r="X21" s="822"/>
      <c r="Y21" s="822"/>
      <c r="Z21" s="822"/>
      <c r="AA21" s="822"/>
      <c r="AB21" s="822"/>
      <c r="AC21" s="822"/>
      <c r="AD21" s="822"/>
      <c r="AE21" s="822"/>
      <c r="AF21" s="822"/>
      <c r="AG21" s="822"/>
      <c r="AH21" s="54">
        <v>0.25</v>
      </c>
      <c r="AI21" s="822"/>
      <c r="AJ21" s="822"/>
      <c r="AK21" s="54">
        <v>2.95</v>
      </c>
      <c r="AL21" s="54">
        <v>0</v>
      </c>
    </row>
    <row r="22" spans="1:38" ht="15.75" thickBot="1" x14ac:dyDescent="0.3">
      <c r="A22" s="51" t="s">
        <v>844</v>
      </c>
      <c r="B22" s="51" t="s">
        <v>31</v>
      </c>
      <c r="C22" s="51" t="s">
        <v>835</v>
      </c>
      <c r="D22" s="51" t="s">
        <v>320</v>
      </c>
      <c r="E22" s="51" t="s">
        <v>272</v>
      </c>
      <c r="F22" s="841" t="s">
        <v>266</v>
      </c>
      <c r="G22" s="54">
        <v>1429.12</v>
      </c>
      <c r="H22" s="822"/>
      <c r="I22" s="822"/>
      <c r="J22" s="822"/>
      <c r="K22" s="54">
        <v>1429.12</v>
      </c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2"/>
      <c r="Y22" s="822"/>
      <c r="Z22" s="822"/>
      <c r="AA22" s="822"/>
      <c r="AB22" s="822"/>
      <c r="AC22" s="822"/>
      <c r="AD22" s="822"/>
      <c r="AE22" s="822"/>
      <c r="AF22" s="822"/>
      <c r="AG22" s="822"/>
      <c r="AH22" s="54">
        <v>108.47</v>
      </c>
      <c r="AI22" s="822"/>
      <c r="AJ22" s="822"/>
      <c r="AK22" s="54">
        <v>1537.59</v>
      </c>
      <c r="AL22" s="54">
        <v>0</v>
      </c>
    </row>
    <row r="23" spans="1:38" ht="15.75" thickBot="1" x14ac:dyDescent="0.3">
      <c r="A23" s="51" t="s">
        <v>844</v>
      </c>
      <c r="B23" s="51" t="s">
        <v>31</v>
      </c>
      <c r="C23" s="51" t="s">
        <v>835</v>
      </c>
      <c r="D23" s="51" t="s">
        <v>320</v>
      </c>
      <c r="E23" s="51" t="s">
        <v>265</v>
      </c>
      <c r="F23" s="841" t="s">
        <v>266</v>
      </c>
      <c r="G23" s="54">
        <v>11609.22</v>
      </c>
      <c r="H23" s="866">
        <v>52940</v>
      </c>
      <c r="I23" s="822"/>
      <c r="J23" s="822"/>
      <c r="K23" s="822"/>
      <c r="L23" s="822"/>
      <c r="M23" s="54">
        <v>11609.22</v>
      </c>
      <c r="N23" s="822"/>
      <c r="O23" s="822"/>
      <c r="P23" s="822"/>
      <c r="Q23" s="822"/>
      <c r="R23" s="822"/>
      <c r="S23" s="822"/>
      <c r="T23" s="822"/>
      <c r="U23" s="822"/>
      <c r="V23" s="822"/>
      <c r="W23" s="822"/>
      <c r="X23" s="822"/>
      <c r="Y23" s="822"/>
      <c r="Z23" s="822"/>
      <c r="AA23" s="822"/>
      <c r="AB23" s="822"/>
      <c r="AC23" s="822"/>
      <c r="AD23" s="822"/>
      <c r="AE23" s="822"/>
      <c r="AF23" s="822"/>
      <c r="AG23" s="822"/>
      <c r="AH23" s="54">
        <v>697.07</v>
      </c>
      <c r="AI23" s="822"/>
      <c r="AJ23" s="822"/>
      <c r="AK23" s="54">
        <v>12306.29</v>
      </c>
      <c r="AL23" s="54">
        <v>0</v>
      </c>
    </row>
    <row r="24" spans="1:38" ht="15.75" thickBot="1" x14ac:dyDescent="0.3">
      <c r="A24" s="51" t="s">
        <v>844</v>
      </c>
      <c r="B24" s="51" t="s">
        <v>31</v>
      </c>
      <c r="C24" s="51" t="s">
        <v>835</v>
      </c>
      <c r="D24" s="51" t="s">
        <v>320</v>
      </c>
      <c r="E24" s="51" t="s">
        <v>620</v>
      </c>
      <c r="F24" s="841" t="s">
        <v>266</v>
      </c>
      <c r="G24" s="54">
        <v>128.78</v>
      </c>
      <c r="H24" s="822"/>
      <c r="I24" s="822"/>
      <c r="J24" s="822"/>
      <c r="K24" s="822"/>
      <c r="L24" s="822"/>
      <c r="M24" s="822"/>
      <c r="N24" s="822"/>
      <c r="O24" s="822"/>
      <c r="P24" s="822"/>
      <c r="Q24" s="822"/>
      <c r="R24" s="822"/>
      <c r="S24" s="822"/>
      <c r="T24" s="822"/>
      <c r="U24" s="822"/>
      <c r="V24" s="822"/>
      <c r="W24" s="822"/>
      <c r="X24" s="822"/>
      <c r="Y24" s="822"/>
      <c r="Z24" s="54">
        <v>128.78</v>
      </c>
      <c r="AA24" s="822"/>
      <c r="AB24" s="822"/>
      <c r="AC24" s="822"/>
      <c r="AD24" s="822"/>
      <c r="AE24" s="822"/>
      <c r="AF24" s="822"/>
      <c r="AG24" s="822"/>
      <c r="AH24" s="54">
        <v>9.77</v>
      </c>
      <c r="AI24" s="822"/>
      <c r="AJ24" s="822"/>
      <c r="AK24" s="54">
        <v>138.55000000000001</v>
      </c>
      <c r="AL24" s="54">
        <v>0</v>
      </c>
    </row>
    <row r="25" spans="1:38" ht="15.75" thickBot="1" x14ac:dyDescent="0.3">
      <c r="A25" s="51" t="s">
        <v>844</v>
      </c>
      <c r="B25" s="51" t="s">
        <v>31</v>
      </c>
      <c r="C25" s="51" t="s">
        <v>835</v>
      </c>
      <c r="D25" s="51" t="s">
        <v>320</v>
      </c>
      <c r="E25" s="51" t="s">
        <v>621</v>
      </c>
      <c r="F25" s="841" t="s">
        <v>266</v>
      </c>
      <c r="G25" s="54">
        <v>216</v>
      </c>
      <c r="H25" s="822"/>
      <c r="I25" s="822"/>
      <c r="J25" s="822"/>
      <c r="K25" s="822"/>
      <c r="L25" s="822"/>
      <c r="M25" s="822"/>
      <c r="N25" s="822"/>
      <c r="O25" s="822"/>
      <c r="P25" s="822"/>
      <c r="Q25" s="822"/>
      <c r="R25" s="822"/>
      <c r="S25" s="822"/>
      <c r="T25" s="822"/>
      <c r="U25" s="822"/>
      <c r="V25" s="822"/>
      <c r="W25" s="822"/>
      <c r="X25" s="822"/>
      <c r="Y25" s="822"/>
      <c r="Z25" s="822"/>
      <c r="AA25" s="54">
        <v>216</v>
      </c>
      <c r="AB25" s="822"/>
      <c r="AC25" s="822"/>
      <c r="AD25" s="822"/>
      <c r="AE25" s="822"/>
      <c r="AF25" s="822"/>
      <c r="AG25" s="822"/>
      <c r="AH25" s="54">
        <v>12.97</v>
      </c>
      <c r="AI25" s="822"/>
      <c r="AJ25" s="822"/>
      <c r="AK25" s="54">
        <v>228.97</v>
      </c>
      <c r="AL25" s="54">
        <v>0</v>
      </c>
    </row>
    <row r="26" spans="1:38" ht="15.75" thickBot="1" x14ac:dyDescent="0.3">
      <c r="A26" s="51" t="s">
        <v>844</v>
      </c>
      <c r="B26" s="51" t="s">
        <v>31</v>
      </c>
      <c r="C26" s="51" t="s">
        <v>835</v>
      </c>
      <c r="D26" s="51" t="s">
        <v>320</v>
      </c>
      <c r="E26" s="51" t="s">
        <v>273</v>
      </c>
      <c r="F26" s="841" t="s">
        <v>266</v>
      </c>
      <c r="G26" s="54">
        <v>4533.25</v>
      </c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822"/>
      <c r="V26" s="822"/>
      <c r="W26" s="822"/>
      <c r="X26" s="822"/>
      <c r="Y26" s="54">
        <v>4533.25</v>
      </c>
      <c r="Z26" s="822"/>
      <c r="AA26" s="822"/>
      <c r="AB26" s="822"/>
      <c r="AC26" s="822"/>
      <c r="AD26" s="822"/>
      <c r="AE26" s="822"/>
      <c r="AF26" s="822"/>
      <c r="AG26" s="822"/>
      <c r="AH26" s="54">
        <v>272.2</v>
      </c>
      <c r="AI26" s="822"/>
      <c r="AJ26" s="822"/>
      <c r="AK26" s="54">
        <v>4805.45</v>
      </c>
      <c r="AL26" s="54">
        <v>0</v>
      </c>
    </row>
    <row r="27" spans="1:38" ht="15.75" thickBot="1" x14ac:dyDescent="0.3">
      <c r="A27" s="51" t="s">
        <v>844</v>
      </c>
      <c r="B27" s="51" t="s">
        <v>31</v>
      </c>
      <c r="C27" s="51" t="s">
        <v>835</v>
      </c>
      <c r="D27" s="51" t="s">
        <v>320</v>
      </c>
      <c r="E27" s="51" t="s">
        <v>268</v>
      </c>
      <c r="F27" s="841" t="s">
        <v>266</v>
      </c>
      <c r="G27" s="54">
        <v>1100</v>
      </c>
      <c r="H27" s="822"/>
      <c r="I27" s="822"/>
      <c r="J27" s="822"/>
      <c r="K27" s="54">
        <v>1100</v>
      </c>
      <c r="L27" s="822"/>
      <c r="M27" s="822"/>
      <c r="N27" s="822"/>
      <c r="O27" s="822"/>
      <c r="P27" s="822"/>
      <c r="Q27" s="822"/>
      <c r="R27" s="822"/>
      <c r="S27" s="822"/>
      <c r="T27" s="822"/>
      <c r="U27" s="822"/>
      <c r="V27" s="822"/>
      <c r="W27" s="822"/>
      <c r="X27" s="822"/>
      <c r="Y27" s="822"/>
      <c r="Z27" s="822"/>
      <c r="AA27" s="822"/>
      <c r="AB27" s="822"/>
      <c r="AC27" s="822"/>
      <c r="AD27" s="822"/>
      <c r="AE27" s="822"/>
      <c r="AF27" s="822"/>
      <c r="AG27" s="822"/>
      <c r="AH27" s="54">
        <v>83.49</v>
      </c>
      <c r="AI27" s="822"/>
      <c r="AJ27" s="822"/>
      <c r="AK27" s="54">
        <v>1183.49</v>
      </c>
      <c r="AL27" s="54">
        <v>0</v>
      </c>
    </row>
    <row r="28" spans="1:38" ht="15.75" thickBot="1" x14ac:dyDescent="0.3">
      <c r="A28" s="51" t="s">
        <v>844</v>
      </c>
      <c r="B28" s="856" t="s">
        <v>491</v>
      </c>
      <c r="C28" s="51" t="s">
        <v>492</v>
      </c>
      <c r="D28" s="51" t="s">
        <v>320</v>
      </c>
      <c r="E28" s="51" t="s">
        <v>109</v>
      </c>
      <c r="F28" s="841" t="s">
        <v>266</v>
      </c>
      <c r="G28" s="54">
        <v>4.54</v>
      </c>
      <c r="H28" s="822"/>
      <c r="I28" s="822"/>
      <c r="J28" s="822"/>
      <c r="K28" s="822"/>
      <c r="L28" s="822"/>
      <c r="M28" s="822"/>
      <c r="N28" s="822"/>
      <c r="O28" s="822"/>
      <c r="P28" s="822"/>
      <c r="Q28" s="54">
        <v>4.54</v>
      </c>
      <c r="R28" s="822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54">
        <v>0.23</v>
      </c>
      <c r="AI28" s="822"/>
      <c r="AJ28" s="822"/>
      <c r="AK28" s="54">
        <v>4.7699999999999996</v>
      </c>
      <c r="AL28" s="54">
        <v>0</v>
      </c>
    </row>
    <row r="29" spans="1:38" ht="15.75" thickBot="1" x14ac:dyDescent="0.3">
      <c r="A29" s="51" t="s">
        <v>844</v>
      </c>
      <c r="B29" s="51" t="s">
        <v>491</v>
      </c>
      <c r="C29" s="51" t="s">
        <v>492</v>
      </c>
      <c r="D29" s="51" t="s">
        <v>320</v>
      </c>
      <c r="E29" s="51" t="s">
        <v>272</v>
      </c>
      <c r="F29" s="841" t="s">
        <v>266</v>
      </c>
      <c r="G29" s="54">
        <v>4287.3599999999997</v>
      </c>
      <c r="H29" s="822"/>
      <c r="I29" s="822"/>
      <c r="J29" s="822"/>
      <c r="K29" s="54">
        <v>4287.3599999999997</v>
      </c>
      <c r="L29" s="822"/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22"/>
      <c r="AB29" s="822"/>
      <c r="AC29" s="822"/>
      <c r="AD29" s="822"/>
      <c r="AE29" s="822"/>
      <c r="AF29" s="822"/>
      <c r="AG29" s="822"/>
      <c r="AH29" s="54">
        <v>129.91</v>
      </c>
      <c r="AI29" s="822"/>
      <c r="AJ29" s="822"/>
      <c r="AK29" s="54">
        <v>4417.2700000000004</v>
      </c>
      <c r="AL29" s="54">
        <v>0</v>
      </c>
    </row>
    <row r="30" spans="1:38" ht="15.75" thickBot="1" x14ac:dyDescent="0.3">
      <c r="A30" s="51" t="s">
        <v>844</v>
      </c>
      <c r="B30" s="51" t="s">
        <v>491</v>
      </c>
      <c r="C30" s="51" t="s">
        <v>492</v>
      </c>
      <c r="D30" s="51" t="s">
        <v>320</v>
      </c>
      <c r="E30" s="51" t="s">
        <v>265</v>
      </c>
      <c r="F30" s="841" t="s">
        <v>266</v>
      </c>
      <c r="G30" s="54">
        <v>5525.02</v>
      </c>
      <c r="H30" s="866">
        <v>25195</v>
      </c>
      <c r="I30" s="822"/>
      <c r="J30" s="822"/>
      <c r="K30" s="822"/>
      <c r="L30" s="822"/>
      <c r="M30" s="54">
        <v>5525.02</v>
      </c>
      <c r="N30" s="822"/>
      <c r="O30" s="822"/>
      <c r="P30" s="822"/>
      <c r="Q30" s="822"/>
      <c r="R30" s="822"/>
      <c r="S30" s="822"/>
      <c r="T30" s="822"/>
      <c r="U30" s="822"/>
      <c r="V30" s="822"/>
      <c r="W30" s="822"/>
      <c r="X30" s="822"/>
      <c r="Y30" s="822"/>
      <c r="Z30" s="822"/>
      <c r="AA30" s="822"/>
      <c r="AB30" s="822"/>
      <c r="AC30" s="822"/>
      <c r="AD30" s="822"/>
      <c r="AE30" s="822"/>
      <c r="AF30" s="822"/>
      <c r="AG30" s="822"/>
      <c r="AH30" s="54">
        <v>284.27</v>
      </c>
      <c r="AI30" s="822"/>
      <c r="AJ30" s="822"/>
      <c r="AK30" s="54">
        <v>5809.29</v>
      </c>
      <c r="AL30" s="54">
        <v>0</v>
      </c>
    </row>
    <row r="31" spans="1:38" ht="15.75" thickBot="1" x14ac:dyDescent="0.3">
      <c r="A31" s="51" t="s">
        <v>844</v>
      </c>
      <c r="B31" s="51" t="s">
        <v>491</v>
      </c>
      <c r="C31" s="51" t="s">
        <v>492</v>
      </c>
      <c r="D31" s="51" t="s">
        <v>320</v>
      </c>
      <c r="E31" s="51" t="s">
        <v>620</v>
      </c>
      <c r="F31" s="841" t="s">
        <v>266</v>
      </c>
      <c r="G31" s="54">
        <v>386.34</v>
      </c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822"/>
      <c r="V31" s="822"/>
      <c r="W31" s="822"/>
      <c r="X31" s="822"/>
      <c r="Y31" s="822"/>
      <c r="Z31" s="54">
        <v>386.34</v>
      </c>
      <c r="AA31" s="822"/>
      <c r="AB31" s="822"/>
      <c r="AC31" s="822"/>
      <c r="AD31" s="822"/>
      <c r="AE31" s="822"/>
      <c r="AF31" s="822"/>
      <c r="AG31" s="822"/>
      <c r="AH31" s="54">
        <v>11.7</v>
      </c>
      <c r="AI31" s="822"/>
      <c r="AJ31" s="822"/>
      <c r="AK31" s="54">
        <v>398.04</v>
      </c>
      <c r="AL31" s="54">
        <v>0</v>
      </c>
    </row>
    <row r="32" spans="1:38" ht="15.75" thickBot="1" x14ac:dyDescent="0.3">
      <c r="A32" s="51" t="s">
        <v>844</v>
      </c>
      <c r="B32" s="51" t="s">
        <v>491</v>
      </c>
      <c r="C32" s="51" t="s">
        <v>492</v>
      </c>
      <c r="D32" s="51" t="s">
        <v>320</v>
      </c>
      <c r="E32" s="51" t="s">
        <v>621</v>
      </c>
      <c r="F32" s="841" t="s">
        <v>266</v>
      </c>
      <c r="G32" s="54">
        <v>102.81</v>
      </c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54">
        <v>102.81</v>
      </c>
      <c r="AB32" s="822"/>
      <c r="AC32" s="822"/>
      <c r="AD32" s="822"/>
      <c r="AE32" s="822"/>
      <c r="AF32" s="822"/>
      <c r="AG32" s="822"/>
      <c r="AH32" s="54">
        <v>5.29</v>
      </c>
      <c r="AI32" s="822"/>
      <c r="AJ32" s="822"/>
      <c r="AK32" s="54">
        <v>108.1</v>
      </c>
      <c r="AL32" s="54">
        <v>0</v>
      </c>
    </row>
    <row r="33" spans="1:38" ht="15.75" thickBot="1" x14ac:dyDescent="0.3">
      <c r="A33" s="51" t="s">
        <v>844</v>
      </c>
      <c r="B33" s="51" t="s">
        <v>491</v>
      </c>
      <c r="C33" s="51" t="s">
        <v>492</v>
      </c>
      <c r="D33" s="51" t="s">
        <v>320</v>
      </c>
      <c r="E33" s="51" t="s">
        <v>273</v>
      </c>
      <c r="F33" s="841" t="s">
        <v>266</v>
      </c>
      <c r="G33" s="54">
        <v>2157.4499999999998</v>
      </c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54">
        <v>2157.4499999999998</v>
      </c>
      <c r="Z33" s="822"/>
      <c r="AA33" s="822"/>
      <c r="AB33" s="822"/>
      <c r="AC33" s="822"/>
      <c r="AD33" s="822"/>
      <c r="AE33" s="822"/>
      <c r="AF33" s="822"/>
      <c r="AG33" s="822"/>
      <c r="AH33" s="54">
        <v>111.01</v>
      </c>
      <c r="AI33" s="822"/>
      <c r="AJ33" s="822"/>
      <c r="AK33" s="54">
        <v>2268.46</v>
      </c>
      <c r="AL33" s="54">
        <v>0</v>
      </c>
    </row>
    <row r="34" spans="1:38" ht="15.75" thickBot="1" x14ac:dyDescent="0.3">
      <c r="A34" s="51" t="s">
        <v>844</v>
      </c>
      <c r="B34" s="51" t="s">
        <v>491</v>
      </c>
      <c r="C34" s="51" t="s">
        <v>492</v>
      </c>
      <c r="D34" s="51" t="s">
        <v>320</v>
      </c>
      <c r="E34" s="51" t="s">
        <v>268</v>
      </c>
      <c r="F34" s="841" t="s">
        <v>266</v>
      </c>
      <c r="G34" s="54">
        <v>3300</v>
      </c>
      <c r="H34" s="822"/>
      <c r="I34" s="822"/>
      <c r="J34" s="822"/>
      <c r="K34" s="54">
        <v>3300</v>
      </c>
      <c r="L34" s="822"/>
      <c r="M34" s="822"/>
      <c r="N34" s="822"/>
      <c r="O34" s="822"/>
      <c r="P34" s="822"/>
      <c r="Q34" s="822"/>
      <c r="R34" s="822"/>
      <c r="S34" s="822"/>
      <c r="T34" s="822"/>
      <c r="U34" s="822"/>
      <c r="V34" s="822"/>
      <c r="W34" s="822"/>
      <c r="X34" s="822"/>
      <c r="Y34" s="822"/>
      <c r="Z34" s="822"/>
      <c r="AA34" s="822"/>
      <c r="AB34" s="822"/>
      <c r="AC34" s="822"/>
      <c r="AD34" s="822"/>
      <c r="AE34" s="822"/>
      <c r="AF34" s="822"/>
      <c r="AG34" s="822"/>
      <c r="AH34" s="54">
        <v>99.99</v>
      </c>
      <c r="AI34" s="822"/>
      <c r="AJ34" s="822"/>
      <c r="AK34" s="54">
        <v>3399.99</v>
      </c>
      <c r="AL34" s="54">
        <v>0</v>
      </c>
    </row>
    <row r="35" spans="1:38" ht="15.75" thickBot="1" x14ac:dyDescent="0.3">
      <c r="A35" s="51" t="s">
        <v>844</v>
      </c>
      <c r="B35" s="856" t="s">
        <v>52</v>
      </c>
      <c r="C35" s="51" t="s">
        <v>355</v>
      </c>
      <c r="D35" s="51" t="s">
        <v>320</v>
      </c>
      <c r="E35" s="51" t="s">
        <v>269</v>
      </c>
      <c r="F35" s="841" t="s">
        <v>915</v>
      </c>
      <c r="G35" s="54">
        <v>-1537.14</v>
      </c>
      <c r="H35" s="822"/>
      <c r="I35" s="822"/>
      <c r="J35" s="822"/>
      <c r="K35" s="822"/>
      <c r="L35" s="822"/>
      <c r="M35" s="822"/>
      <c r="N35" s="822"/>
      <c r="O35" s="822"/>
      <c r="P35" s="822"/>
      <c r="Q35" s="822"/>
      <c r="R35" s="822"/>
      <c r="S35" s="822"/>
      <c r="T35" s="54">
        <v>-1537.14</v>
      </c>
      <c r="U35" s="822"/>
      <c r="V35" s="822"/>
      <c r="W35" s="822"/>
      <c r="X35" s="822"/>
      <c r="Y35" s="822"/>
      <c r="Z35" s="822"/>
      <c r="AA35" s="822"/>
      <c r="AB35" s="822"/>
      <c r="AC35" s="822"/>
      <c r="AD35" s="822"/>
      <c r="AE35" s="822"/>
      <c r="AF35" s="822"/>
      <c r="AG35" s="822"/>
      <c r="AH35" s="54">
        <v>0</v>
      </c>
      <c r="AI35" s="822"/>
      <c r="AJ35" s="822"/>
      <c r="AK35" s="54">
        <v>-1537.14</v>
      </c>
      <c r="AL35" s="54">
        <v>0</v>
      </c>
    </row>
    <row r="36" spans="1:38" ht="15.75" thickBot="1" x14ac:dyDescent="0.3">
      <c r="A36" s="51" t="s">
        <v>844</v>
      </c>
      <c r="B36" s="51" t="s">
        <v>52</v>
      </c>
      <c r="C36" s="51" t="s">
        <v>355</v>
      </c>
      <c r="D36" s="51" t="s">
        <v>320</v>
      </c>
      <c r="E36" s="51" t="s">
        <v>271</v>
      </c>
      <c r="F36" s="841" t="s">
        <v>915</v>
      </c>
      <c r="G36" s="54">
        <v>118.88</v>
      </c>
      <c r="H36" s="822"/>
      <c r="I36" s="822"/>
      <c r="J36" s="822"/>
      <c r="K36" s="822"/>
      <c r="L36" s="822"/>
      <c r="M36" s="822"/>
      <c r="N36" s="822"/>
      <c r="O36" s="822"/>
      <c r="P36" s="822"/>
      <c r="Q36" s="822"/>
      <c r="R36" s="822"/>
      <c r="S36" s="822"/>
      <c r="T36" s="822"/>
      <c r="U36" s="54">
        <v>118.88</v>
      </c>
      <c r="V36" s="822"/>
      <c r="W36" s="822"/>
      <c r="X36" s="822"/>
      <c r="Y36" s="822"/>
      <c r="Z36" s="822"/>
      <c r="AA36" s="822"/>
      <c r="AB36" s="822"/>
      <c r="AC36" s="822"/>
      <c r="AD36" s="822"/>
      <c r="AE36" s="822"/>
      <c r="AF36" s="822"/>
      <c r="AG36" s="822"/>
      <c r="AH36" s="54">
        <v>0</v>
      </c>
      <c r="AI36" s="822"/>
      <c r="AJ36" s="822"/>
      <c r="AK36" s="54">
        <v>118.88</v>
      </c>
      <c r="AL36" s="54">
        <v>0</v>
      </c>
    </row>
    <row r="37" spans="1:38" ht="15.75" thickBot="1" x14ac:dyDescent="0.3">
      <c r="A37" s="51" t="s">
        <v>844</v>
      </c>
      <c r="B37" s="51" t="s">
        <v>52</v>
      </c>
      <c r="C37" s="51" t="s">
        <v>355</v>
      </c>
      <c r="D37" s="51" t="s">
        <v>320</v>
      </c>
      <c r="E37" s="51" t="s">
        <v>268</v>
      </c>
      <c r="F37" s="841" t="s">
        <v>266</v>
      </c>
      <c r="G37" s="54">
        <v>675</v>
      </c>
      <c r="H37" s="822"/>
      <c r="I37" s="822"/>
      <c r="J37" s="822"/>
      <c r="K37" s="54">
        <v>675</v>
      </c>
      <c r="L37" s="822"/>
      <c r="M37" s="822"/>
      <c r="N37" s="822"/>
      <c r="O37" s="822"/>
      <c r="P37" s="822"/>
      <c r="Q37" s="822"/>
      <c r="R37" s="822"/>
      <c r="S37" s="822"/>
      <c r="T37" s="822"/>
      <c r="U37" s="822"/>
      <c r="V37" s="822"/>
      <c r="W37" s="822"/>
      <c r="X37" s="822"/>
      <c r="Y37" s="822"/>
      <c r="Z37" s="822"/>
      <c r="AA37" s="822"/>
      <c r="AB37" s="822"/>
      <c r="AC37" s="822"/>
      <c r="AD37" s="822"/>
      <c r="AE37" s="822"/>
      <c r="AF37" s="822"/>
      <c r="AG37" s="822"/>
      <c r="AH37" s="54">
        <v>0</v>
      </c>
      <c r="AI37" s="822"/>
      <c r="AJ37" s="822"/>
      <c r="AK37" s="54">
        <v>675</v>
      </c>
      <c r="AL37" s="54">
        <v>0</v>
      </c>
    </row>
    <row r="38" spans="1:38" ht="15.75" thickBot="1" x14ac:dyDescent="0.3">
      <c r="A38" s="51" t="s">
        <v>844</v>
      </c>
      <c r="B38" s="856" t="s">
        <v>53</v>
      </c>
      <c r="C38" s="51" t="s">
        <v>836</v>
      </c>
      <c r="D38" s="51" t="s">
        <v>320</v>
      </c>
      <c r="E38" s="51" t="s">
        <v>356</v>
      </c>
      <c r="F38" s="841" t="s">
        <v>266</v>
      </c>
      <c r="G38" s="823"/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823"/>
      <c r="AD38" s="823"/>
      <c r="AE38" s="823"/>
      <c r="AF38" s="823"/>
      <c r="AG38" s="56">
        <v>1037.5999999999999</v>
      </c>
      <c r="AH38" s="56">
        <v>0</v>
      </c>
      <c r="AI38" s="823"/>
      <c r="AJ38" s="823"/>
      <c r="AK38" s="56">
        <v>1037.5999999999999</v>
      </c>
      <c r="AL38" s="56">
        <v>0</v>
      </c>
    </row>
    <row r="39" spans="1:38" ht="15.75" thickBot="1" x14ac:dyDescent="0.3">
      <c r="A39" s="51" t="s">
        <v>844</v>
      </c>
      <c r="B39" s="51" t="s">
        <v>53</v>
      </c>
      <c r="C39" s="51" t="s">
        <v>836</v>
      </c>
      <c r="D39" s="51" t="s">
        <v>320</v>
      </c>
      <c r="E39" s="51" t="s">
        <v>272</v>
      </c>
      <c r="F39" s="841" t="s">
        <v>266</v>
      </c>
      <c r="G39" s="56">
        <v>500</v>
      </c>
      <c r="H39" s="823"/>
      <c r="I39" s="823"/>
      <c r="J39" s="823"/>
      <c r="K39" s="56">
        <v>500</v>
      </c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3"/>
      <c r="AF39" s="823"/>
      <c r="AG39" s="823"/>
      <c r="AH39" s="56">
        <v>0</v>
      </c>
      <c r="AI39" s="823"/>
      <c r="AJ39" s="823"/>
      <c r="AK39" s="56">
        <v>500</v>
      </c>
      <c r="AL39" s="56">
        <v>0</v>
      </c>
    </row>
    <row r="40" spans="1:38" ht="15.75" thickBot="1" x14ac:dyDescent="0.3">
      <c r="A40" s="51" t="s">
        <v>844</v>
      </c>
      <c r="B40" s="51" t="s">
        <v>53</v>
      </c>
      <c r="C40" s="51" t="s">
        <v>836</v>
      </c>
      <c r="D40" s="51" t="s">
        <v>320</v>
      </c>
      <c r="E40" s="51" t="s">
        <v>265</v>
      </c>
      <c r="F40" s="841" t="s">
        <v>266</v>
      </c>
      <c r="G40" s="56">
        <v>18163.669999999998</v>
      </c>
      <c r="H40" s="866">
        <v>170647</v>
      </c>
      <c r="I40" s="823"/>
      <c r="J40" s="823"/>
      <c r="K40" s="823"/>
      <c r="L40" s="823"/>
      <c r="M40" s="56">
        <v>18163.669999999998</v>
      </c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823"/>
      <c r="AF40" s="823"/>
      <c r="AG40" s="823"/>
      <c r="AH40" s="56">
        <v>0</v>
      </c>
      <c r="AI40" s="823"/>
      <c r="AJ40" s="823"/>
      <c r="AK40" s="56">
        <v>18163.669999999998</v>
      </c>
      <c r="AL40" s="56">
        <v>0</v>
      </c>
    </row>
    <row r="41" spans="1:38" ht="15.75" thickBot="1" x14ac:dyDescent="0.3">
      <c r="A41" s="51" t="s">
        <v>844</v>
      </c>
      <c r="B41" s="51" t="s">
        <v>53</v>
      </c>
      <c r="C41" s="51" t="s">
        <v>836</v>
      </c>
      <c r="D41" s="51" t="s">
        <v>320</v>
      </c>
      <c r="E41" s="51" t="s">
        <v>620</v>
      </c>
      <c r="F41" s="841" t="s">
        <v>266</v>
      </c>
      <c r="G41" s="56">
        <v>64.39</v>
      </c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56">
        <v>64.39</v>
      </c>
      <c r="AA41" s="823"/>
      <c r="AB41" s="823"/>
      <c r="AC41" s="823"/>
      <c r="AD41" s="823"/>
      <c r="AE41" s="823"/>
      <c r="AF41" s="823"/>
      <c r="AG41" s="823"/>
      <c r="AH41" s="56">
        <v>0</v>
      </c>
      <c r="AI41" s="823"/>
      <c r="AJ41" s="823"/>
      <c r="AK41" s="56">
        <v>64.39</v>
      </c>
      <c r="AL41" s="56">
        <v>0</v>
      </c>
    </row>
    <row r="42" spans="1:38" ht="15.75" thickBot="1" x14ac:dyDescent="0.3">
      <c r="A42" s="51" t="s">
        <v>844</v>
      </c>
      <c r="B42" s="51" t="s">
        <v>53</v>
      </c>
      <c r="C42" s="51" t="s">
        <v>836</v>
      </c>
      <c r="D42" s="51" t="s">
        <v>320</v>
      </c>
      <c r="E42" s="51" t="s">
        <v>621</v>
      </c>
      <c r="F42" s="841" t="s">
        <v>266</v>
      </c>
      <c r="G42" s="56">
        <v>696.24</v>
      </c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56">
        <v>696.24</v>
      </c>
      <c r="AB42" s="823"/>
      <c r="AC42" s="823"/>
      <c r="AD42" s="823"/>
      <c r="AE42" s="823"/>
      <c r="AF42" s="823"/>
      <c r="AG42" s="823"/>
      <c r="AH42" s="56">
        <v>0</v>
      </c>
      <c r="AI42" s="823"/>
      <c r="AJ42" s="823"/>
      <c r="AK42" s="56">
        <v>696.24</v>
      </c>
      <c r="AL42" s="56">
        <v>0</v>
      </c>
    </row>
    <row r="43" spans="1:38" ht="15.75" thickBot="1" x14ac:dyDescent="0.3">
      <c r="A43" s="51" t="s">
        <v>844</v>
      </c>
      <c r="B43" s="51" t="s">
        <v>53</v>
      </c>
      <c r="C43" s="51" t="s">
        <v>836</v>
      </c>
      <c r="D43" s="51" t="s">
        <v>320</v>
      </c>
      <c r="E43" s="51" t="s">
        <v>273</v>
      </c>
      <c r="F43" s="841" t="s">
        <v>266</v>
      </c>
      <c r="G43" s="56">
        <v>14612.5</v>
      </c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56">
        <v>14612.5</v>
      </c>
      <c r="Z43" s="823"/>
      <c r="AA43" s="823"/>
      <c r="AB43" s="823"/>
      <c r="AC43" s="823"/>
      <c r="AD43" s="823"/>
      <c r="AE43" s="823"/>
      <c r="AF43" s="823"/>
      <c r="AG43" s="823"/>
      <c r="AH43" s="56">
        <v>0</v>
      </c>
      <c r="AI43" s="823"/>
      <c r="AJ43" s="823"/>
      <c r="AK43" s="56">
        <v>14612.5</v>
      </c>
      <c r="AL43" s="56">
        <v>0</v>
      </c>
    </row>
    <row r="44" spans="1:38" ht="15.75" thickBot="1" x14ac:dyDescent="0.3">
      <c r="A44" s="51" t="s">
        <v>844</v>
      </c>
      <c r="B44" s="51" t="s">
        <v>53</v>
      </c>
      <c r="C44" s="51" t="s">
        <v>836</v>
      </c>
      <c r="D44" s="51" t="s">
        <v>320</v>
      </c>
      <c r="E44" s="51" t="s">
        <v>268</v>
      </c>
      <c r="F44" s="841" t="s">
        <v>266</v>
      </c>
      <c r="G44" s="56">
        <v>550</v>
      </c>
      <c r="H44" s="823"/>
      <c r="I44" s="823"/>
      <c r="J44" s="823"/>
      <c r="K44" s="56">
        <v>550</v>
      </c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23"/>
      <c r="X44" s="823"/>
      <c r="Y44" s="823"/>
      <c r="Z44" s="823"/>
      <c r="AA44" s="823"/>
      <c r="AB44" s="823"/>
      <c r="AC44" s="823"/>
      <c r="AD44" s="823"/>
      <c r="AE44" s="823"/>
      <c r="AF44" s="823"/>
      <c r="AG44" s="823"/>
      <c r="AH44" s="56">
        <v>0</v>
      </c>
      <c r="AI44" s="823"/>
      <c r="AJ44" s="823"/>
      <c r="AK44" s="56">
        <v>550</v>
      </c>
      <c r="AL44" s="56">
        <v>0</v>
      </c>
    </row>
    <row r="45" spans="1:38" ht="15.75" thickBot="1" x14ac:dyDescent="0.3">
      <c r="A45" s="51" t="s">
        <v>844</v>
      </c>
      <c r="B45" s="856" t="s">
        <v>36</v>
      </c>
      <c r="C45" s="51" t="s">
        <v>438</v>
      </c>
      <c r="D45" s="51" t="s">
        <v>320</v>
      </c>
      <c r="E45" s="51" t="s">
        <v>269</v>
      </c>
      <c r="F45" s="841" t="s">
        <v>915</v>
      </c>
      <c r="G45" s="56">
        <v>-543.07000000000005</v>
      </c>
      <c r="H45" s="823"/>
      <c r="I45" s="823"/>
      <c r="J45" s="823"/>
      <c r="K45" s="823"/>
      <c r="L45" s="823"/>
      <c r="M45" s="823"/>
      <c r="N45" s="823"/>
      <c r="O45" s="823"/>
      <c r="P45" s="823"/>
      <c r="Q45" s="823"/>
      <c r="R45" s="823"/>
      <c r="S45" s="823"/>
      <c r="T45" s="56">
        <v>-543.07000000000005</v>
      </c>
      <c r="U45" s="823"/>
      <c r="V45" s="823"/>
      <c r="W45" s="823"/>
      <c r="X45" s="823"/>
      <c r="Y45" s="823"/>
      <c r="Z45" s="823"/>
      <c r="AA45" s="823"/>
      <c r="AB45" s="823"/>
      <c r="AC45" s="823"/>
      <c r="AD45" s="823"/>
      <c r="AE45" s="823"/>
      <c r="AF45" s="823"/>
      <c r="AG45" s="823"/>
      <c r="AH45" s="56">
        <v>-32.58</v>
      </c>
      <c r="AI45" s="823"/>
      <c r="AJ45" s="823"/>
      <c r="AK45" s="56">
        <v>-575.65</v>
      </c>
      <c r="AL45" s="56">
        <v>0</v>
      </c>
    </row>
    <row r="46" spans="1:38" ht="15.75" thickBot="1" x14ac:dyDescent="0.3">
      <c r="A46" s="51" t="s">
        <v>844</v>
      </c>
      <c r="B46" s="51" t="s">
        <v>36</v>
      </c>
      <c r="C46" s="51" t="s">
        <v>438</v>
      </c>
      <c r="D46" s="51" t="s">
        <v>320</v>
      </c>
      <c r="E46" s="51" t="s">
        <v>272</v>
      </c>
      <c r="F46" s="841" t="s">
        <v>266</v>
      </c>
      <c r="G46" s="56">
        <v>36000</v>
      </c>
      <c r="H46" s="823"/>
      <c r="I46" s="823"/>
      <c r="J46" s="823"/>
      <c r="K46" s="56">
        <v>36000</v>
      </c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823"/>
      <c r="AA46" s="823"/>
      <c r="AB46" s="823"/>
      <c r="AC46" s="823"/>
      <c r="AD46" s="823"/>
      <c r="AE46" s="823"/>
      <c r="AF46" s="823"/>
      <c r="AG46" s="823"/>
      <c r="AH46" s="56">
        <v>1604.25</v>
      </c>
      <c r="AI46" s="823"/>
      <c r="AJ46" s="823"/>
      <c r="AK46" s="56">
        <v>37604.25</v>
      </c>
      <c r="AL46" s="56">
        <v>0</v>
      </c>
    </row>
    <row r="47" spans="1:38" ht="15.75" thickBot="1" x14ac:dyDescent="0.3">
      <c r="A47" s="51" t="s">
        <v>844</v>
      </c>
      <c r="B47" s="51" t="s">
        <v>36</v>
      </c>
      <c r="C47" s="51" t="s">
        <v>438</v>
      </c>
      <c r="D47" s="51" t="s">
        <v>320</v>
      </c>
      <c r="E47" s="51" t="s">
        <v>265</v>
      </c>
      <c r="F47" s="841" t="s">
        <v>266</v>
      </c>
      <c r="G47" s="56">
        <v>47442.95</v>
      </c>
      <c r="H47" s="866">
        <v>12484985</v>
      </c>
      <c r="I47" s="823"/>
      <c r="J47" s="823"/>
      <c r="K47" s="823"/>
      <c r="L47" s="823"/>
      <c r="M47" s="56">
        <v>47442.95</v>
      </c>
      <c r="N47" s="823"/>
      <c r="O47" s="823"/>
      <c r="P47" s="823"/>
      <c r="Q47" s="823"/>
      <c r="R47" s="823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823"/>
      <c r="AF47" s="823"/>
      <c r="AG47" s="823"/>
      <c r="AH47" s="56">
        <v>2099.16</v>
      </c>
      <c r="AI47" s="823"/>
      <c r="AJ47" s="823"/>
      <c r="AK47" s="56">
        <v>49542.11</v>
      </c>
      <c r="AL47" s="56">
        <v>0</v>
      </c>
    </row>
    <row r="48" spans="1:38" ht="15.75" thickBot="1" x14ac:dyDescent="0.3">
      <c r="A48" s="51" t="s">
        <v>844</v>
      </c>
      <c r="B48" s="51" t="s">
        <v>36</v>
      </c>
      <c r="C48" s="51" t="s">
        <v>438</v>
      </c>
      <c r="D48" s="51" t="s">
        <v>320</v>
      </c>
      <c r="E48" s="51" t="s">
        <v>265</v>
      </c>
      <c r="F48" s="841" t="s">
        <v>915</v>
      </c>
      <c r="G48" s="54">
        <v>1.1100000000000001</v>
      </c>
      <c r="H48" s="54">
        <v>291</v>
      </c>
      <c r="I48" s="822"/>
      <c r="J48" s="822"/>
      <c r="K48" s="822"/>
      <c r="L48" s="822"/>
      <c r="M48" s="54">
        <v>1.1100000000000001</v>
      </c>
      <c r="N48" s="822"/>
      <c r="O48" s="822"/>
      <c r="P48" s="822"/>
      <c r="Q48" s="822"/>
      <c r="R48" s="822"/>
      <c r="S48" s="822"/>
      <c r="T48" s="822"/>
      <c r="U48" s="822"/>
      <c r="V48" s="822"/>
      <c r="W48" s="822"/>
      <c r="X48" s="822"/>
      <c r="Y48" s="822"/>
      <c r="Z48" s="822"/>
      <c r="AA48" s="822"/>
      <c r="AB48" s="822"/>
      <c r="AC48" s="822"/>
      <c r="AD48" s="822"/>
      <c r="AE48" s="822"/>
      <c r="AF48" s="822"/>
      <c r="AG48" s="822"/>
      <c r="AH48" s="54">
        <v>7.0000000000000007E-2</v>
      </c>
      <c r="AI48" s="822"/>
      <c r="AJ48" s="822"/>
      <c r="AK48" s="54">
        <v>1.18</v>
      </c>
      <c r="AL48" s="54">
        <v>0</v>
      </c>
    </row>
    <row r="49" spans="1:38" ht="15.75" thickBot="1" x14ac:dyDescent="0.3">
      <c r="A49" s="51" t="s">
        <v>844</v>
      </c>
      <c r="B49" s="51" t="s">
        <v>36</v>
      </c>
      <c r="C49" s="51" t="s">
        <v>438</v>
      </c>
      <c r="D49" s="51" t="s">
        <v>320</v>
      </c>
      <c r="E49" s="51" t="s">
        <v>621</v>
      </c>
      <c r="F49" s="841" t="s">
        <v>266</v>
      </c>
      <c r="G49" s="54">
        <v>5992.79</v>
      </c>
      <c r="H49" s="822"/>
      <c r="I49" s="822"/>
      <c r="J49" s="822"/>
      <c r="K49" s="822"/>
      <c r="L49" s="822"/>
      <c r="M49" s="822"/>
      <c r="N49" s="822"/>
      <c r="O49" s="822"/>
      <c r="P49" s="822"/>
      <c r="Q49" s="822"/>
      <c r="R49" s="822"/>
      <c r="S49" s="822"/>
      <c r="T49" s="822"/>
      <c r="U49" s="822"/>
      <c r="V49" s="822"/>
      <c r="W49" s="822"/>
      <c r="X49" s="822"/>
      <c r="Y49" s="822"/>
      <c r="Z49" s="822"/>
      <c r="AA49" s="54">
        <v>5992.79</v>
      </c>
      <c r="AB49" s="822"/>
      <c r="AC49" s="822"/>
      <c r="AD49" s="822"/>
      <c r="AE49" s="822"/>
      <c r="AF49" s="822"/>
      <c r="AG49" s="822"/>
      <c r="AH49" s="54">
        <v>265.17</v>
      </c>
      <c r="AI49" s="822"/>
      <c r="AJ49" s="822"/>
      <c r="AK49" s="54">
        <v>6257.96</v>
      </c>
      <c r="AL49" s="54">
        <v>0</v>
      </c>
    </row>
    <row r="50" spans="1:38" ht="15.75" thickBot="1" x14ac:dyDescent="0.3">
      <c r="A50" s="51" t="s">
        <v>844</v>
      </c>
      <c r="B50" s="51" t="s">
        <v>36</v>
      </c>
      <c r="C50" s="51" t="s">
        <v>438</v>
      </c>
      <c r="D50" s="51" t="s">
        <v>320</v>
      </c>
      <c r="E50" s="51" t="s">
        <v>916</v>
      </c>
      <c r="F50" s="841" t="s">
        <v>915</v>
      </c>
      <c r="G50" s="54">
        <v>0.14000000000000001</v>
      </c>
      <c r="H50" s="822"/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822"/>
      <c r="V50" s="822"/>
      <c r="W50" s="822"/>
      <c r="X50" s="822"/>
      <c r="Y50" s="822"/>
      <c r="Z50" s="822"/>
      <c r="AA50" s="54">
        <v>0.14000000000000001</v>
      </c>
      <c r="AB50" s="822"/>
      <c r="AC50" s="822"/>
      <c r="AD50" s="822"/>
      <c r="AE50" s="822"/>
      <c r="AF50" s="822"/>
      <c r="AG50" s="822"/>
      <c r="AH50" s="54">
        <v>0.01</v>
      </c>
      <c r="AI50" s="822"/>
      <c r="AJ50" s="822"/>
      <c r="AK50" s="54">
        <v>0.15</v>
      </c>
      <c r="AL50" s="54">
        <v>0</v>
      </c>
    </row>
    <row r="51" spans="1:38" ht="15.75" thickBot="1" x14ac:dyDescent="0.3">
      <c r="A51" s="51" t="s">
        <v>844</v>
      </c>
      <c r="B51" s="51" t="s">
        <v>36</v>
      </c>
      <c r="C51" s="51" t="s">
        <v>438</v>
      </c>
      <c r="D51" s="51" t="s">
        <v>320</v>
      </c>
      <c r="E51" s="51" t="s">
        <v>271</v>
      </c>
      <c r="F51" s="841" t="s">
        <v>915</v>
      </c>
      <c r="G51" s="54">
        <v>-60.57</v>
      </c>
      <c r="H51" s="822"/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54">
        <v>-60.57</v>
      </c>
      <c r="V51" s="822"/>
      <c r="W51" s="822"/>
      <c r="X51" s="822"/>
      <c r="Y51" s="822"/>
      <c r="Z51" s="822"/>
      <c r="AA51" s="822"/>
      <c r="AB51" s="822"/>
      <c r="AC51" s="822"/>
      <c r="AD51" s="822"/>
      <c r="AE51" s="822"/>
      <c r="AF51" s="822"/>
      <c r="AG51" s="822"/>
      <c r="AH51" s="54">
        <v>-3.63</v>
      </c>
      <c r="AI51" s="822"/>
      <c r="AJ51" s="822"/>
      <c r="AK51" s="54">
        <v>-64.2</v>
      </c>
      <c r="AL51" s="54">
        <v>0</v>
      </c>
    </row>
    <row r="52" spans="1:38" ht="15.75" thickBot="1" x14ac:dyDescent="0.3">
      <c r="A52" s="51" t="s">
        <v>844</v>
      </c>
      <c r="B52" s="51" t="s">
        <v>36</v>
      </c>
      <c r="C52" s="51" t="s">
        <v>438</v>
      </c>
      <c r="D52" s="51" t="s">
        <v>320</v>
      </c>
      <c r="E52" s="51" t="s">
        <v>325</v>
      </c>
      <c r="F52" s="841" t="s">
        <v>266</v>
      </c>
      <c r="G52" s="54">
        <v>44.28</v>
      </c>
      <c r="H52" s="822"/>
      <c r="I52" s="822"/>
      <c r="J52" s="822"/>
      <c r="K52" s="822"/>
      <c r="L52" s="822"/>
      <c r="M52" s="822"/>
      <c r="N52" s="54">
        <v>44.28</v>
      </c>
      <c r="O52" s="822"/>
      <c r="P52" s="822"/>
      <c r="Q52" s="822"/>
      <c r="R52" s="822"/>
      <c r="S52" s="822"/>
      <c r="T52" s="822"/>
      <c r="U52" s="822"/>
      <c r="V52" s="822"/>
      <c r="W52" s="822"/>
      <c r="X52" s="822"/>
      <c r="Y52" s="822"/>
      <c r="Z52" s="822"/>
      <c r="AA52" s="822"/>
      <c r="AB52" s="822"/>
      <c r="AC52" s="822"/>
      <c r="AD52" s="822"/>
      <c r="AE52" s="822"/>
      <c r="AF52" s="822"/>
      <c r="AG52" s="822"/>
      <c r="AH52" s="54">
        <v>2.7</v>
      </c>
      <c r="AI52" s="822"/>
      <c r="AJ52" s="822"/>
      <c r="AK52" s="54">
        <v>46.98</v>
      </c>
      <c r="AL52" s="54">
        <v>0</v>
      </c>
    </row>
    <row r="53" spans="1:38" ht="15.75" thickBot="1" x14ac:dyDescent="0.3">
      <c r="A53" s="51" t="s">
        <v>844</v>
      </c>
      <c r="B53" s="51" t="s">
        <v>36</v>
      </c>
      <c r="C53" s="51" t="s">
        <v>438</v>
      </c>
      <c r="D53" s="51" t="s">
        <v>320</v>
      </c>
      <c r="E53" s="51" t="s">
        <v>326</v>
      </c>
      <c r="F53" s="841" t="s">
        <v>266</v>
      </c>
      <c r="G53" s="54">
        <v>196.15</v>
      </c>
      <c r="H53" s="822"/>
      <c r="I53" s="822"/>
      <c r="J53" s="822"/>
      <c r="K53" s="822"/>
      <c r="L53" s="822"/>
      <c r="M53" s="822"/>
      <c r="N53" s="822"/>
      <c r="O53" s="822"/>
      <c r="P53" s="822"/>
      <c r="Q53" s="822"/>
      <c r="R53" s="822"/>
      <c r="S53" s="822"/>
      <c r="T53" s="822"/>
      <c r="U53" s="822"/>
      <c r="V53" s="54">
        <v>196.15</v>
      </c>
      <c r="W53" s="822"/>
      <c r="X53" s="822"/>
      <c r="Y53" s="822"/>
      <c r="Z53" s="822"/>
      <c r="AA53" s="822"/>
      <c r="AB53" s="822"/>
      <c r="AC53" s="822"/>
      <c r="AD53" s="822"/>
      <c r="AE53" s="822"/>
      <c r="AF53" s="822"/>
      <c r="AG53" s="822"/>
      <c r="AH53" s="54">
        <v>11.77</v>
      </c>
      <c r="AI53" s="822"/>
      <c r="AJ53" s="822"/>
      <c r="AK53" s="54">
        <v>207.92</v>
      </c>
      <c r="AL53" s="54">
        <v>0</v>
      </c>
    </row>
    <row r="54" spans="1:38" ht="15.75" thickBot="1" x14ac:dyDescent="0.3">
      <c r="A54" s="51" t="s">
        <v>844</v>
      </c>
      <c r="B54" s="51" t="s">
        <v>36</v>
      </c>
      <c r="C54" s="51" t="s">
        <v>438</v>
      </c>
      <c r="D54" s="51" t="s">
        <v>320</v>
      </c>
      <c r="E54" s="51" t="s">
        <v>268</v>
      </c>
      <c r="F54" s="841" t="s">
        <v>266</v>
      </c>
      <c r="G54" s="54">
        <v>26400</v>
      </c>
      <c r="H54" s="822"/>
      <c r="I54" s="822"/>
      <c r="J54" s="822"/>
      <c r="K54" s="54">
        <v>26400</v>
      </c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22"/>
      <c r="AB54" s="822"/>
      <c r="AC54" s="822"/>
      <c r="AD54" s="822"/>
      <c r="AE54" s="822"/>
      <c r="AF54" s="822"/>
      <c r="AG54" s="822"/>
      <c r="AH54" s="54">
        <v>1176.45</v>
      </c>
      <c r="AI54" s="822"/>
      <c r="AJ54" s="822"/>
      <c r="AK54" s="54">
        <v>27576.45</v>
      </c>
      <c r="AL54" s="54">
        <v>0</v>
      </c>
    </row>
    <row r="55" spans="1:38" ht="15.75" thickBot="1" x14ac:dyDescent="0.3">
      <c r="A55" s="51" t="s">
        <v>844</v>
      </c>
      <c r="B55" s="51" t="s">
        <v>36</v>
      </c>
      <c r="C55" s="51" t="s">
        <v>438</v>
      </c>
      <c r="D55" s="51" t="s">
        <v>320</v>
      </c>
      <c r="E55" s="51" t="s">
        <v>914</v>
      </c>
      <c r="F55" s="841" t="s">
        <v>266</v>
      </c>
      <c r="G55" s="54">
        <v>319985.51</v>
      </c>
      <c r="H55" s="822"/>
      <c r="I55" s="822"/>
      <c r="J55" s="822"/>
      <c r="K55" s="822"/>
      <c r="L55" s="54">
        <v>319985.51</v>
      </c>
      <c r="M55" s="822"/>
      <c r="N55" s="822"/>
      <c r="O55" s="822"/>
      <c r="P55" s="822"/>
      <c r="Q55" s="822"/>
      <c r="R55" s="822"/>
      <c r="S55" s="822"/>
      <c r="T55" s="822"/>
      <c r="U55" s="822"/>
      <c r="V55" s="822"/>
      <c r="W55" s="822"/>
      <c r="X55" s="822"/>
      <c r="Y55" s="822"/>
      <c r="Z55" s="822"/>
      <c r="AA55" s="822"/>
      <c r="AB55" s="822"/>
      <c r="AC55" s="822"/>
      <c r="AD55" s="822"/>
      <c r="AE55" s="822"/>
      <c r="AF55" s="822"/>
      <c r="AG55" s="822"/>
      <c r="AH55" s="54">
        <v>14400.98</v>
      </c>
      <c r="AI55" s="822"/>
      <c r="AJ55" s="822"/>
      <c r="AK55" s="54">
        <v>334386.49</v>
      </c>
      <c r="AL55" s="54">
        <v>0</v>
      </c>
    </row>
    <row r="56" spans="1:38" ht="15.75" thickBot="1" x14ac:dyDescent="0.3">
      <c r="A56" s="51" t="s">
        <v>844</v>
      </c>
      <c r="B56" s="51" t="s">
        <v>36</v>
      </c>
      <c r="C56" s="51" t="s">
        <v>438</v>
      </c>
      <c r="D56" s="51" t="s">
        <v>320</v>
      </c>
      <c r="E56" s="51" t="s">
        <v>329</v>
      </c>
      <c r="F56" s="841" t="s">
        <v>266</v>
      </c>
      <c r="G56" s="54">
        <v>692.87</v>
      </c>
      <c r="H56" s="822"/>
      <c r="I56" s="822"/>
      <c r="J56" s="822"/>
      <c r="K56" s="822"/>
      <c r="L56" s="822"/>
      <c r="M56" s="822"/>
      <c r="N56" s="822"/>
      <c r="O56" s="822"/>
      <c r="P56" s="822"/>
      <c r="Q56" s="822"/>
      <c r="R56" s="822"/>
      <c r="S56" s="822"/>
      <c r="T56" s="822"/>
      <c r="U56" s="822"/>
      <c r="V56" s="822"/>
      <c r="W56" s="54">
        <v>692.87</v>
      </c>
      <c r="X56" s="822"/>
      <c r="Y56" s="822"/>
      <c r="Z56" s="822"/>
      <c r="AA56" s="822"/>
      <c r="AB56" s="822"/>
      <c r="AC56" s="822"/>
      <c r="AD56" s="822"/>
      <c r="AE56" s="822"/>
      <c r="AF56" s="822"/>
      <c r="AG56" s="822"/>
      <c r="AH56" s="54">
        <v>41.57</v>
      </c>
      <c r="AI56" s="822"/>
      <c r="AJ56" s="822"/>
      <c r="AK56" s="54">
        <v>734.44</v>
      </c>
      <c r="AL56" s="54">
        <v>0</v>
      </c>
    </row>
    <row r="57" spans="1:38" ht="15.75" thickBot="1" x14ac:dyDescent="0.3">
      <c r="A57" s="51" t="s">
        <v>844</v>
      </c>
      <c r="B57" s="51" t="s">
        <v>36</v>
      </c>
      <c r="C57" s="51" t="s">
        <v>438</v>
      </c>
      <c r="D57" s="51" t="s">
        <v>320</v>
      </c>
      <c r="E57" s="51" t="s">
        <v>330</v>
      </c>
      <c r="F57" s="841" t="s">
        <v>266</v>
      </c>
      <c r="G57" s="54">
        <v>1617.98</v>
      </c>
      <c r="H57" s="822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822"/>
      <c r="V57" s="822"/>
      <c r="W57" s="822"/>
      <c r="X57" s="54">
        <v>1617.98</v>
      </c>
      <c r="Y57" s="822"/>
      <c r="Z57" s="822"/>
      <c r="AA57" s="822"/>
      <c r="AB57" s="822"/>
      <c r="AC57" s="822"/>
      <c r="AD57" s="822"/>
      <c r="AE57" s="822"/>
      <c r="AF57" s="822"/>
      <c r="AG57" s="822"/>
      <c r="AH57" s="54">
        <v>97.08</v>
      </c>
      <c r="AI57" s="822"/>
      <c r="AJ57" s="822"/>
      <c r="AK57" s="54">
        <v>1715.06</v>
      </c>
      <c r="AL57" s="54">
        <v>0</v>
      </c>
    </row>
    <row r="58" spans="1:38" ht="15.75" thickBot="1" x14ac:dyDescent="0.3">
      <c r="A58" s="51" t="s">
        <v>844</v>
      </c>
      <c r="B58" s="856" t="s">
        <v>36</v>
      </c>
      <c r="C58" s="51" t="s">
        <v>438</v>
      </c>
      <c r="D58" s="51" t="s">
        <v>319</v>
      </c>
      <c r="E58" s="51" t="s">
        <v>272</v>
      </c>
      <c r="F58" s="841" t="s">
        <v>266</v>
      </c>
      <c r="G58" s="56">
        <v>1500</v>
      </c>
      <c r="H58" s="823"/>
      <c r="I58" s="823"/>
      <c r="J58" s="823"/>
      <c r="K58" s="56">
        <v>1500</v>
      </c>
      <c r="L58" s="823"/>
      <c r="M58" s="823"/>
      <c r="N58" s="823"/>
      <c r="O58" s="823"/>
      <c r="P58" s="823"/>
      <c r="Q58" s="823"/>
      <c r="R58" s="823"/>
      <c r="S58" s="823"/>
      <c r="T58" s="823"/>
      <c r="U58" s="823"/>
      <c r="V58" s="823"/>
      <c r="W58" s="823"/>
      <c r="X58" s="823"/>
      <c r="Y58" s="823"/>
      <c r="Z58" s="823"/>
      <c r="AA58" s="823"/>
      <c r="AB58" s="823"/>
      <c r="AC58" s="823"/>
      <c r="AD58" s="823"/>
      <c r="AE58" s="823"/>
      <c r="AF58" s="823"/>
      <c r="AG58" s="823"/>
      <c r="AH58" s="56">
        <v>0</v>
      </c>
      <c r="AI58" s="823"/>
      <c r="AJ58" s="823"/>
      <c r="AK58" s="56">
        <v>1500</v>
      </c>
      <c r="AL58" s="56">
        <v>0</v>
      </c>
    </row>
    <row r="59" spans="1:38" ht="15.75" thickBot="1" x14ac:dyDescent="0.3">
      <c r="A59" s="51" t="s">
        <v>844</v>
      </c>
      <c r="B59" s="51" t="s">
        <v>36</v>
      </c>
      <c r="C59" s="51" t="s">
        <v>438</v>
      </c>
      <c r="D59" s="51" t="s">
        <v>319</v>
      </c>
      <c r="E59" s="51" t="s">
        <v>265</v>
      </c>
      <c r="F59" s="841" t="s">
        <v>266</v>
      </c>
      <c r="G59" s="56">
        <v>2808.62</v>
      </c>
      <c r="H59" s="866">
        <v>739109</v>
      </c>
      <c r="I59" s="823"/>
      <c r="J59" s="823"/>
      <c r="K59" s="823"/>
      <c r="L59" s="823"/>
      <c r="M59" s="56">
        <v>2808.62</v>
      </c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56">
        <v>0</v>
      </c>
      <c r="AI59" s="823"/>
      <c r="AJ59" s="823"/>
      <c r="AK59" s="56">
        <v>2808.62</v>
      </c>
      <c r="AL59" s="56">
        <v>0</v>
      </c>
    </row>
    <row r="60" spans="1:38" ht="15.75" thickBot="1" x14ac:dyDescent="0.3">
      <c r="A60" s="51" t="s">
        <v>844</v>
      </c>
      <c r="B60" s="51" t="s">
        <v>36</v>
      </c>
      <c r="C60" s="51" t="s">
        <v>438</v>
      </c>
      <c r="D60" s="51" t="s">
        <v>319</v>
      </c>
      <c r="E60" s="51" t="s">
        <v>621</v>
      </c>
      <c r="F60" s="841" t="s">
        <v>266</v>
      </c>
      <c r="G60" s="56">
        <v>354.77</v>
      </c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56">
        <v>354.77</v>
      </c>
      <c r="AB60" s="823"/>
      <c r="AC60" s="823"/>
      <c r="AD60" s="823"/>
      <c r="AE60" s="823"/>
      <c r="AF60" s="823"/>
      <c r="AG60" s="823"/>
      <c r="AH60" s="56">
        <v>0</v>
      </c>
      <c r="AI60" s="823"/>
      <c r="AJ60" s="823"/>
      <c r="AK60" s="56">
        <v>354.77</v>
      </c>
      <c r="AL60" s="56">
        <v>0</v>
      </c>
    </row>
    <row r="61" spans="1:38" ht="15.75" thickBot="1" x14ac:dyDescent="0.3">
      <c r="A61" s="51" t="s">
        <v>844</v>
      </c>
      <c r="B61" s="51" t="s">
        <v>36</v>
      </c>
      <c r="C61" s="51" t="s">
        <v>438</v>
      </c>
      <c r="D61" s="51" t="s">
        <v>319</v>
      </c>
      <c r="E61" s="51" t="s">
        <v>268</v>
      </c>
      <c r="F61" s="841" t="s">
        <v>266</v>
      </c>
      <c r="G61" s="56">
        <v>1100</v>
      </c>
      <c r="H61" s="823"/>
      <c r="I61" s="823"/>
      <c r="J61" s="823"/>
      <c r="K61" s="56">
        <v>1100</v>
      </c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56">
        <v>0</v>
      </c>
      <c r="AI61" s="823"/>
      <c r="AJ61" s="823"/>
      <c r="AK61" s="56">
        <v>1100</v>
      </c>
      <c r="AL61" s="56">
        <v>0</v>
      </c>
    </row>
    <row r="62" spans="1:38" ht="15.75" thickBot="1" x14ac:dyDescent="0.3">
      <c r="A62" s="51" t="s">
        <v>844</v>
      </c>
      <c r="B62" s="51" t="s">
        <v>36</v>
      </c>
      <c r="C62" s="51" t="s">
        <v>438</v>
      </c>
      <c r="D62" s="51" t="s">
        <v>319</v>
      </c>
      <c r="E62" s="51" t="s">
        <v>914</v>
      </c>
      <c r="F62" s="841" t="s">
        <v>266</v>
      </c>
      <c r="G62" s="56">
        <v>18788.36</v>
      </c>
      <c r="H62" s="823"/>
      <c r="I62" s="823"/>
      <c r="J62" s="823"/>
      <c r="K62" s="823"/>
      <c r="L62" s="56">
        <v>18788.36</v>
      </c>
      <c r="M62" s="823"/>
      <c r="N62" s="823"/>
      <c r="O62" s="823"/>
      <c r="P62" s="823"/>
      <c r="Q62" s="823"/>
      <c r="R62" s="823"/>
      <c r="S62" s="823"/>
      <c r="T62" s="823"/>
      <c r="U62" s="823"/>
      <c r="V62" s="823"/>
      <c r="W62" s="823"/>
      <c r="X62" s="823"/>
      <c r="Y62" s="823"/>
      <c r="Z62" s="823"/>
      <c r="AA62" s="823"/>
      <c r="AB62" s="823"/>
      <c r="AC62" s="823"/>
      <c r="AD62" s="823"/>
      <c r="AE62" s="823"/>
      <c r="AF62" s="823"/>
      <c r="AG62" s="823"/>
      <c r="AH62" s="56">
        <v>0</v>
      </c>
      <c r="AI62" s="823"/>
      <c r="AJ62" s="823"/>
      <c r="AK62" s="56">
        <v>18788.36</v>
      </c>
      <c r="AL62" s="56">
        <v>0</v>
      </c>
    </row>
    <row r="63" spans="1:38" ht="15.75" thickBot="1" x14ac:dyDescent="0.3">
      <c r="A63" s="51" t="s">
        <v>844</v>
      </c>
      <c r="B63" s="856" t="s">
        <v>447</v>
      </c>
      <c r="C63" s="51" t="s">
        <v>494</v>
      </c>
      <c r="D63" s="51" t="s">
        <v>320</v>
      </c>
      <c r="E63" s="51" t="s">
        <v>109</v>
      </c>
      <c r="F63" s="841" t="s">
        <v>266</v>
      </c>
      <c r="G63" s="54">
        <v>182.58</v>
      </c>
      <c r="H63" s="822"/>
      <c r="I63" s="822"/>
      <c r="J63" s="822"/>
      <c r="K63" s="822"/>
      <c r="L63" s="822"/>
      <c r="M63" s="822"/>
      <c r="N63" s="822"/>
      <c r="O63" s="822"/>
      <c r="P63" s="822"/>
      <c r="Q63" s="54">
        <v>182.58</v>
      </c>
      <c r="R63" s="822"/>
      <c r="S63" s="822"/>
      <c r="T63" s="822"/>
      <c r="U63" s="822"/>
      <c r="V63" s="822"/>
      <c r="W63" s="822"/>
      <c r="X63" s="822"/>
      <c r="Y63" s="822"/>
      <c r="Z63" s="822"/>
      <c r="AA63" s="822"/>
      <c r="AB63" s="822"/>
      <c r="AC63" s="822"/>
      <c r="AD63" s="822"/>
      <c r="AE63" s="822"/>
      <c r="AF63" s="822"/>
      <c r="AG63" s="822"/>
      <c r="AH63" s="54">
        <v>7.82</v>
      </c>
      <c r="AI63" s="822"/>
      <c r="AJ63" s="822"/>
      <c r="AK63" s="54">
        <v>190.4</v>
      </c>
      <c r="AL63" s="54">
        <v>0</v>
      </c>
    </row>
    <row r="64" spans="1:38" ht="15.75" thickBot="1" x14ac:dyDescent="0.3">
      <c r="A64" s="51" t="s">
        <v>844</v>
      </c>
      <c r="B64" s="51" t="s">
        <v>447</v>
      </c>
      <c r="C64" s="51" t="s">
        <v>494</v>
      </c>
      <c r="D64" s="51" t="s">
        <v>320</v>
      </c>
      <c r="E64" s="51" t="s">
        <v>356</v>
      </c>
      <c r="F64" s="841" t="s">
        <v>266</v>
      </c>
      <c r="G64" s="822"/>
      <c r="H64" s="822"/>
      <c r="I64" s="822"/>
      <c r="J64" s="822"/>
      <c r="K64" s="822"/>
      <c r="L64" s="822"/>
      <c r="M64" s="822"/>
      <c r="N64" s="822"/>
      <c r="O64" s="822"/>
      <c r="P64" s="822"/>
      <c r="Q64" s="822"/>
      <c r="R64" s="822"/>
      <c r="S64" s="822"/>
      <c r="T64" s="822"/>
      <c r="U64" s="822"/>
      <c r="V64" s="822"/>
      <c r="W64" s="822"/>
      <c r="X64" s="822"/>
      <c r="Y64" s="822"/>
      <c r="Z64" s="822"/>
      <c r="AA64" s="822"/>
      <c r="AB64" s="822"/>
      <c r="AC64" s="822"/>
      <c r="AD64" s="822"/>
      <c r="AE64" s="822"/>
      <c r="AF64" s="822"/>
      <c r="AG64" s="54">
        <v>452.33</v>
      </c>
      <c r="AH64" s="54">
        <v>10.52</v>
      </c>
      <c r="AI64" s="822"/>
      <c r="AJ64" s="822"/>
      <c r="AK64" s="54">
        <v>462.85</v>
      </c>
      <c r="AL64" s="54">
        <v>0</v>
      </c>
    </row>
    <row r="65" spans="1:38" ht="15.75" thickBot="1" x14ac:dyDescent="0.3">
      <c r="A65" s="51" t="s">
        <v>844</v>
      </c>
      <c r="B65" s="51" t="s">
        <v>447</v>
      </c>
      <c r="C65" s="51" t="s">
        <v>494</v>
      </c>
      <c r="D65" s="51" t="s">
        <v>320</v>
      </c>
      <c r="E65" s="51" t="s">
        <v>357</v>
      </c>
      <c r="F65" s="841" t="s">
        <v>266</v>
      </c>
      <c r="G65" s="54">
        <v>-12.52</v>
      </c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54">
        <v>-12.52</v>
      </c>
      <c r="T65" s="822"/>
      <c r="U65" s="822"/>
      <c r="V65" s="822"/>
      <c r="W65" s="822"/>
      <c r="X65" s="822"/>
      <c r="Y65" s="822"/>
      <c r="Z65" s="822"/>
      <c r="AA65" s="822"/>
      <c r="AB65" s="822"/>
      <c r="AC65" s="822"/>
      <c r="AD65" s="822"/>
      <c r="AE65" s="822"/>
      <c r="AF65" s="822"/>
      <c r="AG65" s="822"/>
      <c r="AH65" s="54">
        <v>-0.38</v>
      </c>
      <c r="AI65" s="822"/>
      <c r="AJ65" s="822"/>
      <c r="AK65" s="54">
        <v>-12.9</v>
      </c>
      <c r="AL65" s="54">
        <v>0</v>
      </c>
    </row>
    <row r="66" spans="1:38" ht="15.75" thickBot="1" x14ac:dyDescent="0.3">
      <c r="A66" s="51" t="s">
        <v>844</v>
      </c>
      <c r="B66" s="51" t="s">
        <v>447</v>
      </c>
      <c r="C66" s="51" t="s">
        <v>494</v>
      </c>
      <c r="D66" s="51" t="s">
        <v>320</v>
      </c>
      <c r="E66" s="51" t="s">
        <v>272</v>
      </c>
      <c r="F66" s="841" t="s">
        <v>266</v>
      </c>
      <c r="G66" s="54">
        <v>11250</v>
      </c>
      <c r="H66" s="822"/>
      <c r="I66" s="822"/>
      <c r="J66" s="822"/>
      <c r="K66" s="54">
        <v>11250</v>
      </c>
      <c r="L66" s="822"/>
      <c r="M66" s="822"/>
      <c r="N66" s="822"/>
      <c r="O66" s="822"/>
      <c r="P66" s="822"/>
      <c r="Q66" s="822"/>
      <c r="R66" s="822"/>
      <c r="S66" s="822"/>
      <c r="T66" s="822"/>
      <c r="U66" s="822"/>
      <c r="V66" s="822"/>
      <c r="W66" s="822"/>
      <c r="X66" s="822"/>
      <c r="Y66" s="822"/>
      <c r="Z66" s="822"/>
      <c r="AA66" s="822"/>
      <c r="AB66" s="822"/>
      <c r="AC66" s="822"/>
      <c r="AD66" s="822"/>
      <c r="AE66" s="822"/>
      <c r="AF66" s="822"/>
      <c r="AG66" s="822"/>
      <c r="AH66" s="54">
        <v>499.04</v>
      </c>
      <c r="AI66" s="822"/>
      <c r="AJ66" s="822"/>
      <c r="AK66" s="54">
        <v>11749.04</v>
      </c>
      <c r="AL66" s="54">
        <v>0</v>
      </c>
    </row>
    <row r="67" spans="1:38" ht="15.75" thickBot="1" x14ac:dyDescent="0.3">
      <c r="A67" s="51" t="s">
        <v>844</v>
      </c>
      <c r="B67" s="51" t="s">
        <v>447</v>
      </c>
      <c r="C67" s="51" t="s">
        <v>494</v>
      </c>
      <c r="D67" s="51" t="s">
        <v>320</v>
      </c>
      <c r="E67" s="51" t="s">
        <v>265</v>
      </c>
      <c r="F67" s="841" t="s">
        <v>266</v>
      </c>
      <c r="G67" s="54">
        <v>3854.76</v>
      </c>
      <c r="H67" s="866">
        <v>1014404</v>
      </c>
      <c r="I67" s="822"/>
      <c r="J67" s="822"/>
      <c r="K67" s="822"/>
      <c r="L67" s="822"/>
      <c r="M67" s="54">
        <v>3854.76</v>
      </c>
      <c r="N67" s="822"/>
      <c r="O67" s="822"/>
      <c r="P67" s="822"/>
      <c r="Q67" s="822"/>
      <c r="R67" s="822"/>
      <c r="S67" s="822"/>
      <c r="T67" s="822"/>
      <c r="U67" s="822"/>
      <c r="V67" s="822"/>
      <c r="W67" s="822"/>
      <c r="X67" s="822"/>
      <c r="Y67" s="822"/>
      <c r="Z67" s="822"/>
      <c r="AA67" s="822"/>
      <c r="AB67" s="822"/>
      <c r="AC67" s="822"/>
      <c r="AD67" s="822"/>
      <c r="AE67" s="822"/>
      <c r="AF67" s="822"/>
      <c r="AG67" s="822"/>
      <c r="AH67" s="54">
        <v>165.06</v>
      </c>
      <c r="AI67" s="822"/>
      <c r="AJ67" s="822"/>
      <c r="AK67" s="54">
        <v>4019.82</v>
      </c>
      <c r="AL67" s="54">
        <v>0</v>
      </c>
    </row>
    <row r="68" spans="1:38" ht="15.75" thickBot="1" x14ac:dyDescent="0.3">
      <c r="A68" s="51" t="s">
        <v>844</v>
      </c>
      <c r="B68" s="51" t="s">
        <v>447</v>
      </c>
      <c r="C68" s="51" t="s">
        <v>494</v>
      </c>
      <c r="D68" s="51" t="s">
        <v>320</v>
      </c>
      <c r="E68" s="51" t="s">
        <v>621</v>
      </c>
      <c r="F68" s="841" t="s">
        <v>266</v>
      </c>
      <c r="G68" s="54">
        <v>486.91</v>
      </c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822"/>
      <c r="V68" s="822"/>
      <c r="W68" s="822"/>
      <c r="X68" s="822"/>
      <c r="Y68" s="822"/>
      <c r="Z68" s="822"/>
      <c r="AA68" s="54">
        <v>486.91</v>
      </c>
      <c r="AB68" s="822"/>
      <c r="AC68" s="822"/>
      <c r="AD68" s="822"/>
      <c r="AE68" s="822"/>
      <c r="AF68" s="822"/>
      <c r="AG68" s="822"/>
      <c r="AH68" s="54">
        <v>20.85</v>
      </c>
      <c r="AI68" s="822"/>
      <c r="AJ68" s="822"/>
      <c r="AK68" s="54">
        <v>507.76</v>
      </c>
      <c r="AL68" s="54">
        <v>0</v>
      </c>
    </row>
    <row r="69" spans="1:38" ht="15.75" thickBot="1" x14ac:dyDescent="0.3">
      <c r="A69" s="51" t="s">
        <v>844</v>
      </c>
      <c r="B69" s="51" t="s">
        <v>447</v>
      </c>
      <c r="C69" s="51" t="s">
        <v>494</v>
      </c>
      <c r="D69" s="51" t="s">
        <v>320</v>
      </c>
      <c r="E69" s="51" t="s">
        <v>325</v>
      </c>
      <c r="F69" s="841" t="s">
        <v>266</v>
      </c>
      <c r="G69" s="54">
        <v>11.01</v>
      </c>
      <c r="H69" s="822"/>
      <c r="I69" s="822"/>
      <c r="J69" s="822"/>
      <c r="K69" s="822"/>
      <c r="L69" s="822"/>
      <c r="M69" s="822"/>
      <c r="N69" s="54">
        <v>11.01</v>
      </c>
      <c r="O69" s="822"/>
      <c r="P69" s="822"/>
      <c r="Q69" s="822"/>
      <c r="R69" s="822"/>
      <c r="S69" s="822"/>
      <c r="T69" s="822"/>
      <c r="U69" s="822"/>
      <c r="V69" s="822"/>
      <c r="W69" s="822"/>
      <c r="X69" s="822"/>
      <c r="Y69" s="822"/>
      <c r="Z69" s="822"/>
      <c r="AA69" s="822"/>
      <c r="AB69" s="822"/>
      <c r="AC69" s="822"/>
      <c r="AD69" s="822"/>
      <c r="AE69" s="822"/>
      <c r="AF69" s="822"/>
      <c r="AG69" s="822"/>
      <c r="AH69" s="54">
        <v>0.24</v>
      </c>
      <c r="AI69" s="822"/>
      <c r="AJ69" s="822"/>
      <c r="AK69" s="54">
        <v>11.25</v>
      </c>
      <c r="AL69" s="54">
        <v>0</v>
      </c>
    </row>
    <row r="70" spans="1:38" ht="15.75" thickBot="1" x14ac:dyDescent="0.3">
      <c r="A70" s="51" t="s">
        <v>844</v>
      </c>
      <c r="B70" s="51" t="s">
        <v>447</v>
      </c>
      <c r="C70" s="51" t="s">
        <v>494</v>
      </c>
      <c r="D70" s="51" t="s">
        <v>320</v>
      </c>
      <c r="E70" s="51" t="s">
        <v>268</v>
      </c>
      <c r="F70" s="841" t="s">
        <v>266</v>
      </c>
      <c r="G70" s="54">
        <v>8250</v>
      </c>
      <c r="H70" s="822"/>
      <c r="I70" s="822"/>
      <c r="J70" s="822"/>
      <c r="K70" s="54">
        <v>8250</v>
      </c>
      <c r="L70" s="822"/>
      <c r="M70" s="822"/>
      <c r="N70" s="822"/>
      <c r="O70" s="822"/>
      <c r="P70" s="822"/>
      <c r="Q70" s="822"/>
      <c r="R70" s="822"/>
      <c r="S70" s="822"/>
      <c r="T70" s="822"/>
      <c r="U70" s="822"/>
      <c r="V70" s="822"/>
      <c r="W70" s="822"/>
      <c r="X70" s="822"/>
      <c r="Y70" s="822"/>
      <c r="Z70" s="822"/>
      <c r="AA70" s="822"/>
      <c r="AB70" s="822"/>
      <c r="AC70" s="822"/>
      <c r="AD70" s="822"/>
      <c r="AE70" s="822"/>
      <c r="AF70" s="822"/>
      <c r="AG70" s="822"/>
      <c r="AH70" s="54">
        <v>365.97</v>
      </c>
      <c r="AI70" s="822"/>
      <c r="AJ70" s="822"/>
      <c r="AK70" s="54">
        <v>8615.9699999999993</v>
      </c>
      <c r="AL70" s="54">
        <v>0</v>
      </c>
    </row>
    <row r="71" spans="1:38" ht="15.75" thickBot="1" x14ac:dyDescent="0.3">
      <c r="A71" s="51" t="s">
        <v>844</v>
      </c>
      <c r="B71" s="51" t="s">
        <v>447</v>
      </c>
      <c r="C71" s="51" t="s">
        <v>494</v>
      </c>
      <c r="D71" s="51" t="s">
        <v>320</v>
      </c>
      <c r="E71" s="51" t="s">
        <v>914</v>
      </c>
      <c r="F71" s="841" t="s">
        <v>266</v>
      </c>
      <c r="G71" s="54">
        <v>25767.360000000001</v>
      </c>
      <c r="H71" s="822"/>
      <c r="I71" s="822"/>
      <c r="J71" s="822"/>
      <c r="K71" s="822"/>
      <c r="L71" s="54">
        <v>25767.360000000001</v>
      </c>
      <c r="M71" s="822"/>
      <c r="N71" s="822"/>
      <c r="O71" s="822"/>
      <c r="P71" s="822"/>
      <c r="Q71" s="822"/>
      <c r="R71" s="822"/>
      <c r="S71" s="822"/>
      <c r="T71" s="822"/>
      <c r="U71" s="822"/>
      <c r="V71" s="822"/>
      <c r="W71" s="822"/>
      <c r="X71" s="822"/>
      <c r="Y71" s="822"/>
      <c r="Z71" s="822"/>
      <c r="AA71" s="822"/>
      <c r="AB71" s="822"/>
      <c r="AC71" s="822"/>
      <c r="AD71" s="822"/>
      <c r="AE71" s="822"/>
      <c r="AF71" s="822"/>
      <c r="AG71" s="822"/>
      <c r="AH71" s="54">
        <v>1069.19</v>
      </c>
      <c r="AI71" s="822"/>
      <c r="AJ71" s="822"/>
      <c r="AK71" s="54">
        <v>26836.55</v>
      </c>
      <c r="AL71" s="54">
        <v>0</v>
      </c>
    </row>
    <row r="72" spans="1:38" ht="15.75" thickBot="1" x14ac:dyDescent="0.3">
      <c r="A72" s="51" t="s">
        <v>844</v>
      </c>
      <c r="B72" s="856" t="s">
        <v>38</v>
      </c>
      <c r="C72" s="51" t="s">
        <v>39</v>
      </c>
      <c r="D72" s="51" t="s">
        <v>320</v>
      </c>
      <c r="E72" s="51" t="s">
        <v>269</v>
      </c>
      <c r="F72" s="841" t="s">
        <v>915</v>
      </c>
      <c r="G72" s="54">
        <v>60240.49</v>
      </c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54">
        <v>60240.49</v>
      </c>
      <c r="U72" s="822"/>
      <c r="V72" s="822"/>
      <c r="W72" s="822"/>
      <c r="X72" s="822"/>
      <c r="Y72" s="822"/>
      <c r="Z72" s="822"/>
      <c r="AA72" s="822"/>
      <c r="AB72" s="822"/>
      <c r="AC72" s="822"/>
      <c r="AD72" s="822"/>
      <c r="AE72" s="822"/>
      <c r="AF72" s="822"/>
      <c r="AG72" s="822"/>
      <c r="AH72" s="54">
        <v>0</v>
      </c>
      <c r="AI72" s="822"/>
      <c r="AJ72" s="822"/>
      <c r="AK72" s="54">
        <v>60240.49</v>
      </c>
      <c r="AL72" s="54">
        <v>0</v>
      </c>
    </row>
    <row r="73" spans="1:38" ht="15.75" thickBot="1" x14ac:dyDescent="0.3">
      <c r="A73" s="51" t="s">
        <v>844</v>
      </c>
      <c r="B73" s="51" t="s">
        <v>38</v>
      </c>
      <c r="C73" s="51" t="s">
        <v>39</v>
      </c>
      <c r="D73" s="51" t="s">
        <v>320</v>
      </c>
      <c r="E73" s="51" t="s">
        <v>271</v>
      </c>
      <c r="F73" s="841" t="s">
        <v>915</v>
      </c>
      <c r="G73" s="54">
        <v>-5993.4</v>
      </c>
      <c r="H73" s="822"/>
      <c r="I73" s="822"/>
      <c r="J73" s="822"/>
      <c r="K73" s="822"/>
      <c r="L73" s="822"/>
      <c r="M73" s="822"/>
      <c r="N73" s="822"/>
      <c r="O73" s="822"/>
      <c r="P73" s="822"/>
      <c r="Q73" s="822"/>
      <c r="R73" s="822"/>
      <c r="S73" s="822"/>
      <c r="T73" s="822"/>
      <c r="U73" s="54">
        <v>-5993.4</v>
      </c>
      <c r="V73" s="822"/>
      <c r="W73" s="822"/>
      <c r="X73" s="822"/>
      <c r="Y73" s="822"/>
      <c r="Z73" s="822"/>
      <c r="AA73" s="822"/>
      <c r="AB73" s="822"/>
      <c r="AC73" s="822"/>
      <c r="AD73" s="822"/>
      <c r="AE73" s="822"/>
      <c r="AF73" s="822"/>
      <c r="AG73" s="822"/>
      <c r="AH73" s="54">
        <v>0</v>
      </c>
      <c r="AI73" s="822"/>
      <c r="AJ73" s="822"/>
      <c r="AK73" s="54">
        <v>-5993.4</v>
      </c>
      <c r="AL73" s="54">
        <v>0</v>
      </c>
    </row>
    <row r="74" spans="1:38" ht="15.75" thickBot="1" x14ac:dyDescent="0.3">
      <c r="A74" s="51" t="s">
        <v>844</v>
      </c>
      <c r="B74" s="51" t="s">
        <v>38</v>
      </c>
      <c r="C74" s="51" t="s">
        <v>39</v>
      </c>
      <c r="D74" s="51" t="s">
        <v>320</v>
      </c>
      <c r="E74" s="51" t="s">
        <v>326</v>
      </c>
      <c r="F74" s="841" t="s">
        <v>266</v>
      </c>
      <c r="G74" s="54">
        <v>7931.78</v>
      </c>
      <c r="H74" s="822"/>
      <c r="I74" s="822"/>
      <c r="J74" s="822"/>
      <c r="K74" s="822"/>
      <c r="L74" s="822"/>
      <c r="M74" s="822"/>
      <c r="N74" s="822"/>
      <c r="O74" s="822"/>
      <c r="P74" s="822"/>
      <c r="Q74" s="822"/>
      <c r="R74" s="822"/>
      <c r="S74" s="822"/>
      <c r="T74" s="822"/>
      <c r="U74" s="822"/>
      <c r="V74" s="54">
        <v>7931.78</v>
      </c>
      <c r="W74" s="822"/>
      <c r="X74" s="822"/>
      <c r="Y74" s="822"/>
      <c r="Z74" s="822"/>
      <c r="AA74" s="822"/>
      <c r="AB74" s="822"/>
      <c r="AC74" s="822"/>
      <c r="AD74" s="822"/>
      <c r="AE74" s="822"/>
      <c r="AF74" s="822"/>
      <c r="AG74" s="822"/>
      <c r="AH74" s="54">
        <v>0</v>
      </c>
      <c r="AI74" s="822"/>
      <c r="AJ74" s="822"/>
      <c r="AK74" s="54">
        <v>7931.78</v>
      </c>
      <c r="AL74" s="54">
        <v>0</v>
      </c>
    </row>
    <row r="75" spans="1:38" ht="15.75" thickBot="1" x14ac:dyDescent="0.3">
      <c r="A75" s="51" t="s">
        <v>844</v>
      </c>
      <c r="B75" s="51" t="s">
        <v>38</v>
      </c>
      <c r="C75" s="51" t="s">
        <v>39</v>
      </c>
      <c r="D75" s="51" t="s">
        <v>320</v>
      </c>
      <c r="E75" s="51" t="s">
        <v>268</v>
      </c>
      <c r="F75" s="841" t="s">
        <v>266</v>
      </c>
      <c r="G75" s="54">
        <v>5325</v>
      </c>
      <c r="H75" s="822"/>
      <c r="I75" s="822"/>
      <c r="J75" s="822"/>
      <c r="K75" s="54">
        <v>5325</v>
      </c>
      <c r="L75" s="822"/>
      <c r="M75" s="822"/>
      <c r="N75" s="822"/>
      <c r="O75" s="822"/>
      <c r="P75" s="822"/>
      <c r="Q75" s="822"/>
      <c r="R75" s="822"/>
      <c r="S75" s="822"/>
      <c r="T75" s="822"/>
      <c r="U75" s="822"/>
      <c r="V75" s="822"/>
      <c r="W75" s="822"/>
      <c r="X75" s="822"/>
      <c r="Y75" s="822"/>
      <c r="Z75" s="822"/>
      <c r="AA75" s="822"/>
      <c r="AB75" s="822"/>
      <c r="AC75" s="822"/>
      <c r="AD75" s="822"/>
      <c r="AE75" s="822"/>
      <c r="AF75" s="822"/>
      <c r="AG75" s="822"/>
      <c r="AH75" s="54">
        <v>0</v>
      </c>
      <c r="AI75" s="822"/>
      <c r="AJ75" s="822"/>
      <c r="AK75" s="54">
        <v>5325</v>
      </c>
      <c r="AL75" s="54">
        <v>0</v>
      </c>
    </row>
    <row r="76" spans="1:38" ht="15.75" thickBot="1" x14ac:dyDescent="0.3">
      <c r="A76" s="51" t="s">
        <v>844</v>
      </c>
      <c r="B76" s="51" t="s">
        <v>38</v>
      </c>
      <c r="C76" s="51" t="s">
        <v>39</v>
      </c>
      <c r="D76" s="51" t="s">
        <v>320</v>
      </c>
      <c r="E76" s="51" t="s">
        <v>329</v>
      </c>
      <c r="F76" s="841" t="s">
        <v>266</v>
      </c>
      <c r="G76" s="54">
        <v>7106.24</v>
      </c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54">
        <v>7106.24</v>
      </c>
      <c r="X76" s="822"/>
      <c r="Y76" s="822"/>
      <c r="Z76" s="822"/>
      <c r="AA76" s="822"/>
      <c r="AB76" s="822"/>
      <c r="AC76" s="822"/>
      <c r="AD76" s="822"/>
      <c r="AE76" s="822"/>
      <c r="AF76" s="822"/>
      <c r="AG76" s="822"/>
      <c r="AH76" s="54">
        <v>0</v>
      </c>
      <c r="AI76" s="822"/>
      <c r="AJ76" s="822"/>
      <c r="AK76" s="54">
        <v>7106.24</v>
      </c>
      <c r="AL76" s="54">
        <v>0</v>
      </c>
    </row>
    <row r="77" spans="1:38" ht="15.75" thickBot="1" x14ac:dyDescent="0.3">
      <c r="A77" s="51" t="s">
        <v>844</v>
      </c>
      <c r="B77" s="51" t="s">
        <v>38</v>
      </c>
      <c r="C77" s="51" t="s">
        <v>39</v>
      </c>
      <c r="D77" s="51" t="s">
        <v>320</v>
      </c>
      <c r="E77" s="51" t="s">
        <v>330</v>
      </c>
      <c r="F77" s="841" t="s">
        <v>266</v>
      </c>
      <c r="G77" s="54">
        <v>16594.330000000002</v>
      </c>
      <c r="H77" s="822"/>
      <c r="I77" s="822"/>
      <c r="J77" s="822"/>
      <c r="K77" s="822"/>
      <c r="L77" s="822"/>
      <c r="M77" s="822"/>
      <c r="N77" s="822"/>
      <c r="O77" s="822"/>
      <c r="P77" s="822"/>
      <c r="Q77" s="822"/>
      <c r="R77" s="822"/>
      <c r="S77" s="822"/>
      <c r="T77" s="822"/>
      <c r="U77" s="822"/>
      <c r="V77" s="822"/>
      <c r="W77" s="822"/>
      <c r="X77" s="54">
        <v>16594.330000000002</v>
      </c>
      <c r="Y77" s="822"/>
      <c r="Z77" s="822"/>
      <c r="AA77" s="822"/>
      <c r="AB77" s="822"/>
      <c r="AC77" s="822"/>
      <c r="AD77" s="822"/>
      <c r="AE77" s="822"/>
      <c r="AF77" s="822"/>
      <c r="AG77" s="822"/>
      <c r="AH77" s="54">
        <v>0</v>
      </c>
      <c r="AI77" s="822"/>
      <c r="AJ77" s="822"/>
      <c r="AK77" s="54">
        <v>16594.330000000002</v>
      </c>
      <c r="AL77" s="54">
        <v>0</v>
      </c>
    </row>
    <row r="78" spans="1:38" ht="15.75" thickBot="1" x14ac:dyDescent="0.3">
      <c r="A78" s="51" t="s">
        <v>948</v>
      </c>
      <c r="B78" s="51" t="s">
        <v>34</v>
      </c>
      <c r="C78" s="51" t="s">
        <v>437</v>
      </c>
      <c r="D78" s="51" t="s">
        <v>318</v>
      </c>
      <c r="E78" s="51" t="s">
        <v>109</v>
      </c>
      <c r="F78" s="51" t="s">
        <v>266</v>
      </c>
      <c r="G78" s="54">
        <v>71.47</v>
      </c>
      <c r="H78" s="822"/>
      <c r="I78" s="822"/>
      <c r="J78" s="822"/>
      <c r="K78" s="822"/>
      <c r="L78" s="822"/>
      <c r="M78" s="822"/>
      <c r="N78" s="822"/>
      <c r="O78" s="822"/>
      <c r="P78" s="822"/>
      <c r="Q78" s="54">
        <v>71.47</v>
      </c>
      <c r="R78" s="822"/>
      <c r="S78" s="822"/>
      <c r="T78" s="822"/>
      <c r="U78" s="822"/>
      <c r="V78" s="822"/>
      <c r="W78" s="822"/>
      <c r="X78" s="822"/>
      <c r="Y78" s="822"/>
      <c r="Z78" s="822"/>
      <c r="AA78" s="822"/>
      <c r="AB78" s="822"/>
      <c r="AC78" s="822"/>
      <c r="AD78" s="822"/>
      <c r="AE78" s="822"/>
      <c r="AF78" s="822"/>
      <c r="AG78" s="822"/>
      <c r="AH78" s="54">
        <v>0.32</v>
      </c>
      <c r="AI78" s="822"/>
      <c r="AJ78" s="822"/>
      <c r="AK78" s="54">
        <v>71.790000000000006</v>
      </c>
      <c r="AL78" s="54">
        <v>0</v>
      </c>
    </row>
    <row r="79" spans="1:38" ht="15.75" thickBot="1" x14ac:dyDescent="0.3">
      <c r="A79" s="51" t="s">
        <v>948</v>
      </c>
      <c r="B79" s="51" t="s">
        <v>34</v>
      </c>
      <c r="C79" s="51" t="s">
        <v>437</v>
      </c>
      <c r="D79" s="51" t="s">
        <v>318</v>
      </c>
      <c r="E79" s="51" t="s">
        <v>272</v>
      </c>
      <c r="F79" s="51" t="s">
        <v>266</v>
      </c>
      <c r="G79" s="54">
        <v>5250</v>
      </c>
      <c r="H79" s="822"/>
      <c r="I79" s="822"/>
      <c r="J79" s="822"/>
      <c r="K79" s="54">
        <v>5250</v>
      </c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2"/>
      <c r="AA79" s="822"/>
      <c r="AB79" s="822"/>
      <c r="AC79" s="822"/>
      <c r="AD79" s="822"/>
      <c r="AE79" s="822"/>
      <c r="AF79" s="822"/>
      <c r="AG79" s="822"/>
      <c r="AH79" s="54">
        <v>45</v>
      </c>
      <c r="AI79" s="822"/>
      <c r="AJ79" s="822"/>
      <c r="AK79" s="54">
        <v>5295</v>
      </c>
      <c r="AL79" s="54">
        <v>0</v>
      </c>
    </row>
    <row r="80" spans="1:38" ht="15.75" thickBot="1" x14ac:dyDescent="0.3">
      <c r="A80" s="51" t="s">
        <v>948</v>
      </c>
      <c r="B80" s="51" t="s">
        <v>34</v>
      </c>
      <c r="C80" s="51" t="s">
        <v>437</v>
      </c>
      <c r="D80" s="51" t="s">
        <v>318</v>
      </c>
      <c r="E80" s="51" t="s">
        <v>265</v>
      </c>
      <c r="F80" s="51" t="s">
        <v>266</v>
      </c>
      <c r="G80" s="54">
        <v>1508.98</v>
      </c>
      <c r="H80" s="54">
        <v>397097</v>
      </c>
      <c r="I80" s="822"/>
      <c r="J80" s="822"/>
      <c r="K80" s="822"/>
      <c r="L80" s="822"/>
      <c r="M80" s="54">
        <v>1508.98</v>
      </c>
      <c r="N80" s="822"/>
      <c r="O80" s="822"/>
      <c r="P80" s="822"/>
      <c r="Q80" s="822"/>
      <c r="R80" s="822"/>
      <c r="S80" s="822"/>
      <c r="T80" s="822"/>
      <c r="U80" s="822"/>
      <c r="V80" s="822"/>
      <c r="W80" s="822"/>
      <c r="X80" s="822"/>
      <c r="Y80" s="822"/>
      <c r="Z80" s="822"/>
      <c r="AA80" s="822"/>
      <c r="AB80" s="822"/>
      <c r="AC80" s="822"/>
      <c r="AD80" s="822"/>
      <c r="AE80" s="822"/>
      <c r="AF80" s="822"/>
      <c r="AG80" s="822"/>
      <c r="AH80" s="54">
        <v>6.81</v>
      </c>
      <c r="AI80" s="822"/>
      <c r="AJ80" s="822"/>
      <c r="AK80" s="54">
        <v>1515.79</v>
      </c>
      <c r="AL80" s="54">
        <v>0</v>
      </c>
    </row>
    <row r="81" spans="1:38" ht="15.75" thickBot="1" x14ac:dyDescent="0.3">
      <c r="A81" s="51" t="s">
        <v>948</v>
      </c>
      <c r="B81" s="51" t="s">
        <v>34</v>
      </c>
      <c r="C81" s="51" t="s">
        <v>437</v>
      </c>
      <c r="D81" s="51" t="s">
        <v>318</v>
      </c>
      <c r="E81" s="51" t="s">
        <v>621</v>
      </c>
      <c r="F81" s="51" t="s">
        <v>266</v>
      </c>
      <c r="G81" s="54">
        <v>190.62</v>
      </c>
      <c r="H81" s="822"/>
      <c r="I81" s="822"/>
      <c r="J81" s="822"/>
      <c r="K81" s="822"/>
      <c r="L81" s="822"/>
      <c r="M81" s="822"/>
      <c r="N81" s="822"/>
      <c r="O81" s="822"/>
      <c r="P81" s="822"/>
      <c r="Q81" s="822"/>
      <c r="R81" s="822"/>
      <c r="S81" s="822"/>
      <c r="T81" s="822"/>
      <c r="U81" s="822"/>
      <c r="V81" s="822"/>
      <c r="W81" s="822"/>
      <c r="X81" s="822"/>
      <c r="Y81" s="822"/>
      <c r="Z81" s="822"/>
      <c r="AA81" s="54">
        <v>190.62</v>
      </c>
      <c r="AB81" s="822"/>
      <c r="AC81" s="822"/>
      <c r="AD81" s="822"/>
      <c r="AE81" s="822"/>
      <c r="AF81" s="822"/>
      <c r="AG81" s="822"/>
      <c r="AH81" s="54">
        <v>0.86</v>
      </c>
      <c r="AI81" s="822"/>
      <c r="AJ81" s="822"/>
      <c r="AK81" s="54">
        <v>191.48</v>
      </c>
      <c r="AL81" s="54">
        <v>0</v>
      </c>
    </row>
    <row r="82" spans="1:38" ht="15.75" thickBot="1" x14ac:dyDescent="0.3">
      <c r="A82" s="51" t="s">
        <v>948</v>
      </c>
      <c r="B82" s="51" t="s">
        <v>34</v>
      </c>
      <c r="C82" s="51" t="s">
        <v>437</v>
      </c>
      <c r="D82" s="51" t="s">
        <v>318</v>
      </c>
      <c r="E82" s="51" t="s">
        <v>325</v>
      </c>
      <c r="F82" s="51" t="s">
        <v>266</v>
      </c>
      <c r="G82" s="54">
        <v>0.75</v>
      </c>
      <c r="H82" s="822"/>
      <c r="I82" s="822"/>
      <c r="J82" s="822"/>
      <c r="K82" s="822"/>
      <c r="L82" s="822"/>
      <c r="M82" s="822"/>
      <c r="N82" s="54">
        <v>0.75</v>
      </c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  <c r="AF82" s="822"/>
      <c r="AG82" s="822"/>
      <c r="AH82" s="54">
        <v>0</v>
      </c>
      <c r="AI82" s="822"/>
      <c r="AJ82" s="822"/>
      <c r="AK82" s="54">
        <v>0.75</v>
      </c>
      <c r="AL82" s="54">
        <v>0</v>
      </c>
    </row>
    <row r="83" spans="1:38" ht="15.75" thickBot="1" x14ac:dyDescent="0.3">
      <c r="A83" s="51" t="s">
        <v>948</v>
      </c>
      <c r="B83" s="51" t="s">
        <v>34</v>
      </c>
      <c r="C83" s="51" t="s">
        <v>437</v>
      </c>
      <c r="D83" s="51" t="s">
        <v>318</v>
      </c>
      <c r="E83" s="51" t="s">
        <v>268</v>
      </c>
      <c r="F83" s="51" t="s">
        <v>266</v>
      </c>
      <c r="G83" s="54">
        <v>3850</v>
      </c>
      <c r="H83" s="822"/>
      <c r="I83" s="822"/>
      <c r="J83" s="822"/>
      <c r="K83" s="54">
        <v>3850</v>
      </c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  <c r="AF83" s="822"/>
      <c r="AG83" s="822"/>
      <c r="AH83" s="54">
        <v>33</v>
      </c>
      <c r="AI83" s="822"/>
      <c r="AJ83" s="822"/>
      <c r="AK83" s="54">
        <v>3883</v>
      </c>
      <c r="AL83" s="54">
        <v>0</v>
      </c>
    </row>
    <row r="84" spans="1:38" ht="15.75" thickBot="1" x14ac:dyDescent="0.3">
      <c r="A84" s="51" t="s">
        <v>948</v>
      </c>
      <c r="B84" s="51" t="s">
        <v>34</v>
      </c>
      <c r="C84" s="51" t="s">
        <v>437</v>
      </c>
      <c r="D84" s="51" t="s">
        <v>318</v>
      </c>
      <c r="E84" s="51" t="s">
        <v>914</v>
      </c>
      <c r="F84" s="51" t="s">
        <v>266</v>
      </c>
      <c r="G84" s="54">
        <v>10099.32</v>
      </c>
      <c r="H84" s="822"/>
      <c r="I84" s="822"/>
      <c r="J84" s="822"/>
      <c r="K84" s="822"/>
      <c r="L84" s="54">
        <v>10099.32</v>
      </c>
      <c r="M84" s="822"/>
      <c r="N84" s="822"/>
      <c r="O84" s="822"/>
      <c r="P84" s="822"/>
      <c r="Q84" s="822"/>
      <c r="R84" s="822"/>
      <c r="S84" s="822"/>
      <c r="T84" s="822"/>
      <c r="U84" s="822"/>
      <c r="V84" s="822"/>
      <c r="W84" s="822"/>
      <c r="X84" s="822"/>
      <c r="Y84" s="822"/>
      <c r="Z84" s="822"/>
      <c r="AA84" s="822"/>
      <c r="AB84" s="822"/>
      <c r="AC84" s="822"/>
      <c r="AD84" s="822"/>
      <c r="AE84" s="822"/>
      <c r="AF84" s="822"/>
      <c r="AG84" s="822"/>
      <c r="AH84" s="54">
        <v>55.39</v>
      </c>
      <c r="AI84" s="822"/>
      <c r="AJ84" s="822"/>
      <c r="AK84" s="54">
        <v>10154.709999999999</v>
      </c>
      <c r="AL84" s="54">
        <v>0</v>
      </c>
    </row>
    <row r="85" spans="1:38" ht="15.75" thickBot="1" x14ac:dyDescent="0.3">
      <c r="A85" s="51" t="s">
        <v>948</v>
      </c>
      <c r="B85" s="51" t="s">
        <v>34</v>
      </c>
      <c r="C85" s="51" t="s">
        <v>437</v>
      </c>
      <c r="D85" s="51" t="s">
        <v>319</v>
      </c>
      <c r="E85" s="51" t="s">
        <v>109</v>
      </c>
      <c r="F85" s="51" t="s">
        <v>266</v>
      </c>
      <c r="G85" s="54">
        <v>26.05</v>
      </c>
      <c r="H85" s="822"/>
      <c r="I85" s="822"/>
      <c r="J85" s="822"/>
      <c r="K85" s="822"/>
      <c r="L85" s="822"/>
      <c r="M85" s="822"/>
      <c r="N85" s="822"/>
      <c r="O85" s="822"/>
      <c r="P85" s="822"/>
      <c r="Q85" s="54">
        <v>26.05</v>
      </c>
      <c r="R85" s="822"/>
      <c r="S85" s="822"/>
      <c r="T85" s="822"/>
      <c r="U85" s="822"/>
      <c r="V85" s="822"/>
      <c r="W85" s="822"/>
      <c r="X85" s="822"/>
      <c r="Y85" s="822"/>
      <c r="Z85" s="822"/>
      <c r="AA85" s="822"/>
      <c r="AB85" s="822"/>
      <c r="AC85" s="822"/>
      <c r="AD85" s="822"/>
      <c r="AE85" s="822"/>
      <c r="AF85" s="822"/>
      <c r="AG85" s="822"/>
      <c r="AH85" s="54">
        <v>0.64</v>
      </c>
      <c r="AI85" s="822"/>
      <c r="AJ85" s="822"/>
      <c r="AK85" s="54">
        <v>26.69</v>
      </c>
      <c r="AL85" s="54">
        <v>0</v>
      </c>
    </row>
    <row r="86" spans="1:38" ht="23.25" thickBot="1" x14ac:dyDescent="0.3">
      <c r="A86" s="51" t="s">
        <v>948</v>
      </c>
      <c r="B86" s="51" t="s">
        <v>34</v>
      </c>
      <c r="C86" s="51" t="s">
        <v>437</v>
      </c>
      <c r="D86" s="51" t="s">
        <v>319</v>
      </c>
      <c r="E86" s="51" t="s">
        <v>269</v>
      </c>
      <c r="F86" s="51" t="s">
        <v>915</v>
      </c>
      <c r="G86" s="54">
        <v>-896.38</v>
      </c>
      <c r="H86" s="822"/>
      <c r="I86" s="822"/>
      <c r="J86" s="822"/>
      <c r="K86" s="822"/>
      <c r="L86" s="822"/>
      <c r="M86" s="822"/>
      <c r="N86" s="822"/>
      <c r="O86" s="822"/>
      <c r="P86" s="822"/>
      <c r="Q86" s="822"/>
      <c r="R86" s="822"/>
      <c r="S86" s="822"/>
      <c r="T86" s="54">
        <v>-896.38</v>
      </c>
      <c r="U86" s="822"/>
      <c r="V86" s="822"/>
      <c r="W86" s="822"/>
      <c r="X86" s="822"/>
      <c r="Y86" s="822"/>
      <c r="Z86" s="822"/>
      <c r="AA86" s="822"/>
      <c r="AB86" s="822"/>
      <c r="AC86" s="822"/>
      <c r="AD86" s="822"/>
      <c r="AE86" s="822"/>
      <c r="AF86" s="822"/>
      <c r="AG86" s="822"/>
      <c r="AH86" s="54">
        <v>-26.89</v>
      </c>
      <c r="AI86" s="822"/>
      <c r="AJ86" s="822"/>
      <c r="AK86" s="54">
        <v>-923.27</v>
      </c>
      <c r="AL86" s="54">
        <v>0</v>
      </c>
    </row>
    <row r="87" spans="1:38" ht="15.75" thickBot="1" x14ac:dyDescent="0.3">
      <c r="A87" s="51" t="s">
        <v>948</v>
      </c>
      <c r="B87" s="51" t="s">
        <v>34</v>
      </c>
      <c r="C87" s="51" t="s">
        <v>437</v>
      </c>
      <c r="D87" s="51" t="s">
        <v>319</v>
      </c>
      <c r="E87" s="51" t="s">
        <v>272</v>
      </c>
      <c r="F87" s="51" t="s">
        <v>266</v>
      </c>
      <c r="G87" s="54">
        <v>1500</v>
      </c>
      <c r="H87" s="822"/>
      <c r="I87" s="822"/>
      <c r="J87" s="822"/>
      <c r="K87" s="54">
        <v>1500</v>
      </c>
      <c r="L87" s="822"/>
      <c r="M87" s="822"/>
      <c r="N87" s="822"/>
      <c r="O87" s="822"/>
      <c r="P87" s="822"/>
      <c r="Q87" s="822"/>
      <c r="R87" s="822"/>
      <c r="S87" s="822"/>
      <c r="T87" s="822"/>
      <c r="U87" s="822"/>
      <c r="V87" s="822"/>
      <c r="W87" s="822"/>
      <c r="X87" s="822"/>
      <c r="Y87" s="822"/>
      <c r="Z87" s="822"/>
      <c r="AA87" s="822"/>
      <c r="AB87" s="822"/>
      <c r="AC87" s="822"/>
      <c r="AD87" s="822"/>
      <c r="AE87" s="822"/>
      <c r="AF87" s="822"/>
      <c r="AG87" s="822"/>
      <c r="AH87" s="54">
        <v>22.49</v>
      </c>
      <c r="AI87" s="822"/>
      <c r="AJ87" s="822"/>
      <c r="AK87" s="54">
        <v>1522.49</v>
      </c>
      <c r="AL87" s="54">
        <v>0</v>
      </c>
    </row>
    <row r="88" spans="1:38" ht="15.75" thickBot="1" x14ac:dyDescent="0.3">
      <c r="A88" s="51" t="s">
        <v>948</v>
      </c>
      <c r="B88" s="51" t="s">
        <v>34</v>
      </c>
      <c r="C88" s="51" t="s">
        <v>437</v>
      </c>
      <c r="D88" s="51" t="s">
        <v>319</v>
      </c>
      <c r="E88" s="51" t="s">
        <v>265</v>
      </c>
      <c r="F88" s="51" t="s">
        <v>266</v>
      </c>
      <c r="G88" s="54">
        <v>549.79</v>
      </c>
      <c r="H88" s="54">
        <v>144681</v>
      </c>
      <c r="I88" s="822"/>
      <c r="J88" s="822"/>
      <c r="K88" s="822"/>
      <c r="L88" s="822"/>
      <c r="M88" s="54">
        <v>549.79</v>
      </c>
      <c r="N88" s="822"/>
      <c r="O88" s="822"/>
      <c r="P88" s="822"/>
      <c r="Q88" s="822"/>
      <c r="R88" s="822"/>
      <c r="S88" s="822"/>
      <c r="T88" s="822"/>
      <c r="U88" s="822"/>
      <c r="V88" s="822"/>
      <c r="W88" s="822"/>
      <c r="X88" s="822"/>
      <c r="Y88" s="822"/>
      <c r="Z88" s="822"/>
      <c r="AA88" s="822"/>
      <c r="AB88" s="822"/>
      <c r="AC88" s="822"/>
      <c r="AD88" s="822"/>
      <c r="AE88" s="822"/>
      <c r="AF88" s="822"/>
      <c r="AG88" s="822"/>
      <c r="AH88" s="54">
        <v>13.44</v>
      </c>
      <c r="AI88" s="822"/>
      <c r="AJ88" s="822"/>
      <c r="AK88" s="54">
        <v>563.23</v>
      </c>
      <c r="AL88" s="54">
        <v>0</v>
      </c>
    </row>
    <row r="89" spans="1:38" ht="15.75" thickBot="1" x14ac:dyDescent="0.3">
      <c r="A89" s="51" t="s">
        <v>948</v>
      </c>
      <c r="B89" s="51" t="s">
        <v>34</v>
      </c>
      <c r="C89" s="51" t="s">
        <v>437</v>
      </c>
      <c r="D89" s="51" t="s">
        <v>319</v>
      </c>
      <c r="E89" s="51" t="s">
        <v>621</v>
      </c>
      <c r="F89" s="51" t="s">
        <v>266</v>
      </c>
      <c r="G89" s="54">
        <v>69.45</v>
      </c>
      <c r="H89" s="822"/>
      <c r="I89" s="822"/>
      <c r="J89" s="822"/>
      <c r="K89" s="822"/>
      <c r="L89" s="822"/>
      <c r="M89" s="822"/>
      <c r="N89" s="822"/>
      <c r="O89" s="822"/>
      <c r="P89" s="822"/>
      <c r="Q89" s="822"/>
      <c r="R89" s="822"/>
      <c r="S89" s="822"/>
      <c r="T89" s="822"/>
      <c r="U89" s="822"/>
      <c r="V89" s="822"/>
      <c r="W89" s="822"/>
      <c r="X89" s="822"/>
      <c r="Y89" s="822"/>
      <c r="Z89" s="822"/>
      <c r="AA89" s="54">
        <v>69.45</v>
      </c>
      <c r="AB89" s="822"/>
      <c r="AC89" s="822"/>
      <c r="AD89" s="822"/>
      <c r="AE89" s="822"/>
      <c r="AF89" s="822"/>
      <c r="AG89" s="822"/>
      <c r="AH89" s="54">
        <v>1.7</v>
      </c>
      <c r="AI89" s="822"/>
      <c r="AJ89" s="822"/>
      <c r="AK89" s="54">
        <v>71.150000000000006</v>
      </c>
      <c r="AL89" s="54">
        <v>0</v>
      </c>
    </row>
    <row r="90" spans="1:38" ht="23.25" thickBot="1" x14ac:dyDescent="0.3">
      <c r="A90" s="51" t="s">
        <v>948</v>
      </c>
      <c r="B90" s="51" t="s">
        <v>34</v>
      </c>
      <c r="C90" s="51" t="s">
        <v>437</v>
      </c>
      <c r="D90" s="51" t="s">
        <v>319</v>
      </c>
      <c r="E90" s="51" t="s">
        <v>271</v>
      </c>
      <c r="F90" s="51" t="s">
        <v>915</v>
      </c>
      <c r="G90" s="54">
        <v>54.57</v>
      </c>
      <c r="H90" s="822"/>
      <c r="I90" s="822"/>
      <c r="J90" s="822"/>
      <c r="K90" s="822"/>
      <c r="L90" s="822"/>
      <c r="M90" s="822"/>
      <c r="N90" s="822"/>
      <c r="O90" s="822"/>
      <c r="P90" s="822"/>
      <c r="Q90" s="822"/>
      <c r="R90" s="822"/>
      <c r="S90" s="822"/>
      <c r="T90" s="822"/>
      <c r="U90" s="54">
        <v>54.57</v>
      </c>
      <c r="V90" s="822"/>
      <c r="W90" s="822"/>
      <c r="X90" s="822"/>
      <c r="Y90" s="822"/>
      <c r="Z90" s="822"/>
      <c r="AA90" s="822"/>
      <c r="AB90" s="822"/>
      <c r="AC90" s="822"/>
      <c r="AD90" s="822"/>
      <c r="AE90" s="822"/>
      <c r="AF90" s="822"/>
      <c r="AG90" s="822"/>
      <c r="AH90" s="54">
        <v>1.64</v>
      </c>
      <c r="AI90" s="822"/>
      <c r="AJ90" s="822"/>
      <c r="AK90" s="54">
        <v>56.21</v>
      </c>
      <c r="AL90" s="54">
        <v>0</v>
      </c>
    </row>
    <row r="91" spans="1:38" ht="15.75" thickBot="1" x14ac:dyDescent="0.3">
      <c r="A91" s="51" t="s">
        <v>948</v>
      </c>
      <c r="B91" s="51" t="s">
        <v>34</v>
      </c>
      <c r="C91" s="51" t="s">
        <v>437</v>
      </c>
      <c r="D91" s="51" t="s">
        <v>319</v>
      </c>
      <c r="E91" s="51" t="s">
        <v>325</v>
      </c>
      <c r="F91" s="51" t="s">
        <v>266</v>
      </c>
      <c r="G91" s="54">
        <v>4.47</v>
      </c>
      <c r="H91" s="822"/>
      <c r="I91" s="822"/>
      <c r="J91" s="822"/>
      <c r="K91" s="822"/>
      <c r="L91" s="822"/>
      <c r="M91" s="822"/>
      <c r="N91" s="54">
        <v>4.47</v>
      </c>
      <c r="O91" s="822"/>
      <c r="P91" s="822"/>
      <c r="Q91" s="822"/>
      <c r="R91" s="822"/>
      <c r="S91" s="822"/>
      <c r="T91" s="822"/>
      <c r="U91" s="822"/>
      <c r="V91" s="822"/>
      <c r="W91" s="822"/>
      <c r="X91" s="822"/>
      <c r="Y91" s="822"/>
      <c r="Z91" s="822"/>
      <c r="AA91" s="822"/>
      <c r="AB91" s="822"/>
      <c r="AC91" s="822"/>
      <c r="AD91" s="822"/>
      <c r="AE91" s="822"/>
      <c r="AF91" s="822"/>
      <c r="AG91" s="822"/>
      <c r="AH91" s="54">
        <v>0</v>
      </c>
      <c r="AI91" s="822"/>
      <c r="AJ91" s="822"/>
      <c r="AK91" s="54">
        <v>4.47</v>
      </c>
      <c r="AL91" s="54">
        <v>0</v>
      </c>
    </row>
    <row r="92" spans="1:38" ht="15.75" thickBot="1" x14ac:dyDescent="0.3">
      <c r="A92" s="51" t="s">
        <v>948</v>
      </c>
      <c r="B92" s="51" t="s">
        <v>34</v>
      </c>
      <c r="C92" s="51" t="s">
        <v>437</v>
      </c>
      <c r="D92" s="51" t="s">
        <v>319</v>
      </c>
      <c r="E92" s="51" t="s">
        <v>268</v>
      </c>
      <c r="F92" s="51" t="s">
        <v>266</v>
      </c>
      <c r="G92" s="54">
        <v>1100</v>
      </c>
      <c r="H92" s="822"/>
      <c r="I92" s="822"/>
      <c r="J92" s="822"/>
      <c r="K92" s="54">
        <v>1100</v>
      </c>
      <c r="L92" s="822"/>
      <c r="M92" s="822"/>
      <c r="N92" s="822"/>
      <c r="O92" s="822"/>
      <c r="P92" s="822"/>
      <c r="Q92" s="822"/>
      <c r="R92" s="822"/>
      <c r="S92" s="822"/>
      <c r="T92" s="822"/>
      <c r="U92" s="822"/>
      <c r="V92" s="822"/>
      <c r="W92" s="822"/>
      <c r="X92" s="822"/>
      <c r="Y92" s="822"/>
      <c r="Z92" s="822"/>
      <c r="AA92" s="822"/>
      <c r="AB92" s="822"/>
      <c r="AC92" s="822"/>
      <c r="AD92" s="822"/>
      <c r="AE92" s="822"/>
      <c r="AF92" s="822"/>
      <c r="AG92" s="822"/>
      <c r="AH92" s="54">
        <v>16.5</v>
      </c>
      <c r="AI92" s="822"/>
      <c r="AJ92" s="822"/>
      <c r="AK92" s="54">
        <v>1116.5</v>
      </c>
      <c r="AL92" s="54">
        <v>0</v>
      </c>
    </row>
    <row r="93" spans="1:38" ht="15.75" thickBot="1" x14ac:dyDescent="0.3">
      <c r="A93" s="51" t="s">
        <v>948</v>
      </c>
      <c r="B93" s="51" t="s">
        <v>34</v>
      </c>
      <c r="C93" s="51" t="s">
        <v>437</v>
      </c>
      <c r="D93" s="51" t="s">
        <v>319</v>
      </c>
      <c r="E93" s="51" t="s">
        <v>914</v>
      </c>
      <c r="F93" s="51" t="s">
        <v>266</v>
      </c>
      <c r="G93" s="54">
        <v>3486.08</v>
      </c>
      <c r="H93" s="822"/>
      <c r="I93" s="822"/>
      <c r="J93" s="822"/>
      <c r="K93" s="822"/>
      <c r="L93" s="54">
        <v>3486.08</v>
      </c>
      <c r="M93" s="822"/>
      <c r="N93" s="822"/>
      <c r="O93" s="822"/>
      <c r="P93" s="822"/>
      <c r="Q93" s="822"/>
      <c r="R93" s="822"/>
      <c r="S93" s="822"/>
      <c r="T93" s="822"/>
      <c r="U93" s="822"/>
      <c r="V93" s="822"/>
      <c r="W93" s="822"/>
      <c r="X93" s="822"/>
      <c r="Y93" s="822"/>
      <c r="Z93" s="822"/>
      <c r="AA93" s="822"/>
      <c r="AB93" s="822"/>
      <c r="AC93" s="822"/>
      <c r="AD93" s="822"/>
      <c r="AE93" s="822"/>
      <c r="AF93" s="822"/>
      <c r="AG93" s="822"/>
      <c r="AH93" s="54">
        <v>78.91</v>
      </c>
      <c r="AI93" s="822"/>
      <c r="AJ93" s="822"/>
      <c r="AK93" s="54">
        <v>3564.99</v>
      </c>
      <c r="AL93" s="54">
        <v>0</v>
      </c>
    </row>
    <row r="94" spans="1:38" ht="15.75" thickBot="1" x14ac:dyDescent="0.3">
      <c r="A94" s="51" t="s">
        <v>948</v>
      </c>
      <c r="B94" s="51" t="s">
        <v>34</v>
      </c>
      <c r="C94" s="51" t="s">
        <v>437</v>
      </c>
      <c r="D94" s="51" t="s">
        <v>319</v>
      </c>
      <c r="E94" s="51" t="s">
        <v>329</v>
      </c>
      <c r="F94" s="51" t="s">
        <v>266</v>
      </c>
      <c r="G94" s="54">
        <v>39.92</v>
      </c>
      <c r="H94" s="822"/>
      <c r="I94" s="822"/>
      <c r="J94" s="822"/>
      <c r="K94" s="822"/>
      <c r="L94" s="822"/>
      <c r="M94" s="822"/>
      <c r="N94" s="822"/>
      <c r="O94" s="822"/>
      <c r="P94" s="822"/>
      <c r="Q94" s="822"/>
      <c r="R94" s="822"/>
      <c r="S94" s="822"/>
      <c r="T94" s="822"/>
      <c r="U94" s="822"/>
      <c r="V94" s="822"/>
      <c r="W94" s="54">
        <v>39.92</v>
      </c>
      <c r="X94" s="822"/>
      <c r="Y94" s="822"/>
      <c r="Z94" s="822"/>
      <c r="AA94" s="822"/>
      <c r="AB94" s="822"/>
      <c r="AC94" s="822"/>
      <c r="AD94" s="822"/>
      <c r="AE94" s="822"/>
      <c r="AF94" s="822"/>
      <c r="AG94" s="822"/>
      <c r="AH94" s="54">
        <v>1.2</v>
      </c>
      <c r="AI94" s="822"/>
      <c r="AJ94" s="822"/>
      <c r="AK94" s="54">
        <v>41.12</v>
      </c>
      <c r="AL94" s="54">
        <v>0</v>
      </c>
    </row>
    <row r="95" spans="1:38" ht="15.75" thickBot="1" x14ac:dyDescent="0.3">
      <c r="A95" s="51" t="s">
        <v>948</v>
      </c>
      <c r="B95" s="51" t="s">
        <v>34</v>
      </c>
      <c r="C95" s="51" t="s">
        <v>437</v>
      </c>
      <c r="D95" s="51" t="s">
        <v>319</v>
      </c>
      <c r="E95" s="51" t="s">
        <v>330</v>
      </c>
      <c r="F95" s="51" t="s">
        <v>266</v>
      </c>
      <c r="G95" s="54">
        <v>93.21</v>
      </c>
      <c r="H95" s="822"/>
      <c r="I95" s="822"/>
      <c r="J95" s="822"/>
      <c r="K95" s="822"/>
      <c r="L95" s="822"/>
      <c r="M95" s="822"/>
      <c r="N95" s="822"/>
      <c r="O95" s="822"/>
      <c r="P95" s="822"/>
      <c r="Q95" s="822"/>
      <c r="R95" s="822"/>
      <c r="S95" s="822"/>
      <c r="T95" s="822"/>
      <c r="U95" s="822"/>
      <c r="V95" s="822"/>
      <c r="W95" s="822"/>
      <c r="X95" s="54">
        <v>93.21</v>
      </c>
      <c r="Y95" s="822"/>
      <c r="Z95" s="822"/>
      <c r="AA95" s="822"/>
      <c r="AB95" s="822"/>
      <c r="AC95" s="822"/>
      <c r="AD95" s="822"/>
      <c r="AE95" s="822"/>
      <c r="AF95" s="822"/>
      <c r="AG95" s="822"/>
      <c r="AH95" s="54">
        <v>2.8</v>
      </c>
      <c r="AI95" s="822"/>
      <c r="AJ95" s="822"/>
      <c r="AK95" s="54">
        <v>96.01</v>
      </c>
      <c r="AL95" s="54">
        <v>0</v>
      </c>
    </row>
    <row r="96" spans="1:38" ht="15.75" thickBot="1" x14ac:dyDescent="0.3">
      <c r="A96" s="51" t="s">
        <v>948</v>
      </c>
      <c r="B96" s="51" t="s">
        <v>31</v>
      </c>
      <c r="C96" s="51" t="s">
        <v>835</v>
      </c>
      <c r="D96" s="51" t="s">
        <v>320</v>
      </c>
      <c r="E96" s="51" t="s">
        <v>357</v>
      </c>
      <c r="F96" s="51" t="s">
        <v>266</v>
      </c>
      <c r="G96" s="54">
        <v>2833.4</v>
      </c>
      <c r="H96" s="822"/>
      <c r="I96" s="822"/>
      <c r="J96" s="822"/>
      <c r="K96" s="822"/>
      <c r="L96" s="822"/>
      <c r="M96" s="822"/>
      <c r="N96" s="822"/>
      <c r="O96" s="822"/>
      <c r="P96" s="822"/>
      <c r="Q96" s="822"/>
      <c r="R96" s="822"/>
      <c r="S96" s="54">
        <v>2833.4</v>
      </c>
      <c r="T96" s="822"/>
      <c r="U96" s="822"/>
      <c r="V96" s="822"/>
      <c r="W96" s="822"/>
      <c r="X96" s="822"/>
      <c r="Y96" s="822"/>
      <c r="Z96" s="822"/>
      <c r="AA96" s="822"/>
      <c r="AB96" s="822"/>
      <c r="AC96" s="822"/>
      <c r="AD96" s="822"/>
      <c r="AE96" s="822"/>
      <c r="AF96" s="822"/>
      <c r="AG96" s="822"/>
      <c r="AH96" s="54">
        <v>260.11</v>
      </c>
      <c r="AI96" s="822"/>
      <c r="AJ96" s="822"/>
      <c r="AK96" s="54">
        <v>3093.51</v>
      </c>
      <c r="AL96" s="54">
        <v>0</v>
      </c>
    </row>
    <row r="97" spans="1:38" ht="15.75" thickBot="1" x14ac:dyDescent="0.3">
      <c r="A97" s="51" t="s">
        <v>948</v>
      </c>
      <c r="B97" s="51" t="s">
        <v>31</v>
      </c>
      <c r="C97" s="51" t="s">
        <v>835</v>
      </c>
      <c r="D97" s="51" t="s">
        <v>320</v>
      </c>
      <c r="E97" s="51" t="s">
        <v>272</v>
      </c>
      <c r="F97" s="51" t="s">
        <v>266</v>
      </c>
      <c r="G97" s="54">
        <v>1527.68</v>
      </c>
      <c r="H97" s="822"/>
      <c r="I97" s="822"/>
      <c r="J97" s="822"/>
      <c r="K97" s="54">
        <v>1527.68</v>
      </c>
      <c r="L97" s="822"/>
      <c r="M97" s="822"/>
      <c r="N97" s="822"/>
      <c r="O97" s="822"/>
      <c r="P97" s="822"/>
      <c r="Q97" s="822"/>
      <c r="R97" s="822"/>
      <c r="S97" s="822"/>
      <c r="T97" s="822"/>
      <c r="U97" s="822"/>
      <c r="V97" s="822"/>
      <c r="W97" s="822"/>
      <c r="X97" s="822"/>
      <c r="Y97" s="822"/>
      <c r="Z97" s="822"/>
      <c r="AA97" s="822"/>
      <c r="AB97" s="822"/>
      <c r="AC97" s="822"/>
      <c r="AD97" s="822"/>
      <c r="AE97" s="822"/>
      <c r="AF97" s="822"/>
      <c r="AG97" s="822"/>
      <c r="AH97" s="54">
        <v>115.95</v>
      </c>
      <c r="AI97" s="822"/>
      <c r="AJ97" s="822"/>
      <c r="AK97" s="54">
        <v>1643.63</v>
      </c>
      <c r="AL97" s="54">
        <v>0</v>
      </c>
    </row>
    <row r="98" spans="1:38" ht="15.75" thickBot="1" x14ac:dyDescent="0.3">
      <c r="A98" s="51" t="s">
        <v>948</v>
      </c>
      <c r="B98" s="51" t="s">
        <v>31</v>
      </c>
      <c r="C98" s="51" t="s">
        <v>835</v>
      </c>
      <c r="D98" s="51" t="s">
        <v>320</v>
      </c>
      <c r="E98" s="51" t="s">
        <v>265</v>
      </c>
      <c r="F98" s="51" t="s">
        <v>266</v>
      </c>
      <c r="G98" s="54">
        <v>25988.94</v>
      </c>
      <c r="H98" s="54">
        <v>118514</v>
      </c>
      <c r="I98" s="822"/>
      <c r="J98" s="822"/>
      <c r="K98" s="822"/>
      <c r="L98" s="822"/>
      <c r="M98" s="54">
        <v>25988.94</v>
      </c>
      <c r="N98" s="822"/>
      <c r="O98" s="822"/>
      <c r="P98" s="822"/>
      <c r="Q98" s="822"/>
      <c r="R98" s="822"/>
      <c r="S98" s="822"/>
      <c r="T98" s="822"/>
      <c r="U98" s="822"/>
      <c r="V98" s="822"/>
      <c r="W98" s="822"/>
      <c r="X98" s="822"/>
      <c r="Y98" s="822"/>
      <c r="Z98" s="822"/>
      <c r="AA98" s="822"/>
      <c r="AB98" s="822"/>
      <c r="AC98" s="822"/>
      <c r="AD98" s="822"/>
      <c r="AE98" s="822"/>
      <c r="AF98" s="822"/>
      <c r="AG98" s="822"/>
      <c r="AH98" s="54">
        <v>2109.11</v>
      </c>
      <c r="AI98" s="822"/>
      <c r="AJ98" s="822"/>
      <c r="AK98" s="54">
        <v>28098.05</v>
      </c>
      <c r="AL98" s="54">
        <v>0</v>
      </c>
    </row>
    <row r="99" spans="1:38" ht="15.75" thickBot="1" x14ac:dyDescent="0.3">
      <c r="A99" s="51" t="s">
        <v>948</v>
      </c>
      <c r="B99" s="51" t="s">
        <v>31</v>
      </c>
      <c r="C99" s="51" t="s">
        <v>835</v>
      </c>
      <c r="D99" s="51" t="s">
        <v>320</v>
      </c>
      <c r="E99" s="51" t="s">
        <v>620</v>
      </c>
      <c r="F99" s="51" t="s">
        <v>266</v>
      </c>
      <c r="G99" s="54">
        <v>128.78</v>
      </c>
      <c r="H99" s="822"/>
      <c r="I99" s="822"/>
      <c r="J99" s="822"/>
      <c r="K99" s="822"/>
      <c r="L99" s="822"/>
      <c r="M99" s="822"/>
      <c r="N99" s="822"/>
      <c r="O99" s="822"/>
      <c r="P99" s="822"/>
      <c r="Q99" s="822"/>
      <c r="R99" s="822"/>
      <c r="S99" s="822"/>
      <c r="T99" s="822"/>
      <c r="U99" s="822"/>
      <c r="V99" s="822"/>
      <c r="W99" s="822"/>
      <c r="X99" s="822"/>
      <c r="Y99" s="822"/>
      <c r="Z99" s="54">
        <v>128.78</v>
      </c>
      <c r="AA99" s="822"/>
      <c r="AB99" s="822"/>
      <c r="AC99" s="822"/>
      <c r="AD99" s="822"/>
      <c r="AE99" s="822"/>
      <c r="AF99" s="822"/>
      <c r="AG99" s="822"/>
      <c r="AH99" s="54">
        <v>9.77</v>
      </c>
      <c r="AI99" s="822"/>
      <c r="AJ99" s="822"/>
      <c r="AK99" s="54">
        <v>138.55000000000001</v>
      </c>
      <c r="AL99" s="54">
        <v>0</v>
      </c>
    </row>
    <row r="100" spans="1:38" ht="15.75" thickBot="1" x14ac:dyDescent="0.3">
      <c r="A100" s="51" t="s">
        <v>948</v>
      </c>
      <c r="B100" s="51" t="s">
        <v>31</v>
      </c>
      <c r="C100" s="51" t="s">
        <v>835</v>
      </c>
      <c r="D100" s="51" t="s">
        <v>320</v>
      </c>
      <c r="E100" s="51" t="s">
        <v>621</v>
      </c>
      <c r="F100" s="51" t="s">
        <v>266</v>
      </c>
      <c r="G100" s="54">
        <v>483.53</v>
      </c>
      <c r="H100" s="822"/>
      <c r="I100" s="822"/>
      <c r="J100" s="822"/>
      <c r="K100" s="822"/>
      <c r="L100" s="822"/>
      <c r="M100" s="822"/>
      <c r="N100" s="822"/>
      <c r="O100" s="822"/>
      <c r="P100" s="822"/>
      <c r="Q100" s="822"/>
      <c r="R100" s="822"/>
      <c r="S100" s="822"/>
      <c r="T100" s="822"/>
      <c r="U100" s="822"/>
      <c r="V100" s="822"/>
      <c r="W100" s="822"/>
      <c r="X100" s="822"/>
      <c r="Y100" s="822"/>
      <c r="Z100" s="822"/>
      <c r="AA100" s="54">
        <v>483.53</v>
      </c>
      <c r="AB100" s="822"/>
      <c r="AC100" s="822"/>
      <c r="AD100" s="822"/>
      <c r="AE100" s="822"/>
      <c r="AF100" s="822"/>
      <c r="AG100" s="822"/>
      <c r="AH100" s="54">
        <v>39.24</v>
      </c>
      <c r="AI100" s="822"/>
      <c r="AJ100" s="822"/>
      <c r="AK100" s="54">
        <v>522.77</v>
      </c>
      <c r="AL100" s="54">
        <v>0</v>
      </c>
    </row>
    <row r="101" spans="1:38" ht="15.75" thickBot="1" x14ac:dyDescent="0.3">
      <c r="A101" s="51" t="s">
        <v>948</v>
      </c>
      <c r="B101" s="51" t="s">
        <v>31</v>
      </c>
      <c r="C101" s="51" t="s">
        <v>835</v>
      </c>
      <c r="D101" s="51" t="s">
        <v>320</v>
      </c>
      <c r="E101" s="51" t="s">
        <v>273</v>
      </c>
      <c r="F101" s="51" t="s">
        <v>266</v>
      </c>
      <c r="G101" s="54">
        <v>10148.35</v>
      </c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2"/>
      <c r="S101" s="822"/>
      <c r="T101" s="822"/>
      <c r="U101" s="822"/>
      <c r="V101" s="822"/>
      <c r="W101" s="822"/>
      <c r="X101" s="822"/>
      <c r="Y101" s="54">
        <v>10148.35</v>
      </c>
      <c r="Z101" s="822"/>
      <c r="AA101" s="822"/>
      <c r="AB101" s="822"/>
      <c r="AC101" s="822"/>
      <c r="AD101" s="822"/>
      <c r="AE101" s="822"/>
      <c r="AF101" s="822"/>
      <c r="AG101" s="822"/>
      <c r="AH101" s="54">
        <v>823.58</v>
      </c>
      <c r="AI101" s="822"/>
      <c r="AJ101" s="822"/>
      <c r="AK101" s="54">
        <v>10971.93</v>
      </c>
      <c r="AL101" s="54">
        <v>0</v>
      </c>
    </row>
    <row r="102" spans="1:38" ht="15.75" thickBot="1" x14ac:dyDescent="0.3">
      <c r="A102" s="51" t="s">
        <v>948</v>
      </c>
      <c r="B102" s="51" t="s">
        <v>31</v>
      </c>
      <c r="C102" s="51" t="s">
        <v>835</v>
      </c>
      <c r="D102" s="51" t="s">
        <v>320</v>
      </c>
      <c r="E102" s="51" t="s">
        <v>268</v>
      </c>
      <c r="F102" s="51" t="s">
        <v>266</v>
      </c>
      <c r="G102" s="54">
        <v>1100</v>
      </c>
      <c r="H102" s="822"/>
      <c r="I102" s="822"/>
      <c r="J102" s="822"/>
      <c r="K102" s="54">
        <v>1100</v>
      </c>
      <c r="L102" s="822"/>
      <c r="M102" s="822"/>
      <c r="N102" s="822"/>
      <c r="O102" s="822"/>
      <c r="P102" s="822"/>
      <c r="Q102" s="822"/>
      <c r="R102" s="822"/>
      <c r="S102" s="822"/>
      <c r="T102" s="822"/>
      <c r="U102" s="822"/>
      <c r="V102" s="822"/>
      <c r="W102" s="822"/>
      <c r="X102" s="822"/>
      <c r="Y102" s="822"/>
      <c r="Z102" s="822"/>
      <c r="AA102" s="822"/>
      <c r="AB102" s="822"/>
      <c r="AC102" s="822"/>
      <c r="AD102" s="822"/>
      <c r="AE102" s="822"/>
      <c r="AF102" s="822"/>
      <c r="AG102" s="822"/>
      <c r="AH102" s="54">
        <v>83.49</v>
      </c>
      <c r="AI102" s="822"/>
      <c r="AJ102" s="822"/>
      <c r="AK102" s="54">
        <v>1183.49</v>
      </c>
      <c r="AL102" s="54">
        <v>0</v>
      </c>
    </row>
    <row r="103" spans="1:38" ht="15.75" thickBot="1" x14ac:dyDescent="0.3">
      <c r="A103" s="51" t="s">
        <v>948</v>
      </c>
      <c r="B103" s="51" t="s">
        <v>491</v>
      </c>
      <c r="C103" s="51" t="s">
        <v>492</v>
      </c>
      <c r="D103" s="51" t="s">
        <v>320</v>
      </c>
      <c r="E103" s="51" t="s">
        <v>109</v>
      </c>
      <c r="F103" s="51" t="s">
        <v>266</v>
      </c>
      <c r="G103" s="54">
        <v>17.64</v>
      </c>
      <c r="H103" s="822"/>
      <c r="I103" s="822"/>
      <c r="J103" s="822"/>
      <c r="K103" s="822"/>
      <c r="L103" s="822"/>
      <c r="M103" s="822"/>
      <c r="N103" s="822"/>
      <c r="O103" s="822"/>
      <c r="P103" s="822"/>
      <c r="Q103" s="54">
        <v>17.64</v>
      </c>
      <c r="R103" s="822"/>
      <c r="S103" s="822"/>
      <c r="T103" s="822"/>
      <c r="U103" s="822"/>
      <c r="V103" s="822"/>
      <c r="W103" s="822"/>
      <c r="X103" s="822"/>
      <c r="Y103" s="822"/>
      <c r="Z103" s="822"/>
      <c r="AA103" s="822"/>
      <c r="AB103" s="822"/>
      <c r="AC103" s="822"/>
      <c r="AD103" s="822"/>
      <c r="AE103" s="822"/>
      <c r="AF103" s="822"/>
      <c r="AG103" s="822"/>
      <c r="AH103" s="54">
        <v>0.33</v>
      </c>
      <c r="AI103" s="822"/>
      <c r="AJ103" s="822"/>
      <c r="AK103" s="54">
        <v>17.97</v>
      </c>
      <c r="AL103" s="54">
        <v>0</v>
      </c>
    </row>
    <row r="104" spans="1:38" ht="15.75" thickBot="1" x14ac:dyDescent="0.3">
      <c r="A104" s="51" t="s">
        <v>948</v>
      </c>
      <c r="B104" s="51" t="s">
        <v>491</v>
      </c>
      <c r="C104" s="51" t="s">
        <v>492</v>
      </c>
      <c r="D104" s="51" t="s">
        <v>320</v>
      </c>
      <c r="E104" s="51" t="s">
        <v>272</v>
      </c>
      <c r="F104" s="51" t="s">
        <v>266</v>
      </c>
      <c r="G104" s="54">
        <v>4583.04</v>
      </c>
      <c r="H104" s="822"/>
      <c r="I104" s="822"/>
      <c r="J104" s="822"/>
      <c r="K104" s="54">
        <v>4583.04</v>
      </c>
      <c r="L104" s="822"/>
      <c r="M104" s="822"/>
      <c r="N104" s="822"/>
      <c r="O104" s="822"/>
      <c r="P104" s="822"/>
      <c r="Q104" s="822"/>
      <c r="R104" s="822"/>
      <c r="S104" s="822"/>
      <c r="T104" s="822"/>
      <c r="U104" s="822"/>
      <c r="V104" s="822"/>
      <c r="W104" s="822"/>
      <c r="X104" s="822"/>
      <c r="Y104" s="822"/>
      <c r="Z104" s="822"/>
      <c r="AA104" s="822"/>
      <c r="AB104" s="822"/>
      <c r="AC104" s="822"/>
      <c r="AD104" s="822"/>
      <c r="AE104" s="822"/>
      <c r="AF104" s="822"/>
      <c r="AG104" s="822"/>
      <c r="AH104" s="54">
        <v>138.88</v>
      </c>
      <c r="AI104" s="822"/>
      <c r="AJ104" s="822"/>
      <c r="AK104" s="54">
        <v>4721.92</v>
      </c>
      <c r="AL104" s="54">
        <v>0</v>
      </c>
    </row>
    <row r="105" spans="1:38" ht="15.75" thickBot="1" x14ac:dyDescent="0.3">
      <c r="A105" s="51" t="s">
        <v>948</v>
      </c>
      <c r="B105" s="51" t="s">
        <v>491</v>
      </c>
      <c r="C105" s="51" t="s">
        <v>492</v>
      </c>
      <c r="D105" s="51" t="s">
        <v>320</v>
      </c>
      <c r="E105" s="51" t="s">
        <v>265</v>
      </c>
      <c r="F105" s="51" t="s">
        <v>266</v>
      </c>
      <c r="G105" s="54">
        <v>21488.67</v>
      </c>
      <c r="H105" s="54">
        <v>97992</v>
      </c>
      <c r="I105" s="822"/>
      <c r="J105" s="822"/>
      <c r="K105" s="822"/>
      <c r="L105" s="822"/>
      <c r="M105" s="54">
        <v>21488.67</v>
      </c>
      <c r="N105" s="822"/>
      <c r="O105" s="822"/>
      <c r="P105" s="822"/>
      <c r="Q105" s="822"/>
      <c r="R105" s="822"/>
      <c r="S105" s="822"/>
      <c r="T105" s="822"/>
      <c r="U105" s="822"/>
      <c r="V105" s="822"/>
      <c r="W105" s="822"/>
      <c r="X105" s="822"/>
      <c r="Y105" s="822"/>
      <c r="Z105" s="822"/>
      <c r="AA105" s="822"/>
      <c r="AB105" s="822"/>
      <c r="AC105" s="822"/>
      <c r="AD105" s="822"/>
      <c r="AE105" s="822"/>
      <c r="AF105" s="822"/>
      <c r="AG105" s="822"/>
      <c r="AH105" s="54">
        <v>406.05</v>
      </c>
      <c r="AI105" s="822"/>
      <c r="AJ105" s="822"/>
      <c r="AK105" s="54">
        <v>21894.720000000001</v>
      </c>
      <c r="AL105" s="54">
        <v>0</v>
      </c>
    </row>
    <row r="106" spans="1:38" ht="15.75" thickBot="1" x14ac:dyDescent="0.3">
      <c r="A106" s="51" t="s">
        <v>948</v>
      </c>
      <c r="B106" s="51" t="s">
        <v>491</v>
      </c>
      <c r="C106" s="51" t="s">
        <v>492</v>
      </c>
      <c r="D106" s="51" t="s">
        <v>320</v>
      </c>
      <c r="E106" s="51" t="s">
        <v>620</v>
      </c>
      <c r="F106" s="51" t="s">
        <v>266</v>
      </c>
      <c r="G106" s="54">
        <v>386.34</v>
      </c>
      <c r="H106" s="822"/>
      <c r="I106" s="822"/>
      <c r="J106" s="822"/>
      <c r="K106" s="822"/>
      <c r="L106" s="822"/>
      <c r="M106" s="822"/>
      <c r="N106" s="822"/>
      <c r="O106" s="822"/>
      <c r="P106" s="822"/>
      <c r="Q106" s="822"/>
      <c r="R106" s="822"/>
      <c r="S106" s="822"/>
      <c r="T106" s="822"/>
      <c r="U106" s="822"/>
      <c r="V106" s="822"/>
      <c r="W106" s="822"/>
      <c r="X106" s="822"/>
      <c r="Y106" s="822"/>
      <c r="Z106" s="54">
        <v>386.34</v>
      </c>
      <c r="AA106" s="822"/>
      <c r="AB106" s="822"/>
      <c r="AC106" s="822"/>
      <c r="AD106" s="822"/>
      <c r="AE106" s="822"/>
      <c r="AF106" s="822"/>
      <c r="AG106" s="822"/>
      <c r="AH106" s="54">
        <v>11.7</v>
      </c>
      <c r="AI106" s="822"/>
      <c r="AJ106" s="822"/>
      <c r="AK106" s="54">
        <v>398.04</v>
      </c>
      <c r="AL106" s="54">
        <v>0</v>
      </c>
    </row>
    <row r="107" spans="1:38" ht="15.75" thickBot="1" x14ac:dyDescent="0.3">
      <c r="A107" s="51" t="s">
        <v>948</v>
      </c>
      <c r="B107" s="51" t="s">
        <v>491</v>
      </c>
      <c r="C107" s="51" t="s">
        <v>492</v>
      </c>
      <c r="D107" s="51" t="s">
        <v>320</v>
      </c>
      <c r="E107" s="51" t="s">
        <v>621</v>
      </c>
      <c r="F107" s="51" t="s">
        <v>266</v>
      </c>
      <c r="G107" s="54">
        <v>399.8</v>
      </c>
      <c r="H107" s="822"/>
      <c r="I107" s="822"/>
      <c r="J107" s="822"/>
      <c r="K107" s="822"/>
      <c r="L107" s="822"/>
      <c r="M107" s="822"/>
      <c r="N107" s="822"/>
      <c r="O107" s="822"/>
      <c r="P107" s="822"/>
      <c r="Q107" s="822"/>
      <c r="R107" s="822"/>
      <c r="S107" s="822"/>
      <c r="T107" s="822"/>
      <c r="U107" s="822"/>
      <c r="V107" s="822"/>
      <c r="W107" s="822"/>
      <c r="X107" s="822"/>
      <c r="Y107" s="822"/>
      <c r="Z107" s="822"/>
      <c r="AA107" s="54">
        <v>399.8</v>
      </c>
      <c r="AB107" s="822"/>
      <c r="AC107" s="822"/>
      <c r="AD107" s="822"/>
      <c r="AE107" s="822"/>
      <c r="AF107" s="822"/>
      <c r="AG107" s="822"/>
      <c r="AH107" s="54">
        <v>7.56</v>
      </c>
      <c r="AI107" s="822"/>
      <c r="AJ107" s="822"/>
      <c r="AK107" s="54">
        <v>407.36</v>
      </c>
      <c r="AL107" s="54">
        <v>0</v>
      </c>
    </row>
    <row r="108" spans="1:38" ht="15.75" thickBot="1" x14ac:dyDescent="0.3">
      <c r="A108" s="51" t="s">
        <v>948</v>
      </c>
      <c r="B108" s="51" t="s">
        <v>491</v>
      </c>
      <c r="C108" s="51" t="s">
        <v>492</v>
      </c>
      <c r="D108" s="51" t="s">
        <v>320</v>
      </c>
      <c r="E108" s="51" t="s">
        <v>273</v>
      </c>
      <c r="F108" s="51" t="s">
        <v>266</v>
      </c>
      <c r="G108" s="54">
        <v>8391.06</v>
      </c>
      <c r="H108" s="822"/>
      <c r="I108" s="822"/>
      <c r="J108" s="822"/>
      <c r="K108" s="822"/>
      <c r="L108" s="822"/>
      <c r="M108" s="822"/>
      <c r="N108" s="822"/>
      <c r="O108" s="822"/>
      <c r="P108" s="822"/>
      <c r="Q108" s="822"/>
      <c r="R108" s="822"/>
      <c r="S108" s="822"/>
      <c r="T108" s="822"/>
      <c r="U108" s="822"/>
      <c r="V108" s="822"/>
      <c r="W108" s="822"/>
      <c r="X108" s="822"/>
      <c r="Y108" s="54">
        <v>8391.06</v>
      </c>
      <c r="Z108" s="822"/>
      <c r="AA108" s="822"/>
      <c r="AB108" s="822"/>
      <c r="AC108" s="822"/>
      <c r="AD108" s="822"/>
      <c r="AE108" s="822"/>
      <c r="AF108" s="822"/>
      <c r="AG108" s="822"/>
      <c r="AH108" s="54">
        <v>158.56</v>
      </c>
      <c r="AI108" s="822"/>
      <c r="AJ108" s="822"/>
      <c r="AK108" s="54">
        <v>8549.6200000000008</v>
      </c>
      <c r="AL108" s="54">
        <v>0</v>
      </c>
    </row>
    <row r="109" spans="1:38" ht="15.75" thickBot="1" x14ac:dyDescent="0.3">
      <c r="A109" s="51" t="s">
        <v>948</v>
      </c>
      <c r="B109" s="51" t="s">
        <v>491</v>
      </c>
      <c r="C109" s="51" t="s">
        <v>492</v>
      </c>
      <c r="D109" s="51" t="s">
        <v>320</v>
      </c>
      <c r="E109" s="51" t="s">
        <v>268</v>
      </c>
      <c r="F109" s="51" t="s">
        <v>266</v>
      </c>
      <c r="G109" s="54">
        <v>3300</v>
      </c>
      <c r="H109" s="822"/>
      <c r="I109" s="822"/>
      <c r="J109" s="822"/>
      <c r="K109" s="54">
        <v>3300</v>
      </c>
      <c r="L109" s="822"/>
      <c r="M109" s="822"/>
      <c r="N109" s="822"/>
      <c r="O109" s="822"/>
      <c r="P109" s="822"/>
      <c r="Q109" s="822"/>
      <c r="R109" s="822"/>
      <c r="S109" s="822"/>
      <c r="T109" s="822"/>
      <c r="U109" s="822"/>
      <c r="V109" s="822"/>
      <c r="W109" s="822"/>
      <c r="X109" s="822"/>
      <c r="Y109" s="822"/>
      <c r="Z109" s="822"/>
      <c r="AA109" s="822"/>
      <c r="AB109" s="822"/>
      <c r="AC109" s="822"/>
      <c r="AD109" s="822"/>
      <c r="AE109" s="822"/>
      <c r="AF109" s="822"/>
      <c r="AG109" s="822"/>
      <c r="AH109" s="54">
        <v>99.99</v>
      </c>
      <c r="AI109" s="822"/>
      <c r="AJ109" s="822"/>
      <c r="AK109" s="54">
        <v>3399.99</v>
      </c>
      <c r="AL109" s="54">
        <v>0</v>
      </c>
    </row>
    <row r="110" spans="1:38" ht="23.25" thickBot="1" x14ac:dyDescent="0.3">
      <c r="A110" s="51" t="s">
        <v>948</v>
      </c>
      <c r="B110" s="51" t="s">
        <v>52</v>
      </c>
      <c r="C110" s="51" t="s">
        <v>355</v>
      </c>
      <c r="D110" s="51" t="s">
        <v>320</v>
      </c>
      <c r="E110" s="51" t="s">
        <v>269</v>
      </c>
      <c r="F110" s="51" t="s">
        <v>915</v>
      </c>
      <c r="G110" s="54">
        <v>4839.1899999999996</v>
      </c>
      <c r="H110" s="822"/>
      <c r="I110" s="822"/>
      <c r="J110" s="822"/>
      <c r="K110" s="822"/>
      <c r="L110" s="822"/>
      <c r="M110" s="822"/>
      <c r="N110" s="822"/>
      <c r="O110" s="822"/>
      <c r="P110" s="822"/>
      <c r="Q110" s="822"/>
      <c r="R110" s="822"/>
      <c r="S110" s="822"/>
      <c r="T110" s="54">
        <v>4839.1899999999996</v>
      </c>
      <c r="U110" s="822"/>
      <c r="V110" s="822"/>
      <c r="W110" s="822"/>
      <c r="X110" s="822"/>
      <c r="Y110" s="822"/>
      <c r="Z110" s="822"/>
      <c r="AA110" s="822"/>
      <c r="AB110" s="822"/>
      <c r="AC110" s="822"/>
      <c r="AD110" s="822"/>
      <c r="AE110" s="822"/>
      <c r="AF110" s="822"/>
      <c r="AG110" s="822"/>
      <c r="AH110" s="54">
        <v>0</v>
      </c>
      <c r="AI110" s="822"/>
      <c r="AJ110" s="822"/>
      <c r="AK110" s="54">
        <v>4839.1899999999996</v>
      </c>
      <c r="AL110" s="54">
        <v>0</v>
      </c>
    </row>
    <row r="111" spans="1:38" ht="23.25" thickBot="1" x14ac:dyDescent="0.3">
      <c r="A111" s="51" t="s">
        <v>948</v>
      </c>
      <c r="B111" s="51" t="s">
        <v>52</v>
      </c>
      <c r="C111" s="51" t="s">
        <v>355</v>
      </c>
      <c r="D111" s="51" t="s">
        <v>320</v>
      </c>
      <c r="E111" s="51" t="s">
        <v>271</v>
      </c>
      <c r="F111" s="51" t="s">
        <v>915</v>
      </c>
      <c r="G111" s="54">
        <v>238.63</v>
      </c>
      <c r="H111" s="822"/>
      <c r="I111" s="822"/>
      <c r="J111" s="822"/>
      <c r="K111" s="822"/>
      <c r="L111" s="822"/>
      <c r="M111" s="822"/>
      <c r="N111" s="822"/>
      <c r="O111" s="822"/>
      <c r="P111" s="822"/>
      <c r="Q111" s="822"/>
      <c r="R111" s="822"/>
      <c r="S111" s="822"/>
      <c r="T111" s="822"/>
      <c r="U111" s="54">
        <v>238.63</v>
      </c>
      <c r="V111" s="822"/>
      <c r="W111" s="822"/>
      <c r="X111" s="822"/>
      <c r="Y111" s="822"/>
      <c r="Z111" s="822"/>
      <c r="AA111" s="822"/>
      <c r="AB111" s="822"/>
      <c r="AC111" s="822"/>
      <c r="AD111" s="822"/>
      <c r="AE111" s="822"/>
      <c r="AF111" s="822"/>
      <c r="AG111" s="822"/>
      <c r="AH111" s="54">
        <v>0</v>
      </c>
      <c r="AI111" s="822"/>
      <c r="AJ111" s="822"/>
      <c r="AK111" s="54">
        <v>238.63</v>
      </c>
      <c r="AL111" s="54">
        <v>0</v>
      </c>
    </row>
    <row r="112" spans="1:38" ht="15.75" thickBot="1" x14ac:dyDescent="0.3">
      <c r="A112" s="51" t="s">
        <v>948</v>
      </c>
      <c r="B112" s="51" t="s">
        <v>52</v>
      </c>
      <c r="C112" s="51" t="s">
        <v>355</v>
      </c>
      <c r="D112" s="51" t="s">
        <v>320</v>
      </c>
      <c r="E112" s="51" t="s">
        <v>268</v>
      </c>
      <c r="F112" s="51" t="s">
        <v>266</v>
      </c>
      <c r="G112" s="54">
        <v>675</v>
      </c>
      <c r="H112" s="822"/>
      <c r="I112" s="822"/>
      <c r="J112" s="822"/>
      <c r="K112" s="54">
        <v>675</v>
      </c>
      <c r="L112" s="822"/>
      <c r="M112" s="822"/>
      <c r="N112" s="822"/>
      <c r="O112" s="822"/>
      <c r="P112" s="822"/>
      <c r="Q112" s="822"/>
      <c r="R112" s="822"/>
      <c r="S112" s="822"/>
      <c r="T112" s="822"/>
      <c r="U112" s="822"/>
      <c r="V112" s="822"/>
      <c r="W112" s="822"/>
      <c r="X112" s="822"/>
      <c r="Y112" s="822"/>
      <c r="Z112" s="822"/>
      <c r="AA112" s="822"/>
      <c r="AB112" s="822"/>
      <c r="AC112" s="822"/>
      <c r="AD112" s="822"/>
      <c r="AE112" s="822"/>
      <c r="AF112" s="822"/>
      <c r="AG112" s="822"/>
      <c r="AH112" s="54">
        <v>0</v>
      </c>
      <c r="AI112" s="822"/>
      <c r="AJ112" s="822"/>
      <c r="AK112" s="54">
        <v>675</v>
      </c>
      <c r="AL112" s="54">
        <v>0</v>
      </c>
    </row>
    <row r="113" spans="1:38" ht="15.75" thickBot="1" x14ac:dyDescent="0.3">
      <c r="A113" s="51" t="s">
        <v>948</v>
      </c>
      <c r="B113" s="51" t="s">
        <v>53</v>
      </c>
      <c r="C113" s="51" t="s">
        <v>836</v>
      </c>
      <c r="D113" s="51" t="s">
        <v>320</v>
      </c>
      <c r="E113" s="51" t="s">
        <v>356</v>
      </c>
      <c r="F113" s="51" t="s">
        <v>266</v>
      </c>
      <c r="G113" s="823"/>
      <c r="H113" s="823"/>
      <c r="I113" s="823"/>
      <c r="J113" s="823"/>
      <c r="K113" s="823"/>
      <c r="L113" s="823"/>
      <c r="M113" s="823"/>
      <c r="N113" s="823"/>
      <c r="O113" s="823"/>
      <c r="P113" s="823"/>
      <c r="Q113" s="823"/>
      <c r="R113" s="823"/>
      <c r="S113" s="823"/>
      <c r="T113" s="823"/>
      <c r="U113" s="823"/>
      <c r="V113" s="823"/>
      <c r="W113" s="823"/>
      <c r="X113" s="823"/>
      <c r="Y113" s="823"/>
      <c r="Z113" s="823"/>
      <c r="AA113" s="823"/>
      <c r="AB113" s="823"/>
      <c r="AC113" s="823"/>
      <c r="AD113" s="823"/>
      <c r="AE113" s="823"/>
      <c r="AF113" s="823"/>
      <c r="AG113" s="56">
        <v>539.59</v>
      </c>
      <c r="AH113" s="56">
        <v>0</v>
      </c>
      <c r="AI113" s="823"/>
      <c r="AJ113" s="823"/>
      <c r="AK113" s="56">
        <v>539.59</v>
      </c>
      <c r="AL113" s="56">
        <v>0</v>
      </c>
    </row>
    <row r="114" spans="1:38" ht="15.75" thickBot="1" x14ac:dyDescent="0.3">
      <c r="A114" s="51" t="s">
        <v>948</v>
      </c>
      <c r="B114" s="51" t="s">
        <v>53</v>
      </c>
      <c r="C114" s="51" t="s">
        <v>836</v>
      </c>
      <c r="D114" s="51" t="s">
        <v>320</v>
      </c>
      <c r="E114" s="51" t="s">
        <v>272</v>
      </c>
      <c r="F114" s="51" t="s">
        <v>266</v>
      </c>
      <c r="G114" s="56">
        <v>500</v>
      </c>
      <c r="H114" s="823"/>
      <c r="I114" s="823"/>
      <c r="J114" s="823"/>
      <c r="K114" s="56">
        <v>500</v>
      </c>
      <c r="L114" s="823"/>
      <c r="M114" s="823"/>
      <c r="N114" s="823"/>
      <c r="O114" s="823"/>
      <c r="P114" s="823"/>
      <c r="Q114" s="823"/>
      <c r="R114" s="823"/>
      <c r="S114" s="823"/>
      <c r="T114" s="823"/>
      <c r="U114" s="823"/>
      <c r="V114" s="823"/>
      <c r="W114" s="823"/>
      <c r="X114" s="823"/>
      <c r="Y114" s="823"/>
      <c r="Z114" s="823"/>
      <c r="AA114" s="823"/>
      <c r="AB114" s="823"/>
      <c r="AC114" s="823"/>
      <c r="AD114" s="823"/>
      <c r="AE114" s="823"/>
      <c r="AF114" s="823"/>
      <c r="AG114" s="823"/>
      <c r="AH114" s="56">
        <v>0</v>
      </c>
      <c r="AI114" s="823"/>
      <c r="AJ114" s="823"/>
      <c r="AK114" s="56">
        <v>500</v>
      </c>
      <c r="AL114" s="56">
        <v>0</v>
      </c>
    </row>
    <row r="115" spans="1:38" ht="15.75" thickBot="1" x14ac:dyDescent="0.3">
      <c r="A115" s="51" t="s">
        <v>948</v>
      </c>
      <c r="B115" s="51" t="s">
        <v>53</v>
      </c>
      <c r="C115" s="51" t="s">
        <v>836</v>
      </c>
      <c r="D115" s="51" t="s">
        <v>320</v>
      </c>
      <c r="E115" s="51" t="s">
        <v>265</v>
      </c>
      <c r="F115" s="51" t="s">
        <v>266</v>
      </c>
      <c r="G115" s="56">
        <v>9155.44</v>
      </c>
      <c r="H115" s="56">
        <v>86015</v>
      </c>
      <c r="I115" s="823"/>
      <c r="J115" s="823"/>
      <c r="K115" s="823"/>
      <c r="L115" s="823"/>
      <c r="M115" s="56">
        <v>9155.44</v>
      </c>
      <c r="N115" s="823"/>
      <c r="O115" s="823"/>
      <c r="P115" s="823"/>
      <c r="Q115" s="823"/>
      <c r="R115" s="823"/>
      <c r="S115" s="823"/>
      <c r="T115" s="823"/>
      <c r="U115" s="823"/>
      <c r="V115" s="823"/>
      <c r="W115" s="823"/>
      <c r="X115" s="823"/>
      <c r="Y115" s="823"/>
      <c r="Z115" s="823"/>
      <c r="AA115" s="823"/>
      <c r="AB115" s="823"/>
      <c r="AC115" s="823"/>
      <c r="AD115" s="823"/>
      <c r="AE115" s="823"/>
      <c r="AF115" s="823"/>
      <c r="AG115" s="823"/>
      <c r="AH115" s="56">
        <v>0</v>
      </c>
      <c r="AI115" s="823"/>
      <c r="AJ115" s="823"/>
      <c r="AK115" s="56">
        <v>9155.44</v>
      </c>
      <c r="AL115" s="56">
        <v>0</v>
      </c>
    </row>
    <row r="116" spans="1:38" ht="15.75" thickBot="1" x14ac:dyDescent="0.3">
      <c r="A116" s="51" t="s">
        <v>948</v>
      </c>
      <c r="B116" s="51" t="s">
        <v>53</v>
      </c>
      <c r="C116" s="51" t="s">
        <v>836</v>
      </c>
      <c r="D116" s="51" t="s">
        <v>320</v>
      </c>
      <c r="E116" s="51" t="s">
        <v>620</v>
      </c>
      <c r="F116" s="51" t="s">
        <v>266</v>
      </c>
      <c r="G116" s="56">
        <v>64.39</v>
      </c>
      <c r="H116" s="823"/>
      <c r="I116" s="823"/>
      <c r="J116" s="823"/>
      <c r="K116" s="823"/>
      <c r="L116" s="823"/>
      <c r="M116" s="823"/>
      <c r="N116" s="823"/>
      <c r="O116" s="823"/>
      <c r="P116" s="823"/>
      <c r="Q116" s="823"/>
      <c r="R116" s="823"/>
      <c r="S116" s="823"/>
      <c r="T116" s="823"/>
      <c r="U116" s="823"/>
      <c r="V116" s="823"/>
      <c r="W116" s="823"/>
      <c r="X116" s="823"/>
      <c r="Y116" s="823"/>
      <c r="Z116" s="56">
        <v>64.39</v>
      </c>
      <c r="AA116" s="823"/>
      <c r="AB116" s="823"/>
      <c r="AC116" s="823"/>
      <c r="AD116" s="823"/>
      <c r="AE116" s="823"/>
      <c r="AF116" s="823"/>
      <c r="AG116" s="823"/>
      <c r="AH116" s="56">
        <v>0</v>
      </c>
      <c r="AI116" s="823"/>
      <c r="AJ116" s="823"/>
      <c r="AK116" s="56">
        <v>64.39</v>
      </c>
      <c r="AL116" s="56">
        <v>0</v>
      </c>
    </row>
    <row r="117" spans="1:38" ht="15.75" thickBot="1" x14ac:dyDescent="0.3">
      <c r="A117" s="51" t="s">
        <v>948</v>
      </c>
      <c r="B117" s="51" t="s">
        <v>53</v>
      </c>
      <c r="C117" s="51" t="s">
        <v>836</v>
      </c>
      <c r="D117" s="51" t="s">
        <v>320</v>
      </c>
      <c r="E117" s="51" t="s">
        <v>621</v>
      </c>
      <c r="F117" s="51" t="s">
        <v>266</v>
      </c>
      <c r="G117" s="56">
        <v>350.94</v>
      </c>
      <c r="H117" s="823"/>
      <c r="I117" s="823"/>
      <c r="J117" s="823"/>
      <c r="K117" s="823"/>
      <c r="L117" s="823"/>
      <c r="M117" s="823"/>
      <c r="N117" s="823"/>
      <c r="O117" s="823"/>
      <c r="P117" s="823"/>
      <c r="Q117" s="823"/>
      <c r="R117" s="823"/>
      <c r="S117" s="823"/>
      <c r="T117" s="823"/>
      <c r="U117" s="823"/>
      <c r="V117" s="823"/>
      <c r="W117" s="823"/>
      <c r="X117" s="823"/>
      <c r="Y117" s="823"/>
      <c r="Z117" s="823"/>
      <c r="AA117" s="56">
        <v>350.94</v>
      </c>
      <c r="AB117" s="823"/>
      <c r="AC117" s="823"/>
      <c r="AD117" s="823"/>
      <c r="AE117" s="823"/>
      <c r="AF117" s="823"/>
      <c r="AG117" s="823"/>
      <c r="AH117" s="56">
        <v>0</v>
      </c>
      <c r="AI117" s="823"/>
      <c r="AJ117" s="823"/>
      <c r="AK117" s="56">
        <v>350.94</v>
      </c>
      <c r="AL117" s="56">
        <v>0</v>
      </c>
    </row>
    <row r="118" spans="1:38" ht="15.75" thickBot="1" x14ac:dyDescent="0.3">
      <c r="A118" s="51" t="s">
        <v>948</v>
      </c>
      <c r="B118" s="51" t="s">
        <v>53</v>
      </c>
      <c r="C118" s="51" t="s">
        <v>836</v>
      </c>
      <c r="D118" s="51" t="s">
        <v>320</v>
      </c>
      <c r="E118" s="51" t="s">
        <v>273</v>
      </c>
      <c r="F118" s="51" t="s">
        <v>266</v>
      </c>
      <c r="G118" s="56">
        <v>7365.46</v>
      </c>
      <c r="H118" s="823"/>
      <c r="I118" s="823"/>
      <c r="J118" s="823"/>
      <c r="K118" s="823"/>
      <c r="L118" s="823"/>
      <c r="M118" s="823"/>
      <c r="N118" s="823"/>
      <c r="O118" s="823"/>
      <c r="P118" s="823"/>
      <c r="Q118" s="823"/>
      <c r="R118" s="823"/>
      <c r="S118" s="823"/>
      <c r="T118" s="823"/>
      <c r="U118" s="823"/>
      <c r="V118" s="823"/>
      <c r="W118" s="823"/>
      <c r="X118" s="823"/>
      <c r="Y118" s="56">
        <v>7365.46</v>
      </c>
      <c r="Z118" s="823"/>
      <c r="AA118" s="823"/>
      <c r="AB118" s="823"/>
      <c r="AC118" s="823"/>
      <c r="AD118" s="823"/>
      <c r="AE118" s="823"/>
      <c r="AF118" s="823"/>
      <c r="AG118" s="823"/>
      <c r="AH118" s="56">
        <v>0</v>
      </c>
      <c r="AI118" s="823"/>
      <c r="AJ118" s="823"/>
      <c r="AK118" s="56">
        <v>7365.46</v>
      </c>
      <c r="AL118" s="56">
        <v>0</v>
      </c>
    </row>
    <row r="119" spans="1:38" ht="15.75" thickBot="1" x14ac:dyDescent="0.3">
      <c r="A119" s="51" t="s">
        <v>948</v>
      </c>
      <c r="B119" s="51" t="s">
        <v>53</v>
      </c>
      <c r="C119" s="51" t="s">
        <v>836</v>
      </c>
      <c r="D119" s="51" t="s">
        <v>320</v>
      </c>
      <c r="E119" s="51" t="s">
        <v>268</v>
      </c>
      <c r="F119" s="51" t="s">
        <v>266</v>
      </c>
      <c r="G119" s="56">
        <v>550</v>
      </c>
      <c r="H119" s="823"/>
      <c r="I119" s="823"/>
      <c r="J119" s="823"/>
      <c r="K119" s="56">
        <v>550</v>
      </c>
      <c r="L119" s="823"/>
      <c r="M119" s="823"/>
      <c r="N119" s="823"/>
      <c r="O119" s="823"/>
      <c r="P119" s="823"/>
      <c r="Q119" s="823"/>
      <c r="R119" s="823"/>
      <c r="S119" s="823"/>
      <c r="T119" s="823"/>
      <c r="U119" s="823"/>
      <c r="V119" s="823"/>
      <c r="W119" s="823"/>
      <c r="X119" s="823"/>
      <c r="Y119" s="823"/>
      <c r="Z119" s="823"/>
      <c r="AA119" s="823"/>
      <c r="AB119" s="823"/>
      <c r="AC119" s="823"/>
      <c r="AD119" s="823"/>
      <c r="AE119" s="823"/>
      <c r="AF119" s="823"/>
      <c r="AG119" s="823"/>
      <c r="AH119" s="56">
        <v>0</v>
      </c>
      <c r="AI119" s="823"/>
      <c r="AJ119" s="823"/>
      <c r="AK119" s="56">
        <v>550</v>
      </c>
      <c r="AL119" s="56">
        <v>0</v>
      </c>
    </row>
    <row r="120" spans="1:38" ht="23.25" thickBot="1" x14ac:dyDescent="0.3">
      <c r="A120" s="51" t="s">
        <v>948</v>
      </c>
      <c r="B120" s="51" t="s">
        <v>36</v>
      </c>
      <c r="C120" s="51" t="s">
        <v>438</v>
      </c>
      <c r="D120" s="51" t="s">
        <v>320</v>
      </c>
      <c r="E120" s="51" t="s">
        <v>269</v>
      </c>
      <c r="F120" s="51" t="s">
        <v>915</v>
      </c>
      <c r="G120" s="56">
        <v>-2421.91</v>
      </c>
      <c r="H120" s="823"/>
      <c r="I120" s="823"/>
      <c r="J120" s="823"/>
      <c r="K120" s="823"/>
      <c r="L120" s="823"/>
      <c r="M120" s="823"/>
      <c r="N120" s="823"/>
      <c r="O120" s="823"/>
      <c r="P120" s="823"/>
      <c r="Q120" s="823"/>
      <c r="R120" s="823"/>
      <c r="S120" s="823"/>
      <c r="T120" s="56">
        <v>-2421.91</v>
      </c>
      <c r="U120" s="823"/>
      <c r="V120" s="823"/>
      <c r="W120" s="823"/>
      <c r="X120" s="823"/>
      <c r="Y120" s="823"/>
      <c r="Z120" s="823"/>
      <c r="AA120" s="823"/>
      <c r="AB120" s="823"/>
      <c r="AC120" s="823"/>
      <c r="AD120" s="823"/>
      <c r="AE120" s="823"/>
      <c r="AF120" s="823"/>
      <c r="AG120" s="823"/>
      <c r="AH120" s="56">
        <v>-145.32</v>
      </c>
      <c r="AI120" s="823"/>
      <c r="AJ120" s="823"/>
      <c r="AK120" s="56">
        <v>-2567.23</v>
      </c>
      <c r="AL120" s="56">
        <v>0</v>
      </c>
    </row>
    <row r="121" spans="1:38" ht="15.75" thickBot="1" x14ac:dyDescent="0.3">
      <c r="A121" s="51" t="s">
        <v>948</v>
      </c>
      <c r="B121" s="51" t="s">
        <v>36</v>
      </c>
      <c r="C121" s="51" t="s">
        <v>438</v>
      </c>
      <c r="D121" s="51" t="s">
        <v>320</v>
      </c>
      <c r="E121" s="51" t="s">
        <v>272</v>
      </c>
      <c r="F121" s="51" t="s">
        <v>266</v>
      </c>
      <c r="G121" s="56">
        <v>36150</v>
      </c>
      <c r="H121" s="823"/>
      <c r="I121" s="823"/>
      <c r="J121" s="823"/>
      <c r="K121" s="56">
        <v>36150</v>
      </c>
      <c r="L121" s="823"/>
      <c r="M121" s="823"/>
      <c r="N121" s="823"/>
      <c r="O121" s="823"/>
      <c r="P121" s="823"/>
      <c r="Q121" s="823"/>
      <c r="R121" s="823"/>
      <c r="S121" s="823"/>
      <c r="T121" s="823"/>
      <c r="U121" s="823"/>
      <c r="V121" s="823"/>
      <c r="W121" s="823"/>
      <c r="X121" s="823"/>
      <c r="Y121" s="823"/>
      <c r="Z121" s="823"/>
      <c r="AA121" s="823"/>
      <c r="AB121" s="823"/>
      <c r="AC121" s="823"/>
      <c r="AD121" s="823"/>
      <c r="AE121" s="823"/>
      <c r="AF121" s="823"/>
      <c r="AG121" s="823"/>
      <c r="AH121" s="56">
        <v>1604.25</v>
      </c>
      <c r="AI121" s="823"/>
      <c r="AJ121" s="823"/>
      <c r="AK121" s="56">
        <v>37754.25</v>
      </c>
      <c r="AL121" s="56">
        <v>0</v>
      </c>
    </row>
    <row r="122" spans="1:38" ht="15.75" thickBot="1" x14ac:dyDescent="0.3">
      <c r="A122" s="51" t="s">
        <v>948</v>
      </c>
      <c r="B122" s="51" t="s">
        <v>36</v>
      </c>
      <c r="C122" s="51" t="s">
        <v>438</v>
      </c>
      <c r="D122" s="51" t="s">
        <v>320</v>
      </c>
      <c r="E122" s="51" t="s">
        <v>265</v>
      </c>
      <c r="F122" s="51" t="s">
        <v>266</v>
      </c>
      <c r="G122" s="56">
        <v>36881.57</v>
      </c>
      <c r="H122" s="56">
        <v>9705667</v>
      </c>
      <c r="I122" s="823"/>
      <c r="J122" s="823"/>
      <c r="K122" s="823"/>
      <c r="L122" s="823"/>
      <c r="M122" s="56">
        <v>36881.57</v>
      </c>
      <c r="N122" s="823"/>
      <c r="O122" s="823"/>
      <c r="P122" s="823"/>
      <c r="Q122" s="823"/>
      <c r="R122" s="823"/>
      <c r="S122" s="823"/>
      <c r="T122" s="823"/>
      <c r="U122" s="823"/>
      <c r="V122" s="823"/>
      <c r="W122" s="823"/>
      <c r="X122" s="823"/>
      <c r="Y122" s="823"/>
      <c r="Z122" s="823"/>
      <c r="AA122" s="823"/>
      <c r="AB122" s="823"/>
      <c r="AC122" s="823"/>
      <c r="AD122" s="823"/>
      <c r="AE122" s="823"/>
      <c r="AF122" s="823"/>
      <c r="AG122" s="823"/>
      <c r="AH122" s="56">
        <v>1558.59</v>
      </c>
      <c r="AI122" s="823"/>
      <c r="AJ122" s="823"/>
      <c r="AK122" s="56">
        <v>38440.160000000003</v>
      </c>
      <c r="AL122" s="56">
        <v>0</v>
      </c>
    </row>
    <row r="123" spans="1:38" ht="23.25" thickBot="1" x14ac:dyDescent="0.3">
      <c r="A123" s="51" t="s">
        <v>948</v>
      </c>
      <c r="B123" s="51" t="s">
        <v>36</v>
      </c>
      <c r="C123" s="51" t="s">
        <v>438</v>
      </c>
      <c r="D123" s="51" t="s">
        <v>320</v>
      </c>
      <c r="E123" s="51" t="s">
        <v>265</v>
      </c>
      <c r="F123" s="51" t="s">
        <v>915</v>
      </c>
      <c r="G123" s="54">
        <v>0.25</v>
      </c>
      <c r="H123" s="54">
        <v>65</v>
      </c>
      <c r="I123" s="822"/>
      <c r="J123" s="822"/>
      <c r="K123" s="822"/>
      <c r="L123" s="822"/>
      <c r="M123" s="54">
        <v>0.25</v>
      </c>
      <c r="N123" s="822"/>
      <c r="O123" s="822"/>
      <c r="P123" s="822"/>
      <c r="Q123" s="822"/>
      <c r="R123" s="822"/>
      <c r="S123" s="822"/>
      <c r="T123" s="822"/>
      <c r="U123" s="822"/>
      <c r="V123" s="822"/>
      <c r="W123" s="822"/>
      <c r="X123" s="822"/>
      <c r="Y123" s="822"/>
      <c r="Z123" s="822"/>
      <c r="AA123" s="822"/>
      <c r="AB123" s="822"/>
      <c r="AC123" s="822"/>
      <c r="AD123" s="822"/>
      <c r="AE123" s="822"/>
      <c r="AF123" s="822"/>
      <c r="AG123" s="822"/>
      <c r="AH123" s="54">
        <v>0.01</v>
      </c>
      <c r="AI123" s="822"/>
      <c r="AJ123" s="822"/>
      <c r="AK123" s="54">
        <v>0.26</v>
      </c>
      <c r="AL123" s="54">
        <v>0</v>
      </c>
    </row>
    <row r="124" spans="1:38" ht="15.75" thickBot="1" x14ac:dyDescent="0.3">
      <c r="A124" s="51" t="s">
        <v>948</v>
      </c>
      <c r="B124" s="51" t="s">
        <v>36</v>
      </c>
      <c r="C124" s="51" t="s">
        <v>438</v>
      </c>
      <c r="D124" s="51" t="s">
        <v>320</v>
      </c>
      <c r="E124" s="51" t="s">
        <v>621</v>
      </c>
      <c r="F124" s="51" t="s">
        <v>266</v>
      </c>
      <c r="G124" s="54">
        <v>4658.74</v>
      </c>
      <c r="H124" s="822"/>
      <c r="I124" s="822"/>
      <c r="J124" s="822"/>
      <c r="K124" s="822"/>
      <c r="L124" s="822"/>
      <c r="M124" s="822"/>
      <c r="N124" s="822"/>
      <c r="O124" s="822"/>
      <c r="P124" s="822"/>
      <c r="Q124" s="822"/>
      <c r="R124" s="822"/>
      <c r="S124" s="822"/>
      <c r="T124" s="822"/>
      <c r="U124" s="822"/>
      <c r="V124" s="822"/>
      <c r="W124" s="822"/>
      <c r="X124" s="822"/>
      <c r="Y124" s="822"/>
      <c r="Z124" s="822"/>
      <c r="AA124" s="54">
        <v>4658.74</v>
      </c>
      <c r="AB124" s="822"/>
      <c r="AC124" s="822"/>
      <c r="AD124" s="822"/>
      <c r="AE124" s="822"/>
      <c r="AF124" s="822"/>
      <c r="AG124" s="822"/>
      <c r="AH124" s="54">
        <v>196.87</v>
      </c>
      <c r="AI124" s="822"/>
      <c r="AJ124" s="822"/>
      <c r="AK124" s="54">
        <v>4855.6099999999997</v>
      </c>
      <c r="AL124" s="54">
        <v>0</v>
      </c>
    </row>
    <row r="125" spans="1:38" ht="23.25" thickBot="1" x14ac:dyDescent="0.3">
      <c r="A125" s="51" t="s">
        <v>948</v>
      </c>
      <c r="B125" s="51" t="s">
        <v>36</v>
      </c>
      <c r="C125" s="51" t="s">
        <v>438</v>
      </c>
      <c r="D125" s="51" t="s">
        <v>320</v>
      </c>
      <c r="E125" s="51" t="s">
        <v>916</v>
      </c>
      <c r="F125" s="51" t="s">
        <v>915</v>
      </c>
      <c r="G125" s="54">
        <v>0.03</v>
      </c>
      <c r="H125" s="822"/>
      <c r="I125" s="822"/>
      <c r="J125" s="822"/>
      <c r="K125" s="822"/>
      <c r="L125" s="822"/>
      <c r="M125" s="822"/>
      <c r="N125" s="822"/>
      <c r="O125" s="822"/>
      <c r="P125" s="822"/>
      <c r="Q125" s="822"/>
      <c r="R125" s="822"/>
      <c r="S125" s="822"/>
      <c r="T125" s="822"/>
      <c r="U125" s="822"/>
      <c r="V125" s="822"/>
      <c r="W125" s="822"/>
      <c r="X125" s="822"/>
      <c r="Y125" s="822"/>
      <c r="Z125" s="822"/>
      <c r="AA125" s="54">
        <v>0.03</v>
      </c>
      <c r="AB125" s="822"/>
      <c r="AC125" s="822"/>
      <c r="AD125" s="822"/>
      <c r="AE125" s="822"/>
      <c r="AF125" s="822"/>
      <c r="AG125" s="822"/>
      <c r="AH125" s="54">
        <v>0</v>
      </c>
      <c r="AI125" s="822"/>
      <c r="AJ125" s="822"/>
      <c r="AK125" s="54">
        <v>0.03</v>
      </c>
      <c r="AL125" s="54">
        <v>0</v>
      </c>
    </row>
    <row r="126" spans="1:38" ht="23.25" thickBot="1" x14ac:dyDescent="0.3">
      <c r="A126" s="51" t="s">
        <v>948</v>
      </c>
      <c r="B126" s="51" t="s">
        <v>36</v>
      </c>
      <c r="C126" s="51" t="s">
        <v>438</v>
      </c>
      <c r="D126" s="51" t="s">
        <v>320</v>
      </c>
      <c r="E126" s="51" t="s">
        <v>271</v>
      </c>
      <c r="F126" s="51" t="s">
        <v>915</v>
      </c>
      <c r="G126" s="54">
        <v>118.36</v>
      </c>
      <c r="H126" s="822"/>
      <c r="I126" s="822"/>
      <c r="J126" s="822"/>
      <c r="K126" s="822"/>
      <c r="L126" s="822"/>
      <c r="M126" s="822"/>
      <c r="N126" s="822"/>
      <c r="O126" s="822"/>
      <c r="P126" s="822"/>
      <c r="Q126" s="822"/>
      <c r="R126" s="822"/>
      <c r="S126" s="822"/>
      <c r="T126" s="822"/>
      <c r="U126" s="54">
        <v>118.36</v>
      </c>
      <c r="V126" s="822"/>
      <c r="W126" s="822"/>
      <c r="X126" s="822"/>
      <c r="Y126" s="822"/>
      <c r="Z126" s="822"/>
      <c r="AA126" s="822"/>
      <c r="AB126" s="822"/>
      <c r="AC126" s="822"/>
      <c r="AD126" s="822"/>
      <c r="AE126" s="822"/>
      <c r="AF126" s="822"/>
      <c r="AG126" s="822"/>
      <c r="AH126" s="54">
        <v>7.1</v>
      </c>
      <c r="AI126" s="822"/>
      <c r="AJ126" s="822"/>
      <c r="AK126" s="54">
        <v>125.46</v>
      </c>
      <c r="AL126" s="54">
        <v>0</v>
      </c>
    </row>
    <row r="127" spans="1:38" ht="15.75" thickBot="1" x14ac:dyDescent="0.3">
      <c r="A127" s="51" t="s">
        <v>948</v>
      </c>
      <c r="B127" s="51" t="s">
        <v>36</v>
      </c>
      <c r="C127" s="51" t="s">
        <v>438</v>
      </c>
      <c r="D127" s="51" t="s">
        <v>320</v>
      </c>
      <c r="E127" s="51" t="s">
        <v>325</v>
      </c>
      <c r="F127" s="51" t="s">
        <v>266</v>
      </c>
      <c r="G127" s="54">
        <v>77.47</v>
      </c>
      <c r="H127" s="822"/>
      <c r="I127" s="822"/>
      <c r="J127" s="822"/>
      <c r="K127" s="822"/>
      <c r="L127" s="822"/>
      <c r="M127" s="822"/>
      <c r="N127" s="54">
        <v>77.47</v>
      </c>
      <c r="O127" s="822"/>
      <c r="P127" s="822"/>
      <c r="Q127" s="822"/>
      <c r="R127" s="822"/>
      <c r="S127" s="822"/>
      <c r="T127" s="822"/>
      <c r="U127" s="822"/>
      <c r="V127" s="822"/>
      <c r="W127" s="822"/>
      <c r="X127" s="822"/>
      <c r="Y127" s="822"/>
      <c r="Z127" s="822"/>
      <c r="AA127" s="822"/>
      <c r="AB127" s="822"/>
      <c r="AC127" s="822"/>
      <c r="AD127" s="822"/>
      <c r="AE127" s="822"/>
      <c r="AF127" s="822"/>
      <c r="AG127" s="822"/>
      <c r="AH127" s="54">
        <v>2.87</v>
      </c>
      <c r="AI127" s="822"/>
      <c r="AJ127" s="822"/>
      <c r="AK127" s="54">
        <v>80.34</v>
      </c>
      <c r="AL127" s="54">
        <v>0</v>
      </c>
    </row>
    <row r="128" spans="1:38" ht="15.75" thickBot="1" x14ac:dyDescent="0.3">
      <c r="A128" s="51" t="s">
        <v>948</v>
      </c>
      <c r="B128" s="51" t="s">
        <v>36</v>
      </c>
      <c r="C128" s="51" t="s">
        <v>438</v>
      </c>
      <c r="D128" s="51" t="s">
        <v>320</v>
      </c>
      <c r="E128" s="51" t="s">
        <v>268</v>
      </c>
      <c r="F128" s="51" t="s">
        <v>266</v>
      </c>
      <c r="G128" s="54">
        <v>26510</v>
      </c>
      <c r="H128" s="822"/>
      <c r="I128" s="822"/>
      <c r="J128" s="822"/>
      <c r="K128" s="54">
        <v>26510</v>
      </c>
      <c r="L128" s="822"/>
      <c r="M128" s="822"/>
      <c r="N128" s="822"/>
      <c r="O128" s="822"/>
      <c r="P128" s="822"/>
      <c r="Q128" s="822"/>
      <c r="R128" s="822"/>
      <c r="S128" s="822"/>
      <c r="T128" s="822"/>
      <c r="U128" s="822"/>
      <c r="V128" s="822"/>
      <c r="W128" s="822"/>
      <c r="X128" s="822"/>
      <c r="Y128" s="822"/>
      <c r="Z128" s="822"/>
      <c r="AA128" s="822"/>
      <c r="AB128" s="822"/>
      <c r="AC128" s="822"/>
      <c r="AD128" s="822"/>
      <c r="AE128" s="822"/>
      <c r="AF128" s="822"/>
      <c r="AG128" s="822"/>
      <c r="AH128" s="54">
        <v>1176.45</v>
      </c>
      <c r="AI128" s="822"/>
      <c r="AJ128" s="822"/>
      <c r="AK128" s="54">
        <v>27686.45</v>
      </c>
      <c r="AL128" s="54">
        <v>0</v>
      </c>
    </row>
    <row r="129" spans="1:38" ht="15.75" thickBot="1" x14ac:dyDescent="0.3">
      <c r="A129" s="51" t="s">
        <v>948</v>
      </c>
      <c r="B129" s="51" t="s">
        <v>36</v>
      </c>
      <c r="C129" s="51" t="s">
        <v>438</v>
      </c>
      <c r="D129" s="51" t="s">
        <v>320</v>
      </c>
      <c r="E129" s="51" t="s">
        <v>914</v>
      </c>
      <c r="F129" s="51" t="s">
        <v>266</v>
      </c>
      <c r="G129" s="54">
        <v>321259.24</v>
      </c>
      <c r="H129" s="822"/>
      <c r="I129" s="822"/>
      <c r="J129" s="822"/>
      <c r="K129" s="822"/>
      <c r="L129" s="54">
        <v>321259.24</v>
      </c>
      <c r="M129" s="822"/>
      <c r="N129" s="822"/>
      <c r="O129" s="822"/>
      <c r="P129" s="822"/>
      <c r="Q129" s="822"/>
      <c r="R129" s="822"/>
      <c r="S129" s="822"/>
      <c r="T129" s="822"/>
      <c r="U129" s="822"/>
      <c r="V129" s="822"/>
      <c r="W129" s="822"/>
      <c r="X129" s="822"/>
      <c r="Y129" s="822"/>
      <c r="Z129" s="822"/>
      <c r="AA129" s="822"/>
      <c r="AB129" s="822"/>
      <c r="AC129" s="822"/>
      <c r="AD129" s="822"/>
      <c r="AE129" s="822"/>
      <c r="AF129" s="822"/>
      <c r="AG129" s="822"/>
      <c r="AH129" s="54">
        <v>14392.55</v>
      </c>
      <c r="AI129" s="822"/>
      <c r="AJ129" s="822"/>
      <c r="AK129" s="54">
        <v>335651.79</v>
      </c>
      <c r="AL129" s="54">
        <v>0</v>
      </c>
    </row>
    <row r="130" spans="1:38" ht="15.75" thickBot="1" x14ac:dyDescent="0.3">
      <c r="A130" s="51" t="s">
        <v>948</v>
      </c>
      <c r="B130" s="51" t="s">
        <v>36</v>
      </c>
      <c r="C130" s="51" t="s">
        <v>438</v>
      </c>
      <c r="D130" s="51" t="s">
        <v>320</v>
      </c>
      <c r="E130" s="51" t="s">
        <v>329</v>
      </c>
      <c r="F130" s="51" t="s">
        <v>266</v>
      </c>
      <c r="G130" s="54">
        <v>691.03</v>
      </c>
      <c r="H130" s="822"/>
      <c r="I130" s="822"/>
      <c r="J130" s="822"/>
      <c r="K130" s="822"/>
      <c r="L130" s="822"/>
      <c r="M130" s="822"/>
      <c r="N130" s="822"/>
      <c r="O130" s="822"/>
      <c r="P130" s="822"/>
      <c r="Q130" s="822"/>
      <c r="R130" s="822"/>
      <c r="S130" s="822"/>
      <c r="T130" s="822"/>
      <c r="U130" s="822"/>
      <c r="V130" s="822"/>
      <c r="W130" s="54">
        <v>691.03</v>
      </c>
      <c r="X130" s="822"/>
      <c r="Y130" s="822"/>
      <c r="Z130" s="822"/>
      <c r="AA130" s="822"/>
      <c r="AB130" s="822"/>
      <c r="AC130" s="822"/>
      <c r="AD130" s="822"/>
      <c r="AE130" s="822"/>
      <c r="AF130" s="822"/>
      <c r="AG130" s="822"/>
      <c r="AH130" s="54">
        <v>41.46</v>
      </c>
      <c r="AI130" s="822"/>
      <c r="AJ130" s="822"/>
      <c r="AK130" s="54">
        <v>732.49</v>
      </c>
      <c r="AL130" s="54">
        <v>0</v>
      </c>
    </row>
    <row r="131" spans="1:38" ht="15.75" thickBot="1" x14ac:dyDescent="0.3">
      <c r="A131" s="51" t="s">
        <v>948</v>
      </c>
      <c r="B131" s="51" t="s">
        <v>36</v>
      </c>
      <c r="C131" s="51" t="s">
        <v>438</v>
      </c>
      <c r="D131" s="51" t="s">
        <v>320</v>
      </c>
      <c r="E131" s="51" t="s">
        <v>330</v>
      </c>
      <c r="F131" s="51" t="s">
        <v>266</v>
      </c>
      <c r="G131" s="54">
        <v>1613.7</v>
      </c>
      <c r="H131" s="822"/>
      <c r="I131" s="822"/>
      <c r="J131" s="822"/>
      <c r="K131" s="822"/>
      <c r="L131" s="822"/>
      <c r="M131" s="822"/>
      <c r="N131" s="822"/>
      <c r="O131" s="822"/>
      <c r="P131" s="822"/>
      <c r="Q131" s="822"/>
      <c r="R131" s="822"/>
      <c r="S131" s="822"/>
      <c r="T131" s="822"/>
      <c r="U131" s="822"/>
      <c r="V131" s="822"/>
      <c r="W131" s="822"/>
      <c r="X131" s="54">
        <v>1613.7</v>
      </c>
      <c r="Y131" s="822"/>
      <c r="Z131" s="822"/>
      <c r="AA131" s="822"/>
      <c r="AB131" s="822"/>
      <c r="AC131" s="822"/>
      <c r="AD131" s="822"/>
      <c r="AE131" s="822"/>
      <c r="AF131" s="822"/>
      <c r="AG131" s="822"/>
      <c r="AH131" s="54">
        <v>96.82</v>
      </c>
      <c r="AI131" s="822"/>
      <c r="AJ131" s="822"/>
      <c r="AK131" s="54">
        <v>1710.52</v>
      </c>
      <c r="AL131" s="54">
        <v>0</v>
      </c>
    </row>
    <row r="132" spans="1:38" ht="15.75" thickBot="1" x14ac:dyDescent="0.3">
      <c r="A132" s="51" t="s">
        <v>948</v>
      </c>
      <c r="B132" s="51" t="s">
        <v>36</v>
      </c>
      <c r="C132" s="51" t="s">
        <v>438</v>
      </c>
      <c r="D132" s="51" t="s">
        <v>319</v>
      </c>
      <c r="E132" s="51" t="s">
        <v>272</v>
      </c>
      <c r="F132" s="51" t="s">
        <v>266</v>
      </c>
      <c r="G132" s="56">
        <v>1500</v>
      </c>
      <c r="H132" s="823"/>
      <c r="I132" s="823"/>
      <c r="J132" s="823"/>
      <c r="K132" s="56">
        <v>1500</v>
      </c>
      <c r="L132" s="823"/>
      <c r="M132" s="823"/>
      <c r="N132" s="823"/>
      <c r="O132" s="823"/>
      <c r="P132" s="823"/>
      <c r="Q132" s="823"/>
      <c r="R132" s="823"/>
      <c r="S132" s="823"/>
      <c r="T132" s="823"/>
      <c r="U132" s="823"/>
      <c r="V132" s="823"/>
      <c r="W132" s="823"/>
      <c r="X132" s="823"/>
      <c r="Y132" s="823"/>
      <c r="Z132" s="823"/>
      <c r="AA132" s="823"/>
      <c r="AB132" s="823"/>
      <c r="AC132" s="823"/>
      <c r="AD132" s="823"/>
      <c r="AE132" s="823"/>
      <c r="AF132" s="823"/>
      <c r="AG132" s="823"/>
      <c r="AH132" s="56">
        <v>0</v>
      </c>
      <c r="AI132" s="823"/>
      <c r="AJ132" s="823"/>
      <c r="AK132" s="56">
        <v>1500</v>
      </c>
      <c r="AL132" s="56">
        <v>0</v>
      </c>
    </row>
    <row r="133" spans="1:38" ht="15.75" thickBot="1" x14ac:dyDescent="0.3">
      <c r="A133" s="51" t="s">
        <v>948</v>
      </c>
      <c r="B133" s="51" t="s">
        <v>36</v>
      </c>
      <c r="C133" s="51" t="s">
        <v>438</v>
      </c>
      <c r="D133" s="51" t="s">
        <v>319</v>
      </c>
      <c r="E133" s="51" t="s">
        <v>265</v>
      </c>
      <c r="F133" s="51" t="s">
        <v>266</v>
      </c>
      <c r="G133" s="56">
        <v>2453.41</v>
      </c>
      <c r="H133" s="56">
        <v>645634</v>
      </c>
      <c r="I133" s="823"/>
      <c r="J133" s="823"/>
      <c r="K133" s="823"/>
      <c r="L133" s="823"/>
      <c r="M133" s="56">
        <v>2453.41</v>
      </c>
      <c r="N133" s="823"/>
      <c r="O133" s="823"/>
      <c r="P133" s="823"/>
      <c r="Q133" s="823"/>
      <c r="R133" s="823"/>
      <c r="S133" s="823"/>
      <c r="T133" s="823"/>
      <c r="U133" s="823"/>
      <c r="V133" s="823"/>
      <c r="W133" s="823"/>
      <c r="X133" s="823"/>
      <c r="Y133" s="823"/>
      <c r="Z133" s="823"/>
      <c r="AA133" s="823"/>
      <c r="AB133" s="823"/>
      <c r="AC133" s="823"/>
      <c r="AD133" s="823"/>
      <c r="AE133" s="823"/>
      <c r="AF133" s="823"/>
      <c r="AG133" s="823"/>
      <c r="AH133" s="56">
        <v>0</v>
      </c>
      <c r="AI133" s="823"/>
      <c r="AJ133" s="823"/>
      <c r="AK133" s="56">
        <v>2453.41</v>
      </c>
      <c r="AL133" s="56">
        <v>0</v>
      </c>
    </row>
    <row r="134" spans="1:38" ht="15.75" thickBot="1" x14ac:dyDescent="0.3">
      <c r="A134" s="51" t="s">
        <v>948</v>
      </c>
      <c r="B134" s="51" t="s">
        <v>36</v>
      </c>
      <c r="C134" s="51" t="s">
        <v>438</v>
      </c>
      <c r="D134" s="51" t="s">
        <v>319</v>
      </c>
      <c r="E134" s="51" t="s">
        <v>621</v>
      </c>
      <c r="F134" s="51" t="s">
        <v>266</v>
      </c>
      <c r="G134" s="56">
        <v>309.91000000000003</v>
      </c>
      <c r="H134" s="823"/>
      <c r="I134" s="823"/>
      <c r="J134" s="823"/>
      <c r="K134" s="823"/>
      <c r="L134" s="823"/>
      <c r="M134" s="823"/>
      <c r="N134" s="823"/>
      <c r="O134" s="823"/>
      <c r="P134" s="823"/>
      <c r="Q134" s="823"/>
      <c r="R134" s="823"/>
      <c r="S134" s="823"/>
      <c r="T134" s="823"/>
      <c r="U134" s="823"/>
      <c r="V134" s="823"/>
      <c r="W134" s="823"/>
      <c r="X134" s="823"/>
      <c r="Y134" s="823"/>
      <c r="Z134" s="823"/>
      <c r="AA134" s="56">
        <v>309.91000000000003</v>
      </c>
      <c r="AB134" s="823"/>
      <c r="AC134" s="823"/>
      <c r="AD134" s="823"/>
      <c r="AE134" s="823"/>
      <c r="AF134" s="823"/>
      <c r="AG134" s="823"/>
      <c r="AH134" s="56">
        <v>0</v>
      </c>
      <c r="AI134" s="823"/>
      <c r="AJ134" s="823"/>
      <c r="AK134" s="56">
        <v>309.91000000000003</v>
      </c>
      <c r="AL134" s="56">
        <v>0</v>
      </c>
    </row>
    <row r="135" spans="1:38" ht="15.75" thickBot="1" x14ac:dyDescent="0.3">
      <c r="A135" s="51" t="s">
        <v>948</v>
      </c>
      <c r="B135" s="51" t="s">
        <v>36</v>
      </c>
      <c r="C135" s="51" t="s">
        <v>438</v>
      </c>
      <c r="D135" s="51" t="s">
        <v>319</v>
      </c>
      <c r="E135" s="51" t="s">
        <v>268</v>
      </c>
      <c r="F135" s="51" t="s">
        <v>266</v>
      </c>
      <c r="G135" s="56">
        <v>1100</v>
      </c>
      <c r="H135" s="823"/>
      <c r="I135" s="823"/>
      <c r="J135" s="823"/>
      <c r="K135" s="56">
        <v>1100</v>
      </c>
      <c r="L135" s="823"/>
      <c r="M135" s="823"/>
      <c r="N135" s="823"/>
      <c r="O135" s="823"/>
      <c r="P135" s="823"/>
      <c r="Q135" s="823"/>
      <c r="R135" s="823"/>
      <c r="S135" s="823"/>
      <c r="T135" s="823"/>
      <c r="U135" s="823"/>
      <c r="V135" s="823"/>
      <c r="W135" s="823"/>
      <c r="X135" s="823"/>
      <c r="Y135" s="823"/>
      <c r="Z135" s="823"/>
      <c r="AA135" s="823"/>
      <c r="AB135" s="823"/>
      <c r="AC135" s="823"/>
      <c r="AD135" s="823"/>
      <c r="AE135" s="823"/>
      <c r="AF135" s="823"/>
      <c r="AG135" s="823"/>
      <c r="AH135" s="56">
        <v>0</v>
      </c>
      <c r="AI135" s="823"/>
      <c r="AJ135" s="823"/>
      <c r="AK135" s="56">
        <v>1100</v>
      </c>
      <c r="AL135" s="56">
        <v>0</v>
      </c>
    </row>
    <row r="136" spans="1:38" ht="15.75" thickBot="1" x14ac:dyDescent="0.3">
      <c r="A136" s="51" t="s">
        <v>948</v>
      </c>
      <c r="B136" s="51" t="s">
        <v>36</v>
      </c>
      <c r="C136" s="51" t="s">
        <v>438</v>
      </c>
      <c r="D136" s="51" t="s">
        <v>319</v>
      </c>
      <c r="E136" s="51" t="s">
        <v>914</v>
      </c>
      <c r="F136" s="51" t="s">
        <v>266</v>
      </c>
      <c r="G136" s="56">
        <v>18788.36</v>
      </c>
      <c r="H136" s="823"/>
      <c r="I136" s="823"/>
      <c r="J136" s="823"/>
      <c r="K136" s="823"/>
      <c r="L136" s="56">
        <v>18788.36</v>
      </c>
      <c r="M136" s="823"/>
      <c r="N136" s="823"/>
      <c r="O136" s="823"/>
      <c r="P136" s="823"/>
      <c r="Q136" s="823"/>
      <c r="R136" s="823"/>
      <c r="S136" s="823"/>
      <c r="T136" s="823"/>
      <c r="U136" s="823"/>
      <c r="V136" s="823"/>
      <c r="W136" s="823"/>
      <c r="X136" s="823"/>
      <c r="Y136" s="823"/>
      <c r="Z136" s="823"/>
      <c r="AA136" s="823"/>
      <c r="AB136" s="823"/>
      <c r="AC136" s="823"/>
      <c r="AD136" s="823"/>
      <c r="AE136" s="823"/>
      <c r="AF136" s="823"/>
      <c r="AG136" s="823"/>
      <c r="AH136" s="56">
        <v>0</v>
      </c>
      <c r="AI136" s="823"/>
      <c r="AJ136" s="823"/>
      <c r="AK136" s="56">
        <v>18788.36</v>
      </c>
      <c r="AL136" s="56">
        <v>0</v>
      </c>
    </row>
    <row r="137" spans="1:38" ht="15.75" thickBot="1" x14ac:dyDescent="0.3">
      <c r="A137" s="51" t="s">
        <v>948</v>
      </c>
      <c r="B137" s="51" t="s">
        <v>447</v>
      </c>
      <c r="C137" s="51" t="s">
        <v>494</v>
      </c>
      <c r="D137" s="51" t="s">
        <v>320</v>
      </c>
      <c r="E137" s="51" t="s">
        <v>109</v>
      </c>
      <c r="F137" s="51" t="s">
        <v>266</v>
      </c>
      <c r="G137" s="54">
        <v>168.73</v>
      </c>
      <c r="H137" s="822"/>
      <c r="I137" s="822"/>
      <c r="J137" s="822"/>
      <c r="K137" s="822"/>
      <c r="L137" s="822"/>
      <c r="M137" s="822"/>
      <c r="N137" s="822"/>
      <c r="O137" s="822"/>
      <c r="P137" s="822"/>
      <c r="Q137" s="54">
        <v>168.73</v>
      </c>
      <c r="R137" s="822"/>
      <c r="S137" s="822"/>
      <c r="T137" s="822"/>
      <c r="U137" s="822"/>
      <c r="V137" s="822"/>
      <c r="W137" s="822"/>
      <c r="X137" s="822"/>
      <c r="Y137" s="822"/>
      <c r="Z137" s="822"/>
      <c r="AA137" s="822"/>
      <c r="AB137" s="822"/>
      <c r="AC137" s="822"/>
      <c r="AD137" s="822"/>
      <c r="AE137" s="822"/>
      <c r="AF137" s="822"/>
      <c r="AG137" s="822"/>
      <c r="AH137" s="54">
        <v>7.39</v>
      </c>
      <c r="AI137" s="822"/>
      <c r="AJ137" s="822"/>
      <c r="AK137" s="54">
        <v>176.12</v>
      </c>
      <c r="AL137" s="54">
        <v>0</v>
      </c>
    </row>
    <row r="138" spans="1:38" ht="15.75" thickBot="1" x14ac:dyDescent="0.3">
      <c r="A138" s="51" t="s">
        <v>948</v>
      </c>
      <c r="B138" s="51" t="s">
        <v>447</v>
      </c>
      <c r="C138" s="51" t="s">
        <v>494</v>
      </c>
      <c r="D138" s="51" t="s">
        <v>320</v>
      </c>
      <c r="E138" s="51" t="s">
        <v>356</v>
      </c>
      <c r="F138" s="51" t="s">
        <v>266</v>
      </c>
      <c r="G138" s="822"/>
      <c r="H138" s="822"/>
      <c r="I138" s="822"/>
      <c r="J138" s="822"/>
      <c r="K138" s="822"/>
      <c r="L138" s="822"/>
      <c r="M138" s="822"/>
      <c r="N138" s="822"/>
      <c r="O138" s="822"/>
      <c r="P138" s="822"/>
      <c r="Q138" s="822"/>
      <c r="R138" s="822"/>
      <c r="S138" s="822"/>
      <c r="T138" s="822"/>
      <c r="U138" s="822"/>
      <c r="V138" s="822"/>
      <c r="W138" s="822"/>
      <c r="X138" s="822"/>
      <c r="Y138" s="822"/>
      <c r="Z138" s="822"/>
      <c r="AA138" s="822"/>
      <c r="AB138" s="822"/>
      <c r="AC138" s="822"/>
      <c r="AD138" s="822"/>
      <c r="AE138" s="822"/>
      <c r="AF138" s="822"/>
      <c r="AG138" s="54">
        <v>449.59</v>
      </c>
      <c r="AH138" s="54">
        <v>10.45</v>
      </c>
      <c r="AI138" s="822"/>
      <c r="AJ138" s="822"/>
      <c r="AK138" s="54">
        <v>460.04</v>
      </c>
      <c r="AL138" s="54">
        <v>0</v>
      </c>
    </row>
    <row r="139" spans="1:38" ht="15.75" thickBot="1" x14ac:dyDescent="0.3">
      <c r="A139" s="51" t="s">
        <v>948</v>
      </c>
      <c r="B139" s="51" t="s">
        <v>447</v>
      </c>
      <c r="C139" s="51" t="s">
        <v>494</v>
      </c>
      <c r="D139" s="51" t="s">
        <v>320</v>
      </c>
      <c r="E139" s="51" t="s">
        <v>357</v>
      </c>
      <c r="F139" s="51" t="s">
        <v>266</v>
      </c>
      <c r="G139" s="54">
        <v>-12.58</v>
      </c>
      <c r="H139" s="822"/>
      <c r="I139" s="822"/>
      <c r="J139" s="822"/>
      <c r="K139" s="822"/>
      <c r="L139" s="822"/>
      <c r="M139" s="822"/>
      <c r="N139" s="822"/>
      <c r="O139" s="822"/>
      <c r="P139" s="822"/>
      <c r="Q139" s="822"/>
      <c r="R139" s="822"/>
      <c r="S139" s="54">
        <v>-12.58</v>
      </c>
      <c r="T139" s="822"/>
      <c r="U139" s="822"/>
      <c r="V139" s="822"/>
      <c r="W139" s="822"/>
      <c r="X139" s="822"/>
      <c r="Y139" s="822"/>
      <c r="Z139" s="822"/>
      <c r="AA139" s="822"/>
      <c r="AB139" s="822"/>
      <c r="AC139" s="822"/>
      <c r="AD139" s="822"/>
      <c r="AE139" s="822"/>
      <c r="AF139" s="822"/>
      <c r="AG139" s="822"/>
      <c r="AH139" s="54">
        <v>-0.38</v>
      </c>
      <c r="AI139" s="822"/>
      <c r="AJ139" s="822"/>
      <c r="AK139" s="54">
        <v>-12.96</v>
      </c>
      <c r="AL139" s="54">
        <v>0</v>
      </c>
    </row>
    <row r="140" spans="1:38" ht="15.75" thickBot="1" x14ac:dyDescent="0.3">
      <c r="A140" s="51" t="s">
        <v>948</v>
      </c>
      <c r="B140" s="51" t="s">
        <v>447</v>
      </c>
      <c r="C140" s="51" t="s">
        <v>494</v>
      </c>
      <c r="D140" s="51" t="s">
        <v>320</v>
      </c>
      <c r="E140" s="51" t="s">
        <v>272</v>
      </c>
      <c r="F140" s="51" t="s">
        <v>266</v>
      </c>
      <c r="G140" s="54">
        <v>11250</v>
      </c>
      <c r="H140" s="822"/>
      <c r="I140" s="822"/>
      <c r="J140" s="822"/>
      <c r="K140" s="54">
        <v>11250</v>
      </c>
      <c r="L140" s="822"/>
      <c r="M140" s="822"/>
      <c r="N140" s="822"/>
      <c r="O140" s="822"/>
      <c r="P140" s="822"/>
      <c r="Q140" s="822"/>
      <c r="R140" s="822"/>
      <c r="S140" s="822"/>
      <c r="T140" s="822"/>
      <c r="U140" s="822"/>
      <c r="V140" s="822"/>
      <c r="W140" s="822"/>
      <c r="X140" s="822"/>
      <c r="Y140" s="822"/>
      <c r="Z140" s="822"/>
      <c r="AA140" s="822"/>
      <c r="AB140" s="822"/>
      <c r="AC140" s="822"/>
      <c r="AD140" s="822"/>
      <c r="AE140" s="822"/>
      <c r="AF140" s="822"/>
      <c r="AG140" s="822"/>
      <c r="AH140" s="54">
        <v>499.07</v>
      </c>
      <c r="AI140" s="822"/>
      <c r="AJ140" s="822"/>
      <c r="AK140" s="54">
        <v>11749.07</v>
      </c>
      <c r="AL140" s="54">
        <v>0</v>
      </c>
    </row>
    <row r="141" spans="1:38" ht="15.75" thickBot="1" x14ac:dyDescent="0.3">
      <c r="A141" s="51" t="s">
        <v>948</v>
      </c>
      <c r="B141" s="51" t="s">
        <v>447</v>
      </c>
      <c r="C141" s="51" t="s">
        <v>494</v>
      </c>
      <c r="D141" s="51" t="s">
        <v>320</v>
      </c>
      <c r="E141" s="51" t="s">
        <v>265</v>
      </c>
      <c r="F141" s="51" t="s">
        <v>266</v>
      </c>
      <c r="G141" s="54">
        <v>3562.25</v>
      </c>
      <c r="H141" s="54">
        <v>937435</v>
      </c>
      <c r="I141" s="822"/>
      <c r="J141" s="822"/>
      <c r="K141" s="822"/>
      <c r="L141" s="822"/>
      <c r="M141" s="54">
        <v>3562.25</v>
      </c>
      <c r="N141" s="822"/>
      <c r="O141" s="822"/>
      <c r="P141" s="822"/>
      <c r="Q141" s="822"/>
      <c r="R141" s="822"/>
      <c r="S141" s="822"/>
      <c r="T141" s="822"/>
      <c r="U141" s="822"/>
      <c r="V141" s="822"/>
      <c r="W141" s="822"/>
      <c r="X141" s="822"/>
      <c r="Y141" s="822"/>
      <c r="Z141" s="822"/>
      <c r="AA141" s="822"/>
      <c r="AB141" s="822"/>
      <c r="AC141" s="822"/>
      <c r="AD141" s="822"/>
      <c r="AE141" s="822"/>
      <c r="AF141" s="822"/>
      <c r="AG141" s="822"/>
      <c r="AH141" s="54">
        <v>156.38</v>
      </c>
      <c r="AI141" s="822"/>
      <c r="AJ141" s="822"/>
      <c r="AK141" s="54">
        <v>3718.63</v>
      </c>
      <c r="AL141" s="54">
        <v>0</v>
      </c>
    </row>
    <row r="142" spans="1:38" ht="15.75" thickBot="1" x14ac:dyDescent="0.3">
      <c r="A142" s="51" t="s">
        <v>948</v>
      </c>
      <c r="B142" s="51" t="s">
        <v>447</v>
      </c>
      <c r="C142" s="51" t="s">
        <v>494</v>
      </c>
      <c r="D142" s="51" t="s">
        <v>320</v>
      </c>
      <c r="E142" s="51" t="s">
        <v>621</v>
      </c>
      <c r="F142" s="51" t="s">
        <v>266</v>
      </c>
      <c r="G142" s="54">
        <v>449.96</v>
      </c>
      <c r="H142" s="822"/>
      <c r="I142" s="822"/>
      <c r="J142" s="822"/>
      <c r="K142" s="822"/>
      <c r="L142" s="822"/>
      <c r="M142" s="822"/>
      <c r="N142" s="822"/>
      <c r="O142" s="822"/>
      <c r="P142" s="822"/>
      <c r="Q142" s="822"/>
      <c r="R142" s="822"/>
      <c r="S142" s="822"/>
      <c r="T142" s="822"/>
      <c r="U142" s="822"/>
      <c r="V142" s="822"/>
      <c r="W142" s="822"/>
      <c r="X142" s="822"/>
      <c r="Y142" s="822"/>
      <c r="Z142" s="822"/>
      <c r="AA142" s="54">
        <v>449.96</v>
      </c>
      <c r="AB142" s="822"/>
      <c r="AC142" s="822"/>
      <c r="AD142" s="822"/>
      <c r="AE142" s="822"/>
      <c r="AF142" s="822"/>
      <c r="AG142" s="822"/>
      <c r="AH142" s="54">
        <v>19.760000000000002</v>
      </c>
      <c r="AI142" s="822"/>
      <c r="AJ142" s="822"/>
      <c r="AK142" s="54">
        <v>469.72</v>
      </c>
      <c r="AL142" s="54">
        <v>0</v>
      </c>
    </row>
    <row r="143" spans="1:38" ht="15.75" thickBot="1" x14ac:dyDescent="0.3">
      <c r="A143" s="51" t="s">
        <v>948</v>
      </c>
      <c r="B143" s="51" t="s">
        <v>447</v>
      </c>
      <c r="C143" s="51" t="s">
        <v>494</v>
      </c>
      <c r="D143" s="51" t="s">
        <v>320</v>
      </c>
      <c r="E143" s="51" t="s">
        <v>325</v>
      </c>
      <c r="F143" s="51" t="s">
        <v>266</v>
      </c>
      <c r="G143" s="54">
        <v>41.58</v>
      </c>
      <c r="H143" s="822"/>
      <c r="I143" s="822"/>
      <c r="J143" s="822"/>
      <c r="K143" s="822"/>
      <c r="L143" s="822"/>
      <c r="M143" s="822"/>
      <c r="N143" s="54">
        <v>41.58</v>
      </c>
      <c r="O143" s="822"/>
      <c r="P143" s="822"/>
      <c r="Q143" s="822"/>
      <c r="R143" s="822"/>
      <c r="S143" s="822"/>
      <c r="T143" s="822"/>
      <c r="U143" s="822"/>
      <c r="V143" s="822"/>
      <c r="W143" s="822"/>
      <c r="X143" s="822"/>
      <c r="Y143" s="822"/>
      <c r="Z143" s="822"/>
      <c r="AA143" s="822"/>
      <c r="AB143" s="822"/>
      <c r="AC143" s="822"/>
      <c r="AD143" s="822"/>
      <c r="AE143" s="822"/>
      <c r="AF143" s="822"/>
      <c r="AG143" s="822"/>
      <c r="AH143" s="54">
        <v>0.61</v>
      </c>
      <c r="AI143" s="822"/>
      <c r="AJ143" s="822"/>
      <c r="AK143" s="54">
        <v>42.19</v>
      </c>
      <c r="AL143" s="54">
        <v>0</v>
      </c>
    </row>
    <row r="144" spans="1:38" ht="15.75" thickBot="1" x14ac:dyDescent="0.3">
      <c r="A144" s="51" t="s">
        <v>948</v>
      </c>
      <c r="B144" s="51" t="s">
        <v>447</v>
      </c>
      <c r="C144" s="51" t="s">
        <v>494</v>
      </c>
      <c r="D144" s="51" t="s">
        <v>320</v>
      </c>
      <c r="E144" s="51" t="s">
        <v>268</v>
      </c>
      <c r="F144" s="51" t="s">
        <v>266</v>
      </c>
      <c r="G144" s="54">
        <v>8250</v>
      </c>
      <c r="H144" s="822"/>
      <c r="I144" s="822"/>
      <c r="J144" s="822"/>
      <c r="K144" s="54">
        <v>8250</v>
      </c>
      <c r="L144" s="822"/>
      <c r="M144" s="822"/>
      <c r="N144" s="822"/>
      <c r="O144" s="822"/>
      <c r="P144" s="822"/>
      <c r="Q144" s="822"/>
      <c r="R144" s="822"/>
      <c r="S144" s="822"/>
      <c r="T144" s="822"/>
      <c r="U144" s="822"/>
      <c r="V144" s="822"/>
      <c r="W144" s="822"/>
      <c r="X144" s="822"/>
      <c r="Y144" s="822"/>
      <c r="Z144" s="822"/>
      <c r="AA144" s="822"/>
      <c r="AB144" s="822"/>
      <c r="AC144" s="822"/>
      <c r="AD144" s="822"/>
      <c r="AE144" s="822"/>
      <c r="AF144" s="822"/>
      <c r="AG144" s="822"/>
      <c r="AH144" s="54">
        <v>365.97</v>
      </c>
      <c r="AI144" s="822"/>
      <c r="AJ144" s="822"/>
      <c r="AK144" s="54">
        <v>8615.9699999999993</v>
      </c>
      <c r="AL144" s="54">
        <v>0</v>
      </c>
    </row>
    <row r="145" spans="1:38" ht="15.75" thickBot="1" x14ac:dyDescent="0.3">
      <c r="A145" s="51" t="s">
        <v>948</v>
      </c>
      <c r="B145" s="51" t="s">
        <v>447</v>
      </c>
      <c r="C145" s="51" t="s">
        <v>494</v>
      </c>
      <c r="D145" s="51" t="s">
        <v>320</v>
      </c>
      <c r="E145" s="51" t="s">
        <v>914</v>
      </c>
      <c r="F145" s="51" t="s">
        <v>266</v>
      </c>
      <c r="G145" s="54">
        <v>25772.25</v>
      </c>
      <c r="H145" s="822"/>
      <c r="I145" s="822"/>
      <c r="J145" s="822"/>
      <c r="K145" s="822"/>
      <c r="L145" s="54">
        <v>25772.25</v>
      </c>
      <c r="M145" s="822"/>
      <c r="N145" s="822"/>
      <c r="O145" s="822"/>
      <c r="P145" s="822"/>
      <c r="Q145" s="822"/>
      <c r="R145" s="822"/>
      <c r="S145" s="822"/>
      <c r="T145" s="822"/>
      <c r="U145" s="822"/>
      <c r="V145" s="822"/>
      <c r="W145" s="822"/>
      <c r="X145" s="822"/>
      <c r="Y145" s="822"/>
      <c r="Z145" s="822"/>
      <c r="AA145" s="822"/>
      <c r="AB145" s="822"/>
      <c r="AC145" s="822"/>
      <c r="AD145" s="822"/>
      <c r="AE145" s="822"/>
      <c r="AF145" s="822"/>
      <c r="AG145" s="822"/>
      <c r="AH145" s="54">
        <v>1069.47</v>
      </c>
      <c r="AI145" s="822"/>
      <c r="AJ145" s="822"/>
      <c r="AK145" s="54">
        <v>26841.72</v>
      </c>
      <c r="AL145" s="54">
        <v>0</v>
      </c>
    </row>
    <row r="146" spans="1:38" ht="23.25" thickBot="1" x14ac:dyDescent="0.3">
      <c r="A146" s="51" t="s">
        <v>948</v>
      </c>
      <c r="B146" s="51" t="s">
        <v>38</v>
      </c>
      <c r="C146" s="51" t="s">
        <v>39</v>
      </c>
      <c r="D146" s="51" t="s">
        <v>320</v>
      </c>
      <c r="E146" s="51" t="s">
        <v>269</v>
      </c>
      <c r="F146" s="51" t="s">
        <v>915</v>
      </c>
      <c r="G146" s="54">
        <v>12610.13</v>
      </c>
      <c r="H146" s="822"/>
      <c r="I146" s="822"/>
      <c r="J146" s="822"/>
      <c r="K146" s="822"/>
      <c r="L146" s="822"/>
      <c r="M146" s="822"/>
      <c r="N146" s="822"/>
      <c r="O146" s="822"/>
      <c r="P146" s="822"/>
      <c r="Q146" s="822"/>
      <c r="R146" s="822"/>
      <c r="S146" s="822"/>
      <c r="T146" s="54">
        <v>12610.13</v>
      </c>
      <c r="U146" s="822"/>
      <c r="V146" s="822"/>
      <c r="W146" s="822"/>
      <c r="X146" s="822"/>
      <c r="Y146" s="822"/>
      <c r="Z146" s="822"/>
      <c r="AA146" s="822"/>
      <c r="AB146" s="822"/>
      <c r="AC146" s="822"/>
      <c r="AD146" s="822"/>
      <c r="AE146" s="822"/>
      <c r="AF146" s="822"/>
      <c r="AG146" s="822"/>
      <c r="AH146" s="54">
        <v>0</v>
      </c>
      <c r="AI146" s="822"/>
      <c r="AJ146" s="822"/>
      <c r="AK146" s="54">
        <v>12610.13</v>
      </c>
      <c r="AL146" s="54">
        <v>0</v>
      </c>
    </row>
    <row r="147" spans="1:38" ht="23.25" thickBot="1" x14ac:dyDescent="0.3">
      <c r="A147" s="51" t="s">
        <v>948</v>
      </c>
      <c r="B147" s="51" t="s">
        <v>38</v>
      </c>
      <c r="C147" s="51" t="s">
        <v>39</v>
      </c>
      <c r="D147" s="51" t="s">
        <v>320</v>
      </c>
      <c r="E147" s="51" t="s">
        <v>271</v>
      </c>
      <c r="F147" s="51" t="s">
        <v>915</v>
      </c>
      <c r="G147" s="54">
        <v>7276.39</v>
      </c>
      <c r="H147" s="822"/>
      <c r="I147" s="822"/>
      <c r="J147" s="822"/>
      <c r="K147" s="822"/>
      <c r="L147" s="822"/>
      <c r="M147" s="822"/>
      <c r="N147" s="822"/>
      <c r="O147" s="822"/>
      <c r="P147" s="822"/>
      <c r="Q147" s="822"/>
      <c r="R147" s="822"/>
      <c r="S147" s="822"/>
      <c r="T147" s="822"/>
      <c r="U147" s="54">
        <v>7276.39</v>
      </c>
      <c r="V147" s="822"/>
      <c r="W147" s="822"/>
      <c r="X147" s="822"/>
      <c r="Y147" s="822"/>
      <c r="Z147" s="822"/>
      <c r="AA147" s="822"/>
      <c r="AB147" s="822"/>
      <c r="AC147" s="822"/>
      <c r="AD147" s="822"/>
      <c r="AE147" s="822"/>
      <c r="AF147" s="822"/>
      <c r="AG147" s="822"/>
      <c r="AH147" s="54">
        <v>0</v>
      </c>
      <c r="AI147" s="822"/>
      <c r="AJ147" s="822"/>
      <c r="AK147" s="54">
        <v>7276.39</v>
      </c>
      <c r="AL147" s="54">
        <v>0</v>
      </c>
    </row>
    <row r="148" spans="1:38" ht="15.75" thickBot="1" x14ac:dyDescent="0.3">
      <c r="A148" s="51" t="s">
        <v>948</v>
      </c>
      <c r="B148" s="51" t="s">
        <v>38</v>
      </c>
      <c r="C148" s="51" t="s">
        <v>39</v>
      </c>
      <c r="D148" s="51" t="s">
        <v>320</v>
      </c>
      <c r="E148" s="51" t="s">
        <v>268</v>
      </c>
      <c r="F148" s="51" t="s">
        <v>266</v>
      </c>
      <c r="G148" s="54">
        <v>5325</v>
      </c>
      <c r="H148" s="822"/>
      <c r="I148" s="822"/>
      <c r="J148" s="822"/>
      <c r="K148" s="54">
        <v>5325</v>
      </c>
      <c r="L148" s="822"/>
      <c r="M148" s="822"/>
      <c r="N148" s="822"/>
      <c r="O148" s="822"/>
      <c r="P148" s="822"/>
      <c r="Q148" s="822"/>
      <c r="R148" s="822"/>
      <c r="S148" s="822"/>
      <c r="T148" s="822"/>
      <c r="U148" s="822"/>
      <c r="V148" s="822"/>
      <c r="W148" s="822"/>
      <c r="X148" s="822"/>
      <c r="Y148" s="822"/>
      <c r="Z148" s="822"/>
      <c r="AA148" s="822"/>
      <c r="AB148" s="822"/>
      <c r="AC148" s="822"/>
      <c r="AD148" s="822"/>
      <c r="AE148" s="822"/>
      <c r="AF148" s="822"/>
      <c r="AG148" s="822"/>
      <c r="AH148" s="54">
        <v>0</v>
      </c>
      <c r="AI148" s="822"/>
      <c r="AJ148" s="822"/>
      <c r="AK148" s="54">
        <v>5325</v>
      </c>
      <c r="AL148" s="54">
        <v>0</v>
      </c>
    </row>
    <row r="149" spans="1:38" ht="15.75" thickBot="1" x14ac:dyDescent="0.3">
      <c r="A149" s="51" t="s">
        <v>948</v>
      </c>
      <c r="B149" s="51" t="s">
        <v>38</v>
      </c>
      <c r="C149" s="51" t="s">
        <v>39</v>
      </c>
      <c r="D149" s="51" t="s">
        <v>320</v>
      </c>
      <c r="E149" s="51" t="s">
        <v>329</v>
      </c>
      <c r="F149" s="51" t="s">
        <v>266</v>
      </c>
      <c r="G149" s="54">
        <v>9994.2800000000007</v>
      </c>
      <c r="H149" s="822"/>
      <c r="I149" s="822"/>
      <c r="J149" s="822"/>
      <c r="K149" s="822"/>
      <c r="L149" s="822"/>
      <c r="M149" s="822"/>
      <c r="N149" s="822"/>
      <c r="O149" s="822"/>
      <c r="P149" s="822"/>
      <c r="Q149" s="822"/>
      <c r="R149" s="822"/>
      <c r="S149" s="822"/>
      <c r="T149" s="822"/>
      <c r="U149" s="822"/>
      <c r="V149" s="822"/>
      <c r="W149" s="54">
        <v>9994.2800000000007</v>
      </c>
      <c r="X149" s="822"/>
      <c r="Y149" s="822"/>
      <c r="Z149" s="822"/>
      <c r="AA149" s="822"/>
      <c r="AB149" s="822"/>
      <c r="AC149" s="822"/>
      <c r="AD149" s="822"/>
      <c r="AE149" s="822"/>
      <c r="AF149" s="822"/>
      <c r="AG149" s="822"/>
      <c r="AH149" s="54">
        <v>0</v>
      </c>
      <c r="AI149" s="822"/>
      <c r="AJ149" s="822"/>
      <c r="AK149" s="54">
        <v>9994.2800000000007</v>
      </c>
      <c r="AL149" s="54">
        <v>0</v>
      </c>
    </row>
    <row r="150" spans="1:38" ht="15.75" thickBot="1" x14ac:dyDescent="0.3">
      <c r="A150" s="51" t="s">
        <v>948</v>
      </c>
      <c r="B150" s="51" t="s">
        <v>38</v>
      </c>
      <c r="C150" s="51" t="s">
        <v>39</v>
      </c>
      <c r="D150" s="51" t="s">
        <v>320</v>
      </c>
      <c r="E150" s="51" t="s">
        <v>330</v>
      </c>
      <c r="F150" s="51" t="s">
        <v>266</v>
      </c>
      <c r="G150" s="54">
        <v>23338.41</v>
      </c>
      <c r="H150" s="822"/>
      <c r="I150" s="822"/>
      <c r="J150" s="822"/>
      <c r="K150" s="822"/>
      <c r="L150" s="822"/>
      <c r="M150" s="822"/>
      <c r="N150" s="822"/>
      <c r="O150" s="822"/>
      <c r="P150" s="822"/>
      <c r="Q150" s="822"/>
      <c r="R150" s="822"/>
      <c r="S150" s="822"/>
      <c r="T150" s="822"/>
      <c r="U150" s="822"/>
      <c r="V150" s="822"/>
      <c r="W150" s="822"/>
      <c r="X150" s="54">
        <v>23338.41</v>
      </c>
      <c r="Y150" s="822"/>
      <c r="Z150" s="822"/>
      <c r="AA150" s="822"/>
      <c r="AB150" s="822"/>
      <c r="AC150" s="822"/>
      <c r="AD150" s="822"/>
      <c r="AE150" s="822"/>
      <c r="AF150" s="822"/>
      <c r="AG150" s="822"/>
      <c r="AH150" s="54">
        <v>0</v>
      </c>
      <c r="AI150" s="822"/>
      <c r="AJ150" s="822"/>
      <c r="AK150" s="54">
        <v>23338.41</v>
      </c>
      <c r="AL150" s="54">
        <v>0</v>
      </c>
    </row>
    <row r="151" spans="1:38" ht="15.75" thickBot="1" x14ac:dyDescent="0.3">
      <c r="A151" s="51" t="s">
        <v>951</v>
      </c>
      <c r="B151" s="51" t="s">
        <v>34</v>
      </c>
      <c r="C151" s="51" t="s">
        <v>437</v>
      </c>
      <c r="D151" s="51" t="s">
        <v>318</v>
      </c>
      <c r="E151" s="51" t="s">
        <v>109</v>
      </c>
      <c r="F151" s="51" t="s">
        <v>266</v>
      </c>
      <c r="G151" s="54">
        <v>168.71</v>
      </c>
      <c r="H151" s="822"/>
      <c r="I151" s="822"/>
      <c r="J151" s="822"/>
      <c r="K151" s="822"/>
      <c r="L151" s="822"/>
      <c r="M151" s="822"/>
      <c r="N151" s="822"/>
      <c r="O151" s="822"/>
      <c r="P151" s="822"/>
      <c r="Q151" s="54">
        <v>168.71</v>
      </c>
      <c r="R151" s="822"/>
      <c r="S151" s="822"/>
      <c r="T151" s="822"/>
      <c r="U151" s="822"/>
      <c r="V151" s="822"/>
      <c r="W151" s="822"/>
      <c r="X151" s="822"/>
      <c r="Y151" s="822"/>
      <c r="Z151" s="822"/>
      <c r="AA151" s="822"/>
      <c r="AB151" s="822"/>
      <c r="AC151" s="822"/>
      <c r="AD151" s="822"/>
      <c r="AE151" s="822"/>
      <c r="AF151" s="822"/>
      <c r="AG151" s="822"/>
      <c r="AH151" s="54">
        <v>0.48</v>
      </c>
      <c r="AI151" s="822"/>
      <c r="AJ151" s="822"/>
      <c r="AK151" s="54">
        <v>169.19</v>
      </c>
      <c r="AL151" s="54">
        <v>0</v>
      </c>
    </row>
    <row r="152" spans="1:38" ht="15.75" thickBot="1" x14ac:dyDescent="0.3">
      <c r="A152" s="51" t="s">
        <v>951</v>
      </c>
      <c r="B152" s="51" t="s">
        <v>34</v>
      </c>
      <c r="C152" s="51" t="s">
        <v>437</v>
      </c>
      <c r="D152" s="51" t="s">
        <v>318</v>
      </c>
      <c r="E152" s="51" t="s">
        <v>272</v>
      </c>
      <c r="F152" s="51" t="s">
        <v>266</v>
      </c>
      <c r="G152" s="54">
        <v>5250</v>
      </c>
      <c r="H152" s="822"/>
      <c r="I152" s="822"/>
      <c r="J152" s="822"/>
      <c r="K152" s="54">
        <v>5250</v>
      </c>
      <c r="L152" s="822"/>
      <c r="M152" s="822"/>
      <c r="N152" s="822"/>
      <c r="O152" s="822"/>
      <c r="P152" s="822"/>
      <c r="Q152" s="822"/>
      <c r="R152" s="822"/>
      <c r="S152" s="822"/>
      <c r="T152" s="822"/>
      <c r="U152" s="822"/>
      <c r="V152" s="822"/>
      <c r="W152" s="822"/>
      <c r="X152" s="822"/>
      <c r="Y152" s="822"/>
      <c r="Z152" s="822"/>
      <c r="AA152" s="822"/>
      <c r="AB152" s="822"/>
      <c r="AC152" s="822"/>
      <c r="AD152" s="822"/>
      <c r="AE152" s="822"/>
      <c r="AF152" s="822"/>
      <c r="AG152" s="822"/>
      <c r="AH152" s="54">
        <v>45</v>
      </c>
      <c r="AI152" s="822"/>
      <c r="AJ152" s="822"/>
      <c r="AK152" s="54">
        <v>5295</v>
      </c>
      <c r="AL152" s="54">
        <v>0</v>
      </c>
    </row>
    <row r="153" spans="1:38" ht="15.75" thickBot="1" x14ac:dyDescent="0.3">
      <c r="A153" s="51" t="s">
        <v>951</v>
      </c>
      <c r="B153" s="51" t="s">
        <v>34</v>
      </c>
      <c r="C153" s="51" t="s">
        <v>437</v>
      </c>
      <c r="D153" s="51" t="s">
        <v>318</v>
      </c>
      <c r="E153" s="51" t="s">
        <v>265</v>
      </c>
      <c r="F153" s="51" t="s">
        <v>266</v>
      </c>
      <c r="G153" s="54">
        <v>1335.58</v>
      </c>
      <c r="H153" s="54">
        <v>351466</v>
      </c>
      <c r="I153" s="822"/>
      <c r="J153" s="822"/>
      <c r="K153" s="822"/>
      <c r="L153" s="822"/>
      <c r="M153" s="54">
        <v>1335.58</v>
      </c>
      <c r="N153" s="822"/>
      <c r="O153" s="822"/>
      <c r="P153" s="822"/>
      <c r="Q153" s="822"/>
      <c r="R153" s="822"/>
      <c r="S153" s="822"/>
      <c r="T153" s="822"/>
      <c r="U153" s="822"/>
      <c r="V153" s="822"/>
      <c r="W153" s="822"/>
      <c r="X153" s="822"/>
      <c r="Y153" s="822"/>
      <c r="Z153" s="822"/>
      <c r="AA153" s="822"/>
      <c r="AB153" s="822"/>
      <c r="AC153" s="822"/>
      <c r="AD153" s="822"/>
      <c r="AE153" s="822"/>
      <c r="AF153" s="822"/>
      <c r="AG153" s="822"/>
      <c r="AH153" s="54">
        <v>3.8</v>
      </c>
      <c r="AI153" s="822"/>
      <c r="AJ153" s="822"/>
      <c r="AK153" s="54">
        <v>1339.38</v>
      </c>
      <c r="AL153" s="54">
        <v>0</v>
      </c>
    </row>
    <row r="154" spans="1:38" ht="15.75" thickBot="1" x14ac:dyDescent="0.3">
      <c r="A154" s="51" t="s">
        <v>951</v>
      </c>
      <c r="B154" s="51" t="s">
        <v>34</v>
      </c>
      <c r="C154" s="51" t="s">
        <v>437</v>
      </c>
      <c r="D154" s="51" t="s">
        <v>318</v>
      </c>
      <c r="E154" s="51" t="s">
        <v>621</v>
      </c>
      <c r="F154" s="51" t="s">
        <v>266</v>
      </c>
      <c r="G154" s="54">
        <v>168.71</v>
      </c>
      <c r="H154" s="822"/>
      <c r="I154" s="822"/>
      <c r="J154" s="822"/>
      <c r="K154" s="822"/>
      <c r="L154" s="822"/>
      <c r="M154" s="822"/>
      <c r="N154" s="822"/>
      <c r="O154" s="822"/>
      <c r="P154" s="822"/>
      <c r="Q154" s="822"/>
      <c r="R154" s="822"/>
      <c r="S154" s="822"/>
      <c r="T154" s="822"/>
      <c r="U154" s="822"/>
      <c r="V154" s="822"/>
      <c r="W154" s="822"/>
      <c r="X154" s="822"/>
      <c r="Y154" s="822"/>
      <c r="Z154" s="822"/>
      <c r="AA154" s="54">
        <v>168.71</v>
      </c>
      <c r="AB154" s="822"/>
      <c r="AC154" s="822"/>
      <c r="AD154" s="822"/>
      <c r="AE154" s="822"/>
      <c r="AF154" s="822"/>
      <c r="AG154" s="822"/>
      <c r="AH154" s="54">
        <v>0.48</v>
      </c>
      <c r="AI154" s="822"/>
      <c r="AJ154" s="822"/>
      <c r="AK154" s="54">
        <v>169.19</v>
      </c>
      <c r="AL154" s="54">
        <v>0</v>
      </c>
    </row>
    <row r="155" spans="1:38" ht="15.75" thickBot="1" x14ac:dyDescent="0.3">
      <c r="A155" s="51" t="s">
        <v>951</v>
      </c>
      <c r="B155" s="51" t="s">
        <v>34</v>
      </c>
      <c r="C155" s="51" t="s">
        <v>437</v>
      </c>
      <c r="D155" s="51" t="s">
        <v>318</v>
      </c>
      <c r="E155" s="51" t="s">
        <v>325</v>
      </c>
      <c r="F155" s="51" t="s">
        <v>266</v>
      </c>
      <c r="G155" s="54">
        <v>0.64</v>
      </c>
      <c r="H155" s="822"/>
      <c r="I155" s="822"/>
      <c r="J155" s="822"/>
      <c r="K155" s="822"/>
      <c r="L155" s="822"/>
      <c r="M155" s="822"/>
      <c r="N155" s="54">
        <v>0.64</v>
      </c>
      <c r="O155" s="822"/>
      <c r="P155" s="822"/>
      <c r="Q155" s="822"/>
      <c r="R155" s="822"/>
      <c r="S155" s="822"/>
      <c r="T155" s="822"/>
      <c r="U155" s="822"/>
      <c r="V155" s="822"/>
      <c r="W155" s="822"/>
      <c r="X155" s="822"/>
      <c r="Y155" s="822"/>
      <c r="Z155" s="822"/>
      <c r="AA155" s="822"/>
      <c r="AB155" s="822"/>
      <c r="AC155" s="822"/>
      <c r="AD155" s="822"/>
      <c r="AE155" s="822"/>
      <c r="AF155" s="822"/>
      <c r="AG155" s="822"/>
      <c r="AH155" s="54">
        <v>0.04</v>
      </c>
      <c r="AI155" s="822"/>
      <c r="AJ155" s="822"/>
      <c r="AK155" s="54">
        <v>0.68</v>
      </c>
      <c r="AL155" s="54">
        <v>0</v>
      </c>
    </row>
    <row r="156" spans="1:38" ht="15.75" thickBot="1" x14ac:dyDescent="0.3">
      <c r="A156" s="51" t="s">
        <v>951</v>
      </c>
      <c r="B156" s="51" t="s">
        <v>34</v>
      </c>
      <c r="C156" s="51" t="s">
        <v>437</v>
      </c>
      <c r="D156" s="51" t="s">
        <v>318</v>
      </c>
      <c r="E156" s="51" t="s">
        <v>268</v>
      </c>
      <c r="F156" s="51" t="s">
        <v>266</v>
      </c>
      <c r="G156" s="54">
        <v>3850</v>
      </c>
      <c r="H156" s="822"/>
      <c r="I156" s="822"/>
      <c r="J156" s="822"/>
      <c r="K156" s="54">
        <v>3850</v>
      </c>
      <c r="L156" s="822"/>
      <c r="M156" s="822"/>
      <c r="N156" s="822"/>
      <c r="O156" s="822"/>
      <c r="P156" s="822"/>
      <c r="Q156" s="822"/>
      <c r="R156" s="822"/>
      <c r="S156" s="822"/>
      <c r="T156" s="822"/>
      <c r="U156" s="822"/>
      <c r="V156" s="822"/>
      <c r="W156" s="822"/>
      <c r="X156" s="822"/>
      <c r="Y156" s="822"/>
      <c r="Z156" s="822"/>
      <c r="AA156" s="822"/>
      <c r="AB156" s="822"/>
      <c r="AC156" s="822"/>
      <c r="AD156" s="822"/>
      <c r="AE156" s="822"/>
      <c r="AF156" s="822"/>
      <c r="AG156" s="822"/>
      <c r="AH156" s="54">
        <v>33</v>
      </c>
      <c r="AI156" s="822"/>
      <c r="AJ156" s="822"/>
      <c r="AK156" s="54">
        <v>3883</v>
      </c>
      <c r="AL156" s="54">
        <v>0</v>
      </c>
    </row>
    <row r="157" spans="1:38" ht="15.75" thickBot="1" x14ac:dyDescent="0.3">
      <c r="A157" s="51" t="s">
        <v>951</v>
      </c>
      <c r="B157" s="51" t="s">
        <v>34</v>
      </c>
      <c r="C157" s="51" t="s">
        <v>437</v>
      </c>
      <c r="D157" s="51" t="s">
        <v>318</v>
      </c>
      <c r="E157" s="51" t="s">
        <v>914</v>
      </c>
      <c r="F157" s="51" t="s">
        <v>266</v>
      </c>
      <c r="G157" s="54">
        <v>10099.32</v>
      </c>
      <c r="H157" s="822"/>
      <c r="I157" s="822"/>
      <c r="J157" s="822"/>
      <c r="K157" s="822"/>
      <c r="L157" s="54">
        <v>10099.32</v>
      </c>
      <c r="M157" s="822"/>
      <c r="N157" s="822"/>
      <c r="O157" s="822"/>
      <c r="P157" s="822"/>
      <c r="Q157" s="822"/>
      <c r="R157" s="822"/>
      <c r="S157" s="822"/>
      <c r="T157" s="822"/>
      <c r="U157" s="822"/>
      <c r="V157" s="822"/>
      <c r="W157" s="822"/>
      <c r="X157" s="822"/>
      <c r="Y157" s="822"/>
      <c r="Z157" s="822"/>
      <c r="AA157" s="822"/>
      <c r="AB157" s="822"/>
      <c r="AC157" s="822"/>
      <c r="AD157" s="822"/>
      <c r="AE157" s="822"/>
      <c r="AF157" s="822"/>
      <c r="AG157" s="822"/>
      <c r="AH157" s="54">
        <v>55.39</v>
      </c>
      <c r="AI157" s="822"/>
      <c r="AJ157" s="822"/>
      <c r="AK157" s="54">
        <v>10154.709999999999</v>
      </c>
      <c r="AL157" s="54">
        <v>0</v>
      </c>
    </row>
    <row r="158" spans="1:38" ht="15.75" thickBot="1" x14ac:dyDescent="0.3">
      <c r="A158" s="51" t="s">
        <v>951</v>
      </c>
      <c r="B158" s="51" t="s">
        <v>34</v>
      </c>
      <c r="C158" s="51" t="s">
        <v>437</v>
      </c>
      <c r="D158" s="51" t="s">
        <v>319</v>
      </c>
      <c r="E158" s="51" t="s">
        <v>109</v>
      </c>
      <c r="F158" s="51" t="s">
        <v>266</v>
      </c>
      <c r="G158" s="54">
        <v>51.08</v>
      </c>
      <c r="H158" s="822"/>
      <c r="I158" s="822"/>
      <c r="J158" s="822"/>
      <c r="K158" s="822"/>
      <c r="L158" s="822"/>
      <c r="M158" s="822"/>
      <c r="N158" s="822"/>
      <c r="O158" s="822"/>
      <c r="P158" s="822"/>
      <c r="Q158" s="54">
        <v>51.08</v>
      </c>
      <c r="R158" s="822"/>
      <c r="S158" s="822"/>
      <c r="T158" s="822"/>
      <c r="U158" s="822"/>
      <c r="V158" s="822"/>
      <c r="W158" s="822"/>
      <c r="X158" s="822"/>
      <c r="Y158" s="822"/>
      <c r="Z158" s="822"/>
      <c r="AA158" s="822"/>
      <c r="AB158" s="822"/>
      <c r="AC158" s="822"/>
      <c r="AD158" s="822"/>
      <c r="AE158" s="822"/>
      <c r="AF158" s="822"/>
      <c r="AG158" s="822"/>
      <c r="AH158" s="54">
        <v>1.28</v>
      </c>
      <c r="AI158" s="822"/>
      <c r="AJ158" s="822"/>
      <c r="AK158" s="54">
        <v>52.36</v>
      </c>
      <c r="AL158" s="54">
        <v>0</v>
      </c>
    </row>
    <row r="159" spans="1:38" ht="23.25" thickBot="1" x14ac:dyDescent="0.3">
      <c r="A159" s="51" t="s">
        <v>951</v>
      </c>
      <c r="B159" s="51" t="s">
        <v>34</v>
      </c>
      <c r="C159" s="51" t="s">
        <v>437</v>
      </c>
      <c r="D159" s="51" t="s">
        <v>319</v>
      </c>
      <c r="E159" s="51" t="s">
        <v>269</v>
      </c>
      <c r="F159" s="51" t="s">
        <v>915</v>
      </c>
      <c r="G159" s="54">
        <v>-20.84</v>
      </c>
      <c r="H159" s="822"/>
      <c r="I159" s="822"/>
      <c r="J159" s="822"/>
      <c r="K159" s="822"/>
      <c r="L159" s="822"/>
      <c r="M159" s="822"/>
      <c r="N159" s="822"/>
      <c r="O159" s="822"/>
      <c r="P159" s="822"/>
      <c r="Q159" s="822"/>
      <c r="R159" s="822"/>
      <c r="S159" s="822"/>
      <c r="T159" s="54">
        <v>-20.84</v>
      </c>
      <c r="U159" s="822"/>
      <c r="V159" s="822"/>
      <c r="W159" s="822"/>
      <c r="X159" s="822"/>
      <c r="Y159" s="822"/>
      <c r="Z159" s="822"/>
      <c r="AA159" s="822"/>
      <c r="AB159" s="822"/>
      <c r="AC159" s="822"/>
      <c r="AD159" s="822"/>
      <c r="AE159" s="822"/>
      <c r="AF159" s="822"/>
      <c r="AG159" s="822"/>
      <c r="AH159" s="54">
        <v>-0.63</v>
      </c>
      <c r="AI159" s="822"/>
      <c r="AJ159" s="822"/>
      <c r="AK159" s="54">
        <v>-21.47</v>
      </c>
      <c r="AL159" s="54">
        <v>0</v>
      </c>
    </row>
    <row r="160" spans="1:38" ht="15.75" thickBot="1" x14ac:dyDescent="0.3">
      <c r="A160" s="51" t="s">
        <v>951</v>
      </c>
      <c r="B160" s="51" t="s">
        <v>34</v>
      </c>
      <c r="C160" s="51" t="s">
        <v>437</v>
      </c>
      <c r="D160" s="51" t="s">
        <v>319</v>
      </c>
      <c r="E160" s="51" t="s">
        <v>272</v>
      </c>
      <c r="F160" s="51" t="s">
        <v>266</v>
      </c>
      <c r="G160" s="54">
        <v>1500</v>
      </c>
      <c r="H160" s="822"/>
      <c r="I160" s="822"/>
      <c r="J160" s="822"/>
      <c r="K160" s="54">
        <v>1500</v>
      </c>
      <c r="L160" s="822"/>
      <c r="M160" s="822"/>
      <c r="N160" s="822"/>
      <c r="O160" s="822"/>
      <c r="P160" s="822"/>
      <c r="Q160" s="822"/>
      <c r="R160" s="822"/>
      <c r="S160" s="822"/>
      <c r="T160" s="822"/>
      <c r="U160" s="822"/>
      <c r="V160" s="822"/>
      <c r="W160" s="822"/>
      <c r="X160" s="822"/>
      <c r="Y160" s="822"/>
      <c r="Z160" s="822"/>
      <c r="AA160" s="822"/>
      <c r="AB160" s="822"/>
      <c r="AC160" s="822"/>
      <c r="AD160" s="822"/>
      <c r="AE160" s="822"/>
      <c r="AF160" s="822"/>
      <c r="AG160" s="822"/>
      <c r="AH160" s="54">
        <v>22.51</v>
      </c>
      <c r="AI160" s="822"/>
      <c r="AJ160" s="822"/>
      <c r="AK160" s="54">
        <v>1522.51</v>
      </c>
      <c r="AL160" s="54">
        <v>0</v>
      </c>
    </row>
    <row r="161" spans="1:38" ht="15.75" thickBot="1" x14ac:dyDescent="0.3">
      <c r="A161" s="51" t="s">
        <v>951</v>
      </c>
      <c r="B161" s="51" t="s">
        <v>34</v>
      </c>
      <c r="C161" s="51" t="s">
        <v>437</v>
      </c>
      <c r="D161" s="51" t="s">
        <v>319</v>
      </c>
      <c r="E161" s="51" t="s">
        <v>265</v>
      </c>
      <c r="F161" s="51" t="s">
        <v>266</v>
      </c>
      <c r="G161" s="54">
        <v>404.31</v>
      </c>
      <c r="H161" s="54">
        <v>106397</v>
      </c>
      <c r="I161" s="822"/>
      <c r="J161" s="822"/>
      <c r="K161" s="822"/>
      <c r="L161" s="822"/>
      <c r="M161" s="54">
        <v>404.31</v>
      </c>
      <c r="N161" s="822"/>
      <c r="O161" s="822"/>
      <c r="P161" s="822"/>
      <c r="Q161" s="822"/>
      <c r="R161" s="822"/>
      <c r="S161" s="822"/>
      <c r="T161" s="822"/>
      <c r="U161" s="822"/>
      <c r="V161" s="822"/>
      <c r="W161" s="822"/>
      <c r="X161" s="822"/>
      <c r="Y161" s="822"/>
      <c r="Z161" s="822"/>
      <c r="AA161" s="822"/>
      <c r="AB161" s="822"/>
      <c r="AC161" s="822"/>
      <c r="AD161" s="822"/>
      <c r="AE161" s="822"/>
      <c r="AF161" s="822"/>
      <c r="AG161" s="822"/>
      <c r="AH161" s="54">
        <v>10.130000000000001</v>
      </c>
      <c r="AI161" s="822"/>
      <c r="AJ161" s="822"/>
      <c r="AK161" s="54">
        <v>414.44</v>
      </c>
      <c r="AL161" s="54">
        <v>0</v>
      </c>
    </row>
    <row r="162" spans="1:38" ht="15.75" thickBot="1" x14ac:dyDescent="0.3">
      <c r="A162" s="51" t="s">
        <v>951</v>
      </c>
      <c r="B162" s="51" t="s">
        <v>34</v>
      </c>
      <c r="C162" s="51" t="s">
        <v>437</v>
      </c>
      <c r="D162" s="51" t="s">
        <v>319</v>
      </c>
      <c r="E162" s="51" t="s">
        <v>621</v>
      </c>
      <c r="F162" s="51" t="s">
        <v>266</v>
      </c>
      <c r="G162" s="54">
        <v>51.08</v>
      </c>
      <c r="H162" s="822"/>
      <c r="I162" s="822"/>
      <c r="J162" s="822"/>
      <c r="K162" s="822"/>
      <c r="L162" s="822"/>
      <c r="M162" s="822"/>
      <c r="N162" s="822"/>
      <c r="O162" s="822"/>
      <c r="P162" s="822"/>
      <c r="Q162" s="822"/>
      <c r="R162" s="822"/>
      <c r="S162" s="822"/>
      <c r="T162" s="822"/>
      <c r="U162" s="822"/>
      <c r="V162" s="822"/>
      <c r="W162" s="822"/>
      <c r="X162" s="822"/>
      <c r="Y162" s="822"/>
      <c r="Z162" s="822"/>
      <c r="AA162" s="54">
        <v>51.08</v>
      </c>
      <c r="AB162" s="822"/>
      <c r="AC162" s="822"/>
      <c r="AD162" s="822"/>
      <c r="AE162" s="822"/>
      <c r="AF162" s="822"/>
      <c r="AG162" s="822"/>
      <c r="AH162" s="54">
        <v>1.28</v>
      </c>
      <c r="AI162" s="822"/>
      <c r="AJ162" s="822"/>
      <c r="AK162" s="54">
        <v>52.36</v>
      </c>
      <c r="AL162" s="54">
        <v>0</v>
      </c>
    </row>
    <row r="163" spans="1:38" ht="23.25" thickBot="1" x14ac:dyDescent="0.3">
      <c r="A163" s="51" t="s">
        <v>951</v>
      </c>
      <c r="B163" s="51" t="s">
        <v>34</v>
      </c>
      <c r="C163" s="51" t="s">
        <v>437</v>
      </c>
      <c r="D163" s="51" t="s">
        <v>319</v>
      </c>
      <c r="E163" s="51" t="s">
        <v>271</v>
      </c>
      <c r="F163" s="51" t="s">
        <v>915</v>
      </c>
      <c r="G163" s="54">
        <v>82.79</v>
      </c>
      <c r="H163" s="822"/>
      <c r="I163" s="822"/>
      <c r="J163" s="822"/>
      <c r="K163" s="822"/>
      <c r="L163" s="822"/>
      <c r="M163" s="822"/>
      <c r="N163" s="822"/>
      <c r="O163" s="822"/>
      <c r="P163" s="822"/>
      <c r="Q163" s="822"/>
      <c r="R163" s="822"/>
      <c r="S163" s="822"/>
      <c r="T163" s="822"/>
      <c r="U163" s="54">
        <v>82.79</v>
      </c>
      <c r="V163" s="822"/>
      <c r="W163" s="822"/>
      <c r="X163" s="822"/>
      <c r="Y163" s="822"/>
      <c r="Z163" s="822"/>
      <c r="AA163" s="822"/>
      <c r="AB163" s="822"/>
      <c r="AC163" s="822"/>
      <c r="AD163" s="822"/>
      <c r="AE163" s="822"/>
      <c r="AF163" s="822"/>
      <c r="AG163" s="822"/>
      <c r="AH163" s="54">
        <v>2.48</v>
      </c>
      <c r="AI163" s="822"/>
      <c r="AJ163" s="822"/>
      <c r="AK163" s="54">
        <v>85.27</v>
      </c>
      <c r="AL163" s="54">
        <v>0</v>
      </c>
    </row>
    <row r="164" spans="1:38" ht="15.75" thickBot="1" x14ac:dyDescent="0.3">
      <c r="A164" s="51" t="s">
        <v>951</v>
      </c>
      <c r="B164" s="51" t="s">
        <v>34</v>
      </c>
      <c r="C164" s="51" t="s">
        <v>437</v>
      </c>
      <c r="D164" s="51" t="s">
        <v>319</v>
      </c>
      <c r="E164" s="51" t="s">
        <v>325</v>
      </c>
      <c r="F164" s="51" t="s">
        <v>266</v>
      </c>
      <c r="G164" s="54">
        <v>12.84</v>
      </c>
      <c r="H164" s="822"/>
      <c r="I164" s="822"/>
      <c r="J164" s="822"/>
      <c r="K164" s="822"/>
      <c r="L164" s="822"/>
      <c r="M164" s="822"/>
      <c r="N164" s="54">
        <v>12.84</v>
      </c>
      <c r="O164" s="822"/>
      <c r="P164" s="822"/>
      <c r="Q164" s="822"/>
      <c r="R164" s="822"/>
      <c r="S164" s="822"/>
      <c r="T164" s="822"/>
      <c r="U164" s="822"/>
      <c r="V164" s="822"/>
      <c r="W164" s="822"/>
      <c r="X164" s="822"/>
      <c r="Y164" s="822"/>
      <c r="Z164" s="822"/>
      <c r="AA164" s="822"/>
      <c r="AB164" s="822"/>
      <c r="AC164" s="822"/>
      <c r="AD164" s="822"/>
      <c r="AE164" s="822"/>
      <c r="AF164" s="822"/>
      <c r="AG164" s="822"/>
      <c r="AH164" s="54">
        <v>0</v>
      </c>
      <c r="AI164" s="822"/>
      <c r="AJ164" s="822"/>
      <c r="AK164" s="54">
        <v>12.84</v>
      </c>
      <c r="AL164" s="54">
        <v>0</v>
      </c>
    </row>
    <row r="165" spans="1:38" ht="15.75" thickBot="1" x14ac:dyDescent="0.3">
      <c r="A165" s="51" t="s">
        <v>951</v>
      </c>
      <c r="B165" s="51" t="s">
        <v>34</v>
      </c>
      <c r="C165" s="51" t="s">
        <v>437</v>
      </c>
      <c r="D165" s="51" t="s">
        <v>319</v>
      </c>
      <c r="E165" s="51" t="s">
        <v>268</v>
      </c>
      <c r="F165" s="51" t="s">
        <v>266</v>
      </c>
      <c r="G165" s="54">
        <v>1100</v>
      </c>
      <c r="H165" s="822"/>
      <c r="I165" s="822"/>
      <c r="J165" s="822"/>
      <c r="K165" s="54">
        <v>1100</v>
      </c>
      <c r="L165" s="822"/>
      <c r="M165" s="822"/>
      <c r="N165" s="822"/>
      <c r="O165" s="822"/>
      <c r="P165" s="822"/>
      <c r="Q165" s="822"/>
      <c r="R165" s="822"/>
      <c r="S165" s="822"/>
      <c r="T165" s="822"/>
      <c r="U165" s="822"/>
      <c r="V165" s="822"/>
      <c r="W165" s="822"/>
      <c r="X165" s="822"/>
      <c r="Y165" s="822"/>
      <c r="Z165" s="822"/>
      <c r="AA165" s="822"/>
      <c r="AB165" s="822"/>
      <c r="AC165" s="822"/>
      <c r="AD165" s="822"/>
      <c r="AE165" s="822"/>
      <c r="AF165" s="822"/>
      <c r="AG165" s="822"/>
      <c r="AH165" s="54">
        <v>16.5</v>
      </c>
      <c r="AI165" s="822"/>
      <c r="AJ165" s="822"/>
      <c r="AK165" s="54">
        <v>1116.5</v>
      </c>
      <c r="AL165" s="54">
        <v>0</v>
      </c>
    </row>
    <row r="166" spans="1:38" ht="15.75" thickBot="1" x14ac:dyDescent="0.3">
      <c r="A166" s="51" t="s">
        <v>951</v>
      </c>
      <c r="B166" s="51" t="s">
        <v>34</v>
      </c>
      <c r="C166" s="51" t="s">
        <v>437</v>
      </c>
      <c r="D166" s="51" t="s">
        <v>319</v>
      </c>
      <c r="E166" s="51" t="s">
        <v>914</v>
      </c>
      <c r="F166" s="51" t="s">
        <v>266</v>
      </c>
      <c r="G166" s="54">
        <v>3486.08</v>
      </c>
      <c r="H166" s="822"/>
      <c r="I166" s="822"/>
      <c r="J166" s="822"/>
      <c r="K166" s="822"/>
      <c r="L166" s="54">
        <v>3486.08</v>
      </c>
      <c r="M166" s="822"/>
      <c r="N166" s="822"/>
      <c r="O166" s="822"/>
      <c r="P166" s="822"/>
      <c r="Q166" s="822"/>
      <c r="R166" s="822"/>
      <c r="S166" s="822"/>
      <c r="T166" s="822"/>
      <c r="U166" s="822"/>
      <c r="V166" s="822"/>
      <c r="W166" s="822"/>
      <c r="X166" s="822"/>
      <c r="Y166" s="822"/>
      <c r="Z166" s="822"/>
      <c r="AA166" s="822"/>
      <c r="AB166" s="822"/>
      <c r="AC166" s="822"/>
      <c r="AD166" s="822"/>
      <c r="AE166" s="822"/>
      <c r="AF166" s="822"/>
      <c r="AG166" s="822"/>
      <c r="AH166" s="54">
        <v>78.91</v>
      </c>
      <c r="AI166" s="822"/>
      <c r="AJ166" s="822"/>
      <c r="AK166" s="54">
        <v>3564.99</v>
      </c>
      <c r="AL166" s="54">
        <v>0</v>
      </c>
    </row>
    <row r="167" spans="1:38" ht="15.75" thickBot="1" x14ac:dyDescent="0.3">
      <c r="A167" s="51" t="s">
        <v>951</v>
      </c>
      <c r="B167" s="51" t="s">
        <v>34</v>
      </c>
      <c r="C167" s="51" t="s">
        <v>437</v>
      </c>
      <c r="D167" s="51" t="s">
        <v>319</v>
      </c>
      <c r="E167" s="51" t="s">
        <v>329</v>
      </c>
      <c r="F167" s="51" t="s">
        <v>266</v>
      </c>
      <c r="G167" s="54">
        <v>19.739999999999998</v>
      </c>
      <c r="H167" s="822"/>
      <c r="I167" s="822"/>
      <c r="J167" s="822"/>
      <c r="K167" s="822"/>
      <c r="L167" s="822"/>
      <c r="M167" s="822"/>
      <c r="N167" s="822"/>
      <c r="O167" s="822"/>
      <c r="P167" s="822"/>
      <c r="Q167" s="822"/>
      <c r="R167" s="822"/>
      <c r="S167" s="822"/>
      <c r="T167" s="822"/>
      <c r="U167" s="822"/>
      <c r="V167" s="822"/>
      <c r="W167" s="54">
        <v>19.739999999999998</v>
      </c>
      <c r="X167" s="822"/>
      <c r="Y167" s="822"/>
      <c r="Z167" s="822"/>
      <c r="AA167" s="822"/>
      <c r="AB167" s="822"/>
      <c r="AC167" s="822"/>
      <c r="AD167" s="822"/>
      <c r="AE167" s="822"/>
      <c r="AF167" s="822"/>
      <c r="AG167" s="822"/>
      <c r="AH167" s="54">
        <v>0.59</v>
      </c>
      <c r="AI167" s="822"/>
      <c r="AJ167" s="822"/>
      <c r="AK167" s="54">
        <v>20.329999999999998</v>
      </c>
      <c r="AL167" s="54">
        <v>0</v>
      </c>
    </row>
    <row r="168" spans="1:38" ht="15.75" thickBot="1" x14ac:dyDescent="0.3">
      <c r="A168" s="51" t="s">
        <v>951</v>
      </c>
      <c r="B168" s="51" t="s">
        <v>34</v>
      </c>
      <c r="C168" s="51" t="s">
        <v>437</v>
      </c>
      <c r="D168" s="51" t="s">
        <v>319</v>
      </c>
      <c r="E168" s="51" t="s">
        <v>330</v>
      </c>
      <c r="F168" s="51" t="s">
        <v>266</v>
      </c>
      <c r="G168" s="54">
        <v>46.1</v>
      </c>
      <c r="H168" s="822"/>
      <c r="I168" s="822"/>
      <c r="J168" s="822"/>
      <c r="K168" s="822"/>
      <c r="L168" s="822"/>
      <c r="M168" s="822"/>
      <c r="N168" s="822"/>
      <c r="O168" s="822"/>
      <c r="P168" s="822"/>
      <c r="Q168" s="822"/>
      <c r="R168" s="822"/>
      <c r="S168" s="822"/>
      <c r="T168" s="822"/>
      <c r="U168" s="822"/>
      <c r="V168" s="822"/>
      <c r="W168" s="822"/>
      <c r="X168" s="54">
        <v>46.1</v>
      </c>
      <c r="Y168" s="822"/>
      <c r="Z168" s="822"/>
      <c r="AA168" s="822"/>
      <c r="AB168" s="822"/>
      <c r="AC168" s="822"/>
      <c r="AD168" s="822"/>
      <c r="AE168" s="822"/>
      <c r="AF168" s="822"/>
      <c r="AG168" s="822"/>
      <c r="AH168" s="54">
        <v>1.38</v>
      </c>
      <c r="AI168" s="822"/>
      <c r="AJ168" s="822"/>
      <c r="AK168" s="54">
        <v>47.48</v>
      </c>
      <c r="AL168" s="54">
        <v>0</v>
      </c>
    </row>
    <row r="169" spans="1:38" ht="15.75" thickBot="1" x14ac:dyDescent="0.3">
      <c r="A169" s="51" t="s">
        <v>951</v>
      </c>
      <c r="B169" s="51" t="s">
        <v>31</v>
      </c>
      <c r="C169" s="51" t="s">
        <v>835</v>
      </c>
      <c r="D169" s="51" t="s">
        <v>320</v>
      </c>
      <c r="E169" s="51" t="s">
        <v>357</v>
      </c>
      <c r="F169" s="51" t="s">
        <v>266</v>
      </c>
      <c r="G169" s="54">
        <v>2824.7</v>
      </c>
      <c r="H169" s="822"/>
      <c r="I169" s="822"/>
      <c r="J169" s="822"/>
      <c r="K169" s="822"/>
      <c r="L169" s="822"/>
      <c r="M169" s="822"/>
      <c r="N169" s="822"/>
      <c r="O169" s="822"/>
      <c r="P169" s="822"/>
      <c r="Q169" s="822"/>
      <c r="R169" s="822"/>
      <c r="S169" s="54">
        <v>2824.7</v>
      </c>
      <c r="T169" s="822"/>
      <c r="U169" s="822"/>
      <c r="V169" s="822"/>
      <c r="W169" s="822"/>
      <c r="X169" s="822"/>
      <c r="Y169" s="822"/>
      <c r="Z169" s="822"/>
      <c r="AA169" s="822"/>
      <c r="AB169" s="822"/>
      <c r="AC169" s="822"/>
      <c r="AD169" s="822"/>
      <c r="AE169" s="822"/>
      <c r="AF169" s="822"/>
      <c r="AG169" s="822"/>
      <c r="AH169" s="54">
        <v>259.31</v>
      </c>
      <c r="AI169" s="822"/>
      <c r="AJ169" s="822"/>
      <c r="AK169" s="54">
        <v>3084.01</v>
      </c>
      <c r="AL169" s="54">
        <v>0</v>
      </c>
    </row>
    <row r="170" spans="1:38" ht="15.75" thickBot="1" x14ac:dyDescent="0.3">
      <c r="A170" s="51" t="s">
        <v>951</v>
      </c>
      <c r="B170" s="51" t="s">
        <v>31</v>
      </c>
      <c r="C170" s="51" t="s">
        <v>835</v>
      </c>
      <c r="D170" s="51" t="s">
        <v>320</v>
      </c>
      <c r="E170" s="51" t="s">
        <v>272</v>
      </c>
      <c r="F170" s="51" t="s">
        <v>266</v>
      </c>
      <c r="G170" s="54">
        <v>1478.4</v>
      </c>
      <c r="H170" s="822"/>
      <c r="I170" s="822"/>
      <c r="J170" s="822"/>
      <c r="K170" s="54">
        <v>1478.4</v>
      </c>
      <c r="L170" s="822"/>
      <c r="M170" s="822"/>
      <c r="N170" s="822"/>
      <c r="O170" s="822"/>
      <c r="P170" s="822"/>
      <c r="Q170" s="822"/>
      <c r="R170" s="822"/>
      <c r="S170" s="822"/>
      <c r="T170" s="822"/>
      <c r="U170" s="822"/>
      <c r="V170" s="822"/>
      <c r="W170" s="822"/>
      <c r="X170" s="822"/>
      <c r="Y170" s="822"/>
      <c r="Z170" s="822"/>
      <c r="AA170" s="822"/>
      <c r="AB170" s="822"/>
      <c r="AC170" s="822"/>
      <c r="AD170" s="822"/>
      <c r="AE170" s="822"/>
      <c r="AF170" s="822"/>
      <c r="AG170" s="822"/>
      <c r="AH170" s="54">
        <v>112.21</v>
      </c>
      <c r="AI170" s="822"/>
      <c r="AJ170" s="822"/>
      <c r="AK170" s="54">
        <v>1590.61</v>
      </c>
      <c r="AL170" s="54">
        <v>0</v>
      </c>
    </row>
    <row r="171" spans="1:38" ht="15.75" thickBot="1" x14ac:dyDescent="0.3">
      <c r="A171" s="51" t="s">
        <v>951</v>
      </c>
      <c r="B171" s="51" t="s">
        <v>31</v>
      </c>
      <c r="C171" s="51" t="s">
        <v>835</v>
      </c>
      <c r="D171" s="51" t="s">
        <v>320</v>
      </c>
      <c r="E171" s="51" t="s">
        <v>265</v>
      </c>
      <c r="F171" s="51" t="s">
        <v>266</v>
      </c>
      <c r="G171" s="54">
        <v>18992.43</v>
      </c>
      <c r="H171" s="54">
        <v>111598</v>
      </c>
      <c r="I171" s="822"/>
      <c r="J171" s="822"/>
      <c r="K171" s="822"/>
      <c r="L171" s="822"/>
      <c r="M171" s="54">
        <v>18992.43</v>
      </c>
      <c r="N171" s="822"/>
      <c r="O171" s="822"/>
      <c r="P171" s="822"/>
      <c r="Q171" s="822"/>
      <c r="R171" s="822"/>
      <c r="S171" s="822"/>
      <c r="T171" s="822"/>
      <c r="U171" s="822"/>
      <c r="V171" s="822"/>
      <c r="W171" s="822"/>
      <c r="X171" s="822"/>
      <c r="Y171" s="822"/>
      <c r="Z171" s="822"/>
      <c r="AA171" s="822"/>
      <c r="AB171" s="822"/>
      <c r="AC171" s="822"/>
      <c r="AD171" s="822"/>
      <c r="AE171" s="822"/>
      <c r="AF171" s="822"/>
      <c r="AG171" s="822"/>
      <c r="AH171" s="54">
        <v>1564.25</v>
      </c>
      <c r="AI171" s="822"/>
      <c r="AJ171" s="822"/>
      <c r="AK171" s="54">
        <v>20556.68</v>
      </c>
      <c r="AL171" s="54">
        <v>0</v>
      </c>
    </row>
    <row r="172" spans="1:38" ht="15.75" thickBot="1" x14ac:dyDescent="0.3">
      <c r="A172" s="51" t="s">
        <v>951</v>
      </c>
      <c r="B172" s="51" t="s">
        <v>31</v>
      </c>
      <c r="C172" s="51" t="s">
        <v>835</v>
      </c>
      <c r="D172" s="51" t="s">
        <v>320</v>
      </c>
      <c r="E172" s="51" t="s">
        <v>620</v>
      </c>
      <c r="F172" s="51" t="s">
        <v>266</v>
      </c>
      <c r="G172" s="54">
        <v>128.78</v>
      </c>
      <c r="H172" s="822"/>
      <c r="I172" s="822"/>
      <c r="J172" s="822"/>
      <c r="K172" s="822"/>
      <c r="L172" s="822"/>
      <c r="M172" s="822"/>
      <c r="N172" s="822"/>
      <c r="O172" s="822"/>
      <c r="P172" s="822"/>
      <c r="Q172" s="822"/>
      <c r="R172" s="822"/>
      <c r="S172" s="822"/>
      <c r="T172" s="822"/>
      <c r="U172" s="822"/>
      <c r="V172" s="822"/>
      <c r="W172" s="822"/>
      <c r="X172" s="822"/>
      <c r="Y172" s="822"/>
      <c r="Z172" s="54">
        <v>128.78</v>
      </c>
      <c r="AA172" s="822"/>
      <c r="AB172" s="822"/>
      <c r="AC172" s="822"/>
      <c r="AD172" s="822"/>
      <c r="AE172" s="822"/>
      <c r="AF172" s="822"/>
      <c r="AG172" s="822"/>
      <c r="AH172" s="54">
        <v>9.77</v>
      </c>
      <c r="AI172" s="822"/>
      <c r="AJ172" s="822"/>
      <c r="AK172" s="54">
        <v>138.55000000000001</v>
      </c>
      <c r="AL172" s="54">
        <v>0</v>
      </c>
    </row>
    <row r="173" spans="1:38" ht="15.75" thickBot="1" x14ac:dyDescent="0.3">
      <c r="A173" s="51" t="s">
        <v>951</v>
      </c>
      <c r="B173" s="51" t="s">
        <v>31</v>
      </c>
      <c r="C173" s="51" t="s">
        <v>835</v>
      </c>
      <c r="D173" s="51" t="s">
        <v>320</v>
      </c>
      <c r="E173" s="51" t="s">
        <v>621</v>
      </c>
      <c r="F173" s="51" t="s">
        <v>266</v>
      </c>
      <c r="G173" s="54">
        <v>455.32</v>
      </c>
      <c r="H173" s="822"/>
      <c r="I173" s="822"/>
      <c r="J173" s="822"/>
      <c r="K173" s="822"/>
      <c r="L173" s="822"/>
      <c r="M173" s="822"/>
      <c r="N173" s="822"/>
      <c r="O173" s="822"/>
      <c r="P173" s="822"/>
      <c r="Q173" s="822"/>
      <c r="R173" s="822"/>
      <c r="S173" s="822"/>
      <c r="T173" s="822"/>
      <c r="U173" s="822"/>
      <c r="V173" s="822"/>
      <c r="W173" s="822"/>
      <c r="X173" s="822"/>
      <c r="Y173" s="822"/>
      <c r="Z173" s="822"/>
      <c r="AA173" s="54">
        <v>455.32</v>
      </c>
      <c r="AB173" s="822"/>
      <c r="AC173" s="822"/>
      <c r="AD173" s="822"/>
      <c r="AE173" s="822"/>
      <c r="AF173" s="822"/>
      <c r="AG173" s="822"/>
      <c r="AH173" s="54">
        <v>37.520000000000003</v>
      </c>
      <c r="AI173" s="822"/>
      <c r="AJ173" s="822"/>
      <c r="AK173" s="54">
        <v>492.84</v>
      </c>
      <c r="AL173" s="54">
        <v>0</v>
      </c>
    </row>
    <row r="174" spans="1:38" ht="15.75" thickBot="1" x14ac:dyDescent="0.3">
      <c r="A174" s="51" t="s">
        <v>951</v>
      </c>
      <c r="B174" s="51" t="s">
        <v>31</v>
      </c>
      <c r="C174" s="51" t="s">
        <v>835</v>
      </c>
      <c r="D174" s="51" t="s">
        <v>320</v>
      </c>
      <c r="E174" s="51" t="s">
        <v>273</v>
      </c>
      <c r="F174" s="51" t="s">
        <v>266</v>
      </c>
      <c r="G174" s="54">
        <v>9556.14</v>
      </c>
      <c r="H174" s="822"/>
      <c r="I174" s="822"/>
      <c r="J174" s="822"/>
      <c r="K174" s="822"/>
      <c r="L174" s="822"/>
      <c r="M174" s="822"/>
      <c r="N174" s="822"/>
      <c r="O174" s="822"/>
      <c r="P174" s="822"/>
      <c r="Q174" s="822"/>
      <c r="R174" s="822"/>
      <c r="S174" s="822"/>
      <c r="T174" s="822"/>
      <c r="U174" s="822"/>
      <c r="V174" s="822"/>
      <c r="W174" s="822"/>
      <c r="X174" s="822"/>
      <c r="Y174" s="54">
        <v>9556.14</v>
      </c>
      <c r="Z174" s="822"/>
      <c r="AA174" s="822"/>
      <c r="AB174" s="822"/>
      <c r="AC174" s="822"/>
      <c r="AD174" s="822"/>
      <c r="AE174" s="822"/>
      <c r="AF174" s="822"/>
      <c r="AG174" s="822"/>
      <c r="AH174" s="54">
        <v>787.38</v>
      </c>
      <c r="AI174" s="822"/>
      <c r="AJ174" s="822"/>
      <c r="AK174" s="54">
        <v>10343.52</v>
      </c>
      <c r="AL174" s="54">
        <v>0</v>
      </c>
    </row>
    <row r="175" spans="1:38" ht="15.75" thickBot="1" x14ac:dyDescent="0.3">
      <c r="A175" s="51" t="s">
        <v>951</v>
      </c>
      <c r="B175" s="51" t="s">
        <v>31</v>
      </c>
      <c r="C175" s="51" t="s">
        <v>835</v>
      </c>
      <c r="D175" s="51" t="s">
        <v>320</v>
      </c>
      <c r="E175" s="51" t="s">
        <v>268</v>
      </c>
      <c r="F175" s="51" t="s">
        <v>266</v>
      </c>
      <c r="G175" s="54">
        <v>1100</v>
      </c>
      <c r="H175" s="822"/>
      <c r="I175" s="822"/>
      <c r="J175" s="822"/>
      <c r="K175" s="54">
        <v>1100</v>
      </c>
      <c r="L175" s="822"/>
      <c r="M175" s="822"/>
      <c r="N175" s="822"/>
      <c r="O175" s="822"/>
      <c r="P175" s="822"/>
      <c r="Q175" s="822"/>
      <c r="R175" s="822"/>
      <c r="S175" s="822"/>
      <c r="T175" s="822"/>
      <c r="U175" s="822"/>
      <c r="V175" s="822"/>
      <c r="W175" s="822"/>
      <c r="X175" s="822"/>
      <c r="Y175" s="822"/>
      <c r="Z175" s="822"/>
      <c r="AA175" s="822"/>
      <c r="AB175" s="822"/>
      <c r="AC175" s="822"/>
      <c r="AD175" s="822"/>
      <c r="AE175" s="822"/>
      <c r="AF175" s="822"/>
      <c r="AG175" s="822"/>
      <c r="AH175" s="54">
        <v>83.49</v>
      </c>
      <c r="AI175" s="822"/>
      <c r="AJ175" s="822"/>
      <c r="AK175" s="54">
        <v>1183.49</v>
      </c>
      <c r="AL175" s="54">
        <v>0</v>
      </c>
    </row>
    <row r="176" spans="1:38" ht="15.75" thickBot="1" x14ac:dyDescent="0.3">
      <c r="A176" s="51" t="s">
        <v>951</v>
      </c>
      <c r="B176" s="51" t="s">
        <v>491</v>
      </c>
      <c r="C176" s="51" t="s">
        <v>492</v>
      </c>
      <c r="D176" s="51" t="s">
        <v>320</v>
      </c>
      <c r="E176" s="51" t="s">
        <v>109</v>
      </c>
      <c r="F176" s="51" t="s">
        <v>266</v>
      </c>
      <c r="G176" s="54">
        <v>130.38999999999999</v>
      </c>
      <c r="H176" s="822"/>
      <c r="I176" s="822"/>
      <c r="J176" s="822"/>
      <c r="K176" s="822"/>
      <c r="L176" s="822"/>
      <c r="M176" s="822"/>
      <c r="N176" s="822"/>
      <c r="O176" s="822"/>
      <c r="P176" s="822"/>
      <c r="Q176" s="54">
        <v>130.38999999999999</v>
      </c>
      <c r="R176" s="822"/>
      <c r="S176" s="822"/>
      <c r="T176" s="822"/>
      <c r="U176" s="822"/>
      <c r="V176" s="822"/>
      <c r="W176" s="822"/>
      <c r="X176" s="822"/>
      <c r="Y176" s="822"/>
      <c r="Z176" s="822"/>
      <c r="AA176" s="822"/>
      <c r="AB176" s="822"/>
      <c r="AC176" s="822"/>
      <c r="AD176" s="822"/>
      <c r="AE176" s="822"/>
      <c r="AF176" s="822"/>
      <c r="AG176" s="822"/>
      <c r="AH176" s="54">
        <v>3.08</v>
      </c>
      <c r="AI176" s="822"/>
      <c r="AJ176" s="822"/>
      <c r="AK176" s="54">
        <v>133.47</v>
      </c>
      <c r="AL176" s="54">
        <v>0</v>
      </c>
    </row>
    <row r="177" spans="1:38" ht="15.75" thickBot="1" x14ac:dyDescent="0.3">
      <c r="A177" s="51" t="s">
        <v>951</v>
      </c>
      <c r="B177" s="51" t="s">
        <v>491</v>
      </c>
      <c r="C177" s="51" t="s">
        <v>492</v>
      </c>
      <c r="D177" s="51" t="s">
        <v>320</v>
      </c>
      <c r="E177" s="51" t="s">
        <v>272</v>
      </c>
      <c r="F177" s="51" t="s">
        <v>266</v>
      </c>
      <c r="G177" s="54">
        <v>4435.2</v>
      </c>
      <c r="H177" s="822"/>
      <c r="I177" s="822"/>
      <c r="J177" s="822"/>
      <c r="K177" s="54">
        <v>4435.2</v>
      </c>
      <c r="L177" s="822"/>
      <c r="M177" s="822"/>
      <c r="N177" s="822"/>
      <c r="O177" s="822"/>
      <c r="P177" s="822"/>
      <c r="Q177" s="822"/>
      <c r="R177" s="822"/>
      <c r="S177" s="822"/>
      <c r="T177" s="822"/>
      <c r="U177" s="822"/>
      <c r="V177" s="822"/>
      <c r="W177" s="822"/>
      <c r="X177" s="822"/>
      <c r="Y177" s="822"/>
      <c r="Z177" s="822"/>
      <c r="AA177" s="822"/>
      <c r="AB177" s="822"/>
      <c r="AC177" s="822"/>
      <c r="AD177" s="822"/>
      <c r="AE177" s="822"/>
      <c r="AF177" s="822"/>
      <c r="AG177" s="822"/>
      <c r="AH177" s="54">
        <v>134.4</v>
      </c>
      <c r="AI177" s="822"/>
      <c r="AJ177" s="822"/>
      <c r="AK177" s="54">
        <v>4569.6000000000004</v>
      </c>
      <c r="AL177" s="54">
        <v>0</v>
      </c>
    </row>
    <row r="178" spans="1:38" ht="15.75" thickBot="1" x14ac:dyDescent="0.3">
      <c r="A178" s="51" t="s">
        <v>951</v>
      </c>
      <c r="B178" s="51" t="s">
        <v>491</v>
      </c>
      <c r="C178" s="51" t="s">
        <v>492</v>
      </c>
      <c r="D178" s="51" t="s">
        <v>320</v>
      </c>
      <c r="E178" s="51" t="s">
        <v>265</v>
      </c>
      <c r="F178" s="51" t="s">
        <v>266</v>
      </c>
      <c r="G178" s="54">
        <v>46269</v>
      </c>
      <c r="H178" s="54">
        <v>271654</v>
      </c>
      <c r="I178" s="822"/>
      <c r="J178" s="822"/>
      <c r="K178" s="822"/>
      <c r="L178" s="822"/>
      <c r="M178" s="54">
        <v>46269</v>
      </c>
      <c r="N178" s="822"/>
      <c r="O178" s="822"/>
      <c r="P178" s="822"/>
      <c r="Q178" s="822"/>
      <c r="R178" s="822"/>
      <c r="S178" s="822"/>
      <c r="T178" s="822"/>
      <c r="U178" s="822"/>
      <c r="V178" s="822"/>
      <c r="W178" s="822"/>
      <c r="X178" s="822"/>
      <c r="Y178" s="822"/>
      <c r="Z178" s="822"/>
      <c r="AA178" s="822"/>
      <c r="AB178" s="822"/>
      <c r="AC178" s="822"/>
      <c r="AD178" s="822"/>
      <c r="AE178" s="822"/>
      <c r="AF178" s="822"/>
      <c r="AG178" s="822"/>
      <c r="AH178" s="54">
        <v>1093.77</v>
      </c>
      <c r="AI178" s="822"/>
      <c r="AJ178" s="822"/>
      <c r="AK178" s="54">
        <v>47362.77</v>
      </c>
      <c r="AL178" s="54">
        <v>0</v>
      </c>
    </row>
    <row r="179" spans="1:38" ht="15.75" thickBot="1" x14ac:dyDescent="0.3">
      <c r="A179" s="51" t="s">
        <v>951</v>
      </c>
      <c r="B179" s="51" t="s">
        <v>491</v>
      </c>
      <c r="C179" s="51" t="s">
        <v>492</v>
      </c>
      <c r="D179" s="51" t="s">
        <v>320</v>
      </c>
      <c r="E179" s="51" t="s">
        <v>620</v>
      </c>
      <c r="F179" s="51" t="s">
        <v>266</v>
      </c>
      <c r="G179" s="54">
        <v>386.34</v>
      </c>
      <c r="H179" s="822"/>
      <c r="I179" s="822"/>
      <c r="J179" s="822"/>
      <c r="K179" s="822"/>
      <c r="L179" s="822"/>
      <c r="M179" s="822"/>
      <c r="N179" s="822"/>
      <c r="O179" s="822"/>
      <c r="P179" s="822"/>
      <c r="Q179" s="822"/>
      <c r="R179" s="822"/>
      <c r="S179" s="822"/>
      <c r="T179" s="822"/>
      <c r="U179" s="822"/>
      <c r="V179" s="822"/>
      <c r="W179" s="822"/>
      <c r="X179" s="822"/>
      <c r="Y179" s="822"/>
      <c r="Z179" s="54">
        <v>386.34</v>
      </c>
      <c r="AA179" s="822"/>
      <c r="AB179" s="822"/>
      <c r="AC179" s="822"/>
      <c r="AD179" s="822"/>
      <c r="AE179" s="822"/>
      <c r="AF179" s="822"/>
      <c r="AG179" s="822"/>
      <c r="AH179" s="54">
        <v>11.7</v>
      </c>
      <c r="AI179" s="822"/>
      <c r="AJ179" s="822"/>
      <c r="AK179" s="54">
        <v>398.04</v>
      </c>
      <c r="AL179" s="54">
        <v>0</v>
      </c>
    </row>
    <row r="180" spans="1:38" ht="15.75" thickBot="1" x14ac:dyDescent="0.3">
      <c r="A180" s="51" t="s">
        <v>951</v>
      </c>
      <c r="B180" s="51" t="s">
        <v>491</v>
      </c>
      <c r="C180" s="51" t="s">
        <v>492</v>
      </c>
      <c r="D180" s="51" t="s">
        <v>320</v>
      </c>
      <c r="E180" s="51" t="s">
        <v>621</v>
      </c>
      <c r="F180" s="51" t="s">
        <v>266</v>
      </c>
      <c r="G180" s="54">
        <v>1108.3499999999999</v>
      </c>
      <c r="H180" s="822"/>
      <c r="I180" s="822"/>
      <c r="J180" s="822"/>
      <c r="K180" s="822"/>
      <c r="L180" s="822"/>
      <c r="M180" s="822"/>
      <c r="N180" s="822"/>
      <c r="O180" s="822"/>
      <c r="P180" s="822"/>
      <c r="Q180" s="822"/>
      <c r="R180" s="822"/>
      <c r="S180" s="822"/>
      <c r="T180" s="822"/>
      <c r="U180" s="822"/>
      <c r="V180" s="822"/>
      <c r="W180" s="822"/>
      <c r="X180" s="822"/>
      <c r="Y180" s="822"/>
      <c r="Z180" s="822"/>
      <c r="AA180" s="54">
        <v>1108.3499999999999</v>
      </c>
      <c r="AB180" s="822"/>
      <c r="AC180" s="822"/>
      <c r="AD180" s="822"/>
      <c r="AE180" s="822"/>
      <c r="AF180" s="822"/>
      <c r="AG180" s="822"/>
      <c r="AH180" s="54">
        <v>26.17</v>
      </c>
      <c r="AI180" s="822"/>
      <c r="AJ180" s="822"/>
      <c r="AK180" s="54">
        <v>1134.52</v>
      </c>
      <c r="AL180" s="54">
        <v>0</v>
      </c>
    </row>
    <row r="181" spans="1:38" ht="15.75" thickBot="1" x14ac:dyDescent="0.3">
      <c r="A181" s="51" t="s">
        <v>951</v>
      </c>
      <c r="B181" s="51" t="s">
        <v>491</v>
      </c>
      <c r="C181" s="51" t="s">
        <v>492</v>
      </c>
      <c r="D181" s="51" t="s">
        <v>320</v>
      </c>
      <c r="E181" s="51" t="s">
        <v>273</v>
      </c>
      <c r="F181" s="51" t="s">
        <v>266</v>
      </c>
      <c r="G181" s="54">
        <v>23261.73</v>
      </c>
      <c r="H181" s="822"/>
      <c r="I181" s="822"/>
      <c r="J181" s="822"/>
      <c r="K181" s="822"/>
      <c r="L181" s="822"/>
      <c r="M181" s="822"/>
      <c r="N181" s="822"/>
      <c r="O181" s="822"/>
      <c r="P181" s="822"/>
      <c r="Q181" s="822"/>
      <c r="R181" s="822"/>
      <c r="S181" s="822"/>
      <c r="T181" s="822"/>
      <c r="U181" s="822"/>
      <c r="V181" s="822"/>
      <c r="W181" s="822"/>
      <c r="X181" s="822"/>
      <c r="Y181" s="54">
        <v>23261.73</v>
      </c>
      <c r="Z181" s="822"/>
      <c r="AA181" s="822"/>
      <c r="AB181" s="822"/>
      <c r="AC181" s="822"/>
      <c r="AD181" s="822"/>
      <c r="AE181" s="822"/>
      <c r="AF181" s="822"/>
      <c r="AG181" s="822"/>
      <c r="AH181" s="54">
        <v>549.23</v>
      </c>
      <c r="AI181" s="822"/>
      <c r="AJ181" s="822"/>
      <c r="AK181" s="54">
        <v>23810.959999999999</v>
      </c>
      <c r="AL181" s="54">
        <v>0</v>
      </c>
    </row>
    <row r="182" spans="1:38" ht="15.75" thickBot="1" x14ac:dyDescent="0.3">
      <c r="A182" s="51" t="s">
        <v>951</v>
      </c>
      <c r="B182" s="51" t="s">
        <v>491</v>
      </c>
      <c r="C182" s="51" t="s">
        <v>492</v>
      </c>
      <c r="D182" s="51" t="s">
        <v>320</v>
      </c>
      <c r="E182" s="51" t="s">
        <v>268</v>
      </c>
      <c r="F182" s="51" t="s">
        <v>266</v>
      </c>
      <c r="G182" s="54">
        <v>3300</v>
      </c>
      <c r="H182" s="822"/>
      <c r="I182" s="822"/>
      <c r="J182" s="822"/>
      <c r="K182" s="54">
        <v>3300</v>
      </c>
      <c r="L182" s="822"/>
      <c r="M182" s="822"/>
      <c r="N182" s="822"/>
      <c r="O182" s="822"/>
      <c r="P182" s="822"/>
      <c r="Q182" s="822"/>
      <c r="R182" s="822"/>
      <c r="S182" s="822"/>
      <c r="T182" s="822"/>
      <c r="U182" s="822"/>
      <c r="V182" s="822"/>
      <c r="W182" s="822"/>
      <c r="X182" s="822"/>
      <c r="Y182" s="822"/>
      <c r="Z182" s="822"/>
      <c r="AA182" s="822"/>
      <c r="AB182" s="822"/>
      <c r="AC182" s="822"/>
      <c r="AD182" s="822"/>
      <c r="AE182" s="822"/>
      <c r="AF182" s="822"/>
      <c r="AG182" s="822"/>
      <c r="AH182" s="54">
        <v>99.99</v>
      </c>
      <c r="AI182" s="822"/>
      <c r="AJ182" s="822"/>
      <c r="AK182" s="54">
        <v>3399.99</v>
      </c>
      <c r="AL182" s="54">
        <v>0</v>
      </c>
    </row>
    <row r="183" spans="1:38" ht="23.25" thickBot="1" x14ac:dyDescent="0.3">
      <c r="A183" s="51" t="s">
        <v>951</v>
      </c>
      <c r="B183" s="51" t="s">
        <v>52</v>
      </c>
      <c r="C183" s="51" t="s">
        <v>355</v>
      </c>
      <c r="D183" s="51" t="s">
        <v>320</v>
      </c>
      <c r="E183" s="51" t="s">
        <v>269</v>
      </c>
      <c r="F183" s="51" t="s">
        <v>915</v>
      </c>
      <c r="G183" s="54">
        <v>-1585.36</v>
      </c>
      <c r="H183" s="822"/>
      <c r="I183" s="822"/>
      <c r="J183" s="822"/>
      <c r="K183" s="822"/>
      <c r="L183" s="822"/>
      <c r="M183" s="822"/>
      <c r="N183" s="822"/>
      <c r="O183" s="822"/>
      <c r="P183" s="822"/>
      <c r="Q183" s="822"/>
      <c r="R183" s="822"/>
      <c r="S183" s="822"/>
      <c r="T183" s="54">
        <v>-1585.36</v>
      </c>
      <c r="U183" s="822"/>
      <c r="V183" s="822"/>
      <c r="W183" s="822"/>
      <c r="X183" s="822"/>
      <c r="Y183" s="822"/>
      <c r="Z183" s="822"/>
      <c r="AA183" s="822"/>
      <c r="AB183" s="822"/>
      <c r="AC183" s="822"/>
      <c r="AD183" s="822"/>
      <c r="AE183" s="822"/>
      <c r="AF183" s="822"/>
      <c r="AG183" s="822"/>
      <c r="AH183" s="54">
        <v>0</v>
      </c>
      <c r="AI183" s="822"/>
      <c r="AJ183" s="822"/>
      <c r="AK183" s="54">
        <v>-1585.36</v>
      </c>
      <c r="AL183" s="54">
        <v>0</v>
      </c>
    </row>
    <row r="184" spans="1:38" ht="23.25" thickBot="1" x14ac:dyDescent="0.3">
      <c r="A184" s="51" t="s">
        <v>951</v>
      </c>
      <c r="B184" s="51" t="s">
        <v>52</v>
      </c>
      <c r="C184" s="51" t="s">
        <v>355</v>
      </c>
      <c r="D184" s="51" t="s">
        <v>320</v>
      </c>
      <c r="E184" s="51" t="s">
        <v>271</v>
      </c>
      <c r="F184" s="51" t="s">
        <v>915</v>
      </c>
      <c r="G184" s="54">
        <v>168.28</v>
      </c>
      <c r="H184" s="822"/>
      <c r="I184" s="822"/>
      <c r="J184" s="822"/>
      <c r="K184" s="822"/>
      <c r="L184" s="822"/>
      <c r="M184" s="822"/>
      <c r="N184" s="822"/>
      <c r="O184" s="822"/>
      <c r="P184" s="822"/>
      <c r="Q184" s="822"/>
      <c r="R184" s="822"/>
      <c r="S184" s="822"/>
      <c r="T184" s="822"/>
      <c r="U184" s="54">
        <v>168.28</v>
      </c>
      <c r="V184" s="822"/>
      <c r="W184" s="822"/>
      <c r="X184" s="822"/>
      <c r="Y184" s="822"/>
      <c r="Z184" s="822"/>
      <c r="AA184" s="822"/>
      <c r="AB184" s="822"/>
      <c r="AC184" s="822"/>
      <c r="AD184" s="822"/>
      <c r="AE184" s="822"/>
      <c r="AF184" s="822"/>
      <c r="AG184" s="822"/>
      <c r="AH184" s="54">
        <v>0</v>
      </c>
      <c r="AI184" s="822"/>
      <c r="AJ184" s="822"/>
      <c r="AK184" s="54">
        <v>168.28</v>
      </c>
      <c r="AL184" s="54">
        <v>0</v>
      </c>
    </row>
    <row r="185" spans="1:38" ht="15.75" thickBot="1" x14ac:dyDescent="0.3">
      <c r="A185" s="51" t="s">
        <v>951</v>
      </c>
      <c r="B185" s="51" t="s">
        <v>52</v>
      </c>
      <c r="C185" s="51" t="s">
        <v>355</v>
      </c>
      <c r="D185" s="51" t="s">
        <v>320</v>
      </c>
      <c r="E185" s="51" t="s">
        <v>268</v>
      </c>
      <c r="F185" s="51" t="s">
        <v>266</v>
      </c>
      <c r="G185" s="54">
        <v>675</v>
      </c>
      <c r="H185" s="822"/>
      <c r="I185" s="822"/>
      <c r="J185" s="822"/>
      <c r="K185" s="54">
        <v>675</v>
      </c>
      <c r="L185" s="822"/>
      <c r="M185" s="822"/>
      <c r="N185" s="822"/>
      <c r="O185" s="822"/>
      <c r="P185" s="822"/>
      <c r="Q185" s="822"/>
      <c r="R185" s="822"/>
      <c r="S185" s="822"/>
      <c r="T185" s="822"/>
      <c r="U185" s="822"/>
      <c r="V185" s="822"/>
      <c r="W185" s="822"/>
      <c r="X185" s="822"/>
      <c r="Y185" s="822"/>
      <c r="Z185" s="822"/>
      <c r="AA185" s="822"/>
      <c r="AB185" s="822"/>
      <c r="AC185" s="822"/>
      <c r="AD185" s="822"/>
      <c r="AE185" s="822"/>
      <c r="AF185" s="822"/>
      <c r="AG185" s="822"/>
      <c r="AH185" s="54">
        <v>0</v>
      </c>
      <c r="AI185" s="822"/>
      <c r="AJ185" s="822"/>
      <c r="AK185" s="54">
        <v>675</v>
      </c>
      <c r="AL185" s="54">
        <v>0</v>
      </c>
    </row>
    <row r="186" spans="1:38" ht="15.75" thickBot="1" x14ac:dyDescent="0.3">
      <c r="A186" s="51" t="s">
        <v>951</v>
      </c>
      <c r="B186" s="51" t="s">
        <v>53</v>
      </c>
      <c r="C186" s="51" t="s">
        <v>836</v>
      </c>
      <c r="D186" s="51" t="s">
        <v>320</v>
      </c>
      <c r="E186" s="51" t="s">
        <v>356</v>
      </c>
      <c r="F186" s="51" t="s">
        <v>266</v>
      </c>
      <c r="G186" s="823"/>
      <c r="H186" s="823"/>
      <c r="I186" s="823"/>
      <c r="J186" s="823"/>
      <c r="K186" s="823"/>
      <c r="L186" s="823"/>
      <c r="M186" s="823"/>
      <c r="N186" s="823"/>
      <c r="O186" s="823"/>
      <c r="P186" s="823"/>
      <c r="Q186" s="823"/>
      <c r="R186" s="823"/>
      <c r="S186" s="823"/>
      <c r="T186" s="823"/>
      <c r="U186" s="823"/>
      <c r="V186" s="823"/>
      <c r="W186" s="823"/>
      <c r="X186" s="823"/>
      <c r="Y186" s="823"/>
      <c r="Z186" s="823"/>
      <c r="AA186" s="823"/>
      <c r="AB186" s="823"/>
      <c r="AC186" s="823"/>
      <c r="AD186" s="823"/>
      <c r="AE186" s="823"/>
      <c r="AF186" s="823"/>
      <c r="AG186" s="56">
        <v>1053.74</v>
      </c>
      <c r="AH186" s="56">
        <v>0</v>
      </c>
      <c r="AI186" s="823"/>
      <c r="AJ186" s="823"/>
      <c r="AK186" s="56">
        <v>1053.74</v>
      </c>
      <c r="AL186" s="56">
        <v>0</v>
      </c>
    </row>
    <row r="187" spans="1:38" ht="15.75" thickBot="1" x14ac:dyDescent="0.3">
      <c r="A187" s="51" t="s">
        <v>951</v>
      </c>
      <c r="B187" s="51" t="s">
        <v>53</v>
      </c>
      <c r="C187" s="51" t="s">
        <v>836</v>
      </c>
      <c r="D187" s="51" t="s">
        <v>320</v>
      </c>
      <c r="E187" s="51" t="s">
        <v>272</v>
      </c>
      <c r="F187" s="51" t="s">
        <v>266</v>
      </c>
      <c r="G187" s="56">
        <v>500</v>
      </c>
      <c r="H187" s="823"/>
      <c r="I187" s="823"/>
      <c r="J187" s="823"/>
      <c r="K187" s="56">
        <v>500</v>
      </c>
      <c r="L187" s="823"/>
      <c r="M187" s="823"/>
      <c r="N187" s="823"/>
      <c r="O187" s="823"/>
      <c r="P187" s="823"/>
      <c r="Q187" s="823"/>
      <c r="R187" s="823"/>
      <c r="S187" s="823"/>
      <c r="T187" s="823"/>
      <c r="U187" s="823"/>
      <c r="V187" s="823"/>
      <c r="W187" s="823"/>
      <c r="X187" s="823"/>
      <c r="Y187" s="823"/>
      <c r="Z187" s="823"/>
      <c r="AA187" s="823"/>
      <c r="AB187" s="823"/>
      <c r="AC187" s="823"/>
      <c r="AD187" s="823"/>
      <c r="AE187" s="823"/>
      <c r="AF187" s="823"/>
      <c r="AG187" s="823"/>
      <c r="AH187" s="56">
        <v>0</v>
      </c>
      <c r="AI187" s="823"/>
      <c r="AJ187" s="823"/>
      <c r="AK187" s="56">
        <v>500</v>
      </c>
      <c r="AL187" s="56">
        <v>0</v>
      </c>
    </row>
    <row r="188" spans="1:38" ht="15.75" thickBot="1" x14ac:dyDescent="0.3">
      <c r="A188" s="51" t="s">
        <v>951</v>
      </c>
      <c r="B188" s="51" t="s">
        <v>53</v>
      </c>
      <c r="C188" s="51" t="s">
        <v>836</v>
      </c>
      <c r="D188" s="51" t="s">
        <v>320</v>
      </c>
      <c r="E188" s="51" t="s">
        <v>265</v>
      </c>
      <c r="F188" s="51" t="s">
        <v>266</v>
      </c>
      <c r="G188" s="56">
        <v>18455.53</v>
      </c>
      <c r="H188" s="56">
        <v>173389</v>
      </c>
      <c r="I188" s="823"/>
      <c r="J188" s="823"/>
      <c r="K188" s="823"/>
      <c r="L188" s="823"/>
      <c r="M188" s="56">
        <v>18455.53</v>
      </c>
      <c r="N188" s="823"/>
      <c r="O188" s="823"/>
      <c r="P188" s="823"/>
      <c r="Q188" s="823"/>
      <c r="R188" s="823"/>
      <c r="S188" s="823"/>
      <c r="T188" s="823"/>
      <c r="U188" s="823"/>
      <c r="V188" s="823"/>
      <c r="W188" s="823"/>
      <c r="X188" s="823"/>
      <c r="Y188" s="823"/>
      <c r="Z188" s="823"/>
      <c r="AA188" s="823"/>
      <c r="AB188" s="823"/>
      <c r="AC188" s="823"/>
      <c r="AD188" s="823"/>
      <c r="AE188" s="823"/>
      <c r="AF188" s="823"/>
      <c r="AG188" s="823"/>
      <c r="AH188" s="56">
        <v>0</v>
      </c>
      <c r="AI188" s="823"/>
      <c r="AJ188" s="823"/>
      <c r="AK188" s="56">
        <v>18455.53</v>
      </c>
      <c r="AL188" s="56">
        <v>0</v>
      </c>
    </row>
    <row r="189" spans="1:38" ht="15.75" thickBot="1" x14ac:dyDescent="0.3">
      <c r="A189" s="51" t="s">
        <v>951</v>
      </c>
      <c r="B189" s="51" t="s">
        <v>53</v>
      </c>
      <c r="C189" s="51" t="s">
        <v>836</v>
      </c>
      <c r="D189" s="51" t="s">
        <v>320</v>
      </c>
      <c r="E189" s="51" t="s">
        <v>620</v>
      </c>
      <c r="F189" s="51" t="s">
        <v>266</v>
      </c>
      <c r="G189" s="56">
        <v>64.39</v>
      </c>
      <c r="H189" s="823"/>
      <c r="I189" s="823"/>
      <c r="J189" s="823"/>
      <c r="K189" s="823"/>
      <c r="L189" s="823"/>
      <c r="M189" s="823"/>
      <c r="N189" s="823"/>
      <c r="O189" s="823"/>
      <c r="P189" s="823"/>
      <c r="Q189" s="823"/>
      <c r="R189" s="823"/>
      <c r="S189" s="823"/>
      <c r="T189" s="823"/>
      <c r="U189" s="823"/>
      <c r="V189" s="823"/>
      <c r="W189" s="823"/>
      <c r="X189" s="823"/>
      <c r="Y189" s="823"/>
      <c r="Z189" s="56">
        <v>64.39</v>
      </c>
      <c r="AA189" s="823"/>
      <c r="AB189" s="823"/>
      <c r="AC189" s="823"/>
      <c r="AD189" s="823"/>
      <c r="AE189" s="823"/>
      <c r="AF189" s="823"/>
      <c r="AG189" s="823"/>
      <c r="AH189" s="56">
        <v>0</v>
      </c>
      <c r="AI189" s="823"/>
      <c r="AJ189" s="823"/>
      <c r="AK189" s="56">
        <v>64.39</v>
      </c>
      <c r="AL189" s="56">
        <v>0</v>
      </c>
    </row>
    <row r="190" spans="1:38" ht="15.75" thickBot="1" x14ac:dyDescent="0.3">
      <c r="A190" s="51" t="s">
        <v>951</v>
      </c>
      <c r="B190" s="51" t="s">
        <v>53</v>
      </c>
      <c r="C190" s="51" t="s">
        <v>836</v>
      </c>
      <c r="D190" s="51" t="s">
        <v>320</v>
      </c>
      <c r="E190" s="51" t="s">
        <v>621</v>
      </c>
      <c r="F190" s="51" t="s">
        <v>266</v>
      </c>
      <c r="G190" s="56">
        <v>707.43</v>
      </c>
      <c r="H190" s="823"/>
      <c r="I190" s="823"/>
      <c r="J190" s="823"/>
      <c r="K190" s="823"/>
      <c r="L190" s="823"/>
      <c r="M190" s="823"/>
      <c r="N190" s="823"/>
      <c r="O190" s="823"/>
      <c r="P190" s="823"/>
      <c r="Q190" s="823"/>
      <c r="R190" s="823"/>
      <c r="S190" s="823"/>
      <c r="T190" s="823"/>
      <c r="U190" s="823"/>
      <c r="V190" s="823"/>
      <c r="W190" s="823"/>
      <c r="X190" s="823"/>
      <c r="Y190" s="823"/>
      <c r="Z190" s="823"/>
      <c r="AA190" s="56">
        <v>707.43</v>
      </c>
      <c r="AB190" s="823"/>
      <c r="AC190" s="823"/>
      <c r="AD190" s="823"/>
      <c r="AE190" s="823"/>
      <c r="AF190" s="823"/>
      <c r="AG190" s="823"/>
      <c r="AH190" s="56">
        <v>0</v>
      </c>
      <c r="AI190" s="823"/>
      <c r="AJ190" s="823"/>
      <c r="AK190" s="56">
        <v>707.43</v>
      </c>
      <c r="AL190" s="56">
        <v>0</v>
      </c>
    </row>
    <row r="191" spans="1:38" ht="15.75" thickBot="1" x14ac:dyDescent="0.3">
      <c r="A191" s="51" t="s">
        <v>951</v>
      </c>
      <c r="B191" s="51" t="s">
        <v>53</v>
      </c>
      <c r="C191" s="51" t="s">
        <v>836</v>
      </c>
      <c r="D191" s="51" t="s">
        <v>320</v>
      </c>
      <c r="E191" s="51" t="s">
        <v>273</v>
      </c>
      <c r="F191" s="51" t="s">
        <v>266</v>
      </c>
      <c r="G191" s="56">
        <v>14847.3</v>
      </c>
      <c r="H191" s="823"/>
      <c r="I191" s="823"/>
      <c r="J191" s="823"/>
      <c r="K191" s="823"/>
      <c r="L191" s="823"/>
      <c r="M191" s="823"/>
      <c r="N191" s="823"/>
      <c r="O191" s="823"/>
      <c r="P191" s="823"/>
      <c r="Q191" s="823"/>
      <c r="R191" s="823"/>
      <c r="S191" s="823"/>
      <c r="T191" s="823"/>
      <c r="U191" s="823"/>
      <c r="V191" s="823"/>
      <c r="W191" s="823"/>
      <c r="X191" s="823"/>
      <c r="Y191" s="56">
        <v>14847.3</v>
      </c>
      <c r="Z191" s="823"/>
      <c r="AA191" s="823"/>
      <c r="AB191" s="823"/>
      <c r="AC191" s="823"/>
      <c r="AD191" s="823"/>
      <c r="AE191" s="823"/>
      <c r="AF191" s="823"/>
      <c r="AG191" s="823"/>
      <c r="AH191" s="56">
        <v>0</v>
      </c>
      <c r="AI191" s="823"/>
      <c r="AJ191" s="823"/>
      <c r="AK191" s="56">
        <v>14847.3</v>
      </c>
      <c r="AL191" s="56">
        <v>0</v>
      </c>
    </row>
    <row r="192" spans="1:38" ht="15.75" thickBot="1" x14ac:dyDescent="0.3">
      <c r="A192" s="51" t="s">
        <v>951</v>
      </c>
      <c r="B192" s="51" t="s">
        <v>53</v>
      </c>
      <c r="C192" s="51" t="s">
        <v>836</v>
      </c>
      <c r="D192" s="51" t="s">
        <v>320</v>
      </c>
      <c r="E192" s="51" t="s">
        <v>268</v>
      </c>
      <c r="F192" s="51" t="s">
        <v>266</v>
      </c>
      <c r="G192" s="56">
        <v>550</v>
      </c>
      <c r="H192" s="823"/>
      <c r="I192" s="823"/>
      <c r="J192" s="823"/>
      <c r="K192" s="56">
        <v>550</v>
      </c>
      <c r="L192" s="823"/>
      <c r="M192" s="823"/>
      <c r="N192" s="823"/>
      <c r="O192" s="823"/>
      <c r="P192" s="823"/>
      <c r="Q192" s="823"/>
      <c r="R192" s="823"/>
      <c r="S192" s="823"/>
      <c r="T192" s="823"/>
      <c r="U192" s="823"/>
      <c r="V192" s="823"/>
      <c r="W192" s="823"/>
      <c r="X192" s="823"/>
      <c r="Y192" s="823"/>
      <c r="Z192" s="823"/>
      <c r="AA192" s="823"/>
      <c r="AB192" s="823"/>
      <c r="AC192" s="823"/>
      <c r="AD192" s="823"/>
      <c r="AE192" s="823"/>
      <c r="AF192" s="823"/>
      <c r="AG192" s="823"/>
      <c r="AH192" s="56">
        <v>0</v>
      </c>
      <c r="AI192" s="823"/>
      <c r="AJ192" s="823"/>
      <c r="AK192" s="56">
        <v>550</v>
      </c>
      <c r="AL192" s="56">
        <v>0</v>
      </c>
    </row>
    <row r="193" spans="1:38" ht="23.25" thickBot="1" x14ac:dyDescent="0.3">
      <c r="A193" s="51" t="s">
        <v>951</v>
      </c>
      <c r="B193" s="51" t="s">
        <v>36</v>
      </c>
      <c r="C193" s="51" t="s">
        <v>438</v>
      </c>
      <c r="D193" s="51" t="s">
        <v>320</v>
      </c>
      <c r="E193" s="51" t="s">
        <v>269</v>
      </c>
      <c r="F193" s="51" t="s">
        <v>915</v>
      </c>
      <c r="G193" s="56">
        <v>2632.06</v>
      </c>
      <c r="H193" s="823"/>
      <c r="I193" s="823"/>
      <c r="J193" s="823"/>
      <c r="K193" s="823"/>
      <c r="L193" s="823"/>
      <c r="M193" s="823"/>
      <c r="N193" s="823"/>
      <c r="O193" s="823"/>
      <c r="P193" s="823"/>
      <c r="Q193" s="823"/>
      <c r="R193" s="823"/>
      <c r="S193" s="823"/>
      <c r="T193" s="56">
        <v>2632.06</v>
      </c>
      <c r="U193" s="823"/>
      <c r="V193" s="823"/>
      <c r="W193" s="823"/>
      <c r="X193" s="823"/>
      <c r="Y193" s="823"/>
      <c r="Z193" s="823"/>
      <c r="AA193" s="823"/>
      <c r="AB193" s="823"/>
      <c r="AC193" s="823"/>
      <c r="AD193" s="823"/>
      <c r="AE193" s="823"/>
      <c r="AF193" s="823"/>
      <c r="AG193" s="823"/>
      <c r="AH193" s="56">
        <v>157.93</v>
      </c>
      <c r="AI193" s="823"/>
      <c r="AJ193" s="823"/>
      <c r="AK193" s="56">
        <v>2789.99</v>
      </c>
      <c r="AL193" s="56">
        <v>0</v>
      </c>
    </row>
    <row r="194" spans="1:38" ht="15.75" thickBot="1" x14ac:dyDescent="0.3">
      <c r="A194" s="51" t="s">
        <v>951</v>
      </c>
      <c r="B194" s="51" t="s">
        <v>36</v>
      </c>
      <c r="C194" s="51" t="s">
        <v>438</v>
      </c>
      <c r="D194" s="51" t="s">
        <v>320</v>
      </c>
      <c r="E194" s="51" t="s">
        <v>272</v>
      </c>
      <c r="F194" s="51" t="s">
        <v>266</v>
      </c>
      <c r="G194" s="56">
        <v>36750</v>
      </c>
      <c r="H194" s="823"/>
      <c r="I194" s="823"/>
      <c r="J194" s="823"/>
      <c r="K194" s="56">
        <v>36750</v>
      </c>
      <c r="L194" s="823"/>
      <c r="M194" s="823"/>
      <c r="N194" s="823"/>
      <c r="O194" s="823"/>
      <c r="P194" s="823"/>
      <c r="Q194" s="823"/>
      <c r="R194" s="823"/>
      <c r="S194" s="823"/>
      <c r="T194" s="823"/>
      <c r="U194" s="823"/>
      <c r="V194" s="823"/>
      <c r="W194" s="823"/>
      <c r="X194" s="823"/>
      <c r="Y194" s="823"/>
      <c r="Z194" s="823"/>
      <c r="AA194" s="823"/>
      <c r="AB194" s="823"/>
      <c r="AC194" s="823"/>
      <c r="AD194" s="823"/>
      <c r="AE194" s="823"/>
      <c r="AF194" s="823"/>
      <c r="AG194" s="823"/>
      <c r="AH194" s="56">
        <v>1649.22</v>
      </c>
      <c r="AI194" s="823"/>
      <c r="AJ194" s="823"/>
      <c r="AK194" s="56">
        <v>38399.22</v>
      </c>
      <c r="AL194" s="56">
        <v>0</v>
      </c>
    </row>
    <row r="195" spans="1:38" ht="15.75" thickBot="1" x14ac:dyDescent="0.3">
      <c r="A195" s="51" t="s">
        <v>951</v>
      </c>
      <c r="B195" s="51" t="s">
        <v>36</v>
      </c>
      <c r="C195" s="51" t="s">
        <v>438</v>
      </c>
      <c r="D195" s="51" t="s">
        <v>320</v>
      </c>
      <c r="E195" s="51" t="s">
        <v>265</v>
      </c>
      <c r="F195" s="51" t="s">
        <v>266</v>
      </c>
      <c r="G195" s="56">
        <v>24727.59</v>
      </c>
      <c r="H195" s="56">
        <v>6507272</v>
      </c>
      <c r="I195" s="823"/>
      <c r="J195" s="823"/>
      <c r="K195" s="823"/>
      <c r="L195" s="823"/>
      <c r="M195" s="56">
        <v>24727.59</v>
      </c>
      <c r="N195" s="823"/>
      <c r="O195" s="823"/>
      <c r="P195" s="823"/>
      <c r="Q195" s="823"/>
      <c r="R195" s="823"/>
      <c r="S195" s="823"/>
      <c r="T195" s="823"/>
      <c r="U195" s="823"/>
      <c r="V195" s="823"/>
      <c r="W195" s="823"/>
      <c r="X195" s="823"/>
      <c r="Y195" s="823"/>
      <c r="Z195" s="823"/>
      <c r="AA195" s="823"/>
      <c r="AB195" s="823"/>
      <c r="AC195" s="823"/>
      <c r="AD195" s="823"/>
      <c r="AE195" s="823"/>
      <c r="AF195" s="823"/>
      <c r="AG195" s="823"/>
      <c r="AH195" s="56">
        <v>983.92</v>
      </c>
      <c r="AI195" s="823"/>
      <c r="AJ195" s="823"/>
      <c r="AK195" s="56">
        <v>25711.51</v>
      </c>
      <c r="AL195" s="56">
        <v>0</v>
      </c>
    </row>
    <row r="196" spans="1:38" ht="23.25" thickBot="1" x14ac:dyDescent="0.3">
      <c r="A196" s="51" t="s">
        <v>951</v>
      </c>
      <c r="B196" s="51" t="s">
        <v>36</v>
      </c>
      <c r="C196" s="51" t="s">
        <v>438</v>
      </c>
      <c r="D196" s="51" t="s">
        <v>320</v>
      </c>
      <c r="E196" s="51" t="s">
        <v>265</v>
      </c>
      <c r="F196" s="51" t="s">
        <v>915</v>
      </c>
      <c r="G196" s="54">
        <v>50.93</v>
      </c>
      <c r="H196" s="54">
        <v>13403</v>
      </c>
      <c r="I196" s="822"/>
      <c r="J196" s="822"/>
      <c r="K196" s="822"/>
      <c r="L196" s="822"/>
      <c r="M196" s="54">
        <v>50.93</v>
      </c>
      <c r="N196" s="822"/>
      <c r="O196" s="822"/>
      <c r="P196" s="822"/>
      <c r="Q196" s="822"/>
      <c r="R196" s="822"/>
      <c r="S196" s="822"/>
      <c r="T196" s="822"/>
      <c r="U196" s="822"/>
      <c r="V196" s="822"/>
      <c r="W196" s="822"/>
      <c r="X196" s="822"/>
      <c r="Y196" s="822"/>
      <c r="Z196" s="822"/>
      <c r="AA196" s="822"/>
      <c r="AB196" s="822"/>
      <c r="AC196" s="822"/>
      <c r="AD196" s="822"/>
      <c r="AE196" s="822"/>
      <c r="AF196" s="822"/>
      <c r="AG196" s="822"/>
      <c r="AH196" s="54">
        <v>3.05</v>
      </c>
      <c r="AI196" s="822"/>
      <c r="AJ196" s="822"/>
      <c r="AK196" s="54">
        <v>53.98</v>
      </c>
      <c r="AL196" s="54">
        <v>0</v>
      </c>
    </row>
    <row r="197" spans="1:38" ht="15.75" thickBot="1" x14ac:dyDescent="0.3">
      <c r="A197" s="51" t="s">
        <v>951</v>
      </c>
      <c r="B197" s="51" t="s">
        <v>36</v>
      </c>
      <c r="C197" s="51" t="s">
        <v>438</v>
      </c>
      <c r="D197" s="51" t="s">
        <v>320</v>
      </c>
      <c r="E197" s="51" t="s">
        <v>621</v>
      </c>
      <c r="F197" s="51" t="s">
        <v>266</v>
      </c>
      <c r="G197" s="54">
        <v>3123.5</v>
      </c>
      <c r="H197" s="822"/>
      <c r="I197" s="822"/>
      <c r="J197" s="822"/>
      <c r="K197" s="822"/>
      <c r="L197" s="822"/>
      <c r="M197" s="822"/>
      <c r="N197" s="822"/>
      <c r="O197" s="822"/>
      <c r="P197" s="822"/>
      <c r="Q197" s="822"/>
      <c r="R197" s="822"/>
      <c r="S197" s="822"/>
      <c r="T197" s="822"/>
      <c r="U197" s="822"/>
      <c r="V197" s="822"/>
      <c r="W197" s="822"/>
      <c r="X197" s="822"/>
      <c r="Y197" s="822"/>
      <c r="Z197" s="822"/>
      <c r="AA197" s="54">
        <v>3123.5</v>
      </c>
      <c r="AB197" s="822"/>
      <c r="AC197" s="822"/>
      <c r="AD197" s="822"/>
      <c r="AE197" s="822"/>
      <c r="AF197" s="822"/>
      <c r="AG197" s="822"/>
      <c r="AH197" s="54">
        <v>124.28</v>
      </c>
      <c r="AI197" s="822"/>
      <c r="AJ197" s="822"/>
      <c r="AK197" s="54">
        <v>3247.78</v>
      </c>
      <c r="AL197" s="54">
        <v>0</v>
      </c>
    </row>
    <row r="198" spans="1:38" ht="23.25" thickBot="1" x14ac:dyDescent="0.3">
      <c r="A198" s="51" t="s">
        <v>951</v>
      </c>
      <c r="B198" s="51" t="s">
        <v>36</v>
      </c>
      <c r="C198" s="51" t="s">
        <v>438</v>
      </c>
      <c r="D198" s="51" t="s">
        <v>320</v>
      </c>
      <c r="E198" s="51" t="s">
        <v>916</v>
      </c>
      <c r="F198" s="51" t="s">
        <v>915</v>
      </c>
      <c r="G198" s="54">
        <v>6.43</v>
      </c>
      <c r="H198" s="822"/>
      <c r="I198" s="822"/>
      <c r="J198" s="822"/>
      <c r="K198" s="822"/>
      <c r="L198" s="822"/>
      <c r="M198" s="822"/>
      <c r="N198" s="822"/>
      <c r="O198" s="822"/>
      <c r="P198" s="822"/>
      <c r="Q198" s="822"/>
      <c r="R198" s="822"/>
      <c r="S198" s="822"/>
      <c r="T198" s="822"/>
      <c r="U198" s="822"/>
      <c r="V198" s="822"/>
      <c r="W198" s="822"/>
      <c r="X198" s="822"/>
      <c r="Y198" s="822"/>
      <c r="Z198" s="822"/>
      <c r="AA198" s="54">
        <v>6.43</v>
      </c>
      <c r="AB198" s="822"/>
      <c r="AC198" s="822"/>
      <c r="AD198" s="822"/>
      <c r="AE198" s="822"/>
      <c r="AF198" s="822"/>
      <c r="AG198" s="822"/>
      <c r="AH198" s="54">
        <v>0.38</v>
      </c>
      <c r="AI198" s="822"/>
      <c r="AJ198" s="822"/>
      <c r="AK198" s="54">
        <v>6.81</v>
      </c>
      <c r="AL198" s="54">
        <v>0</v>
      </c>
    </row>
    <row r="199" spans="1:38" ht="23.25" thickBot="1" x14ac:dyDescent="0.3">
      <c r="A199" s="51" t="s">
        <v>951</v>
      </c>
      <c r="B199" s="51" t="s">
        <v>36</v>
      </c>
      <c r="C199" s="51" t="s">
        <v>438</v>
      </c>
      <c r="D199" s="51" t="s">
        <v>320</v>
      </c>
      <c r="E199" s="51" t="s">
        <v>271</v>
      </c>
      <c r="F199" s="51" t="s">
        <v>915</v>
      </c>
      <c r="G199" s="54">
        <v>201.82</v>
      </c>
      <c r="H199" s="822"/>
      <c r="I199" s="822"/>
      <c r="J199" s="822"/>
      <c r="K199" s="822"/>
      <c r="L199" s="822"/>
      <c r="M199" s="822"/>
      <c r="N199" s="822"/>
      <c r="O199" s="822"/>
      <c r="P199" s="822"/>
      <c r="Q199" s="822"/>
      <c r="R199" s="822"/>
      <c r="S199" s="822"/>
      <c r="T199" s="822"/>
      <c r="U199" s="54">
        <v>201.82</v>
      </c>
      <c r="V199" s="822"/>
      <c r="W199" s="822"/>
      <c r="X199" s="822"/>
      <c r="Y199" s="822"/>
      <c r="Z199" s="822"/>
      <c r="AA199" s="822"/>
      <c r="AB199" s="822"/>
      <c r="AC199" s="822"/>
      <c r="AD199" s="822"/>
      <c r="AE199" s="822"/>
      <c r="AF199" s="822"/>
      <c r="AG199" s="822"/>
      <c r="AH199" s="54">
        <v>12.11</v>
      </c>
      <c r="AI199" s="822"/>
      <c r="AJ199" s="822"/>
      <c r="AK199" s="54">
        <v>213.93</v>
      </c>
      <c r="AL199" s="54">
        <v>0</v>
      </c>
    </row>
    <row r="200" spans="1:38" ht="15.75" thickBot="1" x14ac:dyDescent="0.3">
      <c r="A200" s="51" t="s">
        <v>951</v>
      </c>
      <c r="B200" s="51" t="s">
        <v>36</v>
      </c>
      <c r="C200" s="51" t="s">
        <v>438</v>
      </c>
      <c r="D200" s="51" t="s">
        <v>320</v>
      </c>
      <c r="E200" s="51" t="s">
        <v>325</v>
      </c>
      <c r="F200" s="51" t="s">
        <v>266</v>
      </c>
      <c r="G200" s="54">
        <v>132.34</v>
      </c>
      <c r="H200" s="822"/>
      <c r="I200" s="822"/>
      <c r="J200" s="822"/>
      <c r="K200" s="822"/>
      <c r="L200" s="822"/>
      <c r="M200" s="822"/>
      <c r="N200" s="54">
        <v>132.34</v>
      </c>
      <c r="O200" s="822"/>
      <c r="P200" s="822"/>
      <c r="Q200" s="822"/>
      <c r="R200" s="822"/>
      <c r="S200" s="822"/>
      <c r="T200" s="822"/>
      <c r="U200" s="822"/>
      <c r="V200" s="822"/>
      <c r="W200" s="822"/>
      <c r="X200" s="822"/>
      <c r="Y200" s="822"/>
      <c r="Z200" s="822"/>
      <c r="AA200" s="822"/>
      <c r="AB200" s="822"/>
      <c r="AC200" s="822"/>
      <c r="AD200" s="822"/>
      <c r="AE200" s="822"/>
      <c r="AF200" s="822"/>
      <c r="AG200" s="822"/>
      <c r="AH200" s="54">
        <v>6.75</v>
      </c>
      <c r="AI200" s="822"/>
      <c r="AJ200" s="822"/>
      <c r="AK200" s="54">
        <v>139.09</v>
      </c>
      <c r="AL200" s="54">
        <v>0</v>
      </c>
    </row>
    <row r="201" spans="1:38" ht="15.75" thickBot="1" x14ac:dyDescent="0.3">
      <c r="A201" s="51" t="s">
        <v>951</v>
      </c>
      <c r="B201" s="51" t="s">
        <v>36</v>
      </c>
      <c r="C201" s="51" t="s">
        <v>438</v>
      </c>
      <c r="D201" s="51" t="s">
        <v>320</v>
      </c>
      <c r="E201" s="51" t="s">
        <v>268</v>
      </c>
      <c r="F201" s="51" t="s">
        <v>266</v>
      </c>
      <c r="G201" s="54">
        <v>26950</v>
      </c>
      <c r="H201" s="822"/>
      <c r="I201" s="822"/>
      <c r="J201" s="822"/>
      <c r="K201" s="54">
        <v>26950</v>
      </c>
      <c r="L201" s="822"/>
      <c r="M201" s="822"/>
      <c r="N201" s="822"/>
      <c r="O201" s="822"/>
      <c r="P201" s="822"/>
      <c r="Q201" s="822"/>
      <c r="R201" s="822"/>
      <c r="S201" s="822"/>
      <c r="T201" s="822"/>
      <c r="U201" s="822"/>
      <c r="V201" s="822"/>
      <c r="W201" s="822"/>
      <c r="X201" s="822"/>
      <c r="Y201" s="822"/>
      <c r="Z201" s="822"/>
      <c r="AA201" s="822"/>
      <c r="AB201" s="822"/>
      <c r="AC201" s="822"/>
      <c r="AD201" s="822"/>
      <c r="AE201" s="822"/>
      <c r="AF201" s="822"/>
      <c r="AG201" s="822"/>
      <c r="AH201" s="54">
        <v>1209.45</v>
      </c>
      <c r="AI201" s="822"/>
      <c r="AJ201" s="822"/>
      <c r="AK201" s="54">
        <v>28159.45</v>
      </c>
      <c r="AL201" s="54">
        <v>0</v>
      </c>
    </row>
    <row r="202" spans="1:38" ht="15.75" thickBot="1" x14ac:dyDescent="0.3">
      <c r="A202" s="51" t="s">
        <v>951</v>
      </c>
      <c r="B202" s="51" t="s">
        <v>36</v>
      </c>
      <c r="C202" s="51" t="s">
        <v>438</v>
      </c>
      <c r="D202" s="51" t="s">
        <v>320</v>
      </c>
      <c r="E202" s="51" t="s">
        <v>914</v>
      </c>
      <c r="F202" s="51" t="s">
        <v>266</v>
      </c>
      <c r="G202" s="54">
        <v>321784.11</v>
      </c>
      <c r="H202" s="822"/>
      <c r="I202" s="822"/>
      <c r="J202" s="822"/>
      <c r="K202" s="822"/>
      <c r="L202" s="54">
        <v>321784.11</v>
      </c>
      <c r="M202" s="822"/>
      <c r="N202" s="822"/>
      <c r="O202" s="822"/>
      <c r="P202" s="822"/>
      <c r="Q202" s="822"/>
      <c r="R202" s="822"/>
      <c r="S202" s="822"/>
      <c r="T202" s="822"/>
      <c r="U202" s="822"/>
      <c r="V202" s="822"/>
      <c r="W202" s="822"/>
      <c r="X202" s="822"/>
      <c r="Y202" s="822"/>
      <c r="Z202" s="822"/>
      <c r="AA202" s="822"/>
      <c r="AB202" s="822"/>
      <c r="AC202" s="822"/>
      <c r="AD202" s="822"/>
      <c r="AE202" s="822"/>
      <c r="AF202" s="822"/>
      <c r="AG202" s="822"/>
      <c r="AH202" s="54">
        <v>14608.84</v>
      </c>
      <c r="AI202" s="822"/>
      <c r="AJ202" s="822"/>
      <c r="AK202" s="54">
        <v>336392.95</v>
      </c>
      <c r="AL202" s="54">
        <v>0</v>
      </c>
    </row>
    <row r="203" spans="1:38" ht="15.75" thickBot="1" x14ac:dyDescent="0.3">
      <c r="A203" s="51" t="s">
        <v>951</v>
      </c>
      <c r="B203" s="51" t="s">
        <v>36</v>
      </c>
      <c r="C203" s="51" t="s">
        <v>438</v>
      </c>
      <c r="D203" s="51" t="s">
        <v>320</v>
      </c>
      <c r="E203" s="51" t="s">
        <v>329</v>
      </c>
      <c r="F203" s="51" t="s">
        <v>266</v>
      </c>
      <c r="G203" s="54">
        <v>772.37</v>
      </c>
      <c r="H203" s="822"/>
      <c r="I203" s="822"/>
      <c r="J203" s="822"/>
      <c r="K203" s="822"/>
      <c r="L203" s="822"/>
      <c r="M203" s="822"/>
      <c r="N203" s="822"/>
      <c r="O203" s="822"/>
      <c r="P203" s="822"/>
      <c r="Q203" s="822"/>
      <c r="R203" s="822"/>
      <c r="S203" s="822"/>
      <c r="T203" s="822"/>
      <c r="U203" s="822"/>
      <c r="V203" s="822"/>
      <c r="W203" s="54">
        <v>772.37</v>
      </c>
      <c r="X203" s="822"/>
      <c r="Y203" s="822"/>
      <c r="Z203" s="822"/>
      <c r="AA203" s="822"/>
      <c r="AB203" s="822"/>
      <c r="AC203" s="822"/>
      <c r="AD203" s="822"/>
      <c r="AE203" s="822"/>
      <c r="AF203" s="822"/>
      <c r="AG203" s="822"/>
      <c r="AH203" s="54">
        <v>46.34</v>
      </c>
      <c r="AI203" s="822"/>
      <c r="AJ203" s="822"/>
      <c r="AK203" s="54">
        <v>818.71</v>
      </c>
      <c r="AL203" s="54">
        <v>0</v>
      </c>
    </row>
    <row r="204" spans="1:38" ht="15.75" thickBot="1" x14ac:dyDescent="0.3">
      <c r="A204" s="51" t="s">
        <v>951</v>
      </c>
      <c r="B204" s="51" t="s">
        <v>36</v>
      </c>
      <c r="C204" s="51" t="s">
        <v>438</v>
      </c>
      <c r="D204" s="51" t="s">
        <v>320</v>
      </c>
      <c r="E204" s="51" t="s">
        <v>330</v>
      </c>
      <c r="F204" s="51" t="s">
        <v>266</v>
      </c>
      <c r="G204" s="54">
        <v>1803.61</v>
      </c>
      <c r="H204" s="822"/>
      <c r="I204" s="822"/>
      <c r="J204" s="822"/>
      <c r="K204" s="822"/>
      <c r="L204" s="822"/>
      <c r="M204" s="822"/>
      <c r="N204" s="822"/>
      <c r="O204" s="822"/>
      <c r="P204" s="822"/>
      <c r="Q204" s="822"/>
      <c r="R204" s="822"/>
      <c r="S204" s="822"/>
      <c r="T204" s="822"/>
      <c r="U204" s="822"/>
      <c r="V204" s="822"/>
      <c r="W204" s="822"/>
      <c r="X204" s="54">
        <v>1803.61</v>
      </c>
      <c r="Y204" s="822"/>
      <c r="Z204" s="822"/>
      <c r="AA204" s="822"/>
      <c r="AB204" s="822"/>
      <c r="AC204" s="822"/>
      <c r="AD204" s="822"/>
      <c r="AE204" s="822"/>
      <c r="AF204" s="822"/>
      <c r="AG204" s="822"/>
      <c r="AH204" s="54">
        <v>108.22</v>
      </c>
      <c r="AI204" s="822"/>
      <c r="AJ204" s="822"/>
      <c r="AK204" s="54">
        <v>1911.83</v>
      </c>
      <c r="AL204" s="54">
        <v>0</v>
      </c>
    </row>
    <row r="205" spans="1:38" ht="15.75" thickBot="1" x14ac:dyDescent="0.3">
      <c r="A205" s="51" t="s">
        <v>951</v>
      </c>
      <c r="B205" s="51" t="s">
        <v>36</v>
      </c>
      <c r="C205" s="51" t="s">
        <v>438</v>
      </c>
      <c r="D205" s="51" t="s">
        <v>319</v>
      </c>
      <c r="E205" s="51" t="s">
        <v>272</v>
      </c>
      <c r="F205" s="51" t="s">
        <v>266</v>
      </c>
      <c r="G205" s="56">
        <v>1500</v>
      </c>
      <c r="H205" s="823"/>
      <c r="I205" s="823"/>
      <c r="J205" s="823"/>
      <c r="K205" s="56">
        <v>1500</v>
      </c>
      <c r="L205" s="823"/>
      <c r="M205" s="823"/>
      <c r="N205" s="823"/>
      <c r="O205" s="823"/>
      <c r="P205" s="823"/>
      <c r="Q205" s="823"/>
      <c r="R205" s="823"/>
      <c r="S205" s="823"/>
      <c r="T205" s="823"/>
      <c r="U205" s="823"/>
      <c r="V205" s="823"/>
      <c r="W205" s="823"/>
      <c r="X205" s="823"/>
      <c r="Y205" s="823"/>
      <c r="Z205" s="823"/>
      <c r="AA205" s="823"/>
      <c r="AB205" s="823"/>
      <c r="AC205" s="823"/>
      <c r="AD205" s="823"/>
      <c r="AE205" s="823"/>
      <c r="AF205" s="823"/>
      <c r="AG205" s="823"/>
      <c r="AH205" s="56">
        <v>0</v>
      </c>
      <c r="AI205" s="823"/>
      <c r="AJ205" s="823"/>
      <c r="AK205" s="56">
        <v>1500</v>
      </c>
      <c r="AL205" s="56">
        <v>0</v>
      </c>
    </row>
    <row r="206" spans="1:38" ht="15.75" thickBot="1" x14ac:dyDescent="0.3">
      <c r="A206" s="51" t="s">
        <v>951</v>
      </c>
      <c r="B206" s="51" t="s">
        <v>36</v>
      </c>
      <c r="C206" s="51" t="s">
        <v>438</v>
      </c>
      <c r="D206" s="51" t="s">
        <v>319</v>
      </c>
      <c r="E206" s="51" t="s">
        <v>265</v>
      </c>
      <c r="F206" s="51" t="s">
        <v>266</v>
      </c>
      <c r="G206" s="56">
        <v>2568.83</v>
      </c>
      <c r="H206" s="56">
        <v>676007</v>
      </c>
      <c r="I206" s="823"/>
      <c r="J206" s="823"/>
      <c r="K206" s="823"/>
      <c r="L206" s="823"/>
      <c r="M206" s="56">
        <v>2568.83</v>
      </c>
      <c r="N206" s="823"/>
      <c r="O206" s="823"/>
      <c r="P206" s="823"/>
      <c r="Q206" s="823"/>
      <c r="R206" s="823"/>
      <c r="S206" s="823"/>
      <c r="T206" s="823"/>
      <c r="U206" s="823"/>
      <c r="V206" s="823"/>
      <c r="W206" s="823"/>
      <c r="X206" s="823"/>
      <c r="Y206" s="823"/>
      <c r="Z206" s="823"/>
      <c r="AA206" s="823"/>
      <c r="AB206" s="823"/>
      <c r="AC206" s="823"/>
      <c r="AD206" s="823"/>
      <c r="AE206" s="823"/>
      <c r="AF206" s="823"/>
      <c r="AG206" s="823"/>
      <c r="AH206" s="56">
        <v>0</v>
      </c>
      <c r="AI206" s="823"/>
      <c r="AJ206" s="823"/>
      <c r="AK206" s="56">
        <v>2568.83</v>
      </c>
      <c r="AL206" s="56">
        <v>0</v>
      </c>
    </row>
    <row r="207" spans="1:38" ht="15.75" thickBot="1" x14ac:dyDescent="0.3">
      <c r="A207" s="51" t="s">
        <v>951</v>
      </c>
      <c r="B207" s="51" t="s">
        <v>36</v>
      </c>
      <c r="C207" s="51" t="s">
        <v>438</v>
      </c>
      <c r="D207" s="51" t="s">
        <v>319</v>
      </c>
      <c r="E207" s="51" t="s">
        <v>621</v>
      </c>
      <c r="F207" s="51" t="s">
        <v>266</v>
      </c>
      <c r="G207" s="56">
        <v>324.48</v>
      </c>
      <c r="H207" s="823"/>
      <c r="I207" s="823"/>
      <c r="J207" s="823"/>
      <c r="K207" s="823"/>
      <c r="L207" s="823"/>
      <c r="M207" s="823"/>
      <c r="N207" s="823"/>
      <c r="O207" s="823"/>
      <c r="P207" s="823"/>
      <c r="Q207" s="823"/>
      <c r="R207" s="823"/>
      <c r="S207" s="823"/>
      <c r="T207" s="823"/>
      <c r="U207" s="823"/>
      <c r="V207" s="823"/>
      <c r="W207" s="823"/>
      <c r="X207" s="823"/>
      <c r="Y207" s="823"/>
      <c r="Z207" s="823"/>
      <c r="AA207" s="56">
        <v>324.48</v>
      </c>
      <c r="AB207" s="823"/>
      <c r="AC207" s="823"/>
      <c r="AD207" s="823"/>
      <c r="AE207" s="823"/>
      <c r="AF207" s="823"/>
      <c r="AG207" s="823"/>
      <c r="AH207" s="56">
        <v>0</v>
      </c>
      <c r="AI207" s="823"/>
      <c r="AJ207" s="823"/>
      <c r="AK207" s="56">
        <v>324.48</v>
      </c>
      <c r="AL207" s="56">
        <v>0</v>
      </c>
    </row>
    <row r="208" spans="1:38" ht="15.75" thickBot="1" x14ac:dyDescent="0.3">
      <c r="A208" s="51" t="s">
        <v>951</v>
      </c>
      <c r="B208" s="51" t="s">
        <v>36</v>
      </c>
      <c r="C208" s="51" t="s">
        <v>438</v>
      </c>
      <c r="D208" s="51" t="s">
        <v>319</v>
      </c>
      <c r="E208" s="51" t="s">
        <v>268</v>
      </c>
      <c r="F208" s="51" t="s">
        <v>266</v>
      </c>
      <c r="G208" s="56">
        <v>1100</v>
      </c>
      <c r="H208" s="823"/>
      <c r="I208" s="823"/>
      <c r="J208" s="823"/>
      <c r="K208" s="56">
        <v>1100</v>
      </c>
      <c r="L208" s="823"/>
      <c r="M208" s="823"/>
      <c r="N208" s="823"/>
      <c r="O208" s="823"/>
      <c r="P208" s="823"/>
      <c r="Q208" s="823"/>
      <c r="R208" s="823"/>
      <c r="S208" s="823"/>
      <c r="T208" s="823"/>
      <c r="U208" s="823"/>
      <c r="V208" s="823"/>
      <c r="W208" s="823"/>
      <c r="X208" s="823"/>
      <c r="Y208" s="823"/>
      <c r="Z208" s="823"/>
      <c r="AA208" s="823"/>
      <c r="AB208" s="823"/>
      <c r="AC208" s="823"/>
      <c r="AD208" s="823"/>
      <c r="AE208" s="823"/>
      <c r="AF208" s="823"/>
      <c r="AG208" s="823"/>
      <c r="AH208" s="56">
        <v>0</v>
      </c>
      <c r="AI208" s="823"/>
      <c r="AJ208" s="823"/>
      <c r="AK208" s="56">
        <v>1100</v>
      </c>
      <c r="AL208" s="56">
        <v>0</v>
      </c>
    </row>
    <row r="209" spans="1:38" ht="15.75" thickBot="1" x14ac:dyDescent="0.3">
      <c r="A209" s="51" t="s">
        <v>951</v>
      </c>
      <c r="B209" s="51" t="s">
        <v>36</v>
      </c>
      <c r="C209" s="51" t="s">
        <v>438</v>
      </c>
      <c r="D209" s="51" t="s">
        <v>319</v>
      </c>
      <c r="E209" s="51" t="s">
        <v>914</v>
      </c>
      <c r="F209" s="51" t="s">
        <v>266</v>
      </c>
      <c r="G209" s="56">
        <v>18788.36</v>
      </c>
      <c r="H209" s="823"/>
      <c r="I209" s="823"/>
      <c r="J209" s="823"/>
      <c r="K209" s="823"/>
      <c r="L209" s="56">
        <v>18788.36</v>
      </c>
      <c r="M209" s="823"/>
      <c r="N209" s="823"/>
      <c r="O209" s="823"/>
      <c r="P209" s="823"/>
      <c r="Q209" s="823"/>
      <c r="R209" s="823"/>
      <c r="S209" s="823"/>
      <c r="T209" s="823"/>
      <c r="U209" s="823"/>
      <c r="V209" s="823"/>
      <c r="W209" s="823"/>
      <c r="X209" s="823"/>
      <c r="Y209" s="823"/>
      <c r="Z209" s="823"/>
      <c r="AA209" s="823"/>
      <c r="AB209" s="823"/>
      <c r="AC209" s="823"/>
      <c r="AD209" s="823"/>
      <c r="AE209" s="823"/>
      <c r="AF209" s="823"/>
      <c r="AG209" s="823"/>
      <c r="AH209" s="56">
        <v>0</v>
      </c>
      <c r="AI209" s="823"/>
      <c r="AJ209" s="823"/>
      <c r="AK209" s="56">
        <v>18788.36</v>
      </c>
      <c r="AL209" s="56">
        <v>0</v>
      </c>
    </row>
    <row r="210" spans="1:38" ht="15.75" thickBot="1" x14ac:dyDescent="0.3">
      <c r="A210" s="51" t="s">
        <v>951</v>
      </c>
      <c r="B210" s="51" t="s">
        <v>447</v>
      </c>
      <c r="C210" s="51" t="s">
        <v>494</v>
      </c>
      <c r="D210" s="51" t="s">
        <v>320</v>
      </c>
      <c r="E210" s="51" t="s">
        <v>109</v>
      </c>
      <c r="F210" s="51" t="s">
        <v>266</v>
      </c>
      <c r="G210" s="54">
        <v>343.47</v>
      </c>
      <c r="H210" s="822"/>
      <c r="I210" s="822"/>
      <c r="J210" s="822"/>
      <c r="K210" s="822"/>
      <c r="L210" s="822"/>
      <c r="M210" s="822"/>
      <c r="N210" s="822"/>
      <c r="O210" s="822"/>
      <c r="P210" s="822"/>
      <c r="Q210" s="54">
        <v>343.47</v>
      </c>
      <c r="R210" s="822"/>
      <c r="S210" s="822"/>
      <c r="T210" s="822"/>
      <c r="U210" s="822"/>
      <c r="V210" s="822"/>
      <c r="W210" s="822"/>
      <c r="X210" s="822"/>
      <c r="Y210" s="822"/>
      <c r="Z210" s="822"/>
      <c r="AA210" s="822"/>
      <c r="AB210" s="822"/>
      <c r="AC210" s="822"/>
      <c r="AD210" s="822"/>
      <c r="AE210" s="822"/>
      <c r="AF210" s="822"/>
      <c r="AG210" s="822"/>
      <c r="AH210" s="54">
        <v>15.7</v>
      </c>
      <c r="AI210" s="822"/>
      <c r="AJ210" s="822"/>
      <c r="AK210" s="54">
        <v>359.17</v>
      </c>
      <c r="AL210" s="54">
        <v>0</v>
      </c>
    </row>
    <row r="211" spans="1:38" ht="15.75" thickBot="1" x14ac:dyDescent="0.3">
      <c r="A211" s="51" t="s">
        <v>951</v>
      </c>
      <c r="B211" s="51" t="s">
        <v>447</v>
      </c>
      <c r="C211" s="51" t="s">
        <v>494</v>
      </c>
      <c r="D211" s="51" t="s">
        <v>320</v>
      </c>
      <c r="E211" s="51" t="s">
        <v>356</v>
      </c>
      <c r="F211" s="51" t="s">
        <v>266</v>
      </c>
      <c r="G211" s="822"/>
      <c r="H211" s="822"/>
      <c r="I211" s="822"/>
      <c r="J211" s="822"/>
      <c r="K211" s="822"/>
      <c r="L211" s="822"/>
      <c r="M211" s="822"/>
      <c r="N211" s="822"/>
      <c r="O211" s="822"/>
      <c r="P211" s="822"/>
      <c r="Q211" s="822"/>
      <c r="R211" s="822"/>
      <c r="S211" s="822"/>
      <c r="T211" s="822"/>
      <c r="U211" s="822"/>
      <c r="V211" s="822"/>
      <c r="W211" s="822"/>
      <c r="X211" s="822"/>
      <c r="Y211" s="822"/>
      <c r="Z211" s="822"/>
      <c r="AA211" s="822"/>
      <c r="AB211" s="822"/>
      <c r="AC211" s="822"/>
      <c r="AD211" s="822"/>
      <c r="AE211" s="822"/>
      <c r="AF211" s="822"/>
      <c r="AG211" s="54">
        <v>448.16</v>
      </c>
      <c r="AH211" s="54">
        <v>10.37</v>
      </c>
      <c r="AI211" s="822"/>
      <c r="AJ211" s="822"/>
      <c r="AK211" s="54">
        <v>458.53</v>
      </c>
      <c r="AL211" s="54">
        <v>0</v>
      </c>
    </row>
    <row r="212" spans="1:38" ht="15.75" thickBot="1" x14ac:dyDescent="0.3">
      <c r="A212" s="51" t="s">
        <v>951</v>
      </c>
      <c r="B212" s="51" t="s">
        <v>447</v>
      </c>
      <c r="C212" s="51" t="s">
        <v>494</v>
      </c>
      <c r="D212" s="51" t="s">
        <v>320</v>
      </c>
      <c r="E212" s="51" t="s">
        <v>357</v>
      </c>
      <c r="F212" s="51" t="s">
        <v>266</v>
      </c>
      <c r="G212" s="54">
        <v>-12.25</v>
      </c>
      <c r="H212" s="822"/>
      <c r="I212" s="822"/>
      <c r="J212" s="822"/>
      <c r="K212" s="822"/>
      <c r="L212" s="822"/>
      <c r="M212" s="822"/>
      <c r="N212" s="822"/>
      <c r="O212" s="822"/>
      <c r="P212" s="822"/>
      <c r="Q212" s="822"/>
      <c r="R212" s="822"/>
      <c r="S212" s="54">
        <v>-12.25</v>
      </c>
      <c r="T212" s="822"/>
      <c r="U212" s="822"/>
      <c r="V212" s="822"/>
      <c r="W212" s="822"/>
      <c r="X212" s="822"/>
      <c r="Y212" s="822"/>
      <c r="Z212" s="822"/>
      <c r="AA212" s="822"/>
      <c r="AB212" s="822"/>
      <c r="AC212" s="822"/>
      <c r="AD212" s="822"/>
      <c r="AE212" s="822"/>
      <c r="AF212" s="822"/>
      <c r="AG212" s="822"/>
      <c r="AH212" s="54">
        <v>-0.37</v>
      </c>
      <c r="AI212" s="822"/>
      <c r="AJ212" s="822"/>
      <c r="AK212" s="54">
        <v>-12.62</v>
      </c>
      <c r="AL212" s="54">
        <v>0</v>
      </c>
    </row>
    <row r="213" spans="1:38" ht="15.75" thickBot="1" x14ac:dyDescent="0.3">
      <c r="A213" s="51" t="s">
        <v>951</v>
      </c>
      <c r="B213" s="51" t="s">
        <v>447</v>
      </c>
      <c r="C213" s="51" t="s">
        <v>494</v>
      </c>
      <c r="D213" s="51" t="s">
        <v>320</v>
      </c>
      <c r="E213" s="51" t="s">
        <v>272</v>
      </c>
      <c r="F213" s="51" t="s">
        <v>266</v>
      </c>
      <c r="G213" s="54">
        <v>11250</v>
      </c>
      <c r="H213" s="822"/>
      <c r="I213" s="822"/>
      <c r="J213" s="822"/>
      <c r="K213" s="54">
        <v>11250</v>
      </c>
      <c r="L213" s="822"/>
      <c r="M213" s="822"/>
      <c r="N213" s="822"/>
      <c r="O213" s="822"/>
      <c r="P213" s="822"/>
      <c r="Q213" s="822"/>
      <c r="R213" s="822"/>
      <c r="S213" s="822"/>
      <c r="T213" s="822"/>
      <c r="U213" s="822"/>
      <c r="V213" s="822"/>
      <c r="W213" s="822"/>
      <c r="X213" s="822"/>
      <c r="Y213" s="822"/>
      <c r="Z213" s="822"/>
      <c r="AA213" s="822"/>
      <c r="AB213" s="822"/>
      <c r="AC213" s="822"/>
      <c r="AD213" s="822"/>
      <c r="AE213" s="822"/>
      <c r="AF213" s="822"/>
      <c r="AG213" s="822"/>
      <c r="AH213" s="54">
        <v>499.09</v>
      </c>
      <c r="AI213" s="822"/>
      <c r="AJ213" s="822"/>
      <c r="AK213" s="54">
        <v>11749.09</v>
      </c>
      <c r="AL213" s="54">
        <v>0</v>
      </c>
    </row>
    <row r="214" spans="1:38" ht="15.75" thickBot="1" x14ac:dyDescent="0.3">
      <c r="A214" s="51" t="s">
        <v>951</v>
      </c>
      <c r="B214" s="51" t="s">
        <v>447</v>
      </c>
      <c r="C214" s="51" t="s">
        <v>494</v>
      </c>
      <c r="D214" s="51" t="s">
        <v>320</v>
      </c>
      <c r="E214" s="51" t="s">
        <v>265</v>
      </c>
      <c r="F214" s="51" t="s">
        <v>266</v>
      </c>
      <c r="G214" s="54">
        <v>2719.01</v>
      </c>
      <c r="H214" s="54">
        <v>715529</v>
      </c>
      <c r="I214" s="822"/>
      <c r="J214" s="822"/>
      <c r="K214" s="822"/>
      <c r="L214" s="822"/>
      <c r="M214" s="54">
        <v>2719.01</v>
      </c>
      <c r="N214" s="822"/>
      <c r="O214" s="822"/>
      <c r="P214" s="822"/>
      <c r="Q214" s="822"/>
      <c r="R214" s="822"/>
      <c r="S214" s="822"/>
      <c r="T214" s="822"/>
      <c r="U214" s="822"/>
      <c r="V214" s="822"/>
      <c r="W214" s="822"/>
      <c r="X214" s="822"/>
      <c r="Y214" s="822"/>
      <c r="Z214" s="822"/>
      <c r="AA214" s="822"/>
      <c r="AB214" s="822"/>
      <c r="AC214" s="822"/>
      <c r="AD214" s="822"/>
      <c r="AE214" s="822"/>
      <c r="AF214" s="822"/>
      <c r="AG214" s="822"/>
      <c r="AH214" s="54">
        <v>124.39</v>
      </c>
      <c r="AI214" s="822"/>
      <c r="AJ214" s="822"/>
      <c r="AK214" s="54">
        <v>2843.4</v>
      </c>
      <c r="AL214" s="54">
        <v>0</v>
      </c>
    </row>
    <row r="215" spans="1:38" ht="15.75" thickBot="1" x14ac:dyDescent="0.3">
      <c r="A215" s="51" t="s">
        <v>951</v>
      </c>
      <c r="B215" s="51" t="s">
        <v>447</v>
      </c>
      <c r="C215" s="51" t="s">
        <v>494</v>
      </c>
      <c r="D215" s="51" t="s">
        <v>320</v>
      </c>
      <c r="E215" s="51" t="s">
        <v>621</v>
      </c>
      <c r="F215" s="51" t="s">
        <v>266</v>
      </c>
      <c r="G215" s="54">
        <v>343.47</v>
      </c>
      <c r="H215" s="822"/>
      <c r="I215" s="822"/>
      <c r="J215" s="822"/>
      <c r="K215" s="822"/>
      <c r="L215" s="822"/>
      <c r="M215" s="822"/>
      <c r="N215" s="822"/>
      <c r="O215" s="822"/>
      <c r="P215" s="822"/>
      <c r="Q215" s="822"/>
      <c r="R215" s="822"/>
      <c r="S215" s="822"/>
      <c r="T215" s="822"/>
      <c r="U215" s="822"/>
      <c r="V215" s="822"/>
      <c r="W215" s="822"/>
      <c r="X215" s="822"/>
      <c r="Y215" s="822"/>
      <c r="Z215" s="822"/>
      <c r="AA215" s="54">
        <v>343.47</v>
      </c>
      <c r="AB215" s="822"/>
      <c r="AC215" s="822"/>
      <c r="AD215" s="822"/>
      <c r="AE215" s="822"/>
      <c r="AF215" s="822"/>
      <c r="AG215" s="822"/>
      <c r="AH215" s="54">
        <v>15.7</v>
      </c>
      <c r="AI215" s="822"/>
      <c r="AJ215" s="822"/>
      <c r="AK215" s="54">
        <v>359.17</v>
      </c>
      <c r="AL215" s="54">
        <v>0</v>
      </c>
    </row>
    <row r="216" spans="1:38" ht="15.75" thickBot="1" x14ac:dyDescent="0.3">
      <c r="A216" s="51" t="s">
        <v>951</v>
      </c>
      <c r="B216" s="51" t="s">
        <v>447</v>
      </c>
      <c r="C216" s="51" t="s">
        <v>494</v>
      </c>
      <c r="D216" s="51" t="s">
        <v>320</v>
      </c>
      <c r="E216" s="51" t="s">
        <v>325</v>
      </c>
      <c r="F216" s="51" t="s">
        <v>266</v>
      </c>
      <c r="G216" s="54">
        <v>62.36</v>
      </c>
      <c r="H216" s="822"/>
      <c r="I216" s="822"/>
      <c r="J216" s="822"/>
      <c r="K216" s="822"/>
      <c r="L216" s="822"/>
      <c r="M216" s="822"/>
      <c r="N216" s="54">
        <v>62.36</v>
      </c>
      <c r="O216" s="822"/>
      <c r="P216" s="822"/>
      <c r="Q216" s="822"/>
      <c r="R216" s="822"/>
      <c r="S216" s="822"/>
      <c r="T216" s="822"/>
      <c r="U216" s="822"/>
      <c r="V216" s="822"/>
      <c r="W216" s="822"/>
      <c r="X216" s="822"/>
      <c r="Y216" s="822"/>
      <c r="Z216" s="822"/>
      <c r="AA216" s="822"/>
      <c r="AB216" s="822"/>
      <c r="AC216" s="822"/>
      <c r="AD216" s="822"/>
      <c r="AE216" s="822"/>
      <c r="AF216" s="822"/>
      <c r="AG216" s="822"/>
      <c r="AH216" s="54">
        <v>1.92</v>
      </c>
      <c r="AI216" s="822"/>
      <c r="AJ216" s="822"/>
      <c r="AK216" s="54">
        <v>64.28</v>
      </c>
      <c r="AL216" s="54">
        <v>0</v>
      </c>
    </row>
    <row r="217" spans="1:38" ht="15.75" thickBot="1" x14ac:dyDescent="0.3">
      <c r="A217" s="51" t="s">
        <v>951</v>
      </c>
      <c r="B217" s="51" t="s">
        <v>447</v>
      </c>
      <c r="C217" s="51" t="s">
        <v>494</v>
      </c>
      <c r="D217" s="51" t="s">
        <v>320</v>
      </c>
      <c r="E217" s="51" t="s">
        <v>268</v>
      </c>
      <c r="F217" s="51" t="s">
        <v>266</v>
      </c>
      <c r="G217" s="54">
        <v>8250</v>
      </c>
      <c r="H217" s="822"/>
      <c r="I217" s="822"/>
      <c r="J217" s="822"/>
      <c r="K217" s="54">
        <v>8250</v>
      </c>
      <c r="L217" s="822"/>
      <c r="M217" s="822"/>
      <c r="N217" s="822"/>
      <c r="O217" s="822"/>
      <c r="P217" s="822"/>
      <c r="Q217" s="822"/>
      <c r="R217" s="822"/>
      <c r="S217" s="822"/>
      <c r="T217" s="822"/>
      <c r="U217" s="822"/>
      <c r="V217" s="822"/>
      <c r="W217" s="822"/>
      <c r="X217" s="822"/>
      <c r="Y217" s="822"/>
      <c r="Z217" s="822"/>
      <c r="AA217" s="822"/>
      <c r="AB217" s="822"/>
      <c r="AC217" s="822"/>
      <c r="AD217" s="822"/>
      <c r="AE217" s="822"/>
      <c r="AF217" s="822"/>
      <c r="AG217" s="822"/>
      <c r="AH217" s="54">
        <v>365.97</v>
      </c>
      <c r="AI217" s="822"/>
      <c r="AJ217" s="822"/>
      <c r="AK217" s="54">
        <v>8615.9699999999993</v>
      </c>
      <c r="AL217" s="54">
        <v>0</v>
      </c>
    </row>
    <row r="218" spans="1:38" ht="15.75" thickBot="1" x14ac:dyDescent="0.3">
      <c r="A218" s="51" t="s">
        <v>951</v>
      </c>
      <c r="B218" s="51" t="s">
        <v>447</v>
      </c>
      <c r="C218" s="51" t="s">
        <v>494</v>
      </c>
      <c r="D218" s="51" t="s">
        <v>320</v>
      </c>
      <c r="E218" s="51" t="s">
        <v>914</v>
      </c>
      <c r="F218" s="51" t="s">
        <v>266</v>
      </c>
      <c r="G218" s="54">
        <v>25772.25</v>
      </c>
      <c r="H218" s="822"/>
      <c r="I218" s="822"/>
      <c r="J218" s="822"/>
      <c r="K218" s="822"/>
      <c r="L218" s="54">
        <v>25772.25</v>
      </c>
      <c r="M218" s="822"/>
      <c r="N218" s="822"/>
      <c r="O218" s="822"/>
      <c r="P218" s="822"/>
      <c r="Q218" s="822"/>
      <c r="R218" s="822"/>
      <c r="S218" s="822"/>
      <c r="T218" s="822"/>
      <c r="U218" s="822"/>
      <c r="V218" s="822"/>
      <c r="W218" s="822"/>
      <c r="X218" s="822"/>
      <c r="Y218" s="822"/>
      <c r="Z218" s="822"/>
      <c r="AA218" s="822"/>
      <c r="AB218" s="822"/>
      <c r="AC218" s="822"/>
      <c r="AD218" s="822"/>
      <c r="AE218" s="822"/>
      <c r="AF218" s="822"/>
      <c r="AG218" s="822"/>
      <c r="AH218" s="54">
        <v>1069.49</v>
      </c>
      <c r="AI218" s="822"/>
      <c r="AJ218" s="822"/>
      <c r="AK218" s="54">
        <v>26841.74</v>
      </c>
      <c r="AL218" s="54">
        <v>0</v>
      </c>
    </row>
    <row r="219" spans="1:38" ht="23.25" thickBot="1" x14ac:dyDescent="0.3">
      <c r="A219" s="51" t="s">
        <v>951</v>
      </c>
      <c r="B219" s="51" t="s">
        <v>38</v>
      </c>
      <c r="C219" s="51" t="s">
        <v>39</v>
      </c>
      <c r="D219" s="51" t="s">
        <v>320</v>
      </c>
      <c r="E219" s="51" t="s">
        <v>269</v>
      </c>
      <c r="F219" s="51" t="s">
        <v>915</v>
      </c>
      <c r="G219" s="54">
        <v>-4624.51</v>
      </c>
      <c r="H219" s="822"/>
      <c r="I219" s="822"/>
      <c r="J219" s="822"/>
      <c r="K219" s="822"/>
      <c r="L219" s="822"/>
      <c r="M219" s="822"/>
      <c r="N219" s="822"/>
      <c r="O219" s="822"/>
      <c r="P219" s="822"/>
      <c r="Q219" s="822"/>
      <c r="R219" s="822"/>
      <c r="S219" s="822"/>
      <c r="T219" s="54">
        <v>-4624.51</v>
      </c>
      <c r="U219" s="822"/>
      <c r="V219" s="822"/>
      <c r="W219" s="822"/>
      <c r="X219" s="822"/>
      <c r="Y219" s="822"/>
      <c r="Z219" s="822"/>
      <c r="AA219" s="822"/>
      <c r="AB219" s="822"/>
      <c r="AC219" s="822"/>
      <c r="AD219" s="822"/>
      <c r="AE219" s="822"/>
      <c r="AF219" s="822"/>
      <c r="AG219" s="822"/>
      <c r="AH219" s="54">
        <v>0</v>
      </c>
      <c r="AI219" s="822"/>
      <c r="AJ219" s="822"/>
      <c r="AK219" s="54">
        <v>-4624.51</v>
      </c>
      <c r="AL219" s="54">
        <v>0</v>
      </c>
    </row>
    <row r="220" spans="1:38" ht="23.25" thickBot="1" x14ac:dyDescent="0.3">
      <c r="A220" s="51" t="s">
        <v>951</v>
      </c>
      <c r="B220" s="51" t="s">
        <v>38</v>
      </c>
      <c r="C220" s="51" t="s">
        <v>39</v>
      </c>
      <c r="D220" s="51" t="s">
        <v>320</v>
      </c>
      <c r="E220" s="51" t="s">
        <v>271</v>
      </c>
      <c r="F220" s="51" t="s">
        <v>915</v>
      </c>
      <c r="G220" s="54">
        <v>8096.32</v>
      </c>
      <c r="H220" s="822"/>
      <c r="I220" s="822"/>
      <c r="J220" s="822"/>
      <c r="K220" s="822"/>
      <c r="L220" s="822"/>
      <c r="M220" s="822"/>
      <c r="N220" s="822"/>
      <c r="O220" s="822"/>
      <c r="P220" s="822"/>
      <c r="Q220" s="822"/>
      <c r="R220" s="822"/>
      <c r="S220" s="822"/>
      <c r="T220" s="822"/>
      <c r="U220" s="54">
        <v>8096.32</v>
      </c>
      <c r="V220" s="822"/>
      <c r="W220" s="822"/>
      <c r="X220" s="822"/>
      <c r="Y220" s="822"/>
      <c r="Z220" s="822"/>
      <c r="AA220" s="822"/>
      <c r="AB220" s="822"/>
      <c r="AC220" s="822"/>
      <c r="AD220" s="822"/>
      <c r="AE220" s="822"/>
      <c r="AF220" s="822"/>
      <c r="AG220" s="822"/>
      <c r="AH220" s="54">
        <v>0</v>
      </c>
      <c r="AI220" s="822"/>
      <c r="AJ220" s="822"/>
      <c r="AK220" s="54">
        <v>8096.32</v>
      </c>
      <c r="AL220" s="54">
        <v>0</v>
      </c>
    </row>
    <row r="221" spans="1:38" ht="15.75" thickBot="1" x14ac:dyDescent="0.3">
      <c r="A221" s="51" t="s">
        <v>951</v>
      </c>
      <c r="B221" s="51" t="s">
        <v>38</v>
      </c>
      <c r="C221" s="51" t="s">
        <v>39</v>
      </c>
      <c r="D221" s="51" t="s">
        <v>320</v>
      </c>
      <c r="E221" s="51" t="s">
        <v>268</v>
      </c>
      <c r="F221" s="51" t="s">
        <v>266</v>
      </c>
      <c r="G221" s="54">
        <v>5325</v>
      </c>
      <c r="H221" s="822"/>
      <c r="I221" s="822"/>
      <c r="J221" s="822"/>
      <c r="K221" s="54">
        <v>5325</v>
      </c>
      <c r="L221" s="822"/>
      <c r="M221" s="822"/>
      <c r="N221" s="822"/>
      <c r="O221" s="822"/>
      <c r="P221" s="822"/>
      <c r="Q221" s="822"/>
      <c r="R221" s="822"/>
      <c r="S221" s="822"/>
      <c r="T221" s="822"/>
      <c r="U221" s="822"/>
      <c r="V221" s="822"/>
      <c r="W221" s="822"/>
      <c r="X221" s="822"/>
      <c r="Y221" s="822"/>
      <c r="Z221" s="822"/>
      <c r="AA221" s="822"/>
      <c r="AB221" s="822"/>
      <c r="AC221" s="822"/>
      <c r="AD221" s="822"/>
      <c r="AE221" s="822"/>
      <c r="AF221" s="822"/>
      <c r="AG221" s="822"/>
      <c r="AH221" s="54">
        <v>0</v>
      </c>
      <c r="AI221" s="822"/>
      <c r="AJ221" s="822"/>
      <c r="AK221" s="54">
        <v>5325</v>
      </c>
      <c r="AL221" s="54">
        <v>0</v>
      </c>
    </row>
    <row r="222" spans="1:38" ht="15.75" thickBot="1" x14ac:dyDescent="0.3">
      <c r="A222" s="51" t="s">
        <v>951</v>
      </c>
      <c r="B222" s="51" t="s">
        <v>38</v>
      </c>
      <c r="C222" s="51" t="s">
        <v>39</v>
      </c>
      <c r="D222" s="51" t="s">
        <v>320</v>
      </c>
      <c r="E222" s="51" t="s">
        <v>329</v>
      </c>
      <c r="F222" s="51" t="s">
        <v>266</v>
      </c>
      <c r="G222" s="54">
        <v>6125.63</v>
      </c>
      <c r="H222" s="822"/>
      <c r="I222" s="822"/>
      <c r="J222" s="822"/>
      <c r="K222" s="822"/>
      <c r="L222" s="822"/>
      <c r="M222" s="822"/>
      <c r="N222" s="822"/>
      <c r="O222" s="822"/>
      <c r="P222" s="822"/>
      <c r="Q222" s="822"/>
      <c r="R222" s="822"/>
      <c r="S222" s="822"/>
      <c r="T222" s="822"/>
      <c r="U222" s="822"/>
      <c r="V222" s="822"/>
      <c r="W222" s="54">
        <v>6125.63</v>
      </c>
      <c r="X222" s="822"/>
      <c r="Y222" s="822"/>
      <c r="Z222" s="822"/>
      <c r="AA222" s="822"/>
      <c r="AB222" s="822"/>
      <c r="AC222" s="822"/>
      <c r="AD222" s="822"/>
      <c r="AE222" s="822"/>
      <c r="AF222" s="822"/>
      <c r="AG222" s="822"/>
      <c r="AH222" s="54">
        <v>0</v>
      </c>
      <c r="AI222" s="822"/>
      <c r="AJ222" s="822"/>
      <c r="AK222" s="54">
        <v>6125.63</v>
      </c>
      <c r="AL222" s="54">
        <v>0</v>
      </c>
    </row>
    <row r="223" spans="1:38" ht="15.75" thickBot="1" x14ac:dyDescent="0.3">
      <c r="A223" s="51" t="s">
        <v>951</v>
      </c>
      <c r="B223" s="51" t="s">
        <v>38</v>
      </c>
      <c r="C223" s="51" t="s">
        <v>39</v>
      </c>
      <c r="D223" s="51" t="s">
        <v>320</v>
      </c>
      <c r="E223" s="51" t="s">
        <v>330</v>
      </c>
      <c r="F223" s="51" t="s">
        <v>266</v>
      </c>
      <c r="G223" s="54">
        <v>14304.43</v>
      </c>
      <c r="H223" s="822"/>
      <c r="I223" s="822"/>
      <c r="J223" s="822"/>
      <c r="K223" s="822"/>
      <c r="L223" s="822"/>
      <c r="M223" s="822"/>
      <c r="N223" s="822"/>
      <c r="O223" s="822"/>
      <c r="P223" s="822"/>
      <c r="Q223" s="822"/>
      <c r="R223" s="822"/>
      <c r="S223" s="822"/>
      <c r="T223" s="822"/>
      <c r="U223" s="822"/>
      <c r="V223" s="822"/>
      <c r="W223" s="822"/>
      <c r="X223" s="54">
        <v>14304.43</v>
      </c>
      <c r="Y223" s="822"/>
      <c r="Z223" s="822"/>
      <c r="AA223" s="822"/>
      <c r="AB223" s="822"/>
      <c r="AC223" s="822"/>
      <c r="AD223" s="822"/>
      <c r="AE223" s="822"/>
      <c r="AF223" s="822"/>
      <c r="AG223" s="822"/>
      <c r="AH223" s="54">
        <v>0</v>
      </c>
      <c r="AI223" s="822"/>
      <c r="AJ223" s="822"/>
      <c r="AK223" s="54">
        <v>14304.43</v>
      </c>
      <c r="AL223" s="54">
        <v>0</v>
      </c>
    </row>
    <row r="224" spans="1:38" ht="15.75" thickBot="1" x14ac:dyDescent="0.3">
      <c r="A224" s="51" t="s">
        <v>953</v>
      </c>
      <c r="B224" s="51" t="s">
        <v>34</v>
      </c>
      <c r="C224" s="51" t="s">
        <v>437</v>
      </c>
      <c r="D224" s="51" t="s">
        <v>318</v>
      </c>
      <c r="E224" s="51" t="s">
        <v>109</v>
      </c>
      <c r="F224" s="51" t="s">
        <v>266</v>
      </c>
      <c r="G224" s="54">
        <v>152.09</v>
      </c>
      <c r="H224" s="822"/>
      <c r="I224" s="822"/>
      <c r="J224" s="822"/>
      <c r="K224" s="822"/>
      <c r="L224" s="822"/>
      <c r="M224" s="822"/>
      <c r="N224" s="822"/>
      <c r="O224" s="822"/>
      <c r="P224" s="822"/>
      <c r="Q224" s="54">
        <v>152.09</v>
      </c>
      <c r="R224" s="822"/>
      <c r="S224" s="822"/>
      <c r="T224" s="822"/>
      <c r="U224" s="822"/>
      <c r="V224" s="822"/>
      <c r="W224" s="822"/>
      <c r="X224" s="822"/>
      <c r="Y224" s="822"/>
      <c r="Z224" s="822"/>
      <c r="AA224" s="822"/>
      <c r="AB224" s="822"/>
      <c r="AC224" s="822"/>
      <c r="AD224" s="822"/>
      <c r="AE224" s="822"/>
      <c r="AF224" s="822"/>
      <c r="AG224" s="822"/>
      <c r="AH224" s="54">
        <v>0.42</v>
      </c>
      <c r="AI224" s="822"/>
      <c r="AJ224" s="822"/>
      <c r="AK224" s="54">
        <v>152.51</v>
      </c>
      <c r="AL224" s="54">
        <v>0</v>
      </c>
    </row>
    <row r="225" spans="1:38" ht="15.75" thickBot="1" x14ac:dyDescent="0.3">
      <c r="A225" s="51" t="s">
        <v>953</v>
      </c>
      <c r="B225" s="51" t="s">
        <v>34</v>
      </c>
      <c r="C225" s="51" t="s">
        <v>437</v>
      </c>
      <c r="D225" s="51" t="s">
        <v>318</v>
      </c>
      <c r="E225" s="51" t="s">
        <v>272</v>
      </c>
      <c r="F225" s="51" t="s">
        <v>266</v>
      </c>
      <c r="G225" s="54">
        <v>5250</v>
      </c>
      <c r="H225" s="822"/>
      <c r="I225" s="822"/>
      <c r="J225" s="822"/>
      <c r="K225" s="54">
        <v>5250</v>
      </c>
      <c r="L225" s="822"/>
      <c r="M225" s="822"/>
      <c r="N225" s="822"/>
      <c r="O225" s="822"/>
      <c r="P225" s="822"/>
      <c r="Q225" s="822"/>
      <c r="R225" s="822"/>
      <c r="S225" s="822"/>
      <c r="T225" s="822"/>
      <c r="U225" s="822"/>
      <c r="V225" s="822"/>
      <c r="W225" s="822"/>
      <c r="X225" s="822"/>
      <c r="Y225" s="822"/>
      <c r="Z225" s="822"/>
      <c r="AA225" s="822"/>
      <c r="AB225" s="822"/>
      <c r="AC225" s="822"/>
      <c r="AD225" s="822"/>
      <c r="AE225" s="822"/>
      <c r="AF225" s="822"/>
      <c r="AG225" s="822"/>
      <c r="AH225" s="54">
        <v>45.01</v>
      </c>
      <c r="AI225" s="822"/>
      <c r="AJ225" s="822"/>
      <c r="AK225" s="54">
        <v>5295.01</v>
      </c>
      <c r="AL225" s="54">
        <v>0</v>
      </c>
    </row>
    <row r="226" spans="1:38" ht="15.75" thickBot="1" x14ac:dyDescent="0.3">
      <c r="A226" s="51" t="s">
        <v>953</v>
      </c>
      <c r="B226" s="51" t="s">
        <v>34</v>
      </c>
      <c r="C226" s="51" t="s">
        <v>437</v>
      </c>
      <c r="D226" s="51" t="s">
        <v>318</v>
      </c>
      <c r="E226" s="51" t="s">
        <v>265</v>
      </c>
      <c r="F226" s="51" t="s">
        <v>266</v>
      </c>
      <c r="G226" s="54">
        <v>1204.01</v>
      </c>
      <c r="H226" s="54">
        <v>316844</v>
      </c>
      <c r="I226" s="822"/>
      <c r="J226" s="822"/>
      <c r="K226" s="822"/>
      <c r="L226" s="822"/>
      <c r="M226" s="54">
        <v>1204.01</v>
      </c>
      <c r="N226" s="822"/>
      <c r="O226" s="822"/>
      <c r="P226" s="822"/>
      <c r="Q226" s="822"/>
      <c r="R226" s="822"/>
      <c r="S226" s="822"/>
      <c r="T226" s="822"/>
      <c r="U226" s="822"/>
      <c r="V226" s="822"/>
      <c r="W226" s="822"/>
      <c r="X226" s="822"/>
      <c r="Y226" s="822"/>
      <c r="Z226" s="822"/>
      <c r="AA226" s="822"/>
      <c r="AB226" s="822"/>
      <c r="AC226" s="822"/>
      <c r="AD226" s="822"/>
      <c r="AE226" s="822"/>
      <c r="AF226" s="822"/>
      <c r="AG226" s="822"/>
      <c r="AH226" s="54">
        <v>3.34</v>
      </c>
      <c r="AI226" s="822"/>
      <c r="AJ226" s="822"/>
      <c r="AK226" s="54">
        <v>1207.3499999999999</v>
      </c>
      <c r="AL226" s="54">
        <v>0</v>
      </c>
    </row>
    <row r="227" spans="1:38" ht="15.75" thickBot="1" x14ac:dyDescent="0.3">
      <c r="A227" s="51" t="s">
        <v>953</v>
      </c>
      <c r="B227" s="51" t="s">
        <v>34</v>
      </c>
      <c r="C227" s="51" t="s">
        <v>437</v>
      </c>
      <c r="D227" s="51" t="s">
        <v>318</v>
      </c>
      <c r="E227" s="51" t="s">
        <v>621</v>
      </c>
      <c r="F227" s="51" t="s">
        <v>266</v>
      </c>
      <c r="G227" s="54">
        <v>310.51</v>
      </c>
      <c r="H227" s="822"/>
      <c r="I227" s="822"/>
      <c r="J227" s="822"/>
      <c r="K227" s="822"/>
      <c r="L227" s="822"/>
      <c r="M227" s="822"/>
      <c r="N227" s="822"/>
      <c r="O227" s="822"/>
      <c r="P227" s="822"/>
      <c r="Q227" s="822"/>
      <c r="R227" s="822"/>
      <c r="S227" s="822"/>
      <c r="T227" s="822"/>
      <c r="U227" s="822"/>
      <c r="V227" s="822"/>
      <c r="W227" s="822"/>
      <c r="X227" s="822"/>
      <c r="Y227" s="822"/>
      <c r="Z227" s="822"/>
      <c r="AA227" s="54">
        <v>310.51</v>
      </c>
      <c r="AB227" s="822"/>
      <c r="AC227" s="822"/>
      <c r="AD227" s="822"/>
      <c r="AE227" s="822"/>
      <c r="AF227" s="822"/>
      <c r="AG227" s="822"/>
      <c r="AH227" s="54">
        <v>0.86</v>
      </c>
      <c r="AI227" s="822"/>
      <c r="AJ227" s="822"/>
      <c r="AK227" s="54">
        <v>311.37</v>
      </c>
      <c r="AL227" s="54">
        <v>0</v>
      </c>
    </row>
    <row r="228" spans="1:38" ht="15.75" thickBot="1" x14ac:dyDescent="0.3">
      <c r="A228" s="51" t="s">
        <v>953</v>
      </c>
      <c r="B228" s="51" t="s">
        <v>34</v>
      </c>
      <c r="C228" s="51" t="s">
        <v>437</v>
      </c>
      <c r="D228" s="51" t="s">
        <v>318</v>
      </c>
      <c r="E228" s="51" t="s">
        <v>325</v>
      </c>
      <c r="F228" s="51" t="s">
        <v>266</v>
      </c>
      <c r="G228" s="54">
        <v>4.72</v>
      </c>
      <c r="H228" s="822"/>
      <c r="I228" s="822"/>
      <c r="J228" s="822"/>
      <c r="K228" s="822"/>
      <c r="L228" s="822"/>
      <c r="M228" s="822"/>
      <c r="N228" s="54">
        <v>4.72</v>
      </c>
      <c r="O228" s="822"/>
      <c r="P228" s="822"/>
      <c r="Q228" s="822"/>
      <c r="R228" s="822"/>
      <c r="S228" s="822"/>
      <c r="T228" s="822"/>
      <c r="U228" s="822"/>
      <c r="V228" s="822"/>
      <c r="W228" s="822"/>
      <c r="X228" s="822"/>
      <c r="Y228" s="822"/>
      <c r="Z228" s="822"/>
      <c r="AA228" s="822"/>
      <c r="AB228" s="822"/>
      <c r="AC228" s="822"/>
      <c r="AD228" s="822"/>
      <c r="AE228" s="822"/>
      <c r="AF228" s="822"/>
      <c r="AG228" s="822"/>
      <c r="AH228" s="54">
        <v>0.28000000000000003</v>
      </c>
      <c r="AI228" s="822"/>
      <c r="AJ228" s="822"/>
      <c r="AK228" s="54">
        <v>5</v>
      </c>
      <c r="AL228" s="54">
        <v>0</v>
      </c>
    </row>
    <row r="229" spans="1:38" ht="15.75" thickBot="1" x14ac:dyDescent="0.3">
      <c r="A229" s="51" t="s">
        <v>953</v>
      </c>
      <c r="B229" s="51" t="s">
        <v>34</v>
      </c>
      <c r="C229" s="51" t="s">
        <v>437</v>
      </c>
      <c r="D229" s="51" t="s">
        <v>318</v>
      </c>
      <c r="E229" s="51" t="s">
        <v>268</v>
      </c>
      <c r="F229" s="51" t="s">
        <v>266</v>
      </c>
      <c r="G229" s="54">
        <v>3850</v>
      </c>
      <c r="H229" s="822"/>
      <c r="I229" s="822"/>
      <c r="J229" s="822"/>
      <c r="K229" s="54">
        <v>3850</v>
      </c>
      <c r="L229" s="822"/>
      <c r="M229" s="822"/>
      <c r="N229" s="822"/>
      <c r="O229" s="822"/>
      <c r="P229" s="822"/>
      <c r="Q229" s="822"/>
      <c r="R229" s="822"/>
      <c r="S229" s="822"/>
      <c r="T229" s="822"/>
      <c r="U229" s="822"/>
      <c r="V229" s="822"/>
      <c r="W229" s="822"/>
      <c r="X229" s="822"/>
      <c r="Y229" s="822"/>
      <c r="Z229" s="822"/>
      <c r="AA229" s="822"/>
      <c r="AB229" s="822"/>
      <c r="AC229" s="822"/>
      <c r="AD229" s="822"/>
      <c r="AE229" s="822"/>
      <c r="AF229" s="822"/>
      <c r="AG229" s="822"/>
      <c r="AH229" s="54">
        <v>33</v>
      </c>
      <c r="AI229" s="822"/>
      <c r="AJ229" s="822"/>
      <c r="AK229" s="54">
        <v>3883</v>
      </c>
      <c r="AL229" s="54">
        <v>0</v>
      </c>
    </row>
    <row r="230" spans="1:38" ht="15.75" thickBot="1" x14ac:dyDescent="0.3">
      <c r="A230" s="51" t="s">
        <v>953</v>
      </c>
      <c r="B230" s="51" t="s">
        <v>34</v>
      </c>
      <c r="C230" s="51" t="s">
        <v>437</v>
      </c>
      <c r="D230" s="51" t="s">
        <v>318</v>
      </c>
      <c r="E230" s="51" t="s">
        <v>914</v>
      </c>
      <c r="F230" s="51" t="s">
        <v>266</v>
      </c>
      <c r="G230" s="54">
        <v>10099.32</v>
      </c>
      <c r="H230" s="822"/>
      <c r="I230" s="822"/>
      <c r="J230" s="822"/>
      <c r="K230" s="822"/>
      <c r="L230" s="54">
        <v>10099.32</v>
      </c>
      <c r="M230" s="822"/>
      <c r="N230" s="822"/>
      <c r="O230" s="822"/>
      <c r="P230" s="822"/>
      <c r="Q230" s="822"/>
      <c r="R230" s="822"/>
      <c r="S230" s="822"/>
      <c r="T230" s="822"/>
      <c r="U230" s="822"/>
      <c r="V230" s="822"/>
      <c r="W230" s="822"/>
      <c r="X230" s="822"/>
      <c r="Y230" s="822"/>
      <c r="Z230" s="822"/>
      <c r="AA230" s="822"/>
      <c r="AB230" s="822"/>
      <c r="AC230" s="822"/>
      <c r="AD230" s="822"/>
      <c r="AE230" s="822"/>
      <c r="AF230" s="822"/>
      <c r="AG230" s="822"/>
      <c r="AH230" s="54">
        <v>55.39</v>
      </c>
      <c r="AI230" s="822"/>
      <c r="AJ230" s="822"/>
      <c r="AK230" s="54">
        <v>10154.709999999999</v>
      </c>
      <c r="AL230" s="54">
        <v>0</v>
      </c>
    </row>
    <row r="231" spans="1:38" ht="15.75" thickBot="1" x14ac:dyDescent="0.3">
      <c r="A231" s="51" t="s">
        <v>953</v>
      </c>
      <c r="B231" s="51" t="s">
        <v>34</v>
      </c>
      <c r="C231" s="51" t="s">
        <v>437</v>
      </c>
      <c r="D231" s="51" t="s">
        <v>319</v>
      </c>
      <c r="E231" s="51" t="s">
        <v>109</v>
      </c>
      <c r="F231" s="51" t="s">
        <v>266</v>
      </c>
      <c r="G231" s="54">
        <v>48.61</v>
      </c>
      <c r="H231" s="822"/>
      <c r="I231" s="822"/>
      <c r="J231" s="822"/>
      <c r="K231" s="822"/>
      <c r="L231" s="822"/>
      <c r="M231" s="822"/>
      <c r="N231" s="822"/>
      <c r="O231" s="822"/>
      <c r="P231" s="822"/>
      <c r="Q231" s="54">
        <v>48.61</v>
      </c>
      <c r="R231" s="822"/>
      <c r="S231" s="822"/>
      <c r="T231" s="822"/>
      <c r="U231" s="822"/>
      <c r="V231" s="822"/>
      <c r="W231" s="822"/>
      <c r="X231" s="822"/>
      <c r="Y231" s="822"/>
      <c r="Z231" s="822"/>
      <c r="AA231" s="822"/>
      <c r="AB231" s="822"/>
      <c r="AC231" s="822"/>
      <c r="AD231" s="822"/>
      <c r="AE231" s="822"/>
      <c r="AF231" s="822"/>
      <c r="AG231" s="822"/>
      <c r="AH231" s="54">
        <v>1.2</v>
      </c>
      <c r="AI231" s="822"/>
      <c r="AJ231" s="822"/>
      <c r="AK231" s="54">
        <v>49.81</v>
      </c>
      <c r="AL231" s="54">
        <v>0</v>
      </c>
    </row>
    <row r="232" spans="1:38" ht="23.25" thickBot="1" x14ac:dyDescent="0.3">
      <c r="A232" s="51" t="s">
        <v>953</v>
      </c>
      <c r="B232" s="51" t="s">
        <v>34</v>
      </c>
      <c r="C232" s="51" t="s">
        <v>437</v>
      </c>
      <c r="D232" s="51" t="s">
        <v>319</v>
      </c>
      <c r="E232" s="51" t="s">
        <v>269</v>
      </c>
      <c r="F232" s="51" t="s">
        <v>915</v>
      </c>
      <c r="G232" s="54">
        <v>196.76</v>
      </c>
      <c r="H232" s="822"/>
      <c r="I232" s="822"/>
      <c r="J232" s="822"/>
      <c r="K232" s="822"/>
      <c r="L232" s="822"/>
      <c r="M232" s="822"/>
      <c r="N232" s="822"/>
      <c r="O232" s="822"/>
      <c r="P232" s="822"/>
      <c r="Q232" s="822"/>
      <c r="R232" s="822"/>
      <c r="S232" s="822"/>
      <c r="T232" s="54">
        <v>196.76</v>
      </c>
      <c r="U232" s="822"/>
      <c r="V232" s="822"/>
      <c r="W232" s="822"/>
      <c r="X232" s="822"/>
      <c r="Y232" s="822"/>
      <c r="Z232" s="822"/>
      <c r="AA232" s="822"/>
      <c r="AB232" s="822"/>
      <c r="AC232" s="822"/>
      <c r="AD232" s="822"/>
      <c r="AE232" s="822"/>
      <c r="AF232" s="822"/>
      <c r="AG232" s="822"/>
      <c r="AH232" s="54">
        <v>5.9</v>
      </c>
      <c r="AI232" s="822"/>
      <c r="AJ232" s="822"/>
      <c r="AK232" s="54">
        <v>202.66</v>
      </c>
      <c r="AL232" s="54">
        <v>0</v>
      </c>
    </row>
    <row r="233" spans="1:38" ht="15.75" thickBot="1" x14ac:dyDescent="0.3">
      <c r="A233" s="51" t="s">
        <v>953</v>
      </c>
      <c r="B233" s="51" t="s">
        <v>34</v>
      </c>
      <c r="C233" s="51" t="s">
        <v>437</v>
      </c>
      <c r="D233" s="51" t="s">
        <v>319</v>
      </c>
      <c r="E233" s="51" t="s">
        <v>272</v>
      </c>
      <c r="F233" s="51" t="s">
        <v>266</v>
      </c>
      <c r="G233" s="54">
        <v>1500</v>
      </c>
      <c r="H233" s="822"/>
      <c r="I233" s="822"/>
      <c r="J233" s="822"/>
      <c r="K233" s="54">
        <v>1500</v>
      </c>
      <c r="L233" s="822"/>
      <c r="M233" s="822"/>
      <c r="N233" s="822"/>
      <c r="O233" s="822"/>
      <c r="P233" s="822"/>
      <c r="Q233" s="822"/>
      <c r="R233" s="822"/>
      <c r="S233" s="822"/>
      <c r="T233" s="822"/>
      <c r="U233" s="822"/>
      <c r="V233" s="822"/>
      <c r="W233" s="822"/>
      <c r="X233" s="822"/>
      <c r="Y233" s="822"/>
      <c r="Z233" s="822"/>
      <c r="AA233" s="822"/>
      <c r="AB233" s="822"/>
      <c r="AC233" s="822"/>
      <c r="AD233" s="822"/>
      <c r="AE233" s="822"/>
      <c r="AF233" s="822"/>
      <c r="AG233" s="822"/>
      <c r="AH233" s="54">
        <v>22.51</v>
      </c>
      <c r="AI233" s="822"/>
      <c r="AJ233" s="822"/>
      <c r="AK233" s="54">
        <v>1522.51</v>
      </c>
      <c r="AL233" s="54">
        <v>0</v>
      </c>
    </row>
    <row r="234" spans="1:38" ht="15.75" thickBot="1" x14ac:dyDescent="0.3">
      <c r="A234" s="51" t="s">
        <v>953</v>
      </c>
      <c r="B234" s="51" t="s">
        <v>34</v>
      </c>
      <c r="C234" s="51" t="s">
        <v>437</v>
      </c>
      <c r="D234" s="51" t="s">
        <v>319</v>
      </c>
      <c r="E234" s="51" t="s">
        <v>265</v>
      </c>
      <c r="F234" s="51" t="s">
        <v>266</v>
      </c>
      <c r="G234" s="54">
        <v>381.09</v>
      </c>
      <c r="H234" s="54">
        <v>100287</v>
      </c>
      <c r="I234" s="822"/>
      <c r="J234" s="822"/>
      <c r="K234" s="822"/>
      <c r="L234" s="822"/>
      <c r="M234" s="54">
        <v>381.09</v>
      </c>
      <c r="N234" s="822"/>
      <c r="O234" s="822"/>
      <c r="P234" s="822"/>
      <c r="Q234" s="822"/>
      <c r="R234" s="822"/>
      <c r="S234" s="822"/>
      <c r="T234" s="822"/>
      <c r="U234" s="822"/>
      <c r="V234" s="822"/>
      <c r="W234" s="822"/>
      <c r="X234" s="822"/>
      <c r="Y234" s="822"/>
      <c r="Z234" s="822"/>
      <c r="AA234" s="822"/>
      <c r="AB234" s="822"/>
      <c r="AC234" s="822"/>
      <c r="AD234" s="822"/>
      <c r="AE234" s="822"/>
      <c r="AF234" s="822"/>
      <c r="AG234" s="822"/>
      <c r="AH234" s="54">
        <v>9.39</v>
      </c>
      <c r="AI234" s="822"/>
      <c r="AJ234" s="822"/>
      <c r="AK234" s="54">
        <v>390.48</v>
      </c>
      <c r="AL234" s="54">
        <v>0</v>
      </c>
    </row>
    <row r="235" spans="1:38" ht="23.25" thickBot="1" x14ac:dyDescent="0.3">
      <c r="A235" s="51" t="s">
        <v>953</v>
      </c>
      <c r="B235" s="51" t="s">
        <v>34</v>
      </c>
      <c r="C235" s="51" t="s">
        <v>437</v>
      </c>
      <c r="D235" s="51" t="s">
        <v>319</v>
      </c>
      <c r="E235" s="51" t="s">
        <v>265</v>
      </c>
      <c r="F235" s="51" t="s">
        <v>915</v>
      </c>
      <c r="G235" s="56">
        <v>3.73</v>
      </c>
      <c r="H235" s="56">
        <v>981</v>
      </c>
      <c r="I235" s="823"/>
      <c r="J235" s="823"/>
      <c r="K235" s="823"/>
      <c r="L235" s="823"/>
      <c r="M235" s="56">
        <v>3.73</v>
      </c>
      <c r="N235" s="823"/>
      <c r="O235" s="823"/>
      <c r="P235" s="823"/>
      <c r="Q235" s="823"/>
      <c r="R235" s="823"/>
      <c r="S235" s="823"/>
      <c r="T235" s="823"/>
      <c r="U235" s="823"/>
      <c r="V235" s="823"/>
      <c r="W235" s="823"/>
      <c r="X235" s="823"/>
      <c r="Y235" s="823"/>
      <c r="Z235" s="823"/>
      <c r="AA235" s="823"/>
      <c r="AB235" s="823"/>
      <c r="AC235" s="823"/>
      <c r="AD235" s="823"/>
      <c r="AE235" s="823"/>
      <c r="AF235" s="823"/>
      <c r="AG235" s="823"/>
      <c r="AH235" s="56">
        <v>0.11</v>
      </c>
      <c r="AI235" s="823"/>
      <c r="AJ235" s="823"/>
      <c r="AK235" s="56">
        <v>3.84</v>
      </c>
      <c r="AL235" s="56">
        <v>0</v>
      </c>
    </row>
    <row r="236" spans="1:38" ht="15.75" thickBot="1" x14ac:dyDescent="0.3">
      <c r="A236" s="51" t="s">
        <v>953</v>
      </c>
      <c r="B236" s="51" t="s">
        <v>34</v>
      </c>
      <c r="C236" s="51" t="s">
        <v>437</v>
      </c>
      <c r="D236" s="51" t="s">
        <v>319</v>
      </c>
      <c r="E236" s="51" t="s">
        <v>621</v>
      </c>
      <c r="F236" s="51" t="s">
        <v>266</v>
      </c>
      <c r="G236" s="56">
        <v>98.28</v>
      </c>
      <c r="H236" s="823"/>
      <c r="I236" s="823"/>
      <c r="J236" s="823"/>
      <c r="K236" s="823"/>
      <c r="L236" s="823"/>
      <c r="M236" s="823"/>
      <c r="N236" s="823"/>
      <c r="O236" s="823"/>
      <c r="P236" s="823"/>
      <c r="Q236" s="823"/>
      <c r="R236" s="823"/>
      <c r="S236" s="823"/>
      <c r="T236" s="823"/>
      <c r="U236" s="823"/>
      <c r="V236" s="823"/>
      <c r="W236" s="823"/>
      <c r="X236" s="823"/>
      <c r="Y236" s="823"/>
      <c r="Z236" s="823"/>
      <c r="AA236" s="56">
        <v>98.28</v>
      </c>
      <c r="AB236" s="823"/>
      <c r="AC236" s="823"/>
      <c r="AD236" s="823"/>
      <c r="AE236" s="823"/>
      <c r="AF236" s="823"/>
      <c r="AG236" s="823"/>
      <c r="AH236" s="56">
        <v>2.42</v>
      </c>
      <c r="AI236" s="823"/>
      <c r="AJ236" s="823"/>
      <c r="AK236" s="56">
        <v>100.7</v>
      </c>
      <c r="AL236" s="56">
        <v>0</v>
      </c>
    </row>
    <row r="237" spans="1:38" ht="23.25" thickBot="1" x14ac:dyDescent="0.3">
      <c r="A237" s="51" t="s">
        <v>953</v>
      </c>
      <c r="B237" s="51" t="s">
        <v>34</v>
      </c>
      <c r="C237" s="51" t="s">
        <v>437</v>
      </c>
      <c r="D237" s="51" t="s">
        <v>319</v>
      </c>
      <c r="E237" s="51" t="s">
        <v>916</v>
      </c>
      <c r="F237" s="51" t="s">
        <v>915</v>
      </c>
      <c r="G237" s="56">
        <v>0.96</v>
      </c>
      <c r="H237" s="823"/>
      <c r="I237" s="823"/>
      <c r="J237" s="823"/>
      <c r="K237" s="823"/>
      <c r="L237" s="823"/>
      <c r="M237" s="823"/>
      <c r="N237" s="823"/>
      <c r="O237" s="823"/>
      <c r="P237" s="823"/>
      <c r="Q237" s="823"/>
      <c r="R237" s="823"/>
      <c r="S237" s="823"/>
      <c r="T237" s="823"/>
      <c r="U237" s="823"/>
      <c r="V237" s="823"/>
      <c r="W237" s="823"/>
      <c r="X237" s="823"/>
      <c r="Y237" s="823"/>
      <c r="Z237" s="823"/>
      <c r="AA237" s="56">
        <v>0.96</v>
      </c>
      <c r="AB237" s="823"/>
      <c r="AC237" s="823"/>
      <c r="AD237" s="823"/>
      <c r="AE237" s="823"/>
      <c r="AF237" s="823"/>
      <c r="AG237" s="823"/>
      <c r="AH237" s="56">
        <v>0.03</v>
      </c>
      <c r="AI237" s="823"/>
      <c r="AJ237" s="823"/>
      <c r="AK237" s="56">
        <v>0.99</v>
      </c>
      <c r="AL237" s="56">
        <v>0</v>
      </c>
    </row>
    <row r="238" spans="1:38" ht="23.25" thickBot="1" x14ac:dyDescent="0.3">
      <c r="A238" s="51" t="s">
        <v>953</v>
      </c>
      <c r="B238" s="51" t="s">
        <v>34</v>
      </c>
      <c r="C238" s="51" t="s">
        <v>437</v>
      </c>
      <c r="D238" s="51" t="s">
        <v>319</v>
      </c>
      <c r="E238" s="51" t="s">
        <v>271</v>
      </c>
      <c r="F238" s="51" t="s">
        <v>915</v>
      </c>
      <c r="G238" s="56">
        <v>2.0099999999999998</v>
      </c>
      <c r="H238" s="823"/>
      <c r="I238" s="823"/>
      <c r="J238" s="823"/>
      <c r="K238" s="823"/>
      <c r="L238" s="823"/>
      <c r="M238" s="823"/>
      <c r="N238" s="823"/>
      <c r="O238" s="823"/>
      <c r="P238" s="823"/>
      <c r="Q238" s="823"/>
      <c r="R238" s="823"/>
      <c r="S238" s="823"/>
      <c r="T238" s="823"/>
      <c r="U238" s="56">
        <v>2.0099999999999998</v>
      </c>
      <c r="V238" s="823"/>
      <c r="W238" s="823"/>
      <c r="X238" s="823"/>
      <c r="Y238" s="823"/>
      <c r="Z238" s="823"/>
      <c r="AA238" s="823"/>
      <c r="AB238" s="823"/>
      <c r="AC238" s="823"/>
      <c r="AD238" s="823"/>
      <c r="AE238" s="823"/>
      <c r="AF238" s="823"/>
      <c r="AG238" s="823"/>
      <c r="AH238" s="56">
        <v>0.06</v>
      </c>
      <c r="AI238" s="823"/>
      <c r="AJ238" s="823"/>
      <c r="AK238" s="56">
        <v>2.0699999999999998</v>
      </c>
      <c r="AL238" s="56">
        <v>0</v>
      </c>
    </row>
    <row r="239" spans="1:38" ht="15.75" thickBot="1" x14ac:dyDescent="0.3">
      <c r="A239" s="51" t="s">
        <v>953</v>
      </c>
      <c r="B239" s="51" t="s">
        <v>34</v>
      </c>
      <c r="C239" s="51" t="s">
        <v>437</v>
      </c>
      <c r="D239" s="51" t="s">
        <v>319</v>
      </c>
      <c r="E239" s="51" t="s">
        <v>325</v>
      </c>
      <c r="F239" s="51" t="s">
        <v>266</v>
      </c>
      <c r="G239" s="56">
        <v>14.23</v>
      </c>
      <c r="H239" s="823"/>
      <c r="I239" s="823"/>
      <c r="J239" s="823"/>
      <c r="K239" s="823"/>
      <c r="L239" s="823"/>
      <c r="M239" s="823"/>
      <c r="N239" s="56">
        <v>14.23</v>
      </c>
      <c r="O239" s="823"/>
      <c r="P239" s="823"/>
      <c r="Q239" s="823"/>
      <c r="R239" s="823"/>
      <c r="S239" s="823"/>
      <c r="T239" s="823"/>
      <c r="U239" s="823"/>
      <c r="V239" s="823"/>
      <c r="W239" s="823"/>
      <c r="X239" s="823"/>
      <c r="Y239" s="823"/>
      <c r="Z239" s="823"/>
      <c r="AA239" s="823"/>
      <c r="AB239" s="823"/>
      <c r="AC239" s="823"/>
      <c r="AD239" s="823"/>
      <c r="AE239" s="823"/>
      <c r="AF239" s="823"/>
      <c r="AG239" s="823"/>
      <c r="AH239" s="56">
        <v>0</v>
      </c>
      <c r="AI239" s="823"/>
      <c r="AJ239" s="823"/>
      <c r="AK239" s="56">
        <v>14.23</v>
      </c>
      <c r="AL239" s="56">
        <v>0</v>
      </c>
    </row>
    <row r="240" spans="1:38" ht="15.75" thickBot="1" x14ac:dyDescent="0.3">
      <c r="A240" s="51" t="s">
        <v>953</v>
      </c>
      <c r="B240" s="51" t="s">
        <v>34</v>
      </c>
      <c r="C240" s="51" t="s">
        <v>437</v>
      </c>
      <c r="D240" s="51" t="s">
        <v>319</v>
      </c>
      <c r="E240" s="51" t="s">
        <v>268</v>
      </c>
      <c r="F240" s="51" t="s">
        <v>266</v>
      </c>
      <c r="G240" s="56">
        <v>1100</v>
      </c>
      <c r="H240" s="823"/>
      <c r="I240" s="823"/>
      <c r="J240" s="823"/>
      <c r="K240" s="56">
        <v>1100</v>
      </c>
      <c r="L240" s="823"/>
      <c r="M240" s="823"/>
      <c r="N240" s="823"/>
      <c r="O240" s="823"/>
      <c r="P240" s="823"/>
      <c r="Q240" s="823"/>
      <c r="R240" s="823"/>
      <c r="S240" s="823"/>
      <c r="T240" s="823"/>
      <c r="U240" s="823"/>
      <c r="V240" s="823"/>
      <c r="W240" s="823"/>
      <c r="X240" s="823"/>
      <c r="Y240" s="823"/>
      <c r="Z240" s="823"/>
      <c r="AA240" s="823"/>
      <c r="AB240" s="823"/>
      <c r="AC240" s="823"/>
      <c r="AD240" s="823"/>
      <c r="AE240" s="823"/>
      <c r="AF240" s="823"/>
      <c r="AG240" s="823"/>
      <c r="AH240" s="56">
        <v>16.5</v>
      </c>
      <c r="AI240" s="823"/>
      <c r="AJ240" s="823"/>
      <c r="AK240" s="56">
        <v>1116.5</v>
      </c>
      <c r="AL240" s="56">
        <v>0</v>
      </c>
    </row>
    <row r="241" spans="1:38" ht="15.75" thickBot="1" x14ac:dyDescent="0.3">
      <c r="A241" s="51" t="s">
        <v>953</v>
      </c>
      <c r="B241" s="51" t="s">
        <v>34</v>
      </c>
      <c r="C241" s="51" t="s">
        <v>437</v>
      </c>
      <c r="D241" s="51" t="s">
        <v>319</v>
      </c>
      <c r="E241" s="51" t="s">
        <v>914</v>
      </c>
      <c r="F241" s="51" t="s">
        <v>266</v>
      </c>
      <c r="G241" s="56">
        <v>3486.08</v>
      </c>
      <c r="H241" s="823"/>
      <c r="I241" s="823"/>
      <c r="J241" s="823"/>
      <c r="K241" s="823"/>
      <c r="L241" s="56">
        <v>3486.08</v>
      </c>
      <c r="M241" s="823"/>
      <c r="N241" s="823"/>
      <c r="O241" s="823"/>
      <c r="P241" s="823"/>
      <c r="Q241" s="823"/>
      <c r="R241" s="823"/>
      <c r="S241" s="823"/>
      <c r="T241" s="823"/>
      <c r="U241" s="823"/>
      <c r="V241" s="823"/>
      <c r="W241" s="823"/>
      <c r="X241" s="823"/>
      <c r="Y241" s="823"/>
      <c r="Z241" s="823"/>
      <c r="AA241" s="823"/>
      <c r="AB241" s="823"/>
      <c r="AC241" s="823"/>
      <c r="AD241" s="823"/>
      <c r="AE241" s="823"/>
      <c r="AF241" s="823"/>
      <c r="AG241" s="823"/>
      <c r="AH241" s="56">
        <v>78.91</v>
      </c>
      <c r="AI241" s="823"/>
      <c r="AJ241" s="823"/>
      <c r="AK241" s="56">
        <v>3564.99</v>
      </c>
      <c r="AL241" s="56">
        <v>0</v>
      </c>
    </row>
    <row r="242" spans="1:38" ht="15.75" thickBot="1" x14ac:dyDescent="0.3">
      <c r="A242" s="51" t="s">
        <v>953</v>
      </c>
      <c r="B242" s="51" t="s">
        <v>34</v>
      </c>
      <c r="C242" s="51" t="s">
        <v>437</v>
      </c>
      <c r="D242" s="51" t="s">
        <v>319</v>
      </c>
      <c r="E242" s="51" t="s">
        <v>329</v>
      </c>
      <c r="F242" s="51" t="s">
        <v>266</v>
      </c>
      <c r="G242" s="56">
        <v>59.02</v>
      </c>
      <c r="H242" s="823"/>
      <c r="I242" s="823"/>
      <c r="J242" s="823"/>
      <c r="K242" s="823"/>
      <c r="L242" s="823"/>
      <c r="M242" s="823"/>
      <c r="N242" s="823"/>
      <c r="O242" s="823"/>
      <c r="P242" s="823"/>
      <c r="Q242" s="823"/>
      <c r="R242" s="823"/>
      <c r="S242" s="823"/>
      <c r="T242" s="823"/>
      <c r="U242" s="823"/>
      <c r="V242" s="823"/>
      <c r="W242" s="56">
        <v>59.02</v>
      </c>
      <c r="X242" s="823"/>
      <c r="Y242" s="823"/>
      <c r="Z242" s="823"/>
      <c r="AA242" s="823"/>
      <c r="AB242" s="823"/>
      <c r="AC242" s="823"/>
      <c r="AD242" s="823"/>
      <c r="AE242" s="823"/>
      <c r="AF242" s="823"/>
      <c r="AG242" s="823"/>
      <c r="AH242" s="56">
        <v>1.77</v>
      </c>
      <c r="AI242" s="823"/>
      <c r="AJ242" s="823"/>
      <c r="AK242" s="56">
        <v>60.79</v>
      </c>
      <c r="AL242" s="56">
        <v>0</v>
      </c>
    </row>
    <row r="243" spans="1:38" ht="15.75" thickBot="1" x14ac:dyDescent="0.3">
      <c r="A243" s="51" t="s">
        <v>953</v>
      </c>
      <c r="B243" s="51" t="s">
        <v>34</v>
      </c>
      <c r="C243" s="51" t="s">
        <v>437</v>
      </c>
      <c r="D243" s="51" t="s">
        <v>319</v>
      </c>
      <c r="E243" s="51" t="s">
        <v>330</v>
      </c>
      <c r="F243" s="51" t="s">
        <v>266</v>
      </c>
      <c r="G243" s="56">
        <v>137.83000000000001</v>
      </c>
      <c r="H243" s="823"/>
      <c r="I243" s="823"/>
      <c r="J243" s="823"/>
      <c r="K243" s="823"/>
      <c r="L243" s="823"/>
      <c r="M243" s="823"/>
      <c r="N243" s="823"/>
      <c r="O243" s="823"/>
      <c r="P243" s="823"/>
      <c r="Q243" s="823"/>
      <c r="R243" s="823"/>
      <c r="S243" s="823"/>
      <c r="T243" s="823"/>
      <c r="U243" s="823"/>
      <c r="V243" s="823"/>
      <c r="W243" s="823"/>
      <c r="X243" s="56">
        <v>137.83000000000001</v>
      </c>
      <c r="Y243" s="823"/>
      <c r="Z243" s="823"/>
      <c r="AA243" s="823"/>
      <c r="AB243" s="823"/>
      <c r="AC243" s="823"/>
      <c r="AD243" s="823"/>
      <c r="AE243" s="823"/>
      <c r="AF243" s="823"/>
      <c r="AG243" s="823"/>
      <c r="AH243" s="56">
        <v>4.1399999999999997</v>
      </c>
      <c r="AI243" s="823"/>
      <c r="AJ243" s="823"/>
      <c r="AK243" s="56">
        <v>141.97</v>
      </c>
      <c r="AL243" s="56">
        <v>0</v>
      </c>
    </row>
    <row r="244" spans="1:38" ht="15.75" thickBot="1" x14ac:dyDescent="0.3">
      <c r="A244" s="51" t="s">
        <v>953</v>
      </c>
      <c r="B244" s="51" t="s">
        <v>31</v>
      </c>
      <c r="C244" s="51" t="s">
        <v>835</v>
      </c>
      <c r="D244" s="51" t="s">
        <v>320</v>
      </c>
      <c r="E244" s="51" t="s">
        <v>357</v>
      </c>
      <c r="F244" s="51" t="s">
        <v>266</v>
      </c>
      <c r="G244" s="56">
        <v>-701.57</v>
      </c>
      <c r="H244" s="823"/>
      <c r="I244" s="823"/>
      <c r="J244" s="823"/>
      <c r="K244" s="823"/>
      <c r="L244" s="823"/>
      <c r="M244" s="823"/>
      <c r="N244" s="823"/>
      <c r="O244" s="823"/>
      <c r="P244" s="823"/>
      <c r="Q244" s="823"/>
      <c r="R244" s="823"/>
      <c r="S244" s="56">
        <v>-701.57</v>
      </c>
      <c r="T244" s="823"/>
      <c r="U244" s="823"/>
      <c r="V244" s="823"/>
      <c r="W244" s="823"/>
      <c r="X244" s="823"/>
      <c r="Y244" s="823"/>
      <c r="Z244" s="823"/>
      <c r="AA244" s="823"/>
      <c r="AB244" s="823"/>
      <c r="AC244" s="823"/>
      <c r="AD244" s="823"/>
      <c r="AE244" s="823"/>
      <c r="AF244" s="823"/>
      <c r="AG244" s="823"/>
      <c r="AH244" s="56">
        <v>-64.400000000000006</v>
      </c>
      <c r="AI244" s="823"/>
      <c r="AJ244" s="823"/>
      <c r="AK244" s="56">
        <v>-765.97</v>
      </c>
      <c r="AL244" s="56">
        <v>0</v>
      </c>
    </row>
    <row r="245" spans="1:38" ht="15.75" thickBot="1" x14ac:dyDescent="0.3">
      <c r="A245" s="51" t="s">
        <v>953</v>
      </c>
      <c r="B245" s="51" t="s">
        <v>31</v>
      </c>
      <c r="C245" s="51" t="s">
        <v>835</v>
      </c>
      <c r="D245" s="51" t="s">
        <v>320</v>
      </c>
      <c r="E245" s="51" t="s">
        <v>272</v>
      </c>
      <c r="F245" s="51" t="s">
        <v>266</v>
      </c>
      <c r="G245" s="56">
        <v>1527.68</v>
      </c>
      <c r="H245" s="823"/>
      <c r="I245" s="823"/>
      <c r="J245" s="823"/>
      <c r="K245" s="56">
        <v>1527.68</v>
      </c>
      <c r="L245" s="823"/>
      <c r="M245" s="823"/>
      <c r="N245" s="823"/>
      <c r="O245" s="823"/>
      <c r="P245" s="823"/>
      <c r="Q245" s="823"/>
      <c r="R245" s="823"/>
      <c r="S245" s="823"/>
      <c r="T245" s="823"/>
      <c r="U245" s="823"/>
      <c r="V245" s="823"/>
      <c r="W245" s="823"/>
      <c r="X245" s="823"/>
      <c r="Y245" s="823"/>
      <c r="Z245" s="823"/>
      <c r="AA245" s="823"/>
      <c r="AB245" s="823"/>
      <c r="AC245" s="823"/>
      <c r="AD245" s="823"/>
      <c r="AE245" s="823"/>
      <c r="AF245" s="823"/>
      <c r="AG245" s="823"/>
      <c r="AH245" s="56">
        <v>115.95</v>
      </c>
      <c r="AI245" s="823"/>
      <c r="AJ245" s="823"/>
      <c r="AK245" s="56">
        <v>1643.63</v>
      </c>
      <c r="AL245" s="56">
        <v>0</v>
      </c>
    </row>
    <row r="246" spans="1:38" ht="15.75" thickBot="1" x14ac:dyDescent="0.3">
      <c r="A246" s="51" t="s">
        <v>953</v>
      </c>
      <c r="B246" s="51" t="s">
        <v>31</v>
      </c>
      <c r="C246" s="51" t="s">
        <v>835</v>
      </c>
      <c r="D246" s="51" t="s">
        <v>320</v>
      </c>
      <c r="E246" s="51" t="s">
        <v>265</v>
      </c>
      <c r="F246" s="51" t="s">
        <v>266</v>
      </c>
      <c r="G246" s="56">
        <v>16429.21</v>
      </c>
      <c r="H246" s="56">
        <v>96457</v>
      </c>
      <c r="I246" s="823"/>
      <c r="J246" s="823"/>
      <c r="K246" s="823"/>
      <c r="L246" s="823"/>
      <c r="M246" s="56">
        <v>16429.21</v>
      </c>
      <c r="N246" s="823"/>
      <c r="O246" s="823"/>
      <c r="P246" s="823"/>
      <c r="Q246" s="823"/>
      <c r="R246" s="823"/>
      <c r="S246" s="823"/>
      <c r="T246" s="823"/>
      <c r="U246" s="823"/>
      <c r="V246" s="823"/>
      <c r="W246" s="823"/>
      <c r="X246" s="823"/>
      <c r="Y246" s="823"/>
      <c r="Z246" s="823"/>
      <c r="AA246" s="823"/>
      <c r="AB246" s="823"/>
      <c r="AC246" s="823"/>
      <c r="AD246" s="823"/>
      <c r="AE246" s="823"/>
      <c r="AF246" s="823"/>
      <c r="AG246" s="823"/>
      <c r="AH246" s="56">
        <v>1418.49</v>
      </c>
      <c r="AI246" s="823"/>
      <c r="AJ246" s="823"/>
      <c r="AK246" s="56">
        <v>17847.7</v>
      </c>
      <c r="AL246" s="56">
        <v>0</v>
      </c>
    </row>
    <row r="247" spans="1:38" ht="15.75" thickBot="1" x14ac:dyDescent="0.3">
      <c r="A247" s="51" t="s">
        <v>953</v>
      </c>
      <c r="B247" s="51" t="s">
        <v>31</v>
      </c>
      <c r="C247" s="51" t="s">
        <v>835</v>
      </c>
      <c r="D247" s="51" t="s">
        <v>320</v>
      </c>
      <c r="E247" s="51" t="s">
        <v>620</v>
      </c>
      <c r="F247" s="51" t="s">
        <v>266</v>
      </c>
      <c r="G247" s="56">
        <v>222.04</v>
      </c>
      <c r="H247" s="823"/>
      <c r="I247" s="823"/>
      <c r="J247" s="823"/>
      <c r="K247" s="823"/>
      <c r="L247" s="823"/>
      <c r="M247" s="823"/>
      <c r="N247" s="823"/>
      <c r="O247" s="823"/>
      <c r="P247" s="823"/>
      <c r="Q247" s="823"/>
      <c r="R247" s="823"/>
      <c r="S247" s="823"/>
      <c r="T247" s="823"/>
      <c r="U247" s="823"/>
      <c r="V247" s="823"/>
      <c r="W247" s="823"/>
      <c r="X247" s="823"/>
      <c r="Y247" s="823"/>
      <c r="Z247" s="56">
        <v>222.04</v>
      </c>
      <c r="AA247" s="823"/>
      <c r="AB247" s="823"/>
      <c r="AC247" s="823"/>
      <c r="AD247" s="823"/>
      <c r="AE247" s="823"/>
      <c r="AF247" s="823"/>
      <c r="AG247" s="823"/>
      <c r="AH247" s="56">
        <v>16.850000000000001</v>
      </c>
      <c r="AI247" s="823"/>
      <c r="AJ247" s="823"/>
      <c r="AK247" s="56">
        <v>238.89</v>
      </c>
      <c r="AL247" s="56">
        <v>0</v>
      </c>
    </row>
    <row r="248" spans="1:38" ht="15.75" thickBot="1" x14ac:dyDescent="0.3">
      <c r="A248" s="51" t="s">
        <v>953</v>
      </c>
      <c r="B248" s="51" t="s">
        <v>31</v>
      </c>
      <c r="C248" s="51" t="s">
        <v>835</v>
      </c>
      <c r="D248" s="51" t="s">
        <v>320</v>
      </c>
      <c r="E248" s="51" t="s">
        <v>621</v>
      </c>
      <c r="F248" s="51" t="s">
        <v>266</v>
      </c>
      <c r="G248" s="56">
        <v>1128.55</v>
      </c>
      <c r="H248" s="823"/>
      <c r="I248" s="823"/>
      <c r="J248" s="823"/>
      <c r="K248" s="823"/>
      <c r="L248" s="823"/>
      <c r="M248" s="823"/>
      <c r="N248" s="823"/>
      <c r="O248" s="823"/>
      <c r="P248" s="823"/>
      <c r="Q248" s="823"/>
      <c r="R248" s="823"/>
      <c r="S248" s="823"/>
      <c r="T248" s="823"/>
      <c r="U248" s="823"/>
      <c r="V248" s="823"/>
      <c r="W248" s="823"/>
      <c r="X248" s="823"/>
      <c r="Y248" s="823"/>
      <c r="Z248" s="823"/>
      <c r="AA248" s="56">
        <v>1128.55</v>
      </c>
      <c r="AB248" s="823"/>
      <c r="AC248" s="823"/>
      <c r="AD248" s="823"/>
      <c r="AE248" s="823"/>
      <c r="AF248" s="823"/>
      <c r="AG248" s="823"/>
      <c r="AH248" s="56">
        <v>97.51</v>
      </c>
      <c r="AI248" s="823"/>
      <c r="AJ248" s="823"/>
      <c r="AK248" s="56">
        <v>1226.06</v>
      </c>
      <c r="AL248" s="56">
        <v>0</v>
      </c>
    </row>
    <row r="249" spans="1:38" ht="15.75" thickBot="1" x14ac:dyDescent="0.3">
      <c r="A249" s="51" t="s">
        <v>953</v>
      </c>
      <c r="B249" s="51" t="s">
        <v>31</v>
      </c>
      <c r="C249" s="51" t="s">
        <v>835</v>
      </c>
      <c r="D249" s="51" t="s">
        <v>320</v>
      </c>
      <c r="E249" s="51" t="s">
        <v>273</v>
      </c>
      <c r="F249" s="51" t="s">
        <v>266</v>
      </c>
      <c r="G249" s="56">
        <v>8300.1200000000008</v>
      </c>
      <c r="H249" s="823"/>
      <c r="I249" s="823"/>
      <c r="J249" s="823"/>
      <c r="K249" s="823"/>
      <c r="L249" s="823"/>
      <c r="M249" s="823"/>
      <c r="N249" s="823"/>
      <c r="O249" s="823"/>
      <c r="P249" s="823"/>
      <c r="Q249" s="823"/>
      <c r="R249" s="823"/>
      <c r="S249" s="823"/>
      <c r="T249" s="823"/>
      <c r="U249" s="823"/>
      <c r="V249" s="823"/>
      <c r="W249" s="823"/>
      <c r="X249" s="823"/>
      <c r="Y249" s="56">
        <v>8300.1200000000008</v>
      </c>
      <c r="Z249" s="823"/>
      <c r="AA249" s="823"/>
      <c r="AB249" s="823"/>
      <c r="AC249" s="823"/>
      <c r="AD249" s="823"/>
      <c r="AE249" s="823"/>
      <c r="AF249" s="823"/>
      <c r="AG249" s="823"/>
      <c r="AH249" s="56">
        <v>717.16</v>
      </c>
      <c r="AI249" s="823"/>
      <c r="AJ249" s="823"/>
      <c r="AK249" s="56">
        <v>9017.2800000000007</v>
      </c>
      <c r="AL249" s="56">
        <v>0</v>
      </c>
    </row>
    <row r="250" spans="1:38" ht="15.75" thickBot="1" x14ac:dyDescent="0.3">
      <c r="A250" s="51" t="s">
        <v>953</v>
      </c>
      <c r="B250" s="51" t="s">
        <v>31</v>
      </c>
      <c r="C250" s="51" t="s">
        <v>835</v>
      </c>
      <c r="D250" s="51" t="s">
        <v>320</v>
      </c>
      <c r="E250" s="51" t="s">
        <v>268</v>
      </c>
      <c r="F250" s="51" t="s">
        <v>266</v>
      </c>
      <c r="G250" s="56">
        <v>1100</v>
      </c>
      <c r="H250" s="823"/>
      <c r="I250" s="823"/>
      <c r="J250" s="823"/>
      <c r="K250" s="56">
        <v>1100</v>
      </c>
      <c r="L250" s="823"/>
      <c r="M250" s="823"/>
      <c r="N250" s="823"/>
      <c r="O250" s="823"/>
      <c r="P250" s="823"/>
      <c r="Q250" s="823"/>
      <c r="R250" s="823"/>
      <c r="S250" s="823"/>
      <c r="T250" s="823"/>
      <c r="U250" s="823"/>
      <c r="V250" s="823"/>
      <c r="W250" s="823"/>
      <c r="X250" s="823"/>
      <c r="Y250" s="823"/>
      <c r="Z250" s="823"/>
      <c r="AA250" s="823"/>
      <c r="AB250" s="823"/>
      <c r="AC250" s="823"/>
      <c r="AD250" s="823"/>
      <c r="AE250" s="823"/>
      <c r="AF250" s="823"/>
      <c r="AG250" s="823"/>
      <c r="AH250" s="56">
        <v>83.49</v>
      </c>
      <c r="AI250" s="823"/>
      <c r="AJ250" s="823"/>
      <c r="AK250" s="56">
        <v>1183.49</v>
      </c>
      <c r="AL250" s="56">
        <v>0</v>
      </c>
    </row>
    <row r="251" spans="1:38" ht="15.75" thickBot="1" x14ac:dyDescent="0.3">
      <c r="A251" s="51" t="s">
        <v>953</v>
      </c>
      <c r="B251" s="51" t="s">
        <v>491</v>
      </c>
      <c r="C251" s="51" t="s">
        <v>492</v>
      </c>
      <c r="D251" s="51" t="s">
        <v>320</v>
      </c>
      <c r="E251" s="51" t="s">
        <v>109</v>
      </c>
      <c r="F251" s="51" t="s">
        <v>266</v>
      </c>
      <c r="G251" s="56">
        <v>99.9</v>
      </c>
      <c r="H251" s="823"/>
      <c r="I251" s="823"/>
      <c r="J251" s="823"/>
      <c r="K251" s="823"/>
      <c r="L251" s="823"/>
      <c r="M251" s="823"/>
      <c r="N251" s="823"/>
      <c r="O251" s="823"/>
      <c r="P251" s="823"/>
      <c r="Q251" s="56">
        <v>99.9</v>
      </c>
      <c r="R251" s="823"/>
      <c r="S251" s="823"/>
      <c r="T251" s="823"/>
      <c r="U251" s="823"/>
      <c r="V251" s="823"/>
      <c r="W251" s="823"/>
      <c r="X251" s="823"/>
      <c r="Y251" s="823"/>
      <c r="Z251" s="823"/>
      <c r="AA251" s="823"/>
      <c r="AB251" s="823"/>
      <c r="AC251" s="823"/>
      <c r="AD251" s="823"/>
      <c r="AE251" s="823"/>
      <c r="AF251" s="823"/>
      <c r="AG251" s="823"/>
      <c r="AH251" s="56">
        <v>2.66</v>
      </c>
      <c r="AI251" s="823"/>
      <c r="AJ251" s="823"/>
      <c r="AK251" s="56">
        <v>102.56</v>
      </c>
      <c r="AL251" s="56">
        <v>0</v>
      </c>
    </row>
    <row r="252" spans="1:38" ht="15.75" thickBot="1" x14ac:dyDescent="0.3">
      <c r="A252" s="51" t="s">
        <v>953</v>
      </c>
      <c r="B252" s="51" t="s">
        <v>491</v>
      </c>
      <c r="C252" s="51" t="s">
        <v>492</v>
      </c>
      <c r="D252" s="51" t="s">
        <v>320</v>
      </c>
      <c r="E252" s="51" t="s">
        <v>272</v>
      </c>
      <c r="F252" s="51" t="s">
        <v>266</v>
      </c>
      <c r="G252" s="56">
        <v>4583.04</v>
      </c>
      <c r="H252" s="823"/>
      <c r="I252" s="823"/>
      <c r="J252" s="823"/>
      <c r="K252" s="56">
        <v>4583.04</v>
      </c>
      <c r="L252" s="823"/>
      <c r="M252" s="823"/>
      <c r="N252" s="823"/>
      <c r="O252" s="823"/>
      <c r="P252" s="823"/>
      <c r="Q252" s="823"/>
      <c r="R252" s="823"/>
      <c r="S252" s="823"/>
      <c r="T252" s="823"/>
      <c r="U252" s="823"/>
      <c r="V252" s="823"/>
      <c r="W252" s="823"/>
      <c r="X252" s="823"/>
      <c r="Y252" s="823"/>
      <c r="Z252" s="823"/>
      <c r="AA252" s="823"/>
      <c r="AB252" s="823"/>
      <c r="AC252" s="823"/>
      <c r="AD252" s="823"/>
      <c r="AE252" s="823"/>
      <c r="AF252" s="823"/>
      <c r="AG252" s="823"/>
      <c r="AH252" s="56">
        <v>138.86000000000001</v>
      </c>
      <c r="AI252" s="823"/>
      <c r="AJ252" s="823"/>
      <c r="AK252" s="56">
        <v>4721.8999999999996</v>
      </c>
      <c r="AL252" s="56">
        <v>0</v>
      </c>
    </row>
    <row r="253" spans="1:38" ht="15.75" thickBot="1" x14ac:dyDescent="0.3">
      <c r="A253" s="51" t="s">
        <v>953</v>
      </c>
      <c r="B253" s="51" t="s">
        <v>491</v>
      </c>
      <c r="C253" s="51" t="s">
        <v>492</v>
      </c>
      <c r="D253" s="51" t="s">
        <v>320</v>
      </c>
      <c r="E253" s="51" t="s">
        <v>265</v>
      </c>
      <c r="F253" s="51" t="s">
        <v>266</v>
      </c>
      <c r="G253" s="56">
        <v>35528.75</v>
      </c>
      <c r="H253" s="56">
        <v>208097</v>
      </c>
      <c r="I253" s="823"/>
      <c r="J253" s="823"/>
      <c r="K253" s="823"/>
      <c r="L253" s="823"/>
      <c r="M253" s="56">
        <v>35528.75</v>
      </c>
      <c r="N253" s="823"/>
      <c r="O253" s="823"/>
      <c r="P253" s="823"/>
      <c r="Q253" s="823"/>
      <c r="R253" s="823"/>
      <c r="S253" s="823"/>
      <c r="T253" s="823"/>
      <c r="U253" s="823"/>
      <c r="V253" s="823"/>
      <c r="W253" s="823"/>
      <c r="X253" s="823"/>
      <c r="Y253" s="823"/>
      <c r="Z253" s="823"/>
      <c r="AA253" s="823"/>
      <c r="AB253" s="823"/>
      <c r="AC253" s="823"/>
      <c r="AD253" s="823"/>
      <c r="AE253" s="823"/>
      <c r="AF253" s="823"/>
      <c r="AG253" s="823"/>
      <c r="AH253" s="56">
        <v>947.57</v>
      </c>
      <c r="AI253" s="823"/>
      <c r="AJ253" s="823"/>
      <c r="AK253" s="56">
        <v>36476.32</v>
      </c>
      <c r="AL253" s="56">
        <v>0</v>
      </c>
    </row>
    <row r="254" spans="1:38" ht="15.75" thickBot="1" x14ac:dyDescent="0.3">
      <c r="A254" s="51" t="s">
        <v>953</v>
      </c>
      <c r="B254" s="51" t="s">
        <v>491</v>
      </c>
      <c r="C254" s="51" t="s">
        <v>492</v>
      </c>
      <c r="D254" s="51" t="s">
        <v>320</v>
      </c>
      <c r="E254" s="51" t="s">
        <v>620</v>
      </c>
      <c r="F254" s="51" t="s">
        <v>266</v>
      </c>
      <c r="G254" s="56">
        <v>666.12</v>
      </c>
      <c r="H254" s="823"/>
      <c r="I254" s="823"/>
      <c r="J254" s="823"/>
      <c r="K254" s="823"/>
      <c r="L254" s="823"/>
      <c r="M254" s="823"/>
      <c r="N254" s="823"/>
      <c r="O254" s="823"/>
      <c r="P254" s="823"/>
      <c r="Q254" s="823"/>
      <c r="R254" s="823"/>
      <c r="S254" s="823"/>
      <c r="T254" s="823"/>
      <c r="U254" s="823"/>
      <c r="V254" s="823"/>
      <c r="W254" s="823"/>
      <c r="X254" s="823"/>
      <c r="Y254" s="823"/>
      <c r="Z254" s="56">
        <v>666.12</v>
      </c>
      <c r="AA254" s="823"/>
      <c r="AB254" s="823"/>
      <c r="AC254" s="823"/>
      <c r="AD254" s="823"/>
      <c r="AE254" s="823"/>
      <c r="AF254" s="823"/>
      <c r="AG254" s="823"/>
      <c r="AH254" s="56">
        <v>20.18</v>
      </c>
      <c r="AI254" s="823"/>
      <c r="AJ254" s="823"/>
      <c r="AK254" s="56">
        <v>686.3</v>
      </c>
      <c r="AL254" s="56">
        <v>0</v>
      </c>
    </row>
    <row r="255" spans="1:38" ht="15.75" thickBot="1" x14ac:dyDescent="0.3">
      <c r="A255" s="51" t="s">
        <v>953</v>
      </c>
      <c r="B255" s="51" t="s">
        <v>491</v>
      </c>
      <c r="C255" s="51" t="s">
        <v>492</v>
      </c>
      <c r="D255" s="51" t="s">
        <v>320</v>
      </c>
      <c r="E255" s="51" t="s">
        <v>621</v>
      </c>
      <c r="F255" s="51" t="s">
        <v>266</v>
      </c>
      <c r="G255" s="56">
        <v>2434.7399999999998</v>
      </c>
      <c r="H255" s="823"/>
      <c r="I255" s="823"/>
      <c r="J255" s="823"/>
      <c r="K255" s="823"/>
      <c r="L255" s="823"/>
      <c r="M255" s="823"/>
      <c r="N255" s="823"/>
      <c r="O255" s="823"/>
      <c r="P255" s="823"/>
      <c r="Q255" s="823"/>
      <c r="R255" s="823"/>
      <c r="S255" s="823"/>
      <c r="T255" s="823"/>
      <c r="U255" s="823"/>
      <c r="V255" s="823"/>
      <c r="W255" s="823"/>
      <c r="X255" s="823"/>
      <c r="Y255" s="823"/>
      <c r="Z255" s="823"/>
      <c r="AA255" s="56">
        <v>2434.7399999999998</v>
      </c>
      <c r="AB255" s="823"/>
      <c r="AC255" s="823"/>
      <c r="AD255" s="823"/>
      <c r="AE255" s="823"/>
      <c r="AF255" s="823"/>
      <c r="AG255" s="823"/>
      <c r="AH255" s="56">
        <v>64.86</v>
      </c>
      <c r="AI255" s="823"/>
      <c r="AJ255" s="823"/>
      <c r="AK255" s="56">
        <v>2499.6</v>
      </c>
      <c r="AL255" s="56">
        <v>0</v>
      </c>
    </row>
    <row r="256" spans="1:38" ht="15.75" thickBot="1" x14ac:dyDescent="0.3">
      <c r="A256" s="51" t="s">
        <v>953</v>
      </c>
      <c r="B256" s="51" t="s">
        <v>491</v>
      </c>
      <c r="C256" s="51" t="s">
        <v>492</v>
      </c>
      <c r="D256" s="51" t="s">
        <v>320</v>
      </c>
      <c r="E256" s="51" t="s">
        <v>273</v>
      </c>
      <c r="F256" s="51" t="s">
        <v>266</v>
      </c>
      <c r="G256" s="56">
        <v>17906.75</v>
      </c>
      <c r="H256" s="823"/>
      <c r="I256" s="823"/>
      <c r="J256" s="823"/>
      <c r="K256" s="823"/>
      <c r="L256" s="823"/>
      <c r="M256" s="823"/>
      <c r="N256" s="823"/>
      <c r="O256" s="823"/>
      <c r="P256" s="823"/>
      <c r="Q256" s="823"/>
      <c r="R256" s="823"/>
      <c r="S256" s="823"/>
      <c r="T256" s="823"/>
      <c r="U256" s="823"/>
      <c r="V256" s="823"/>
      <c r="W256" s="823"/>
      <c r="X256" s="823"/>
      <c r="Y256" s="56">
        <v>17906.75</v>
      </c>
      <c r="Z256" s="823"/>
      <c r="AA256" s="823"/>
      <c r="AB256" s="823"/>
      <c r="AC256" s="823"/>
      <c r="AD256" s="823"/>
      <c r="AE256" s="823"/>
      <c r="AF256" s="823"/>
      <c r="AG256" s="823"/>
      <c r="AH256" s="56">
        <v>477.03</v>
      </c>
      <c r="AI256" s="823"/>
      <c r="AJ256" s="823"/>
      <c r="AK256" s="56">
        <v>18383.78</v>
      </c>
      <c r="AL256" s="56">
        <v>0</v>
      </c>
    </row>
    <row r="257" spans="1:38" ht="15.75" thickBot="1" x14ac:dyDescent="0.3">
      <c r="A257" s="51" t="s">
        <v>953</v>
      </c>
      <c r="B257" s="51" t="s">
        <v>491</v>
      </c>
      <c r="C257" s="51" t="s">
        <v>492</v>
      </c>
      <c r="D257" s="51" t="s">
        <v>320</v>
      </c>
      <c r="E257" s="51" t="s">
        <v>268</v>
      </c>
      <c r="F257" s="51" t="s">
        <v>266</v>
      </c>
      <c r="G257" s="56">
        <v>3300</v>
      </c>
      <c r="H257" s="823"/>
      <c r="I257" s="823"/>
      <c r="J257" s="823"/>
      <c r="K257" s="56">
        <v>3300</v>
      </c>
      <c r="L257" s="823"/>
      <c r="M257" s="823"/>
      <c r="N257" s="823"/>
      <c r="O257" s="823"/>
      <c r="P257" s="823"/>
      <c r="Q257" s="823"/>
      <c r="R257" s="823"/>
      <c r="S257" s="823"/>
      <c r="T257" s="823"/>
      <c r="U257" s="823"/>
      <c r="V257" s="823"/>
      <c r="W257" s="823"/>
      <c r="X257" s="823"/>
      <c r="Y257" s="823"/>
      <c r="Z257" s="823"/>
      <c r="AA257" s="823"/>
      <c r="AB257" s="823"/>
      <c r="AC257" s="823"/>
      <c r="AD257" s="823"/>
      <c r="AE257" s="823"/>
      <c r="AF257" s="823"/>
      <c r="AG257" s="823"/>
      <c r="AH257" s="56">
        <v>99.99</v>
      </c>
      <c r="AI257" s="823"/>
      <c r="AJ257" s="823"/>
      <c r="AK257" s="56">
        <v>3399.99</v>
      </c>
      <c r="AL257" s="56">
        <v>0</v>
      </c>
    </row>
    <row r="258" spans="1:38" ht="23.25" thickBot="1" x14ac:dyDescent="0.3">
      <c r="A258" s="51" t="s">
        <v>953</v>
      </c>
      <c r="B258" s="51" t="s">
        <v>52</v>
      </c>
      <c r="C258" s="51" t="s">
        <v>355</v>
      </c>
      <c r="D258" s="51" t="s">
        <v>320</v>
      </c>
      <c r="E258" s="51" t="s">
        <v>269</v>
      </c>
      <c r="F258" s="51" t="s">
        <v>915</v>
      </c>
      <c r="G258" s="56">
        <v>-1850.95</v>
      </c>
      <c r="H258" s="823"/>
      <c r="I258" s="823"/>
      <c r="J258" s="823"/>
      <c r="K258" s="823"/>
      <c r="L258" s="823"/>
      <c r="M258" s="823"/>
      <c r="N258" s="823"/>
      <c r="O258" s="823"/>
      <c r="P258" s="823"/>
      <c r="Q258" s="823"/>
      <c r="R258" s="823"/>
      <c r="S258" s="823"/>
      <c r="T258" s="56">
        <v>-1850.95</v>
      </c>
      <c r="U258" s="823"/>
      <c r="V258" s="823"/>
      <c r="W258" s="823"/>
      <c r="X258" s="823"/>
      <c r="Y258" s="823"/>
      <c r="Z258" s="823"/>
      <c r="AA258" s="823"/>
      <c r="AB258" s="823"/>
      <c r="AC258" s="823"/>
      <c r="AD258" s="823"/>
      <c r="AE258" s="823"/>
      <c r="AF258" s="823"/>
      <c r="AG258" s="823"/>
      <c r="AH258" s="56">
        <v>0</v>
      </c>
      <c r="AI258" s="823"/>
      <c r="AJ258" s="823"/>
      <c r="AK258" s="56">
        <v>-1850.95</v>
      </c>
      <c r="AL258" s="56">
        <v>0</v>
      </c>
    </row>
    <row r="259" spans="1:38" ht="23.25" thickBot="1" x14ac:dyDescent="0.3">
      <c r="A259" s="51" t="s">
        <v>953</v>
      </c>
      <c r="B259" s="51" t="s">
        <v>52</v>
      </c>
      <c r="C259" s="51" t="s">
        <v>355</v>
      </c>
      <c r="D259" s="51" t="s">
        <v>320</v>
      </c>
      <c r="E259" s="51" t="s">
        <v>271</v>
      </c>
      <c r="F259" s="51" t="s">
        <v>915</v>
      </c>
      <c r="G259" s="56">
        <v>49.41</v>
      </c>
      <c r="H259" s="823"/>
      <c r="I259" s="823"/>
      <c r="J259" s="823"/>
      <c r="K259" s="823"/>
      <c r="L259" s="823"/>
      <c r="M259" s="823"/>
      <c r="N259" s="823"/>
      <c r="O259" s="823"/>
      <c r="P259" s="823"/>
      <c r="Q259" s="823"/>
      <c r="R259" s="823"/>
      <c r="S259" s="823"/>
      <c r="T259" s="823"/>
      <c r="U259" s="56">
        <v>49.41</v>
      </c>
      <c r="V259" s="823"/>
      <c r="W259" s="823"/>
      <c r="X259" s="823"/>
      <c r="Y259" s="823"/>
      <c r="Z259" s="823"/>
      <c r="AA259" s="823"/>
      <c r="AB259" s="823"/>
      <c r="AC259" s="823"/>
      <c r="AD259" s="823"/>
      <c r="AE259" s="823"/>
      <c r="AF259" s="823"/>
      <c r="AG259" s="823"/>
      <c r="AH259" s="56">
        <v>0</v>
      </c>
      <c r="AI259" s="823"/>
      <c r="AJ259" s="823"/>
      <c r="AK259" s="56">
        <v>49.41</v>
      </c>
      <c r="AL259" s="56">
        <v>0</v>
      </c>
    </row>
    <row r="260" spans="1:38" ht="15.75" thickBot="1" x14ac:dyDescent="0.3">
      <c r="A260" s="51" t="s">
        <v>953</v>
      </c>
      <c r="B260" s="51" t="s">
        <v>52</v>
      </c>
      <c r="C260" s="51" t="s">
        <v>355</v>
      </c>
      <c r="D260" s="51" t="s">
        <v>320</v>
      </c>
      <c r="E260" s="51" t="s">
        <v>268</v>
      </c>
      <c r="F260" s="51" t="s">
        <v>266</v>
      </c>
      <c r="G260" s="56">
        <v>675</v>
      </c>
      <c r="H260" s="823"/>
      <c r="I260" s="823"/>
      <c r="J260" s="823"/>
      <c r="K260" s="56">
        <v>675</v>
      </c>
      <c r="L260" s="823"/>
      <c r="M260" s="823"/>
      <c r="N260" s="823"/>
      <c r="O260" s="823"/>
      <c r="P260" s="823"/>
      <c r="Q260" s="823"/>
      <c r="R260" s="823"/>
      <c r="S260" s="823"/>
      <c r="T260" s="823"/>
      <c r="U260" s="823"/>
      <c r="V260" s="823"/>
      <c r="W260" s="823"/>
      <c r="X260" s="823"/>
      <c r="Y260" s="823"/>
      <c r="Z260" s="823"/>
      <c r="AA260" s="823"/>
      <c r="AB260" s="823"/>
      <c r="AC260" s="823"/>
      <c r="AD260" s="823"/>
      <c r="AE260" s="823"/>
      <c r="AF260" s="823"/>
      <c r="AG260" s="823"/>
      <c r="AH260" s="56">
        <v>0</v>
      </c>
      <c r="AI260" s="823"/>
      <c r="AJ260" s="823"/>
      <c r="AK260" s="56">
        <v>675</v>
      </c>
      <c r="AL260" s="56">
        <v>0</v>
      </c>
    </row>
    <row r="261" spans="1:38" ht="15.75" thickBot="1" x14ac:dyDescent="0.3">
      <c r="A261" s="51" t="s">
        <v>953</v>
      </c>
      <c r="B261" s="51" t="s">
        <v>53</v>
      </c>
      <c r="C261" s="51" t="s">
        <v>836</v>
      </c>
      <c r="D261" s="51" t="s">
        <v>320</v>
      </c>
      <c r="E261" s="51" t="s">
        <v>356</v>
      </c>
      <c r="F261" s="51" t="s">
        <v>266</v>
      </c>
      <c r="G261" s="822"/>
      <c r="H261" s="822"/>
      <c r="I261" s="822"/>
      <c r="J261" s="822"/>
      <c r="K261" s="822"/>
      <c r="L261" s="822"/>
      <c r="M261" s="822"/>
      <c r="N261" s="822"/>
      <c r="O261" s="822"/>
      <c r="P261" s="822"/>
      <c r="Q261" s="822"/>
      <c r="R261" s="822"/>
      <c r="S261" s="822"/>
      <c r="T261" s="822"/>
      <c r="U261" s="822"/>
      <c r="V261" s="822"/>
      <c r="W261" s="822"/>
      <c r="X261" s="822"/>
      <c r="Y261" s="822"/>
      <c r="Z261" s="822"/>
      <c r="AA261" s="822"/>
      <c r="AB261" s="822"/>
      <c r="AC261" s="822"/>
      <c r="AD261" s="822"/>
      <c r="AE261" s="822"/>
      <c r="AF261" s="822"/>
      <c r="AG261" s="54">
        <v>574.79999999999995</v>
      </c>
      <c r="AH261" s="54">
        <v>0</v>
      </c>
      <c r="AI261" s="822"/>
      <c r="AJ261" s="822"/>
      <c r="AK261" s="54">
        <v>574.79999999999995</v>
      </c>
      <c r="AL261" s="54">
        <v>0</v>
      </c>
    </row>
    <row r="262" spans="1:38" ht="15.75" thickBot="1" x14ac:dyDescent="0.3">
      <c r="A262" s="51" t="s">
        <v>953</v>
      </c>
      <c r="B262" s="51" t="s">
        <v>53</v>
      </c>
      <c r="C262" s="51" t="s">
        <v>836</v>
      </c>
      <c r="D262" s="51" t="s">
        <v>320</v>
      </c>
      <c r="E262" s="51" t="s">
        <v>272</v>
      </c>
      <c r="F262" s="51" t="s">
        <v>266</v>
      </c>
      <c r="G262" s="54">
        <v>500</v>
      </c>
      <c r="H262" s="822"/>
      <c r="I262" s="822"/>
      <c r="J262" s="822"/>
      <c r="K262" s="54">
        <v>500</v>
      </c>
      <c r="L262" s="822"/>
      <c r="M262" s="822"/>
      <c r="N262" s="822"/>
      <c r="O262" s="822"/>
      <c r="P262" s="822"/>
      <c r="Q262" s="822"/>
      <c r="R262" s="822"/>
      <c r="S262" s="822"/>
      <c r="T262" s="822"/>
      <c r="U262" s="822"/>
      <c r="V262" s="822"/>
      <c r="W262" s="822"/>
      <c r="X262" s="822"/>
      <c r="Y262" s="822"/>
      <c r="Z262" s="822"/>
      <c r="AA262" s="822"/>
      <c r="AB262" s="822"/>
      <c r="AC262" s="822"/>
      <c r="AD262" s="822"/>
      <c r="AE262" s="822"/>
      <c r="AF262" s="822"/>
      <c r="AG262" s="822"/>
      <c r="AH262" s="54">
        <v>0</v>
      </c>
      <c r="AI262" s="822"/>
      <c r="AJ262" s="822"/>
      <c r="AK262" s="54">
        <v>500</v>
      </c>
      <c r="AL262" s="54">
        <v>0</v>
      </c>
    </row>
    <row r="263" spans="1:38" ht="15.75" thickBot="1" x14ac:dyDescent="0.3">
      <c r="A263" s="51" t="s">
        <v>953</v>
      </c>
      <c r="B263" s="51" t="s">
        <v>53</v>
      </c>
      <c r="C263" s="51" t="s">
        <v>836</v>
      </c>
      <c r="D263" s="51" t="s">
        <v>320</v>
      </c>
      <c r="E263" s="51" t="s">
        <v>265</v>
      </c>
      <c r="F263" s="51" t="s">
        <v>266</v>
      </c>
      <c r="G263" s="54">
        <v>9382.4699999999993</v>
      </c>
      <c r="H263" s="54">
        <v>88148</v>
      </c>
      <c r="I263" s="822"/>
      <c r="J263" s="822"/>
      <c r="K263" s="822"/>
      <c r="L263" s="822"/>
      <c r="M263" s="54">
        <v>9382.4699999999993</v>
      </c>
      <c r="N263" s="822"/>
      <c r="O263" s="822"/>
      <c r="P263" s="822"/>
      <c r="Q263" s="822"/>
      <c r="R263" s="822"/>
      <c r="S263" s="822"/>
      <c r="T263" s="822"/>
      <c r="U263" s="822"/>
      <c r="V263" s="822"/>
      <c r="W263" s="822"/>
      <c r="X263" s="822"/>
      <c r="Y263" s="822"/>
      <c r="Z263" s="822"/>
      <c r="AA263" s="822"/>
      <c r="AB263" s="822"/>
      <c r="AC263" s="822"/>
      <c r="AD263" s="822"/>
      <c r="AE263" s="822"/>
      <c r="AF263" s="822"/>
      <c r="AG263" s="822"/>
      <c r="AH263" s="54">
        <v>0</v>
      </c>
      <c r="AI263" s="822"/>
      <c r="AJ263" s="822"/>
      <c r="AK263" s="54">
        <v>9382.4699999999993</v>
      </c>
      <c r="AL263" s="54">
        <v>0</v>
      </c>
    </row>
    <row r="264" spans="1:38" ht="15.75" thickBot="1" x14ac:dyDescent="0.3">
      <c r="A264" s="51" t="s">
        <v>953</v>
      </c>
      <c r="B264" s="51" t="s">
        <v>53</v>
      </c>
      <c r="C264" s="51" t="s">
        <v>836</v>
      </c>
      <c r="D264" s="51" t="s">
        <v>320</v>
      </c>
      <c r="E264" s="51" t="s">
        <v>620</v>
      </c>
      <c r="F264" s="51" t="s">
        <v>266</v>
      </c>
      <c r="G264" s="54">
        <v>111.02</v>
      </c>
      <c r="H264" s="822"/>
      <c r="I264" s="822"/>
      <c r="J264" s="822"/>
      <c r="K264" s="822"/>
      <c r="L264" s="822"/>
      <c r="M264" s="822"/>
      <c r="N264" s="822"/>
      <c r="O264" s="822"/>
      <c r="P264" s="822"/>
      <c r="Q264" s="822"/>
      <c r="R264" s="822"/>
      <c r="S264" s="822"/>
      <c r="T264" s="822"/>
      <c r="U264" s="822"/>
      <c r="V264" s="822"/>
      <c r="W264" s="822"/>
      <c r="X264" s="822"/>
      <c r="Y264" s="822"/>
      <c r="Z264" s="54">
        <v>111.02</v>
      </c>
      <c r="AA264" s="822"/>
      <c r="AB264" s="822"/>
      <c r="AC264" s="822"/>
      <c r="AD264" s="822"/>
      <c r="AE264" s="822"/>
      <c r="AF264" s="822"/>
      <c r="AG264" s="822"/>
      <c r="AH264" s="54">
        <v>0</v>
      </c>
      <c r="AI264" s="822"/>
      <c r="AJ264" s="822"/>
      <c r="AK264" s="54">
        <v>111.02</v>
      </c>
      <c r="AL264" s="54">
        <v>0</v>
      </c>
    </row>
    <row r="265" spans="1:38" ht="15.75" thickBot="1" x14ac:dyDescent="0.3">
      <c r="A265" s="51" t="s">
        <v>953</v>
      </c>
      <c r="B265" s="51" t="s">
        <v>53</v>
      </c>
      <c r="C265" s="51" t="s">
        <v>836</v>
      </c>
      <c r="D265" s="51" t="s">
        <v>320</v>
      </c>
      <c r="E265" s="51" t="s">
        <v>621</v>
      </c>
      <c r="F265" s="51" t="s">
        <v>266</v>
      </c>
      <c r="G265" s="54">
        <v>1031.33</v>
      </c>
      <c r="H265" s="822"/>
      <c r="I265" s="822"/>
      <c r="J265" s="822"/>
      <c r="K265" s="822"/>
      <c r="L265" s="822"/>
      <c r="M265" s="822"/>
      <c r="N265" s="822"/>
      <c r="O265" s="822"/>
      <c r="P265" s="822"/>
      <c r="Q265" s="822"/>
      <c r="R265" s="822"/>
      <c r="S265" s="822"/>
      <c r="T265" s="822"/>
      <c r="U265" s="822"/>
      <c r="V265" s="822"/>
      <c r="W265" s="822"/>
      <c r="X265" s="822"/>
      <c r="Y265" s="822"/>
      <c r="Z265" s="822"/>
      <c r="AA265" s="54">
        <v>1031.33</v>
      </c>
      <c r="AB265" s="822"/>
      <c r="AC265" s="822"/>
      <c r="AD265" s="822"/>
      <c r="AE265" s="822"/>
      <c r="AF265" s="822"/>
      <c r="AG265" s="822"/>
      <c r="AH265" s="54">
        <v>0</v>
      </c>
      <c r="AI265" s="822"/>
      <c r="AJ265" s="822"/>
      <c r="AK265" s="54">
        <v>1031.33</v>
      </c>
      <c r="AL265" s="54">
        <v>0</v>
      </c>
    </row>
    <row r="266" spans="1:38" ht="15.75" thickBot="1" x14ac:dyDescent="0.3">
      <c r="A266" s="51" t="s">
        <v>953</v>
      </c>
      <c r="B266" s="51" t="s">
        <v>53</v>
      </c>
      <c r="C266" s="51" t="s">
        <v>836</v>
      </c>
      <c r="D266" s="51" t="s">
        <v>320</v>
      </c>
      <c r="E266" s="51" t="s">
        <v>273</v>
      </c>
      <c r="F266" s="51" t="s">
        <v>266</v>
      </c>
      <c r="G266" s="54">
        <v>7585.14</v>
      </c>
      <c r="H266" s="822"/>
      <c r="I266" s="822"/>
      <c r="J266" s="822"/>
      <c r="K266" s="822"/>
      <c r="L266" s="822"/>
      <c r="M266" s="822"/>
      <c r="N266" s="822"/>
      <c r="O266" s="822"/>
      <c r="P266" s="822"/>
      <c r="Q266" s="822"/>
      <c r="R266" s="822"/>
      <c r="S266" s="822"/>
      <c r="T266" s="822"/>
      <c r="U266" s="822"/>
      <c r="V266" s="822"/>
      <c r="W266" s="822"/>
      <c r="X266" s="822"/>
      <c r="Y266" s="54">
        <v>7585.14</v>
      </c>
      <c r="Z266" s="822"/>
      <c r="AA266" s="822"/>
      <c r="AB266" s="822"/>
      <c r="AC266" s="822"/>
      <c r="AD266" s="822"/>
      <c r="AE266" s="822"/>
      <c r="AF266" s="822"/>
      <c r="AG266" s="822"/>
      <c r="AH266" s="54">
        <v>0</v>
      </c>
      <c r="AI266" s="822"/>
      <c r="AJ266" s="822"/>
      <c r="AK266" s="54">
        <v>7585.14</v>
      </c>
      <c r="AL266" s="54">
        <v>0</v>
      </c>
    </row>
    <row r="267" spans="1:38" ht="15.75" thickBot="1" x14ac:dyDescent="0.3">
      <c r="A267" s="51" t="s">
        <v>953</v>
      </c>
      <c r="B267" s="51" t="s">
        <v>53</v>
      </c>
      <c r="C267" s="51" t="s">
        <v>836</v>
      </c>
      <c r="D267" s="51" t="s">
        <v>320</v>
      </c>
      <c r="E267" s="51" t="s">
        <v>268</v>
      </c>
      <c r="F267" s="51" t="s">
        <v>266</v>
      </c>
      <c r="G267" s="54">
        <v>550</v>
      </c>
      <c r="H267" s="822"/>
      <c r="I267" s="822"/>
      <c r="J267" s="822"/>
      <c r="K267" s="54">
        <v>550</v>
      </c>
      <c r="L267" s="822"/>
      <c r="M267" s="822"/>
      <c r="N267" s="822"/>
      <c r="O267" s="822"/>
      <c r="P267" s="822"/>
      <c r="Q267" s="822"/>
      <c r="R267" s="822"/>
      <c r="S267" s="822"/>
      <c r="T267" s="822"/>
      <c r="U267" s="822"/>
      <c r="V267" s="822"/>
      <c r="W267" s="822"/>
      <c r="X267" s="822"/>
      <c r="Y267" s="822"/>
      <c r="Z267" s="822"/>
      <c r="AA267" s="822"/>
      <c r="AB267" s="822"/>
      <c r="AC267" s="822"/>
      <c r="AD267" s="822"/>
      <c r="AE267" s="822"/>
      <c r="AF267" s="822"/>
      <c r="AG267" s="822"/>
      <c r="AH267" s="54">
        <v>0</v>
      </c>
      <c r="AI267" s="822"/>
      <c r="AJ267" s="822"/>
      <c r="AK267" s="54">
        <v>550</v>
      </c>
      <c r="AL267" s="54">
        <v>0</v>
      </c>
    </row>
    <row r="268" spans="1:38" ht="23.25" thickBot="1" x14ac:dyDescent="0.3">
      <c r="A268" s="51" t="s">
        <v>953</v>
      </c>
      <c r="B268" s="51" t="s">
        <v>36</v>
      </c>
      <c r="C268" s="51" t="s">
        <v>438</v>
      </c>
      <c r="D268" s="51" t="s">
        <v>320</v>
      </c>
      <c r="E268" s="51" t="s">
        <v>269</v>
      </c>
      <c r="F268" s="51" t="s">
        <v>915</v>
      </c>
      <c r="G268" s="54">
        <v>-2076.17</v>
      </c>
      <c r="H268" s="822"/>
      <c r="I268" s="822"/>
      <c r="J268" s="822"/>
      <c r="K268" s="822"/>
      <c r="L268" s="822"/>
      <c r="M268" s="822"/>
      <c r="N268" s="822"/>
      <c r="O268" s="822"/>
      <c r="P268" s="822"/>
      <c r="Q268" s="822"/>
      <c r="R268" s="822"/>
      <c r="S268" s="822"/>
      <c r="T268" s="54">
        <v>-2076.17</v>
      </c>
      <c r="U268" s="822"/>
      <c r="V268" s="822"/>
      <c r="W268" s="822"/>
      <c r="X268" s="822"/>
      <c r="Y268" s="822"/>
      <c r="Z268" s="822"/>
      <c r="AA268" s="822"/>
      <c r="AB268" s="822"/>
      <c r="AC268" s="822"/>
      <c r="AD268" s="822"/>
      <c r="AE268" s="822"/>
      <c r="AF268" s="822"/>
      <c r="AG268" s="822"/>
      <c r="AH268" s="54">
        <v>-124.57</v>
      </c>
      <c r="AI268" s="822"/>
      <c r="AJ268" s="822"/>
      <c r="AK268" s="54">
        <v>-2200.7399999999998</v>
      </c>
      <c r="AL268" s="54">
        <v>0</v>
      </c>
    </row>
    <row r="269" spans="1:38" ht="15.75" thickBot="1" x14ac:dyDescent="0.3">
      <c r="A269" s="51" t="s">
        <v>953</v>
      </c>
      <c r="B269" s="51" t="s">
        <v>36</v>
      </c>
      <c r="C269" s="51" t="s">
        <v>438</v>
      </c>
      <c r="D269" s="51" t="s">
        <v>320</v>
      </c>
      <c r="E269" s="51" t="s">
        <v>272</v>
      </c>
      <c r="F269" s="51" t="s">
        <v>266</v>
      </c>
      <c r="G269" s="54">
        <v>35250</v>
      </c>
      <c r="H269" s="822"/>
      <c r="I269" s="822"/>
      <c r="J269" s="822"/>
      <c r="K269" s="54">
        <v>35250</v>
      </c>
      <c r="L269" s="822"/>
      <c r="M269" s="822"/>
      <c r="N269" s="822"/>
      <c r="O269" s="822"/>
      <c r="P269" s="822"/>
      <c r="Q269" s="822"/>
      <c r="R269" s="822"/>
      <c r="S269" s="822"/>
      <c r="T269" s="822"/>
      <c r="U269" s="822"/>
      <c r="V269" s="822"/>
      <c r="W269" s="822"/>
      <c r="X269" s="822"/>
      <c r="Y269" s="822"/>
      <c r="Z269" s="822"/>
      <c r="AA269" s="822"/>
      <c r="AB269" s="822"/>
      <c r="AC269" s="822"/>
      <c r="AD269" s="822"/>
      <c r="AE269" s="822"/>
      <c r="AF269" s="822"/>
      <c r="AG269" s="822"/>
      <c r="AH269" s="54">
        <v>1559.26</v>
      </c>
      <c r="AI269" s="822"/>
      <c r="AJ269" s="822"/>
      <c r="AK269" s="54">
        <v>36809.26</v>
      </c>
      <c r="AL269" s="54">
        <v>0</v>
      </c>
    </row>
    <row r="270" spans="1:38" ht="15.75" thickBot="1" x14ac:dyDescent="0.3">
      <c r="A270" s="51" t="s">
        <v>953</v>
      </c>
      <c r="B270" s="51" t="s">
        <v>36</v>
      </c>
      <c r="C270" s="51" t="s">
        <v>438</v>
      </c>
      <c r="D270" s="51" t="s">
        <v>320</v>
      </c>
      <c r="E270" s="51" t="s">
        <v>265</v>
      </c>
      <c r="F270" s="51" t="s">
        <v>266</v>
      </c>
      <c r="G270" s="54">
        <v>25213.51</v>
      </c>
      <c r="H270" s="54">
        <v>6635132</v>
      </c>
      <c r="I270" s="822"/>
      <c r="J270" s="822"/>
      <c r="K270" s="822"/>
      <c r="L270" s="822"/>
      <c r="M270" s="54">
        <v>25213.51</v>
      </c>
      <c r="N270" s="822"/>
      <c r="O270" s="822"/>
      <c r="P270" s="822"/>
      <c r="Q270" s="822"/>
      <c r="R270" s="822"/>
      <c r="S270" s="822"/>
      <c r="T270" s="822"/>
      <c r="U270" s="822"/>
      <c r="V270" s="822"/>
      <c r="W270" s="822"/>
      <c r="X270" s="822"/>
      <c r="Y270" s="822"/>
      <c r="Z270" s="822"/>
      <c r="AA270" s="822"/>
      <c r="AB270" s="822"/>
      <c r="AC270" s="822"/>
      <c r="AD270" s="822"/>
      <c r="AE270" s="822"/>
      <c r="AF270" s="822"/>
      <c r="AG270" s="822"/>
      <c r="AH270" s="54">
        <v>999.15</v>
      </c>
      <c r="AI270" s="822"/>
      <c r="AJ270" s="822"/>
      <c r="AK270" s="54">
        <v>26212.66</v>
      </c>
      <c r="AL270" s="54">
        <v>0</v>
      </c>
    </row>
    <row r="271" spans="1:38" ht="15.75" thickBot="1" x14ac:dyDescent="0.3">
      <c r="A271" s="51" t="s">
        <v>953</v>
      </c>
      <c r="B271" s="51" t="s">
        <v>36</v>
      </c>
      <c r="C271" s="51" t="s">
        <v>438</v>
      </c>
      <c r="D271" s="51" t="s">
        <v>320</v>
      </c>
      <c r="E271" s="51" t="s">
        <v>621</v>
      </c>
      <c r="F271" s="51" t="s">
        <v>266</v>
      </c>
      <c r="G271" s="54">
        <v>6534.31</v>
      </c>
      <c r="H271" s="822"/>
      <c r="I271" s="822"/>
      <c r="J271" s="822"/>
      <c r="K271" s="822"/>
      <c r="L271" s="822"/>
      <c r="M271" s="822"/>
      <c r="N271" s="822"/>
      <c r="O271" s="822"/>
      <c r="P271" s="822"/>
      <c r="Q271" s="822"/>
      <c r="R271" s="822"/>
      <c r="S271" s="822"/>
      <c r="T271" s="822"/>
      <c r="U271" s="822"/>
      <c r="V271" s="822"/>
      <c r="W271" s="822"/>
      <c r="X271" s="822"/>
      <c r="Y271" s="822"/>
      <c r="Z271" s="822"/>
      <c r="AA271" s="54">
        <v>6534.31</v>
      </c>
      <c r="AB271" s="822"/>
      <c r="AC271" s="822"/>
      <c r="AD271" s="822"/>
      <c r="AE271" s="822"/>
      <c r="AF271" s="822"/>
      <c r="AG271" s="822"/>
      <c r="AH271" s="54">
        <v>260.62</v>
      </c>
      <c r="AI271" s="822"/>
      <c r="AJ271" s="822"/>
      <c r="AK271" s="54">
        <v>6794.93</v>
      </c>
      <c r="AL271" s="54">
        <v>0</v>
      </c>
    </row>
    <row r="272" spans="1:38" ht="23.25" thickBot="1" x14ac:dyDescent="0.3">
      <c r="A272" s="51" t="s">
        <v>953</v>
      </c>
      <c r="B272" s="51" t="s">
        <v>36</v>
      </c>
      <c r="C272" s="51" t="s">
        <v>438</v>
      </c>
      <c r="D272" s="51" t="s">
        <v>320</v>
      </c>
      <c r="E272" s="51" t="s">
        <v>271</v>
      </c>
      <c r="F272" s="51" t="s">
        <v>915</v>
      </c>
      <c r="G272" s="54">
        <v>23.16</v>
      </c>
      <c r="H272" s="822"/>
      <c r="I272" s="822"/>
      <c r="J272" s="822"/>
      <c r="K272" s="822"/>
      <c r="L272" s="822"/>
      <c r="M272" s="822"/>
      <c r="N272" s="822"/>
      <c r="O272" s="822"/>
      <c r="P272" s="822"/>
      <c r="Q272" s="822"/>
      <c r="R272" s="822"/>
      <c r="S272" s="822"/>
      <c r="T272" s="822"/>
      <c r="U272" s="54">
        <v>23.16</v>
      </c>
      <c r="V272" s="822"/>
      <c r="W272" s="822"/>
      <c r="X272" s="822"/>
      <c r="Y272" s="822"/>
      <c r="Z272" s="822"/>
      <c r="AA272" s="822"/>
      <c r="AB272" s="822"/>
      <c r="AC272" s="822"/>
      <c r="AD272" s="822"/>
      <c r="AE272" s="822"/>
      <c r="AF272" s="822"/>
      <c r="AG272" s="822"/>
      <c r="AH272" s="54">
        <v>1.39</v>
      </c>
      <c r="AI272" s="822"/>
      <c r="AJ272" s="822"/>
      <c r="AK272" s="54">
        <v>24.55</v>
      </c>
      <c r="AL272" s="54">
        <v>0</v>
      </c>
    </row>
    <row r="273" spans="1:38" ht="15.75" thickBot="1" x14ac:dyDescent="0.3">
      <c r="A273" s="51" t="s">
        <v>953</v>
      </c>
      <c r="B273" s="51" t="s">
        <v>36</v>
      </c>
      <c r="C273" s="51" t="s">
        <v>438</v>
      </c>
      <c r="D273" s="51" t="s">
        <v>320</v>
      </c>
      <c r="E273" s="51" t="s">
        <v>325</v>
      </c>
      <c r="F273" s="51" t="s">
        <v>266</v>
      </c>
      <c r="G273" s="54">
        <v>147.5</v>
      </c>
      <c r="H273" s="822"/>
      <c r="I273" s="822"/>
      <c r="J273" s="822"/>
      <c r="K273" s="822"/>
      <c r="L273" s="822"/>
      <c r="M273" s="822"/>
      <c r="N273" s="54">
        <v>147.5</v>
      </c>
      <c r="O273" s="822"/>
      <c r="P273" s="822"/>
      <c r="Q273" s="822"/>
      <c r="R273" s="822"/>
      <c r="S273" s="822"/>
      <c r="T273" s="822"/>
      <c r="U273" s="822"/>
      <c r="V273" s="822"/>
      <c r="W273" s="822"/>
      <c r="X273" s="822"/>
      <c r="Y273" s="822"/>
      <c r="Z273" s="822"/>
      <c r="AA273" s="822"/>
      <c r="AB273" s="822"/>
      <c r="AC273" s="822"/>
      <c r="AD273" s="822"/>
      <c r="AE273" s="822"/>
      <c r="AF273" s="822"/>
      <c r="AG273" s="822"/>
      <c r="AH273" s="54">
        <v>8.15</v>
      </c>
      <c r="AI273" s="822"/>
      <c r="AJ273" s="822"/>
      <c r="AK273" s="54">
        <v>155.65</v>
      </c>
      <c r="AL273" s="54">
        <v>0</v>
      </c>
    </row>
    <row r="274" spans="1:38" ht="15.75" thickBot="1" x14ac:dyDescent="0.3">
      <c r="A274" s="51" t="s">
        <v>953</v>
      </c>
      <c r="B274" s="51" t="s">
        <v>36</v>
      </c>
      <c r="C274" s="51" t="s">
        <v>438</v>
      </c>
      <c r="D274" s="51" t="s">
        <v>320</v>
      </c>
      <c r="E274" s="51" t="s">
        <v>268</v>
      </c>
      <c r="F274" s="51" t="s">
        <v>266</v>
      </c>
      <c r="G274" s="54">
        <v>25850</v>
      </c>
      <c r="H274" s="822"/>
      <c r="I274" s="822"/>
      <c r="J274" s="822"/>
      <c r="K274" s="54">
        <v>25850</v>
      </c>
      <c r="L274" s="822"/>
      <c r="M274" s="822"/>
      <c r="N274" s="822"/>
      <c r="O274" s="822"/>
      <c r="P274" s="822"/>
      <c r="Q274" s="822"/>
      <c r="R274" s="822"/>
      <c r="S274" s="822"/>
      <c r="T274" s="822"/>
      <c r="U274" s="822"/>
      <c r="V274" s="822"/>
      <c r="W274" s="822"/>
      <c r="X274" s="822"/>
      <c r="Y274" s="822"/>
      <c r="Z274" s="822"/>
      <c r="AA274" s="822"/>
      <c r="AB274" s="822"/>
      <c r="AC274" s="822"/>
      <c r="AD274" s="822"/>
      <c r="AE274" s="822"/>
      <c r="AF274" s="822"/>
      <c r="AG274" s="822"/>
      <c r="AH274" s="54">
        <v>1143.45</v>
      </c>
      <c r="AI274" s="822"/>
      <c r="AJ274" s="822"/>
      <c r="AK274" s="54">
        <v>26993.45</v>
      </c>
      <c r="AL274" s="54">
        <v>0</v>
      </c>
    </row>
    <row r="275" spans="1:38" ht="15.75" thickBot="1" x14ac:dyDescent="0.3">
      <c r="A275" s="51" t="s">
        <v>953</v>
      </c>
      <c r="B275" s="51" t="s">
        <v>36</v>
      </c>
      <c r="C275" s="51" t="s">
        <v>438</v>
      </c>
      <c r="D275" s="51" t="s">
        <v>320</v>
      </c>
      <c r="E275" s="51" t="s">
        <v>914</v>
      </c>
      <c r="F275" s="51" t="s">
        <v>266</v>
      </c>
      <c r="G275" s="54">
        <v>313720.92</v>
      </c>
      <c r="H275" s="822"/>
      <c r="I275" s="822"/>
      <c r="J275" s="822"/>
      <c r="K275" s="822"/>
      <c r="L275" s="54">
        <v>313720.92</v>
      </c>
      <c r="M275" s="822"/>
      <c r="N275" s="822"/>
      <c r="O275" s="822"/>
      <c r="P275" s="822"/>
      <c r="Q275" s="822"/>
      <c r="R275" s="822"/>
      <c r="S275" s="822"/>
      <c r="T275" s="822"/>
      <c r="U275" s="822"/>
      <c r="V275" s="822"/>
      <c r="W275" s="822"/>
      <c r="X275" s="822"/>
      <c r="Y275" s="822"/>
      <c r="Z275" s="822"/>
      <c r="AA275" s="822"/>
      <c r="AB275" s="822"/>
      <c r="AC275" s="822"/>
      <c r="AD275" s="822"/>
      <c r="AE275" s="822"/>
      <c r="AF275" s="822"/>
      <c r="AG275" s="822"/>
      <c r="AH275" s="54">
        <v>14115.77</v>
      </c>
      <c r="AI275" s="822"/>
      <c r="AJ275" s="822"/>
      <c r="AK275" s="54">
        <v>327836.69</v>
      </c>
      <c r="AL275" s="54">
        <v>0</v>
      </c>
    </row>
    <row r="276" spans="1:38" ht="15.75" thickBot="1" x14ac:dyDescent="0.3">
      <c r="A276" s="51" t="s">
        <v>953</v>
      </c>
      <c r="B276" s="51" t="s">
        <v>36</v>
      </c>
      <c r="C276" s="51" t="s">
        <v>438</v>
      </c>
      <c r="D276" s="51" t="s">
        <v>320</v>
      </c>
      <c r="E276" s="51" t="s">
        <v>329</v>
      </c>
      <c r="F276" s="51" t="s">
        <v>266</v>
      </c>
      <c r="G276" s="54">
        <v>342.45</v>
      </c>
      <c r="H276" s="822"/>
      <c r="I276" s="822"/>
      <c r="J276" s="822"/>
      <c r="K276" s="822"/>
      <c r="L276" s="822"/>
      <c r="M276" s="822"/>
      <c r="N276" s="822"/>
      <c r="O276" s="822"/>
      <c r="P276" s="822"/>
      <c r="Q276" s="822"/>
      <c r="R276" s="822"/>
      <c r="S276" s="822"/>
      <c r="T276" s="822"/>
      <c r="U276" s="822"/>
      <c r="V276" s="822"/>
      <c r="W276" s="54">
        <v>342.45</v>
      </c>
      <c r="X276" s="822"/>
      <c r="Y276" s="822"/>
      <c r="Z276" s="822"/>
      <c r="AA276" s="822"/>
      <c r="AB276" s="822"/>
      <c r="AC276" s="822"/>
      <c r="AD276" s="822"/>
      <c r="AE276" s="822"/>
      <c r="AF276" s="822"/>
      <c r="AG276" s="822"/>
      <c r="AH276" s="54">
        <v>20.55</v>
      </c>
      <c r="AI276" s="822"/>
      <c r="AJ276" s="822"/>
      <c r="AK276" s="54">
        <v>363</v>
      </c>
      <c r="AL276" s="54">
        <v>0</v>
      </c>
    </row>
    <row r="277" spans="1:38" ht="15.75" thickBot="1" x14ac:dyDescent="0.3">
      <c r="A277" s="51" t="s">
        <v>953</v>
      </c>
      <c r="B277" s="51" t="s">
        <v>36</v>
      </c>
      <c r="C277" s="51" t="s">
        <v>438</v>
      </c>
      <c r="D277" s="51" t="s">
        <v>320</v>
      </c>
      <c r="E277" s="51" t="s">
        <v>330</v>
      </c>
      <c r="F277" s="51" t="s">
        <v>266</v>
      </c>
      <c r="G277" s="54">
        <v>799.69</v>
      </c>
      <c r="H277" s="822"/>
      <c r="I277" s="822"/>
      <c r="J277" s="822"/>
      <c r="K277" s="822"/>
      <c r="L277" s="822"/>
      <c r="M277" s="822"/>
      <c r="N277" s="822"/>
      <c r="O277" s="822"/>
      <c r="P277" s="822"/>
      <c r="Q277" s="822"/>
      <c r="R277" s="822"/>
      <c r="S277" s="822"/>
      <c r="T277" s="822"/>
      <c r="U277" s="822"/>
      <c r="V277" s="822"/>
      <c r="W277" s="822"/>
      <c r="X277" s="54">
        <v>799.69</v>
      </c>
      <c r="Y277" s="822"/>
      <c r="Z277" s="822"/>
      <c r="AA277" s="822"/>
      <c r="AB277" s="822"/>
      <c r="AC277" s="822"/>
      <c r="AD277" s="822"/>
      <c r="AE277" s="822"/>
      <c r="AF277" s="822"/>
      <c r="AG277" s="822"/>
      <c r="AH277" s="54">
        <v>47.98</v>
      </c>
      <c r="AI277" s="822"/>
      <c r="AJ277" s="822"/>
      <c r="AK277" s="54">
        <v>847.67</v>
      </c>
      <c r="AL277" s="54">
        <v>0</v>
      </c>
    </row>
    <row r="278" spans="1:38" ht="15.75" thickBot="1" x14ac:dyDescent="0.3">
      <c r="A278" s="51" t="s">
        <v>953</v>
      </c>
      <c r="B278" s="51" t="s">
        <v>36</v>
      </c>
      <c r="C278" s="51" t="s">
        <v>438</v>
      </c>
      <c r="D278" s="51" t="s">
        <v>319</v>
      </c>
      <c r="E278" s="51" t="s">
        <v>272</v>
      </c>
      <c r="F278" s="51" t="s">
        <v>266</v>
      </c>
      <c r="G278" s="56">
        <v>1500</v>
      </c>
      <c r="H278" s="823"/>
      <c r="I278" s="823"/>
      <c r="J278" s="823"/>
      <c r="K278" s="56">
        <v>1500</v>
      </c>
      <c r="L278" s="823"/>
      <c r="M278" s="823"/>
      <c r="N278" s="823"/>
      <c r="O278" s="823"/>
      <c r="P278" s="823"/>
      <c r="Q278" s="823"/>
      <c r="R278" s="823"/>
      <c r="S278" s="823"/>
      <c r="T278" s="823"/>
      <c r="U278" s="823"/>
      <c r="V278" s="823"/>
      <c r="W278" s="823"/>
      <c r="X278" s="823"/>
      <c r="Y278" s="823"/>
      <c r="Z278" s="823"/>
      <c r="AA278" s="823"/>
      <c r="AB278" s="823"/>
      <c r="AC278" s="823"/>
      <c r="AD278" s="823"/>
      <c r="AE278" s="823"/>
      <c r="AF278" s="823"/>
      <c r="AG278" s="823"/>
      <c r="AH278" s="56">
        <v>0</v>
      </c>
      <c r="AI278" s="823"/>
      <c r="AJ278" s="823"/>
      <c r="AK278" s="56">
        <v>1500</v>
      </c>
      <c r="AL278" s="56">
        <v>0</v>
      </c>
    </row>
    <row r="279" spans="1:38" ht="15.75" thickBot="1" x14ac:dyDescent="0.3">
      <c r="A279" s="51" t="s">
        <v>953</v>
      </c>
      <c r="B279" s="51" t="s">
        <v>36</v>
      </c>
      <c r="C279" s="51" t="s">
        <v>438</v>
      </c>
      <c r="D279" s="51" t="s">
        <v>319</v>
      </c>
      <c r="E279" s="51" t="s">
        <v>265</v>
      </c>
      <c r="F279" s="51" t="s">
        <v>266</v>
      </c>
      <c r="G279" s="56">
        <v>1098.5999999999999</v>
      </c>
      <c r="H279" s="56">
        <v>289103</v>
      </c>
      <c r="I279" s="823"/>
      <c r="J279" s="823"/>
      <c r="K279" s="823"/>
      <c r="L279" s="823"/>
      <c r="M279" s="56">
        <v>1098.5999999999999</v>
      </c>
      <c r="N279" s="823"/>
      <c r="O279" s="823"/>
      <c r="P279" s="823"/>
      <c r="Q279" s="823"/>
      <c r="R279" s="823"/>
      <c r="S279" s="823"/>
      <c r="T279" s="823"/>
      <c r="U279" s="823"/>
      <c r="V279" s="823"/>
      <c r="W279" s="823"/>
      <c r="X279" s="823"/>
      <c r="Y279" s="823"/>
      <c r="Z279" s="823"/>
      <c r="AA279" s="823"/>
      <c r="AB279" s="823"/>
      <c r="AC279" s="823"/>
      <c r="AD279" s="823"/>
      <c r="AE279" s="823"/>
      <c r="AF279" s="823"/>
      <c r="AG279" s="823"/>
      <c r="AH279" s="56">
        <v>0</v>
      </c>
      <c r="AI279" s="823"/>
      <c r="AJ279" s="823"/>
      <c r="AK279" s="56">
        <v>1098.5999999999999</v>
      </c>
      <c r="AL279" s="56">
        <v>0</v>
      </c>
    </row>
    <row r="280" spans="1:38" ht="15.75" thickBot="1" x14ac:dyDescent="0.3">
      <c r="A280" s="51" t="s">
        <v>953</v>
      </c>
      <c r="B280" s="51" t="s">
        <v>36</v>
      </c>
      <c r="C280" s="51" t="s">
        <v>438</v>
      </c>
      <c r="D280" s="51" t="s">
        <v>319</v>
      </c>
      <c r="E280" s="51" t="s">
        <v>621</v>
      </c>
      <c r="F280" s="51" t="s">
        <v>266</v>
      </c>
      <c r="G280" s="56">
        <v>283.32</v>
      </c>
      <c r="H280" s="823"/>
      <c r="I280" s="823"/>
      <c r="J280" s="823"/>
      <c r="K280" s="823"/>
      <c r="L280" s="823"/>
      <c r="M280" s="823"/>
      <c r="N280" s="823"/>
      <c r="O280" s="823"/>
      <c r="P280" s="823"/>
      <c r="Q280" s="823"/>
      <c r="R280" s="823"/>
      <c r="S280" s="823"/>
      <c r="T280" s="823"/>
      <c r="U280" s="823"/>
      <c r="V280" s="823"/>
      <c r="W280" s="823"/>
      <c r="X280" s="823"/>
      <c r="Y280" s="823"/>
      <c r="Z280" s="823"/>
      <c r="AA280" s="56">
        <v>283.32</v>
      </c>
      <c r="AB280" s="823"/>
      <c r="AC280" s="823"/>
      <c r="AD280" s="823"/>
      <c r="AE280" s="823"/>
      <c r="AF280" s="823"/>
      <c r="AG280" s="823"/>
      <c r="AH280" s="56">
        <v>0</v>
      </c>
      <c r="AI280" s="823"/>
      <c r="AJ280" s="823"/>
      <c r="AK280" s="56">
        <v>283.32</v>
      </c>
      <c r="AL280" s="56">
        <v>0</v>
      </c>
    </row>
    <row r="281" spans="1:38" ht="15.75" thickBot="1" x14ac:dyDescent="0.3">
      <c r="A281" s="51" t="s">
        <v>953</v>
      </c>
      <c r="B281" s="51" t="s">
        <v>36</v>
      </c>
      <c r="C281" s="51" t="s">
        <v>438</v>
      </c>
      <c r="D281" s="51" t="s">
        <v>319</v>
      </c>
      <c r="E281" s="51" t="s">
        <v>325</v>
      </c>
      <c r="F281" s="51" t="s">
        <v>266</v>
      </c>
      <c r="G281" s="56">
        <v>3.54</v>
      </c>
      <c r="H281" s="823"/>
      <c r="I281" s="823"/>
      <c r="J281" s="823"/>
      <c r="K281" s="823"/>
      <c r="L281" s="823"/>
      <c r="M281" s="823"/>
      <c r="N281" s="56">
        <v>3.54</v>
      </c>
      <c r="O281" s="823"/>
      <c r="P281" s="823"/>
      <c r="Q281" s="823"/>
      <c r="R281" s="823"/>
      <c r="S281" s="823"/>
      <c r="T281" s="823"/>
      <c r="U281" s="823"/>
      <c r="V281" s="823"/>
      <c r="W281" s="823"/>
      <c r="X281" s="823"/>
      <c r="Y281" s="823"/>
      <c r="Z281" s="823"/>
      <c r="AA281" s="823"/>
      <c r="AB281" s="823"/>
      <c r="AC281" s="823"/>
      <c r="AD281" s="823"/>
      <c r="AE281" s="823"/>
      <c r="AF281" s="823"/>
      <c r="AG281" s="823"/>
      <c r="AH281" s="56">
        <v>0</v>
      </c>
      <c r="AI281" s="823"/>
      <c r="AJ281" s="823"/>
      <c r="AK281" s="56">
        <v>3.54</v>
      </c>
      <c r="AL281" s="56">
        <v>0</v>
      </c>
    </row>
    <row r="282" spans="1:38" ht="15.75" thickBot="1" x14ac:dyDescent="0.3">
      <c r="A282" s="51" t="s">
        <v>953</v>
      </c>
      <c r="B282" s="51" t="s">
        <v>36</v>
      </c>
      <c r="C282" s="51" t="s">
        <v>438</v>
      </c>
      <c r="D282" s="51" t="s">
        <v>319</v>
      </c>
      <c r="E282" s="51" t="s">
        <v>268</v>
      </c>
      <c r="F282" s="51" t="s">
        <v>266</v>
      </c>
      <c r="G282" s="56">
        <v>1100</v>
      </c>
      <c r="H282" s="823"/>
      <c r="I282" s="823"/>
      <c r="J282" s="823"/>
      <c r="K282" s="56">
        <v>1100</v>
      </c>
      <c r="L282" s="823"/>
      <c r="M282" s="823"/>
      <c r="N282" s="823"/>
      <c r="O282" s="823"/>
      <c r="P282" s="823"/>
      <c r="Q282" s="823"/>
      <c r="R282" s="823"/>
      <c r="S282" s="823"/>
      <c r="T282" s="823"/>
      <c r="U282" s="823"/>
      <c r="V282" s="823"/>
      <c r="W282" s="823"/>
      <c r="X282" s="823"/>
      <c r="Y282" s="823"/>
      <c r="Z282" s="823"/>
      <c r="AA282" s="823"/>
      <c r="AB282" s="823"/>
      <c r="AC282" s="823"/>
      <c r="AD282" s="823"/>
      <c r="AE282" s="823"/>
      <c r="AF282" s="823"/>
      <c r="AG282" s="823"/>
      <c r="AH282" s="56">
        <v>0</v>
      </c>
      <c r="AI282" s="823"/>
      <c r="AJ282" s="823"/>
      <c r="AK282" s="56">
        <v>1100</v>
      </c>
      <c r="AL282" s="56">
        <v>0</v>
      </c>
    </row>
    <row r="283" spans="1:38" ht="15.75" thickBot="1" x14ac:dyDescent="0.3">
      <c r="A283" s="51" t="s">
        <v>953</v>
      </c>
      <c r="B283" s="51" t="s">
        <v>36</v>
      </c>
      <c r="C283" s="51" t="s">
        <v>438</v>
      </c>
      <c r="D283" s="51" t="s">
        <v>319</v>
      </c>
      <c r="E283" s="51" t="s">
        <v>914</v>
      </c>
      <c r="F283" s="51" t="s">
        <v>266</v>
      </c>
      <c r="G283" s="56">
        <v>18788.36</v>
      </c>
      <c r="H283" s="823"/>
      <c r="I283" s="823"/>
      <c r="J283" s="823"/>
      <c r="K283" s="823"/>
      <c r="L283" s="56">
        <v>18788.36</v>
      </c>
      <c r="M283" s="823"/>
      <c r="N283" s="823"/>
      <c r="O283" s="823"/>
      <c r="P283" s="823"/>
      <c r="Q283" s="823"/>
      <c r="R283" s="823"/>
      <c r="S283" s="823"/>
      <c r="T283" s="823"/>
      <c r="U283" s="823"/>
      <c r="V283" s="823"/>
      <c r="W283" s="823"/>
      <c r="X283" s="823"/>
      <c r="Y283" s="823"/>
      <c r="Z283" s="823"/>
      <c r="AA283" s="823"/>
      <c r="AB283" s="823"/>
      <c r="AC283" s="823"/>
      <c r="AD283" s="823"/>
      <c r="AE283" s="823"/>
      <c r="AF283" s="823"/>
      <c r="AG283" s="823"/>
      <c r="AH283" s="56">
        <v>0</v>
      </c>
      <c r="AI283" s="823"/>
      <c r="AJ283" s="823"/>
      <c r="AK283" s="56">
        <v>18788.36</v>
      </c>
      <c r="AL283" s="56">
        <v>0</v>
      </c>
    </row>
    <row r="284" spans="1:38" ht="15.75" thickBot="1" x14ac:dyDescent="0.3">
      <c r="A284" s="51" t="s">
        <v>953</v>
      </c>
      <c r="B284" s="51" t="s">
        <v>447</v>
      </c>
      <c r="C284" s="51" t="s">
        <v>494</v>
      </c>
      <c r="D284" s="51" t="s">
        <v>320</v>
      </c>
      <c r="E284" s="51" t="s">
        <v>109</v>
      </c>
      <c r="F284" s="51" t="s">
        <v>266</v>
      </c>
      <c r="G284" s="54">
        <v>366.29</v>
      </c>
      <c r="H284" s="822"/>
      <c r="I284" s="822"/>
      <c r="J284" s="822"/>
      <c r="K284" s="822"/>
      <c r="L284" s="822"/>
      <c r="M284" s="822"/>
      <c r="N284" s="822"/>
      <c r="O284" s="822"/>
      <c r="P284" s="822"/>
      <c r="Q284" s="54">
        <v>366.29</v>
      </c>
      <c r="R284" s="822"/>
      <c r="S284" s="822"/>
      <c r="T284" s="822"/>
      <c r="U284" s="822"/>
      <c r="V284" s="822"/>
      <c r="W284" s="822"/>
      <c r="X284" s="822"/>
      <c r="Y284" s="822"/>
      <c r="Z284" s="822"/>
      <c r="AA284" s="822"/>
      <c r="AB284" s="822"/>
      <c r="AC284" s="822"/>
      <c r="AD284" s="822"/>
      <c r="AE284" s="822"/>
      <c r="AF284" s="822"/>
      <c r="AG284" s="822"/>
      <c r="AH284" s="54">
        <v>17</v>
      </c>
      <c r="AI284" s="822"/>
      <c r="AJ284" s="822"/>
      <c r="AK284" s="54">
        <v>383.29</v>
      </c>
      <c r="AL284" s="54">
        <v>0</v>
      </c>
    </row>
    <row r="285" spans="1:38" ht="15.75" thickBot="1" x14ac:dyDescent="0.3">
      <c r="A285" s="51" t="s">
        <v>953</v>
      </c>
      <c r="B285" s="51" t="s">
        <v>447</v>
      </c>
      <c r="C285" s="51" t="s">
        <v>494</v>
      </c>
      <c r="D285" s="51" t="s">
        <v>320</v>
      </c>
      <c r="E285" s="51" t="s">
        <v>356</v>
      </c>
      <c r="F285" s="51" t="s">
        <v>266</v>
      </c>
      <c r="G285" s="822"/>
      <c r="H285" s="822"/>
      <c r="I285" s="822"/>
      <c r="J285" s="822"/>
      <c r="K285" s="822"/>
      <c r="L285" s="822"/>
      <c r="M285" s="822"/>
      <c r="N285" s="822"/>
      <c r="O285" s="822"/>
      <c r="P285" s="822"/>
      <c r="Q285" s="822"/>
      <c r="R285" s="822"/>
      <c r="S285" s="822"/>
      <c r="T285" s="822"/>
      <c r="U285" s="822"/>
      <c r="V285" s="822"/>
      <c r="W285" s="822"/>
      <c r="X285" s="822"/>
      <c r="Y285" s="822"/>
      <c r="Z285" s="822"/>
      <c r="AA285" s="822"/>
      <c r="AB285" s="822"/>
      <c r="AC285" s="822"/>
      <c r="AD285" s="822"/>
      <c r="AE285" s="822"/>
      <c r="AF285" s="822"/>
      <c r="AG285" s="54">
        <v>453.92</v>
      </c>
      <c r="AH285" s="54">
        <v>10.47</v>
      </c>
      <c r="AI285" s="822"/>
      <c r="AJ285" s="822"/>
      <c r="AK285" s="54">
        <v>464.39</v>
      </c>
      <c r="AL285" s="54">
        <v>0</v>
      </c>
    </row>
    <row r="286" spans="1:38" ht="15.75" thickBot="1" x14ac:dyDescent="0.3">
      <c r="A286" s="51" t="s">
        <v>953</v>
      </c>
      <c r="B286" s="51" t="s">
        <v>447</v>
      </c>
      <c r="C286" s="51" t="s">
        <v>494</v>
      </c>
      <c r="D286" s="51" t="s">
        <v>320</v>
      </c>
      <c r="E286" s="51" t="s">
        <v>272</v>
      </c>
      <c r="F286" s="51" t="s">
        <v>266</v>
      </c>
      <c r="G286" s="54">
        <v>11250</v>
      </c>
      <c r="H286" s="822"/>
      <c r="I286" s="822"/>
      <c r="J286" s="822"/>
      <c r="K286" s="54">
        <v>11250</v>
      </c>
      <c r="L286" s="822"/>
      <c r="M286" s="822"/>
      <c r="N286" s="822"/>
      <c r="O286" s="822"/>
      <c r="P286" s="822"/>
      <c r="Q286" s="822"/>
      <c r="R286" s="822"/>
      <c r="S286" s="822"/>
      <c r="T286" s="822"/>
      <c r="U286" s="822"/>
      <c r="V286" s="822"/>
      <c r="W286" s="822"/>
      <c r="X286" s="822"/>
      <c r="Y286" s="822"/>
      <c r="Z286" s="822"/>
      <c r="AA286" s="822"/>
      <c r="AB286" s="822"/>
      <c r="AC286" s="822"/>
      <c r="AD286" s="822"/>
      <c r="AE286" s="822"/>
      <c r="AF286" s="822"/>
      <c r="AG286" s="822"/>
      <c r="AH286" s="54">
        <v>499.05</v>
      </c>
      <c r="AI286" s="822"/>
      <c r="AJ286" s="822"/>
      <c r="AK286" s="54">
        <v>11749.05</v>
      </c>
      <c r="AL286" s="54">
        <v>0</v>
      </c>
    </row>
    <row r="287" spans="1:38" ht="15.75" thickBot="1" x14ac:dyDescent="0.3">
      <c r="A287" s="51" t="s">
        <v>953</v>
      </c>
      <c r="B287" s="51" t="s">
        <v>447</v>
      </c>
      <c r="C287" s="51" t="s">
        <v>494</v>
      </c>
      <c r="D287" s="51" t="s">
        <v>320</v>
      </c>
      <c r="E287" s="51" t="s">
        <v>265</v>
      </c>
      <c r="F287" s="51" t="s">
        <v>266</v>
      </c>
      <c r="G287" s="54">
        <v>2927.62</v>
      </c>
      <c r="H287" s="54">
        <v>770428</v>
      </c>
      <c r="I287" s="822"/>
      <c r="J287" s="822"/>
      <c r="K287" s="822"/>
      <c r="L287" s="822"/>
      <c r="M287" s="54">
        <v>2927.62</v>
      </c>
      <c r="N287" s="822"/>
      <c r="O287" s="822"/>
      <c r="P287" s="822"/>
      <c r="Q287" s="822"/>
      <c r="R287" s="822"/>
      <c r="S287" s="822"/>
      <c r="T287" s="822"/>
      <c r="U287" s="822"/>
      <c r="V287" s="822"/>
      <c r="W287" s="822"/>
      <c r="X287" s="822"/>
      <c r="Y287" s="822"/>
      <c r="Z287" s="822"/>
      <c r="AA287" s="822"/>
      <c r="AB287" s="822"/>
      <c r="AC287" s="822"/>
      <c r="AD287" s="822"/>
      <c r="AE287" s="822"/>
      <c r="AF287" s="822"/>
      <c r="AG287" s="822"/>
      <c r="AH287" s="54">
        <v>136.26</v>
      </c>
      <c r="AI287" s="822"/>
      <c r="AJ287" s="822"/>
      <c r="AK287" s="54">
        <v>3063.88</v>
      </c>
      <c r="AL287" s="54">
        <v>0</v>
      </c>
    </row>
    <row r="288" spans="1:38" ht="15.75" thickBot="1" x14ac:dyDescent="0.3">
      <c r="A288" s="51" t="s">
        <v>953</v>
      </c>
      <c r="B288" s="51" t="s">
        <v>447</v>
      </c>
      <c r="C288" s="51" t="s">
        <v>494</v>
      </c>
      <c r="D288" s="51" t="s">
        <v>320</v>
      </c>
      <c r="E288" s="51" t="s">
        <v>621</v>
      </c>
      <c r="F288" s="51" t="s">
        <v>266</v>
      </c>
      <c r="G288" s="54">
        <v>734.49</v>
      </c>
      <c r="H288" s="822"/>
      <c r="I288" s="822"/>
      <c r="J288" s="822"/>
      <c r="K288" s="822"/>
      <c r="L288" s="822"/>
      <c r="M288" s="822"/>
      <c r="N288" s="822"/>
      <c r="O288" s="822"/>
      <c r="P288" s="822"/>
      <c r="Q288" s="822"/>
      <c r="R288" s="822"/>
      <c r="S288" s="822"/>
      <c r="T288" s="822"/>
      <c r="U288" s="822"/>
      <c r="V288" s="822"/>
      <c r="W288" s="822"/>
      <c r="X288" s="822"/>
      <c r="Y288" s="822"/>
      <c r="Z288" s="822"/>
      <c r="AA288" s="54">
        <v>734.49</v>
      </c>
      <c r="AB288" s="822"/>
      <c r="AC288" s="822"/>
      <c r="AD288" s="822"/>
      <c r="AE288" s="822"/>
      <c r="AF288" s="822"/>
      <c r="AG288" s="822"/>
      <c r="AH288" s="54">
        <v>33.9</v>
      </c>
      <c r="AI288" s="822"/>
      <c r="AJ288" s="822"/>
      <c r="AK288" s="54">
        <v>768.39</v>
      </c>
      <c r="AL288" s="54">
        <v>0</v>
      </c>
    </row>
    <row r="289" spans="1:38" ht="15.75" thickBot="1" x14ac:dyDescent="0.3">
      <c r="A289" s="51" t="s">
        <v>953</v>
      </c>
      <c r="B289" s="51" t="s">
        <v>447</v>
      </c>
      <c r="C289" s="51" t="s">
        <v>494</v>
      </c>
      <c r="D289" s="51" t="s">
        <v>320</v>
      </c>
      <c r="E289" s="51" t="s">
        <v>325</v>
      </c>
      <c r="F289" s="51" t="s">
        <v>266</v>
      </c>
      <c r="G289" s="54">
        <v>75.849999999999994</v>
      </c>
      <c r="H289" s="822"/>
      <c r="I289" s="822"/>
      <c r="J289" s="822"/>
      <c r="K289" s="822"/>
      <c r="L289" s="822"/>
      <c r="M289" s="822"/>
      <c r="N289" s="54">
        <v>75.849999999999994</v>
      </c>
      <c r="O289" s="822"/>
      <c r="P289" s="822"/>
      <c r="Q289" s="822"/>
      <c r="R289" s="822"/>
      <c r="S289" s="822"/>
      <c r="T289" s="822"/>
      <c r="U289" s="822"/>
      <c r="V289" s="822"/>
      <c r="W289" s="822"/>
      <c r="X289" s="822"/>
      <c r="Y289" s="822"/>
      <c r="Z289" s="822"/>
      <c r="AA289" s="822"/>
      <c r="AB289" s="822"/>
      <c r="AC289" s="822"/>
      <c r="AD289" s="822"/>
      <c r="AE289" s="822"/>
      <c r="AF289" s="822"/>
      <c r="AG289" s="822"/>
      <c r="AH289" s="54">
        <v>0.43</v>
      </c>
      <c r="AI289" s="822"/>
      <c r="AJ289" s="822"/>
      <c r="AK289" s="54">
        <v>76.28</v>
      </c>
      <c r="AL289" s="54">
        <v>0</v>
      </c>
    </row>
    <row r="290" spans="1:38" ht="15.75" thickBot="1" x14ac:dyDescent="0.3">
      <c r="A290" s="51" t="s">
        <v>953</v>
      </c>
      <c r="B290" s="51" t="s">
        <v>447</v>
      </c>
      <c r="C290" s="51" t="s">
        <v>494</v>
      </c>
      <c r="D290" s="51" t="s">
        <v>320</v>
      </c>
      <c r="E290" s="51" t="s">
        <v>268</v>
      </c>
      <c r="F290" s="51" t="s">
        <v>266</v>
      </c>
      <c r="G290" s="54">
        <v>8250</v>
      </c>
      <c r="H290" s="822"/>
      <c r="I290" s="822"/>
      <c r="J290" s="822"/>
      <c r="K290" s="54">
        <v>8250</v>
      </c>
      <c r="L290" s="822"/>
      <c r="M290" s="822"/>
      <c r="N290" s="822"/>
      <c r="O290" s="822"/>
      <c r="P290" s="822"/>
      <c r="Q290" s="822"/>
      <c r="R290" s="822"/>
      <c r="S290" s="822"/>
      <c r="T290" s="822"/>
      <c r="U290" s="822"/>
      <c r="V290" s="822"/>
      <c r="W290" s="822"/>
      <c r="X290" s="822"/>
      <c r="Y290" s="822"/>
      <c r="Z290" s="822"/>
      <c r="AA290" s="822"/>
      <c r="AB290" s="822"/>
      <c r="AC290" s="822"/>
      <c r="AD290" s="822"/>
      <c r="AE290" s="822"/>
      <c r="AF290" s="822"/>
      <c r="AG290" s="822"/>
      <c r="AH290" s="54">
        <v>365.97</v>
      </c>
      <c r="AI290" s="822"/>
      <c r="AJ290" s="822"/>
      <c r="AK290" s="54">
        <v>8615.9699999999993</v>
      </c>
      <c r="AL290" s="54">
        <v>0</v>
      </c>
    </row>
    <row r="291" spans="1:38" ht="15.75" thickBot="1" x14ac:dyDescent="0.3">
      <c r="A291" s="51" t="s">
        <v>953</v>
      </c>
      <c r="B291" s="51" t="s">
        <v>447</v>
      </c>
      <c r="C291" s="51" t="s">
        <v>494</v>
      </c>
      <c r="D291" s="51" t="s">
        <v>320</v>
      </c>
      <c r="E291" s="51" t="s">
        <v>914</v>
      </c>
      <c r="F291" s="51" t="s">
        <v>266</v>
      </c>
      <c r="G291" s="54">
        <v>26853.43</v>
      </c>
      <c r="H291" s="822"/>
      <c r="I291" s="822"/>
      <c r="J291" s="822"/>
      <c r="K291" s="822"/>
      <c r="L291" s="54">
        <v>26853.43</v>
      </c>
      <c r="M291" s="822"/>
      <c r="N291" s="822"/>
      <c r="O291" s="822"/>
      <c r="P291" s="822"/>
      <c r="Q291" s="822"/>
      <c r="R291" s="822"/>
      <c r="S291" s="822"/>
      <c r="T291" s="822"/>
      <c r="U291" s="822"/>
      <c r="V291" s="822"/>
      <c r="W291" s="822"/>
      <c r="X291" s="822"/>
      <c r="Y291" s="822"/>
      <c r="Z291" s="822"/>
      <c r="AA291" s="822"/>
      <c r="AB291" s="822"/>
      <c r="AC291" s="822"/>
      <c r="AD291" s="822"/>
      <c r="AE291" s="822"/>
      <c r="AF291" s="822"/>
      <c r="AG291" s="822"/>
      <c r="AH291" s="54">
        <v>1134.3499999999999</v>
      </c>
      <c r="AI291" s="822"/>
      <c r="AJ291" s="822"/>
      <c r="AK291" s="54">
        <v>27987.78</v>
      </c>
      <c r="AL291" s="54">
        <v>0</v>
      </c>
    </row>
    <row r="292" spans="1:38" ht="23.25" thickBot="1" x14ac:dyDescent="0.3">
      <c r="A292" s="51" t="s">
        <v>953</v>
      </c>
      <c r="B292" s="51" t="s">
        <v>38</v>
      </c>
      <c r="C292" s="51" t="s">
        <v>39</v>
      </c>
      <c r="D292" s="51" t="s">
        <v>320</v>
      </c>
      <c r="E292" s="51" t="s">
        <v>269</v>
      </c>
      <c r="F292" s="51" t="s">
        <v>915</v>
      </c>
      <c r="G292" s="54">
        <v>-53773.43</v>
      </c>
      <c r="H292" s="822"/>
      <c r="I292" s="822"/>
      <c r="J292" s="822"/>
      <c r="K292" s="822"/>
      <c r="L292" s="822"/>
      <c r="M292" s="822"/>
      <c r="N292" s="822"/>
      <c r="O292" s="822"/>
      <c r="P292" s="822"/>
      <c r="Q292" s="822"/>
      <c r="R292" s="822"/>
      <c r="S292" s="822"/>
      <c r="T292" s="54">
        <v>-53773.43</v>
      </c>
      <c r="U292" s="822"/>
      <c r="V292" s="822"/>
      <c r="W292" s="822"/>
      <c r="X292" s="822"/>
      <c r="Y292" s="822"/>
      <c r="Z292" s="822"/>
      <c r="AA292" s="822"/>
      <c r="AB292" s="822"/>
      <c r="AC292" s="822"/>
      <c r="AD292" s="822"/>
      <c r="AE292" s="822"/>
      <c r="AF292" s="822"/>
      <c r="AG292" s="822"/>
      <c r="AH292" s="54">
        <v>0</v>
      </c>
      <c r="AI292" s="822"/>
      <c r="AJ292" s="822"/>
      <c r="AK292" s="54">
        <v>-53773.43</v>
      </c>
      <c r="AL292" s="54">
        <v>0</v>
      </c>
    </row>
    <row r="293" spans="1:38" ht="23.25" thickBot="1" x14ac:dyDescent="0.3">
      <c r="A293" s="51" t="s">
        <v>953</v>
      </c>
      <c r="B293" s="51" t="s">
        <v>38</v>
      </c>
      <c r="C293" s="51" t="s">
        <v>39</v>
      </c>
      <c r="D293" s="51" t="s">
        <v>320</v>
      </c>
      <c r="E293" s="51" t="s">
        <v>271</v>
      </c>
      <c r="F293" s="51" t="s">
        <v>915</v>
      </c>
      <c r="G293" s="54">
        <v>949.56</v>
      </c>
      <c r="H293" s="822"/>
      <c r="I293" s="822"/>
      <c r="J293" s="822"/>
      <c r="K293" s="822"/>
      <c r="L293" s="822"/>
      <c r="M293" s="822"/>
      <c r="N293" s="822"/>
      <c r="O293" s="822"/>
      <c r="P293" s="822"/>
      <c r="Q293" s="822"/>
      <c r="R293" s="822"/>
      <c r="S293" s="822"/>
      <c r="T293" s="822"/>
      <c r="U293" s="54">
        <v>949.56</v>
      </c>
      <c r="V293" s="822"/>
      <c r="W293" s="822"/>
      <c r="X293" s="822"/>
      <c r="Y293" s="822"/>
      <c r="Z293" s="822"/>
      <c r="AA293" s="822"/>
      <c r="AB293" s="822"/>
      <c r="AC293" s="822"/>
      <c r="AD293" s="822"/>
      <c r="AE293" s="822"/>
      <c r="AF293" s="822"/>
      <c r="AG293" s="822"/>
      <c r="AH293" s="54">
        <v>0</v>
      </c>
      <c r="AI293" s="822"/>
      <c r="AJ293" s="822"/>
      <c r="AK293" s="54">
        <v>949.56</v>
      </c>
      <c r="AL293" s="54">
        <v>0</v>
      </c>
    </row>
    <row r="294" spans="1:38" ht="15.75" thickBot="1" x14ac:dyDescent="0.3">
      <c r="A294" s="51" t="s">
        <v>953</v>
      </c>
      <c r="B294" s="51" t="s">
        <v>38</v>
      </c>
      <c r="C294" s="51" t="s">
        <v>39</v>
      </c>
      <c r="D294" s="51" t="s">
        <v>320</v>
      </c>
      <c r="E294" s="51" t="s">
        <v>268</v>
      </c>
      <c r="F294" s="51" t="s">
        <v>266</v>
      </c>
      <c r="G294" s="54">
        <v>5325</v>
      </c>
      <c r="H294" s="822"/>
      <c r="I294" s="822"/>
      <c r="J294" s="822"/>
      <c r="K294" s="54">
        <v>5325</v>
      </c>
      <c r="L294" s="822"/>
      <c r="M294" s="822"/>
      <c r="N294" s="822"/>
      <c r="O294" s="822"/>
      <c r="P294" s="822"/>
      <c r="Q294" s="822"/>
      <c r="R294" s="822"/>
      <c r="S294" s="822"/>
      <c r="T294" s="822"/>
      <c r="U294" s="822"/>
      <c r="V294" s="822"/>
      <c r="W294" s="822"/>
      <c r="X294" s="822"/>
      <c r="Y294" s="822"/>
      <c r="Z294" s="822"/>
      <c r="AA294" s="822"/>
      <c r="AB294" s="822"/>
      <c r="AC294" s="822"/>
      <c r="AD294" s="822"/>
      <c r="AE294" s="822"/>
      <c r="AF294" s="822"/>
      <c r="AG294" s="822"/>
      <c r="AH294" s="54">
        <v>0</v>
      </c>
      <c r="AI294" s="822"/>
      <c r="AJ294" s="822"/>
      <c r="AK294" s="54">
        <v>5325</v>
      </c>
      <c r="AL294" s="54">
        <v>0</v>
      </c>
    </row>
    <row r="295" spans="1:38" ht="15.75" thickBot="1" x14ac:dyDescent="0.3">
      <c r="A295" s="51" t="s">
        <v>953</v>
      </c>
      <c r="B295" s="51" t="s">
        <v>38</v>
      </c>
      <c r="C295" s="51" t="s">
        <v>39</v>
      </c>
      <c r="D295" s="51" t="s">
        <v>320</v>
      </c>
      <c r="E295" s="51" t="s">
        <v>329</v>
      </c>
      <c r="F295" s="51" t="s">
        <v>266</v>
      </c>
      <c r="G295" s="54">
        <v>8329.68</v>
      </c>
      <c r="H295" s="822"/>
      <c r="I295" s="822"/>
      <c r="J295" s="822"/>
      <c r="K295" s="822"/>
      <c r="L295" s="822"/>
      <c r="M295" s="822"/>
      <c r="N295" s="822"/>
      <c r="O295" s="822"/>
      <c r="P295" s="822"/>
      <c r="Q295" s="822"/>
      <c r="R295" s="822"/>
      <c r="S295" s="822"/>
      <c r="T295" s="822"/>
      <c r="U295" s="822"/>
      <c r="V295" s="822"/>
      <c r="W295" s="54">
        <v>8329.68</v>
      </c>
      <c r="X295" s="822"/>
      <c r="Y295" s="822"/>
      <c r="Z295" s="822"/>
      <c r="AA295" s="822"/>
      <c r="AB295" s="822"/>
      <c r="AC295" s="822"/>
      <c r="AD295" s="822"/>
      <c r="AE295" s="822"/>
      <c r="AF295" s="822"/>
      <c r="AG295" s="822"/>
      <c r="AH295" s="54">
        <v>0</v>
      </c>
      <c r="AI295" s="822"/>
      <c r="AJ295" s="822"/>
      <c r="AK295" s="54">
        <v>8329.68</v>
      </c>
      <c r="AL295" s="54">
        <v>0</v>
      </c>
    </row>
    <row r="296" spans="1:38" ht="15.75" thickBot="1" x14ac:dyDescent="0.3">
      <c r="A296" s="51" t="s">
        <v>953</v>
      </c>
      <c r="B296" s="51" t="s">
        <v>38</v>
      </c>
      <c r="C296" s="51" t="s">
        <v>39</v>
      </c>
      <c r="D296" s="51" t="s">
        <v>320</v>
      </c>
      <c r="E296" s="51" t="s">
        <v>330</v>
      </c>
      <c r="F296" s="51" t="s">
        <v>266</v>
      </c>
      <c r="G296" s="54">
        <v>19451.32</v>
      </c>
      <c r="H296" s="822"/>
      <c r="I296" s="822"/>
      <c r="J296" s="822"/>
      <c r="K296" s="822"/>
      <c r="L296" s="822"/>
      <c r="M296" s="822"/>
      <c r="N296" s="822"/>
      <c r="O296" s="822"/>
      <c r="P296" s="822"/>
      <c r="Q296" s="822"/>
      <c r="R296" s="822"/>
      <c r="S296" s="822"/>
      <c r="T296" s="822"/>
      <c r="U296" s="822"/>
      <c r="V296" s="822"/>
      <c r="W296" s="822"/>
      <c r="X296" s="54">
        <v>19451.32</v>
      </c>
      <c r="Y296" s="822"/>
      <c r="Z296" s="822"/>
      <c r="AA296" s="822"/>
      <c r="AB296" s="822"/>
      <c r="AC296" s="822"/>
      <c r="AD296" s="822"/>
      <c r="AE296" s="822"/>
      <c r="AF296" s="822"/>
      <c r="AG296" s="822"/>
      <c r="AH296" s="54">
        <v>0</v>
      </c>
      <c r="AI296" s="822"/>
      <c r="AJ296" s="822"/>
      <c r="AK296" s="54">
        <v>19451.32</v>
      </c>
      <c r="AL296" s="54">
        <v>0</v>
      </c>
    </row>
    <row r="297" spans="1:38" ht="15.75" thickBot="1" x14ac:dyDescent="0.3">
      <c r="A297" s="51" t="s">
        <v>954</v>
      </c>
      <c r="B297" s="51" t="s">
        <v>34</v>
      </c>
      <c r="C297" s="51" t="s">
        <v>437</v>
      </c>
      <c r="D297" s="51" t="s">
        <v>318</v>
      </c>
      <c r="E297" s="51" t="s">
        <v>109</v>
      </c>
      <c r="F297" s="51" t="s">
        <v>266</v>
      </c>
      <c r="G297" s="54">
        <v>125.74</v>
      </c>
      <c r="H297" s="822"/>
      <c r="I297" s="822"/>
      <c r="J297" s="822"/>
      <c r="K297" s="822"/>
      <c r="L297" s="822"/>
      <c r="M297" s="822"/>
      <c r="N297" s="822"/>
      <c r="O297" s="822"/>
      <c r="P297" s="822"/>
      <c r="Q297" s="54">
        <v>125.74</v>
      </c>
      <c r="R297" s="822"/>
      <c r="S297" s="822"/>
      <c r="T297" s="822"/>
      <c r="U297" s="822"/>
      <c r="V297" s="822"/>
      <c r="W297" s="822"/>
      <c r="X297" s="822"/>
      <c r="Y297" s="822"/>
      <c r="Z297" s="822"/>
      <c r="AA297" s="822"/>
      <c r="AB297" s="822"/>
      <c r="AC297" s="822"/>
      <c r="AD297" s="822"/>
      <c r="AE297" s="822"/>
      <c r="AF297" s="822"/>
      <c r="AG297" s="822"/>
      <c r="AH297" s="54">
        <v>0.42</v>
      </c>
      <c r="AI297" s="822"/>
      <c r="AJ297" s="822"/>
      <c r="AK297" s="54">
        <v>126.16</v>
      </c>
      <c r="AL297" s="54">
        <v>0</v>
      </c>
    </row>
    <row r="298" spans="1:38" ht="15.75" thickBot="1" x14ac:dyDescent="0.3">
      <c r="A298" s="51" t="s">
        <v>954</v>
      </c>
      <c r="B298" s="51" t="s">
        <v>34</v>
      </c>
      <c r="C298" s="51" t="s">
        <v>437</v>
      </c>
      <c r="D298" s="51" t="s">
        <v>318</v>
      </c>
      <c r="E298" s="51" t="s">
        <v>272</v>
      </c>
      <c r="F298" s="51" t="s">
        <v>266</v>
      </c>
      <c r="G298" s="54">
        <v>5250</v>
      </c>
      <c r="H298" s="822"/>
      <c r="I298" s="822"/>
      <c r="J298" s="822"/>
      <c r="K298" s="54">
        <v>5250</v>
      </c>
      <c r="L298" s="822"/>
      <c r="M298" s="822"/>
      <c r="N298" s="822"/>
      <c r="O298" s="822"/>
      <c r="P298" s="822"/>
      <c r="Q298" s="822"/>
      <c r="R298" s="822"/>
      <c r="S298" s="822"/>
      <c r="T298" s="822"/>
      <c r="U298" s="822"/>
      <c r="V298" s="822"/>
      <c r="W298" s="822"/>
      <c r="X298" s="822"/>
      <c r="Y298" s="822"/>
      <c r="Z298" s="822"/>
      <c r="AA298" s="822"/>
      <c r="AB298" s="822"/>
      <c r="AC298" s="822"/>
      <c r="AD298" s="822"/>
      <c r="AE298" s="822"/>
      <c r="AF298" s="822"/>
      <c r="AG298" s="822"/>
      <c r="AH298" s="54">
        <v>45</v>
      </c>
      <c r="AI298" s="822"/>
      <c r="AJ298" s="822"/>
      <c r="AK298" s="54">
        <v>5295</v>
      </c>
      <c r="AL298" s="54">
        <v>0</v>
      </c>
    </row>
    <row r="299" spans="1:38" ht="15.75" thickBot="1" x14ac:dyDescent="0.3">
      <c r="A299" s="51" t="s">
        <v>954</v>
      </c>
      <c r="B299" s="51" t="s">
        <v>34</v>
      </c>
      <c r="C299" s="51" t="s">
        <v>437</v>
      </c>
      <c r="D299" s="51" t="s">
        <v>318</v>
      </c>
      <c r="E299" s="51" t="s">
        <v>265</v>
      </c>
      <c r="F299" s="51" t="s">
        <v>266</v>
      </c>
      <c r="G299" s="54">
        <v>995.43</v>
      </c>
      <c r="H299" s="54">
        <v>261954</v>
      </c>
      <c r="I299" s="822"/>
      <c r="J299" s="822"/>
      <c r="K299" s="822"/>
      <c r="L299" s="822"/>
      <c r="M299" s="54">
        <v>995.43</v>
      </c>
      <c r="N299" s="822"/>
      <c r="O299" s="822"/>
      <c r="P299" s="822"/>
      <c r="Q299" s="822"/>
      <c r="R299" s="822"/>
      <c r="S299" s="822"/>
      <c r="T299" s="822"/>
      <c r="U299" s="822"/>
      <c r="V299" s="822"/>
      <c r="W299" s="822"/>
      <c r="X299" s="822"/>
      <c r="Y299" s="822"/>
      <c r="Z299" s="822"/>
      <c r="AA299" s="822"/>
      <c r="AB299" s="822"/>
      <c r="AC299" s="822"/>
      <c r="AD299" s="822"/>
      <c r="AE299" s="822"/>
      <c r="AF299" s="822"/>
      <c r="AG299" s="822"/>
      <c r="AH299" s="54">
        <v>3.29</v>
      </c>
      <c r="AI299" s="822"/>
      <c r="AJ299" s="822"/>
      <c r="AK299" s="54">
        <v>998.72</v>
      </c>
      <c r="AL299" s="54">
        <v>0</v>
      </c>
    </row>
    <row r="300" spans="1:38" ht="15.75" thickBot="1" x14ac:dyDescent="0.3">
      <c r="A300" s="51" t="s">
        <v>954</v>
      </c>
      <c r="B300" s="51" t="s">
        <v>34</v>
      </c>
      <c r="C300" s="51" t="s">
        <v>437</v>
      </c>
      <c r="D300" s="51" t="s">
        <v>318</v>
      </c>
      <c r="E300" s="51" t="s">
        <v>621</v>
      </c>
      <c r="F300" s="51" t="s">
        <v>266</v>
      </c>
      <c r="G300" s="54">
        <v>256.70999999999998</v>
      </c>
      <c r="H300" s="822"/>
      <c r="I300" s="822"/>
      <c r="J300" s="822"/>
      <c r="K300" s="822"/>
      <c r="L300" s="822"/>
      <c r="M300" s="822"/>
      <c r="N300" s="822"/>
      <c r="O300" s="822"/>
      <c r="P300" s="822"/>
      <c r="Q300" s="822"/>
      <c r="R300" s="822"/>
      <c r="S300" s="822"/>
      <c r="T300" s="822"/>
      <c r="U300" s="822"/>
      <c r="V300" s="822"/>
      <c r="W300" s="822"/>
      <c r="X300" s="822"/>
      <c r="Y300" s="822"/>
      <c r="Z300" s="822"/>
      <c r="AA300" s="54">
        <v>256.70999999999998</v>
      </c>
      <c r="AB300" s="822"/>
      <c r="AC300" s="822"/>
      <c r="AD300" s="822"/>
      <c r="AE300" s="822"/>
      <c r="AF300" s="822"/>
      <c r="AG300" s="822"/>
      <c r="AH300" s="54">
        <v>0.85</v>
      </c>
      <c r="AI300" s="822"/>
      <c r="AJ300" s="822"/>
      <c r="AK300" s="54">
        <v>257.56</v>
      </c>
      <c r="AL300" s="54">
        <v>0</v>
      </c>
    </row>
    <row r="301" spans="1:38" ht="15.75" thickBot="1" x14ac:dyDescent="0.3">
      <c r="A301" s="51" t="s">
        <v>954</v>
      </c>
      <c r="B301" s="51" t="s">
        <v>34</v>
      </c>
      <c r="C301" s="51" t="s">
        <v>437</v>
      </c>
      <c r="D301" s="51" t="s">
        <v>318</v>
      </c>
      <c r="E301" s="51" t="s">
        <v>325</v>
      </c>
      <c r="F301" s="51" t="s">
        <v>266</v>
      </c>
      <c r="G301" s="54">
        <v>3.36</v>
      </c>
      <c r="H301" s="822"/>
      <c r="I301" s="822"/>
      <c r="J301" s="822"/>
      <c r="K301" s="822"/>
      <c r="L301" s="822"/>
      <c r="M301" s="822"/>
      <c r="N301" s="54">
        <v>3.36</v>
      </c>
      <c r="O301" s="822"/>
      <c r="P301" s="822"/>
      <c r="Q301" s="822"/>
      <c r="R301" s="822"/>
      <c r="S301" s="822"/>
      <c r="T301" s="822"/>
      <c r="U301" s="822"/>
      <c r="V301" s="822"/>
      <c r="W301" s="822"/>
      <c r="X301" s="822"/>
      <c r="Y301" s="822"/>
      <c r="Z301" s="822"/>
      <c r="AA301" s="822"/>
      <c r="AB301" s="822"/>
      <c r="AC301" s="822"/>
      <c r="AD301" s="822"/>
      <c r="AE301" s="822"/>
      <c r="AF301" s="822"/>
      <c r="AG301" s="822"/>
      <c r="AH301" s="54">
        <v>0.2</v>
      </c>
      <c r="AI301" s="822"/>
      <c r="AJ301" s="822"/>
      <c r="AK301" s="54">
        <v>3.56</v>
      </c>
      <c r="AL301" s="54">
        <v>0</v>
      </c>
    </row>
    <row r="302" spans="1:38" ht="15.75" thickBot="1" x14ac:dyDescent="0.3">
      <c r="A302" s="51" t="s">
        <v>954</v>
      </c>
      <c r="B302" s="51" t="s">
        <v>34</v>
      </c>
      <c r="C302" s="51" t="s">
        <v>437</v>
      </c>
      <c r="D302" s="51" t="s">
        <v>318</v>
      </c>
      <c r="E302" s="51" t="s">
        <v>268</v>
      </c>
      <c r="F302" s="51" t="s">
        <v>266</v>
      </c>
      <c r="G302" s="54">
        <v>3850</v>
      </c>
      <c r="H302" s="822"/>
      <c r="I302" s="822"/>
      <c r="J302" s="822"/>
      <c r="K302" s="54">
        <v>3850</v>
      </c>
      <c r="L302" s="822"/>
      <c r="M302" s="822"/>
      <c r="N302" s="822"/>
      <c r="O302" s="822"/>
      <c r="P302" s="822"/>
      <c r="Q302" s="822"/>
      <c r="R302" s="822"/>
      <c r="S302" s="822"/>
      <c r="T302" s="822"/>
      <c r="U302" s="822"/>
      <c r="V302" s="822"/>
      <c r="W302" s="822"/>
      <c r="X302" s="822"/>
      <c r="Y302" s="822"/>
      <c r="Z302" s="822"/>
      <c r="AA302" s="822"/>
      <c r="AB302" s="822"/>
      <c r="AC302" s="822"/>
      <c r="AD302" s="822"/>
      <c r="AE302" s="822"/>
      <c r="AF302" s="822"/>
      <c r="AG302" s="822"/>
      <c r="AH302" s="54">
        <v>33</v>
      </c>
      <c r="AI302" s="822"/>
      <c r="AJ302" s="822"/>
      <c r="AK302" s="54">
        <v>3883</v>
      </c>
      <c r="AL302" s="54">
        <v>0</v>
      </c>
    </row>
    <row r="303" spans="1:38" ht="15.75" thickBot="1" x14ac:dyDescent="0.3">
      <c r="A303" s="51" t="s">
        <v>954</v>
      </c>
      <c r="B303" s="51" t="s">
        <v>34</v>
      </c>
      <c r="C303" s="51" t="s">
        <v>437</v>
      </c>
      <c r="D303" s="51" t="s">
        <v>318</v>
      </c>
      <c r="E303" s="51" t="s">
        <v>914</v>
      </c>
      <c r="F303" s="51" t="s">
        <v>266</v>
      </c>
      <c r="G303" s="54">
        <v>10099.32</v>
      </c>
      <c r="H303" s="822"/>
      <c r="I303" s="822"/>
      <c r="J303" s="822"/>
      <c r="K303" s="822"/>
      <c r="L303" s="54">
        <v>10099.32</v>
      </c>
      <c r="M303" s="822"/>
      <c r="N303" s="822"/>
      <c r="O303" s="822"/>
      <c r="P303" s="822"/>
      <c r="Q303" s="822"/>
      <c r="R303" s="822"/>
      <c r="S303" s="822"/>
      <c r="T303" s="822"/>
      <c r="U303" s="822"/>
      <c r="V303" s="822"/>
      <c r="W303" s="822"/>
      <c r="X303" s="822"/>
      <c r="Y303" s="822"/>
      <c r="Z303" s="822"/>
      <c r="AA303" s="822"/>
      <c r="AB303" s="822"/>
      <c r="AC303" s="822"/>
      <c r="AD303" s="822"/>
      <c r="AE303" s="822"/>
      <c r="AF303" s="822"/>
      <c r="AG303" s="822"/>
      <c r="AH303" s="54">
        <v>55.39</v>
      </c>
      <c r="AI303" s="822"/>
      <c r="AJ303" s="822"/>
      <c r="AK303" s="54">
        <v>10154.709999999999</v>
      </c>
      <c r="AL303" s="54">
        <v>0</v>
      </c>
    </row>
    <row r="304" spans="1:38" ht="15.75" thickBot="1" x14ac:dyDescent="0.3">
      <c r="A304" s="51" t="s">
        <v>954</v>
      </c>
      <c r="B304" s="51" t="s">
        <v>34</v>
      </c>
      <c r="C304" s="51" t="s">
        <v>437</v>
      </c>
      <c r="D304" s="51" t="s">
        <v>319</v>
      </c>
      <c r="E304" s="51" t="s">
        <v>109</v>
      </c>
      <c r="F304" s="51" t="s">
        <v>266</v>
      </c>
      <c r="G304" s="54">
        <v>37.81</v>
      </c>
      <c r="H304" s="822"/>
      <c r="I304" s="822"/>
      <c r="J304" s="822"/>
      <c r="K304" s="822"/>
      <c r="L304" s="822"/>
      <c r="M304" s="822"/>
      <c r="N304" s="822"/>
      <c r="O304" s="822"/>
      <c r="P304" s="822"/>
      <c r="Q304" s="54">
        <v>37.81</v>
      </c>
      <c r="R304" s="822"/>
      <c r="S304" s="822"/>
      <c r="T304" s="822"/>
      <c r="U304" s="822"/>
      <c r="V304" s="822"/>
      <c r="W304" s="822"/>
      <c r="X304" s="822"/>
      <c r="Y304" s="822"/>
      <c r="Z304" s="822"/>
      <c r="AA304" s="822"/>
      <c r="AB304" s="822"/>
      <c r="AC304" s="822"/>
      <c r="AD304" s="822"/>
      <c r="AE304" s="822"/>
      <c r="AF304" s="822"/>
      <c r="AG304" s="822"/>
      <c r="AH304" s="54">
        <v>0.85</v>
      </c>
      <c r="AI304" s="822"/>
      <c r="AJ304" s="822"/>
      <c r="AK304" s="54">
        <v>38.659999999999997</v>
      </c>
      <c r="AL304" s="54">
        <v>0</v>
      </c>
    </row>
    <row r="305" spans="1:38" ht="23.25" thickBot="1" x14ac:dyDescent="0.3">
      <c r="A305" s="51" t="s">
        <v>954</v>
      </c>
      <c r="B305" s="51" t="s">
        <v>34</v>
      </c>
      <c r="C305" s="51" t="s">
        <v>437</v>
      </c>
      <c r="D305" s="51" t="s">
        <v>319</v>
      </c>
      <c r="E305" s="51" t="s">
        <v>269</v>
      </c>
      <c r="F305" s="51" t="s">
        <v>915</v>
      </c>
      <c r="G305" s="54">
        <v>1393.82</v>
      </c>
      <c r="H305" s="822"/>
      <c r="I305" s="822"/>
      <c r="J305" s="822"/>
      <c r="K305" s="822"/>
      <c r="L305" s="822"/>
      <c r="M305" s="822"/>
      <c r="N305" s="822"/>
      <c r="O305" s="822"/>
      <c r="P305" s="822"/>
      <c r="Q305" s="822"/>
      <c r="R305" s="822"/>
      <c r="S305" s="822"/>
      <c r="T305" s="54">
        <v>1393.82</v>
      </c>
      <c r="U305" s="822"/>
      <c r="V305" s="822"/>
      <c r="W305" s="822"/>
      <c r="X305" s="822"/>
      <c r="Y305" s="822"/>
      <c r="Z305" s="822"/>
      <c r="AA305" s="822"/>
      <c r="AB305" s="822"/>
      <c r="AC305" s="822"/>
      <c r="AD305" s="822"/>
      <c r="AE305" s="822"/>
      <c r="AF305" s="822"/>
      <c r="AG305" s="822"/>
      <c r="AH305" s="54">
        <v>41.81</v>
      </c>
      <c r="AI305" s="822"/>
      <c r="AJ305" s="822"/>
      <c r="AK305" s="54">
        <v>1435.63</v>
      </c>
      <c r="AL305" s="54">
        <v>0</v>
      </c>
    </row>
    <row r="306" spans="1:38" ht="15.75" thickBot="1" x14ac:dyDescent="0.3">
      <c r="A306" s="51" t="s">
        <v>954</v>
      </c>
      <c r="B306" s="51" t="s">
        <v>34</v>
      </c>
      <c r="C306" s="51" t="s">
        <v>437</v>
      </c>
      <c r="D306" s="51" t="s">
        <v>319</v>
      </c>
      <c r="E306" s="51" t="s">
        <v>272</v>
      </c>
      <c r="F306" s="51" t="s">
        <v>266</v>
      </c>
      <c r="G306" s="54">
        <v>1500</v>
      </c>
      <c r="H306" s="822"/>
      <c r="I306" s="822"/>
      <c r="J306" s="822"/>
      <c r="K306" s="54">
        <v>1500</v>
      </c>
      <c r="L306" s="822"/>
      <c r="M306" s="822"/>
      <c r="N306" s="822"/>
      <c r="O306" s="822"/>
      <c r="P306" s="822"/>
      <c r="Q306" s="822"/>
      <c r="R306" s="822"/>
      <c r="S306" s="822"/>
      <c r="T306" s="822"/>
      <c r="U306" s="822"/>
      <c r="V306" s="822"/>
      <c r="W306" s="822"/>
      <c r="X306" s="822"/>
      <c r="Y306" s="822"/>
      <c r="Z306" s="822"/>
      <c r="AA306" s="822"/>
      <c r="AB306" s="822"/>
      <c r="AC306" s="822"/>
      <c r="AD306" s="822"/>
      <c r="AE306" s="822"/>
      <c r="AF306" s="822"/>
      <c r="AG306" s="822"/>
      <c r="AH306" s="54">
        <v>22.5</v>
      </c>
      <c r="AI306" s="822"/>
      <c r="AJ306" s="822"/>
      <c r="AK306" s="54">
        <v>1522.5</v>
      </c>
      <c r="AL306" s="54">
        <v>0</v>
      </c>
    </row>
    <row r="307" spans="1:38" ht="15.75" thickBot="1" x14ac:dyDescent="0.3">
      <c r="A307" s="51" t="s">
        <v>954</v>
      </c>
      <c r="B307" s="51" t="s">
        <v>34</v>
      </c>
      <c r="C307" s="51" t="s">
        <v>437</v>
      </c>
      <c r="D307" s="51" t="s">
        <v>319</v>
      </c>
      <c r="E307" s="51" t="s">
        <v>265</v>
      </c>
      <c r="F307" s="51" t="s">
        <v>266</v>
      </c>
      <c r="G307" s="54">
        <v>272.43</v>
      </c>
      <c r="H307" s="54">
        <v>71692</v>
      </c>
      <c r="I307" s="822"/>
      <c r="J307" s="822"/>
      <c r="K307" s="822"/>
      <c r="L307" s="822"/>
      <c r="M307" s="54">
        <v>272.43</v>
      </c>
      <c r="N307" s="822"/>
      <c r="O307" s="822"/>
      <c r="P307" s="822"/>
      <c r="Q307" s="822"/>
      <c r="R307" s="822"/>
      <c r="S307" s="822"/>
      <c r="T307" s="822"/>
      <c r="U307" s="822"/>
      <c r="V307" s="822"/>
      <c r="W307" s="822"/>
      <c r="X307" s="822"/>
      <c r="Y307" s="822"/>
      <c r="Z307" s="822"/>
      <c r="AA307" s="822"/>
      <c r="AB307" s="822"/>
      <c r="AC307" s="822"/>
      <c r="AD307" s="822"/>
      <c r="AE307" s="822"/>
      <c r="AF307" s="822"/>
      <c r="AG307" s="822"/>
      <c r="AH307" s="54">
        <v>5.94</v>
      </c>
      <c r="AI307" s="822"/>
      <c r="AJ307" s="822"/>
      <c r="AK307" s="54">
        <v>278.37</v>
      </c>
      <c r="AL307" s="54">
        <v>0</v>
      </c>
    </row>
    <row r="308" spans="1:38" ht="23.25" thickBot="1" x14ac:dyDescent="0.3">
      <c r="A308" s="51" t="s">
        <v>954</v>
      </c>
      <c r="B308" s="51" t="s">
        <v>34</v>
      </c>
      <c r="C308" s="51" t="s">
        <v>437</v>
      </c>
      <c r="D308" s="51" t="s">
        <v>319</v>
      </c>
      <c r="E308" s="51" t="s">
        <v>265</v>
      </c>
      <c r="F308" s="51" t="s">
        <v>915</v>
      </c>
      <c r="G308" s="56">
        <v>26.89</v>
      </c>
      <c r="H308" s="56">
        <v>7076</v>
      </c>
      <c r="I308" s="823"/>
      <c r="J308" s="823"/>
      <c r="K308" s="823"/>
      <c r="L308" s="823"/>
      <c r="M308" s="56">
        <v>26.89</v>
      </c>
      <c r="N308" s="823"/>
      <c r="O308" s="823"/>
      <c r="P308" s="823"/>
      <c r="Q308" s="823"/>
      <c r="R308" s="823"/>
      <c r="S308" s="823"/>
      <c r="T308" s="823"/>
      <c r="U308" s="823"/>
      <c r="V308" s="823"/>
      <c r="W308" s="823"/>
      <c r="X308" s="823"/>
      <c r="Y308" s="823"/>
      <c r="Z308" s="823"/>
      <c r="AA308" s="823"/>
      <c r="AB308" s="823"/>
      <c r="AC308" s="823"/>
      <c r="AD308" s="823"/>
      <c r="AE308" s="823"/>
      <c r="AF308" s="823"/>
      <c r="AG308" s="823"/>
      <c r="AH308" s="56">
        <v>0.81</v>
      </c>
      <c r="AI308" s="823"/>
      <c r="AJ308" s="823"/>
      <c r="AK308" s="56">
        <v>27.7</v>
      </c>
      <c r="AL308" s="56">
        <v>0</v>
      </c>
    </row>
    <row r="309" spans="1:38" ht="15.75" thickBot="1" x14ac:dyDescent="0.3">
      <c r="A309" s="51" t="s">
        <v>954</v>
      </c>
      <c r="B309" s="51" t="s">
        <v>34</v>
      </c>
      <c r="C309" s="51" t="s">
        <v>437</v>
      </c>
      <c r="D309" s="51" t="s">
        <v>319</v>
      </c>
      <c r="E309" s="51" t="s">
        <v>621</v>
      </c>
      <c r="F309" s="51" t="s">
        <v>266</v>
      </c>
      <c r="G309" s="56">
        <v>70.260000000000005</v>
      </c>
      <c r="H309" s="823"/>
      <c r="I309" s="823"/>
      <c r="J309" s="823"/>
      <c r="K309" s="823"/>
      <c r="L309" s="823"/>
      <c r="M309" s="823"/>
      <c r="N309" s="823"/>
      <c r="O309" s="823"/>
      <c r="P309" s="823"/>
      <c r="Q309" s="823"/>
      <c r="R309" s="823"/>
      <c r="S309" s="823"/>
      <c r="T309" s="823"/>
      <c r="U309" s="823"/>
      <c r="V309" s="823"/>
      <c r="W309" s="823"/>
      <c r="X309" s="823"/>
      <c r="Y309" s="823"/>
      <c r="Z309" s="823"/>
      <c r="AA309" s="56">
        <v>70.260000000000005</v>
      </c>
      <c r="AB309" s="823"/>
      <c r="AC309" s="823"/>
      <c r="AD309" s="823"/>
      <c r="AE309" s="823"/>
      <c r="AF309" s="823"/>
      <c r="AG309" s="823"/>
      <c r="AH309" s="56">
        <v>1.53</v>
      </c>
      <c r="AI309" s="823"/>
      <c r="AJ309" s="823"/>
      <c r="AK309" s="56">
        <v>71.790000000000006</v>
      </c>
      <c r="AL309" s="56">
        <v>0</v>
      </c>
    </row>
    <row r="310" spans="1:38" ht="23.25" thickBot="1" x14ac:dyDescent="0.3">
      <c r="A310" s="51" t="s">
        <v>954</v>
      </c>
      <c r="B310" s="51" t="s">
        <v>34</v>
      </c>
      <c r="C310" s="51" t="s">
        <v>437</v>
      </c>
      <c r="D310" s="51" t="s">
        <v>319</v>
      </c>
      <c r="E310" s="51" t="s">
        <v>916</v>
      </c>
      <c r="F310" s="51" t="s">
        <v>915</v>
      </c>
      <c r="G310" s="56">
        <v>6.93</v>
      </c>
      <c r="H310" s="823"/>
      <c r="I310" s="823"/>
      <c r="J310" s="823"/>
      <c r="K310" s="823"/>
      <c r="L310" s="823"/>
      <c r="M310" s="823"/>
      <c r="N310" s="823"/>
      <c r="O310" s="823"/>
      <c r="P310" s="823"/>
      <c r="Q310" s="823"/>
      <c r="R310" s="823"/>
      <c r="S310" s="823"/>
      <c r="T310" s="823"/>
      <c r="U310" s="823"/>
      <c r="V310" s="823"/>
      <c r="W310" s="823"/>
      <c r="X310" s="823"/>
      <c r="Y310" s="823"/>
      <c r="Z310" s="823"/>
      <c r="AA310" s="56">
        <v>6.93</v>
      </c>
      <c r="AB310" s="823"/>
      <c r="AC310" s="823"/>
      <c r="AD310" s="823"/>
      <c r="AE310" s="823"/>
      <c r="AF310" s="823"/>
      <c r="AG310" s="823"/>
      <c r="AH310" s="56">
        <v>0.21</v>
      </c>
      <c r="AI310" s="823"/>
      <c r="AJ310" s="823"/>
      <c r="AK310" s="56">
        <v>7.14</v>
      </c>
      <c r="AL310" s="56">
        <v>0</v>
      </c>
    </row>
    <row r="311" spans="1:38" ht="23.25" thickBot="1" x14ac:dyDescent="0.3">
      <c r="A311" s="51" t="s">
        <v>954</v>
      </c>
      <c r="B311" s="51" t="s">
        <v>34</v>
      </c>
      <c r="C311" s="51" t="s">
        <v>437</v>
      </c>
      <c r="D311" s="51" t="s">
        <v>319</v>
      </c>
      <c r="E311" s="51" t="s">
        <v>271</v>
      </c>
      <c r="F311" s="51" t="s">
        <v>915</v>
      </c>
      <c r="G311" s="56">
        <v>5.42</v>
      </c>
      <c r="H311" s="823"/>
      <c r="I311" s="823"/>
      <c r="J311" s="823"/>
      <c r="K311" s="823"/>
      <c r="L311" s="823"/>
      <c r="M311" s="823"/>
      <c r="N311" s="823"/>
      <c r="O311" s="823"/>
      <c r="P311" s="823"/>
      <c r="Q311" s="823"/>
      <c r="R311" s="823"/>
      <c r="S311" s="823"/>
      <c r="T311" s="823"/>
      <c r="U311" s="56">
        <v>5.42</v>
      </c>
      <c r="V311" s="823"/>
      <c r="W311" s="823"/>
      <c r="X311" s="823"/>
      <c r="Y311" s="823"/>
      <c r="Z311" s="823"/>
      <c r="AA311" s="823"/>
      <c r="AB311" s="823"/>
      <c r="AC311" s="823"/>
      <c r="AD311" s="823"/>
      <c r="AE311" s="823"/>
      <c r="AF311" s="823"/>
      <c r="AG311" s="823"/>
      <c r="AH311" s="56">
        <v>0.16</v>
      </c>
      <c r="AI311" s="823"/>
      <c r="AJ311" s="823"/>
      <c r="AK311" s="56">
        <v>5.58</v>
      </c>
      <c r="AL311" s="56">
        <v>0</v>
      </c>
    </row>
    <row r="312" spans="1:38" ht="15.75" thickBot="1" x14ac:dyDescent="0.3">
      <c r="A312" s="51" t="s">
        <v>954</v>
      </c>
      <c r="B312" s="51" t="s">
        <v>34</v>
      </c>
      <c r="C312" s="51" t="s">
        <v>437</v>
      </c>
      <c r="D312" s="51" t="s">
        <v>319</v>
      </c>
      <c r="E312" s="51" t="s">
        <v>325</v>
      </c>
      <c r="F312" s="51" t="s">
        <v>266</v>
      </c>
      <c r="G312" s="56">
        <v>10.09</v>
      </c>
      <c r="H312" s="823"/>
      <c r="I312" s="823"/>
      <c r="J312" s="823"/>
      <c r="K312" s="823"/>
      <c r="L312" s="823"/>
      <c r="M312" s="823"/>
      <c r="N312" s="56">
        <v>10.09</v>
      </c>
      <c r="O312" s="823"/>
      <c r="P312" s="823"/>
      <c r="Q312" s="823"/>
      <c r="R312" s="823"/>
      <c r="S312" s="823"/>
      <c r="T312" s="823"/>
      <c r="U312" s="823"/>
      <c r="V312" s="823"/>
      <c r="W312" s="823"/>
      <c r="X312" s="823"/>
      <c r="Y312" s="823"/>
      <c r="Z312" s="823"/>
      <c r="AA312" s="823"/>
      <c r="AB312" s="823"/>
      <c r="AC312" s="823"/>
      <c r="AD312" s="823"/>
      <c r="AE312" s="823"/>
      <c r="AF312" s="823"/>
      <c r="AG312" s="823"/>
      <c r="AH312" s="56">
        <v>0</v>
      </c>
      <c r="AI312" s="823"/>
      <c r="AJ312" s="823"/>
      <c r="AK312" s="56">
        <v>10.09</v>
      </c>
      <c r="AL312" s="56">
        <v>0</v>
      </c>
    </row>
    <row r="313" spans="1:38" ht="15.75" thickBot="1" x14ac:dyDescent="0.3">
      <c r="A313" s="51" t="s">
        <v>954</v>
      </c>
      <c r="B313" s="51" t="s">
        <v>34</v>
      </c>
      <c r="C313" s="51" t="s">
        <v>437</v>
      </c>
      <c r="D313" s="51" t="s">
        <v>319</v>
      </c>
      <c r="E313" s="51" t="s">
        <v>268</v>
      </c>
      <c r="F313" s="51" t="s">
        <v>266</v>
      </c>
      <c r="G313" s="56">
        <v>1100</v>
      </c>
      <c r="H313" s="823"/>
      <c r="I313" s="823"/>
      <c r="J313" s="823"/>
      <c r="K313" s="56">
        <v>1100</v>
      </c>
      <c r="L313" s="823"/>
      <c r="M313" s="823"/>
      <c r="N313" s="823"/>
      <c r="O313" s="823"/>
      <c r="P313" s="823"/>
      <c r="Q313" s="823"/>
      <c r="R313" s="823"/>
      <c r="S313" s="823"/>
      <c r="T313" s="823"/>
      <c r="U313" s="823"/>
      <c r="V313" s="823"/>
      <c r="W313" s="823"/>
      <c r="X313" s="823"/>
      <c r="Y313" s="823"/>
      <c r="Z313" s="823"/>
      <c r="AA313" s="823"/>
      <c r="AB313" s="823"/>
      <c r="AC313" s="823"/>
      <c r="AD313" s="823"/>
      <c r="AE313" s="823"/>
      <c r="AF313" s="823"/>
      <c r="AG313" s="823"/>
      <c r="AH313" s="56">
        <v>16.5</v>
      </c>
      <c r="AI313" s="823"/>
      <c r="AJ313" s="823"/>
      <c r="AK313" s="56">
        <v>1116.5</v>
      </c>
      <c r="AL313" s="56">
        <v>0</v>
      </c>
    </row>
    <row r="314" spans="1:38" ht="15.75" thickBot="1" x14ac:dyDescent="0.3">
      <c r="A314" s="51" t="s">
        <v>954</v>
      </c>
      <c r="B314" s="51" t="s">
        <v>34</v>
      </c>
      <c r="C314" s="51" t="s">
        <v>437</v>
      </c>
      <c r="D314" s="51" t="s">
        <v>319</v>
      </c>
      <c r="E314" s="51" t="s">
        <v>914</v>
      </c>
      <c r="F314" s="51" t="s">
        <v>266</v>
      </c>
      <c r="G314" s="56">
        <v>3486.08</v>
      </c>
      <c r="H314" s="823"/>
      <c r="I314" s="823"/>
      <c r="J314" s="823"/>
      <c r="K314" s="823"/>
      <c r="L314" s="56">
        <v>3486.08</v>
      </c>
      <c r="M314" s="823"/>
      <c r="N314" s="823"/>
      <c r="O314" s="823"/>
      <c r="P314" s="823"/>
      <c r="Q314" s="823"/>
      <c r="R314" s="823"/>
      <c r="S314" s="823"/>
      <c r="T314" s="823"/>
      <c r="U314" s="823"/>
      <c r="V314" s="823"/>
      <c r="W314" s="823"/>
      <c r="X314" s="823"/>
      <c r="Y314" s="823"/>
      <c r="Z314" s="823"/>
      <c r="AA314" s="823"/>
      <c r="AB314" s="823"/>
      <c r="AC314" s="823"/>
      <c r="AD314" s="823"/>
      <c r="AE314" s="823"/>
      <c r="AF314" s="823"/>
      <c r="AG314" s="823"/>
      <c r="AH314" s="56">
        <v>78.91</v>
      </c>
      <c r="AI314" s="823"/>
      <c r="AJ314" s="823"/>
      <c r="AK314" s="56">
        <v>3564.99</v>
      </c>
      <c r="AL314" s="56">
        <v>0</v>
      </c>
    </row>
    <row r="315" spans="1:38" ht="15.75" thickBot="1" x14ac:dyDescent="0.3">
      <c r="A315" s="51" t="s">
        <v>954</v>
      </c>
      <c r="B315" s="51" t="s">
        <v>34</v>
      </c>
      <c r="C315" s="51" t="s">
        <v>437</v>
      </c>
      <c r="D315" s="51" t="s">
        <v>319</v>
      </c>
      <c r="E315" s="51" t="s">
        <v>329</v>
      </c>
      <c r="F315" s="51" t="s">
        <v>266</v>
      </c>
      <c r="G315" s="56">
        <v>51.09</v>
      </c>
      <c r="H315" s="823"/>
      <c r="I315" s="823"/>
      <c r="J315" s="823"/>
      <c r="K315" s="823"/>
      <c r="L315" s="823"/>
      <c r="M315" s="823"/>
      <c r="N315" s="823"/>
      <c r="O315" s="823"/>
      <c r="P315" s="823"/>
      <c r="Q315" s="823"/>
      <c r="R315" s="823"/>
      <c r="S315" s="823"/>
      <c r="T315" s="823"/>
      <c r="U315" s="823"/>
      <c r="V315" s="823"/>
      <c r="W315" s="56">
        <v>51.09</v>
      </c>
      <c r="X315" s="823"/>
      <c r="Y315" s="823"/>
      <c r="Z315" s="823"/>
      <c r="AA315" s="823"/>
      <c r="AB315" s="823"/>
      <c r="AC315" s="823"/>
      <c r="AD315" s="823"/>
      <c r="AE315" s="823"/>
      <c r="AF315" s="823"/>
      <c r="AG315" s="823"/>
      <c r="AH315" s="56">
        <v>1.53</v>
      </c>
      <c r="AI315" s="823"/>
      <c r="AJ315" s="823"/>
      <c r="AK315" s="56">
        <v>52.62</v>
      </c>
      <c r="AL315" s="56">
        <v>0</v>
      </c>
    </row>
    <row r="316" spans="1:38" ht="15.75" thickBot="1" x14ac:dyDescent="0.3">
      <c r="A316" s="51" t="s">
        <v>954</v>
      </c>
      <c r="B316" s="51" t="s">
        <v>34</v>
      </c>
      <c r="C316" s="51" t="s">
        <v>437</v>
      </c>
      <c r="D316" s="51" t="s">
        <v>319</v>
      </c>
      <c r="E316" s="51" t="s">
        <v>330</v>
      </c>
      <c r="F316" s="51" t="s">
        <v>266</v>
      </c>
      <c r="G316" s="56">
        <v>119.3</v>
      </c>
      <c r="H316" s="823"/>
      <c r="I316" s="823"/>
      <c r="J316" s="823"/>
      <c r="K316" s="823"/>
      <c r="L316" s="823"/>
      <c r="M316" s="823"/>
      <c r="N316" s="823"/>
      <c r="O316" s="823"/>
      <c r="P316" s="823"/>
      <c r="Q316" s="823"/>
      <c r="R316" s="823"/>
      <c r="S316" s="823"/>
      <c r="T316" s="823"/>
      <c r="U316" s="823"/>
      <c r="V316" s="823"/>
      <c r="W316" s="823"/>
      <c r="X316" s="56">
        <v>119.3</v>
      </c>
      <c r="Y316" s="823"/>
      <c r="Z316" s="823"/>
      <c r="AA316" s="823"/>
      <c r="AB316" s="823"/>
      <c r="AC316" s="823"/>
      <c r="AD316" s="823"/>
      <c r="AE316" s="823"/>
      <c r="AF316" s="823"/>
      <c r="AG316" s="823"/>
      <c r="AH316" s="56">
        <v>3.58</v>
      </c>
      <c r="AI316" s="823"/>
      <c r="AJ316" s="823"/>
      <c r="AK316" s="56">
        <v>122.88</v>
      </c>
      <c r="AL316" s="56">
        <v>0</v>
      </c>
    </row>
    <row r="317" spans="1:38" ht="15.75" thickBot="1" x14ac:dyDescent="0.3">
      <c r="A317" s="51" t="s">
        <v>954</v>
      </c>
      <c r="B317" s="51" t="s">
        <v>31</v>
      </c>
      <c r="C317" s="51" t="s">
        <v>835</v>
      </c>
      <c r="D317" s="51" t="s">
        <v>320</v>
      </c>
      <c r="E317" s="51" t="s">
        <v>357</v>
      </c>
      <c r="F317" s="51" t="s">
        <v>266</v>
      </c>
      <c r="G317" s="56">
        <v>-954.91</v>
      </c>
      <c r="H317" s="823"/>
      <c r="I317" s="823"/>
      <c r="J317" s="823"/>
      <c r="K317" s="823"/>
      <c r="L317" s="823"/>
      <c r="M317" s="823"/>
      <c r="N317" s="823"/>
      <c r="O317" s="823"/>
      <c r="P317" s="823"/>
      <c r="Q317" s="823"/>
      <c r="R317" s="823"/>
      <c r="S317" s="56">
        <v>-954.91</v>
      </c>
      <c r="T317" s="823"/>
      <c r="U317" s="823"/>
      <c r="V317" s="823"/>
      <c r="W317" s="823"/>
      <c r="X317" s="823"/>
      <c r="Y317" s="823"/>
      <c r="Z317" s="823"/>
      <c r="AA317" s="823"/>
      <c r="AB317" s="823"/>
      <c r="AC317" s="823"/>
      <c r="AD317" s="823"/>
      <c r="AE317" s="823"/>
      <c r="AF317" s="823"/>
      <c r="AG317" s="823"/>
      <c r="AH317" s="56">
        <v>-87.66</v>
      </c>
      <c r="AI317" s="823"/>
      <c r="AJ317" s="823"/>
      <c r="AK317" s="56">
        <v>-1042.57</v>
      </c>
      <c r="AL317" s="56">
        <v>0</v>
      </c>
    </row>
    <row r="318" spans="1:38" ht="15.75" thickBot="1" x14ac:dyDescent="0.3">
      <c r="A318" s="51" t="s">
        <v>954</v>
      </c>
      <c r="B318" s="51" t="s">
        <v>31</v>
      </c>
      <c r="C318" s="51" t="s">
        <v>835</v>
      </c>
      <c r="D318" s="51" t="s">
        <v>320</v>
      </c>
      <c r="E318" s="51" t="s">
        <v>272</v>
      </c>
      <c r="F318" s="51" t="s">
        <v>266</v>
      </c>
      <c r="G318" s="56">
        <v>1478.4</v>
      </c>
      <c r="H318" s="823"/>
      <c r="I318" s="823"/>
      <c r="J318" s="823"/>
      <c r="K318" s="56">
        <v>1478.4</v>
      </c>
      <c r="L318" s="823"/>
      <c r="M318" s="823"/>
      <c r="N318" s="823"/>
      <c r="O318" s="823"/>
      <c r="P318" s="823"/>
      <c r="Q318" s="823"/>
      <c r="R318" s="823"/>
      <c r="S318" s="823"/>
      <c r="T318" s="823"/>
      <c r="U318" s="823"/>
      <c r="V318" s="823"/>
      <c r="W318" s="823"/>
      <c r="X318" s="823"/>
      <c r="Y318" s="823"/>
      <c r="Z318" s="823"/>
      <c r="AA318" s="823"/>
      <c r="AB318" s="823"/>
      <c r="AC318" s="823"/>
      <c r="AD318" s="823"/>
      <c r="AE318" s="823"/>
      <c r="AF318" s="823"/>
      <c r="AG318" s="823"/>
      <c r="AH318" s="56">
        <v>112.21</v>
      </c>
      <c r="AI318" s="823"/>
      <c r="AJ318" s="823"/>
      <c r="AK318" s="56">
        <v>1590.61</v>
      </c>
      <c r="AL318" s="56">
        <v>0</v>
      </c>
    </row>
    <row r="319" spans="1:38" ht="15.75" thickBot="1" x14ac:dyDescent="0.3">
      <c r="A319" s="51" t="s">
        <v>954</v>
      </c>
      <c r="B319" s="51" t="s">
        <v>31</v>
      </c>
      <c r="C319" s="51" t="s">
        <v>835</v>
      </c>
      <c r="D319" s="51" t="s">
        <v>320</v>
      </c>
      <c r="E319" s="51" t="s">
        <v>265</v>
      </c>
      <c r="F319" s="51" t="s">
        <v>266</v>
      </c>
      <c r="G319" s="56">
        <v>19518.740000000002</v>
      </c>
      <c r="H319" s="56">
        <v>114707</v>
      </c>
      <c r="I319" s="823"/>
      <c r="J319" s="823"/>
      <c r="K319" s="823"/>
      <c r="L319" s="823"/>
      <c r="M319" s="56">
        <v>19518.740000000002</v>
      </c>
      <c r="N319" s="823"/>
      <c r="O319" s="823"/>
      <c r="P319" s="823"/>
      <c r="Q319" s="823"/>
      <c r="R319" s="823"/>
      <c r="S319" s="823"/>
      <c r="T319" s="823"/>
      <c r="U319" s="823"/>
      <c r="V319" s="823"/>
      <c r="W319" s="823"/>
      <c r="X319" s="823"/>
      <c r="Y319" s="823"/>
      <c r="Z319" s="823"/>
      <c r="AA319" s="823"/>
      <c r="AB319" s="823"/>
      <c r="AC319" s="823"/>
      <c r="AD319" s="823"/>
      <c r="AE319" s="823"/>
      <c r="AF319" s="823"/>
      <c r="AG319" s="823"/>
      <c r="AH319" s="56">
        <v>1759.55</v>
      </c>
      <c r="AI319" s="823"/>
      <c r="AJ319" s="823"/>
      <c r="AK319" s="56">
        <v>21278.29</v>
      </c>
      <c r="AL319" s="56">
        <v>0</v>
      </c>
    </row>
    <row r="320" spans="1:38" ht="15.75" thickBot="1" x14ac:dyDescent="0.3">
      <c r="A320" s="51" t="s">
        <v>954</v>
      </c>
      <c r="B320" s="51" t="s">
        <v>31</v>
      </c>
      <c r="C320" s="51" t="s">
        <v>835</v>
      </c>
      <c r="D320" s="51" t="s">
        <v>320</v>
      </c>
      <c r="E320" s="51" t="s">
        <v>620</v>
      </c>
      <c r="F320" s="51" t="s">
        <v>266</v>
      </c>
      <c r="G320" s="56">
        <v>222.04</v>
      </c>
      <c r="H320" s="823"/>
      <c r="I320" s="823"/>
      <c r="J320" s="823"/>
      <c r="K320" s="823"/>
      <c r="L320" s="823"/>
      <c r="M320" s="823"/>
      <c r="N320" s="823"/>
      <c r="O320" s="823"/>
      <c r="P320" s="823"/>
      <c r="Q320" s="823"/>
      <c r="R320" s="823"/>
      <c r="S320" s="823"/>
      <c r="T320" s="823"/>
      <c r="U320" s="823"/>
      <c r="V320" s="823"/>
      <c r="W320" s="823"/>
      <c r="X320" s="823"/>
      <c r="Y320" s="823"/>
      <c r="Z320" s="56">
        <v>222.04</v>
      </c>
      <c r="AA320" s="823"/>
      <c r="AB320" s="823"/>
      <c r="AC320" s="823"/>
      <c r="AD320" s="823"/>
      <c r="AE320" s="823"/>
      <c r="AF320" s="823"/>
      <c r="AG320" s="823"/>
      <c r="AH320" s="56">
        <v>16.850000000000001</v>
      </c>
      <c r="AI320" s="823"/>
      <c r="AJ320" s="823"/>
      <c r="AK320" s="56">
        <v>238.89</v>
      </c>
      <c r="AL320" s="56">
        <v>0</v>
      </c>
    </row>
    <row r="321" spans="1:38" ht="15.75" thickBot="1" x14ac:dyDescent="0.3">
      <c r="A321" s="51" t="s">
        <v>954</v>
      </c>
      <c r="B321" s="51" t="s">
        <v>31</v>
      </c>
      <c r="C321" s="51" t="s">
        <v>835</v>
      </c>
      <c r="D321" s="51" t="s">
        <v>320</v>
      </c>
      <c r="E321" s="51" t="s">
        <v>621</v>
      </c>
      <c r="F321" s="51" t="s">
        <v>266</v>
      </c>
      <c r="G321" s="56">
        <v>1342.07</v>
      </c>
      <c r="H321" s="823"/>
      <c r="I321" s="823"/>
      <c r="J321" s="823"/>
      <c r="K321" s="823"/>
      <c r="L321" s="823"/>
      <c r="M321" s="823"/>
      <c r="N321" s="823"/>
      <c r="O321" s="823"/>
      <c r="P321" s="823"/>
      <c r="Q321" s="823"/>
      <c r="R321" s="823"/>
      <c r="S321" s="823"/>
      <c r="T321" s="823"/>
      <c r="U321" s="823"/>
      <c r="V321" s="823"/>
      <c r="W321" s="823"/>
      <c r="X321" s="823"/>
      <c r="Y321" s="823"/>
      <c r="Z321" s="823"/>
      <c r="AA321" s="56">
        <v>1342.07</v>
      </c>
      <c r="AB321" s="823"/>
      <c r="AC321" s="823"/>
      <c r="AD321" s="823"/>
      <c r="AE321" s="823"/>
      <c r="AF321" s="823"/>
      <c r="AG321" s="823"/>
      <c r="AH321" s="56">
        <v>121.08</v>
      </c>
      <c r="AI321" s="823"/>
      <c r="AJ321" s="823"/>
      <c r="AK321" s="56">
        <v>1463.15</v>
      </c>
      <c r="AL321" s="56">
        <v>0</v>
      </c>
    </row>
    <row r="322" spans="1:38" ht="15.75" thickBot="1" x14ac:dyDescent="0.3">
      <c r="A322" s="51" t="s">
        <v>954</v>
      </c>
      <c r="B322" s="51" t="s">
        <v>31</v>
      </c>
      <c r="C322" s="51" t="s">
        <v>835</v>
      </c>
      <c r="D322" s="51" t="s">
        <v>320</v>
      </c>
      <c r="E322" s="51" t="s">
        <v>273</v>
      </c>
      <c r="F322" s="51" t="s">
        <v>266</v>
      </c>
      <c r="G322" s="56">
        <v>9870.5400000000009</v>
      </c>
      <c r="H322" s="823"/>
      <c r="I322" s="823"/>
      <c r="J322" s="823"/>
      <c r="K322" s="823"/>
      <c r="L322" s="823"/>
      <c r="M322" s="823"/>
      <c r="N322" s="823"/>
      <c r="O322" s="823"/>
      <c r="P322" s="823"/>
      <c r="Q322" s="823"/>
      <c r="R322" s="823"/>
      <c r="S322" s="823"/>
      <c r="T322" s="823"/>
      <c r="U322" s="823"/>
      <c r="V322" s="823"/>
      <c r="W322" s="823"/>
      <c r="X322" s="823"/>
      <c r="Y322" s="56">
        <v>9870.5400000000009</v>
      </c>
      <c r="Z322" s="823"/>
      <c r="AA322" s="823"/>
      <c r="AB322" s="823"/>
      <c r="AC322" s="823"/>
      <c r="AD322" s="823"/>
      <c r="AE322" s="823"/>
      <c r="AF322" s="823"/>
      <c r="AG322" s="823"/>
      <c r="AH322" s="56">
        <v>890.52</v>
      </c>
      <c r="AI322" s="823"/>
      <c r="AJ322" s="823"/>
      <c r="AK322" s="56">
        <v>10761.06</v>
      </c>
      <c r="AL322" s="56">
        <v>0</v>
      </c>
    </row>
    <row r="323" spans="1:38" ht="15.75" thickBot="1" x14ac:dyDescent="0.3">
      <c r="A323" s="51" t="s">
        <v>954</v>
      </c>
      <c r="B323" s="51" t="s">
        <v>31</v>
      </c>
      <c r="C323" s="51" t="s">
        <v>835</v>
      </c>
      <c r="D323" s="51" t="s">
        <v>320</v>
      </c>
      <c r="E323" s="51" t="s">
        <v>268</v>
      </c>
      <c r="F323" s="51" t="s">
        <v>266</v>
      </c>
      <c r="G323" s="56">
        <v>1100</v>
      </c>
      <c r="H323" s="823"/>
      <c r="I323" s="823"/>
      <c r="J323" s="823"/>
      <c r="K323" s="56">
        <v>1100</v>
      </c>
      <c r="L323" s="823"/>
      <c r="M323" s="823"/>
      <c r="N323" s="823"/>
      <c r="O323" s="823"/>
      <c r="P323" s="823"/>
      <c r="Q323" s="823"/>
      <c r="R323" s="823"/>
      <c r="S323" s="823"/>
      <c r="T323" s="823"/>
      <c r="U323" s="823"/>
      <c r="V323" s="823"/>
      <c r="W323" s="823"/>
      <c r="X323" s="823"/>
      <c r="Y323" s="823"/>
      <c r="Z323" s="823"/>
      <c r="AA323" s="823"/>
      <c r="AB323" s="823"/>
      <c r="AC323" s="823"/>
      <c r="AD323" s="823"/>
      <c r="AE323" s="823"/>
      <c r="AF323" s="823"/>
      <c r="AG323" s="823"/>
      <c r="AH323" s="56">
        <v>83.49</v>
      </c>
      <c r="AI323" s="823"/>
      <c r="AJ323" s="823"/>
      <c r="AK323" s="56">
        <v>1183.49</v>
      </c>
      <c r="AL323" s="56">
        <v>0</v>
      </c>
    </row>
    <row r="324" spans="1:38" ht="15.75" thickBot="1" x14ac:dyDescent="0.3">
      <c r="A324" s="51" t="s">
        <v>954</v>
      </c>
      <c r="B324" s="51" t="s">
        <v>491</v>
      </c>
      <c r="C324" s="51" t="s">
        <v>492</v>
      </c>
      <c r="D324" s="51" t="s">
        <v>320</v>
      </c>
      <c r="E324" s="51" t="s">
        <v>109</v>
      </c>
      <c r="F324" s="51" t="s">
        <v>266</v>
      </c>
      <c r="G324" s="56">
        <v>91.09</v>
      </c>
      <c r="H324" s="823"/>
      <c r="I324" s="823"/>
      <c r="J324" s="823"/>
      <c r="K324" s="823"/>
      <c r="L324" s="823"/>
      <c r="M324" s="823"/>
      <c r="N324" s="823"/>
      <c r="O324" s="823"/>
      <c r="P324" s="823"/>
      <c r="Q324" s="56">
        <v>91.09</v>
      </c>
      <c r="R324" s="823"/>
      <c r="S324" s="823"/>
      <c r="T324" s="823"/>
      <c r="U324" s="823"/>
      <c r="V324" s="823"/>
      <c r="W324" s="823"/>
      <c r="X324" s="823"/>
      <c r="Y324" s="823"/>
      <c r="Z324" s="823"/>
      <c r="AA324" s="823"/>
      <c r="AB324" s="823"/>
      <c r="AC324" s="823"/>
      <c r="AD324" s="823"/>
      <c r="AE324" s="823"/>
      <c r="AF324" s="823"/>
      <c r="AG324" s="823"/>
      <c r="AH324" s="56">
        <v>3.7</v>
      </c>
      <c r="AI324" s="823"/>
      <c r="AJ324" s="823"/>
      <c r="AK324" s="56">
        <v>94.79</v>
      </c>
      <c r="AL324" s="56">
        <v>0</v>
      </c>
    </row>
    <row r="325" spans="1:38" ht="15.75" thickBot="1" x14ac:dyDescent="0.3">
      <c r="A325" s="51" t="s">
        <v>954</v>
      </c>
      <c r="B325" s="51" t="s">
        <v>491</v>
      </c>
      <c r="C325" s="51" t="s">
        <v>492</v>
      </c>
      <c r="D325" s="51" t="s">
        <v>320</v>
      </c>
      <c r="E325" s="51" t="s">
        <v>272</v>
      </c>
      <c r="F325" s="51" t="s">
        <v>266</v>
      </c>
      <c r="G325" s="56">
        <v>4435.2</v>
      </c>
      <c r="H325" s="823"/>
      <c r="I325" s="823"/>
      <c r="J325" s="823"/>
      <c r="K325" s="56">
        <v>4435.2</v>
      </c>
      <c r="L325" s="823"/>
      <c r="M325" s="823"/>
      <c r="N325" s="823"/>
      <c r="O325" s="823"/>
      <c r="P325" s="823"/>
      <c r="Q325" s="823"/>
      <c r="R325" s="823"/>
      <c r="S325" s="823"/>
      <c r="T325" s="823"/>
      <c r="U325" s="823"/>
      <c r="V325" s="823"/>
      <c r="W325" s="823"/>
      <c r="X325" s="823"/>
      <c r="Y325" s="823"/>
      <c r="Z325" s="823"/>
      <c r="AA325" s="823"/>
      <c r="AB325" s="823"/>
      <c r="AC325" s="823"/>
      <c r="AD325" s="823"/>
      <c r="AE325" s="823"/>
      <c r="AF325" s="823"/>
      <c r="AG325" s="823"/>
      <c r="AH325" s="56">
        <v>134.38999999999999</v>
      </c>
      <c r="AI325" s="823"/>
      <c r="AJ325" s="823"/>
      <c r="AK325" s="56">
        <v>4569.59</v>
      </c>
      <c r="AL325" s="56">
        <v>0</v>
      </c>
    </row>
    <row r="326" spans="1:38" ht="15.75" thickBot="1" x14ac:dyDescent="0.3">
      <c r="A326" s="51" t="s">
        <v>954</v>
      </c>
      <c r="B326" s="51" t="s">
        <v>491</v>
      </c>
      <c r="C326" s="51" t="s">
        <v>492</v>
      </c>
      <c r="D326" s="51" t="s">
        <v>320</v>
      </c>
      <c r="E326" s="51" t="s">
        <v>265</v>
      </c>
      <c r="F326" s="51" t="s">
        <v>266</v>
      </c>
      <c r="G326" s="56">
        <v>32430.9</v>
      </c>
      <c r="H326" s="56">
        <v>189798</v>
      </c>
      <c r="I326" s="823"/>
      <c r="J326" s="823"/>
      <c r="K326" s="823"/>
      <c r="L326" s="823"/>
      <c r="M326" s="56">
        <v>32430.9</v>
      </c>
      <c r="N326" s="823"/>
      <c r="O326" s="823"/>
      <c r="P326" s="823"/>
      <c r="Q326" s="823"/>
      <c r="R326" s="823"/>
      <c r="S326" s="823"/>
      <c r="T326" s="823"/>
      <c r="U326" s="823"/>
      <c r="V326" s="823"/>
      <c r="W326" s="823"/>
      <c r="X326" s="823"/>
      <c r="Y326" s="823"/>
      <c r="Z326" s="823"/>
      <c r="AA326" s="823"/>
      <c r="AB326" s="823"/>
      <c r="AC326" s="823"/>
      <c r="AD326" s="823"/>
      <c r="AE326" s="823"/>
      <c r="AF326" s="823"/>
      <c r="AG326" s="823"/>
      <c r="AH326" s="56">
        <v>1312.92</v>
      </c>
      <c r="AI326" s="823"/>
      <c r="AJ326" s="823"/>
      <c r="AK326" s="56">
        <v>33743.82</v>
      </c>
      <c r="AL326" s="56">
        <v>0</v>
      </c>
    </row>
    <row r="327" spans="1:38" ht="15.75" thickBot="1" x14ac:dyDescent="0.3">
      <c r="A327" s="51" t="s">
        <v>954</v>
      </c>
      <c r="B327" s="51" t="s">
        <v>491</v>
      </c>
      <c r="C327" s="51" t="s">
        <v>492</v>
      </c>
      <c r="D327" s="51" t="s">
        <v>320</v>
      </c>
      <c r="E327" s="51" t="s">
        <v>620</v>
      </c>
      <c r="F327" s="51" t="s">
        <v>266</v>
      </c>
      <c r="G327" s="56">
        <v>666.12</v>
      </c>
      <c r="H327" s="823"/>
      <c r="I327" s="823"/>
      <c r="J327" s="823"/>
      <c r="K327" s="823"/>
      <c r="L327" s="823"/>
      <c r="M327" s="823"/>
      <c r="N327" s="823"/>
      <c r="O327" s="823"/>
      <c r="P327" s="823"/>
      <c r="Q327" s="823"/>
      <c r="R327" s="823"/>
      <c r="S327" s="823"/>
      <c r="T327" s="823"/>
      <c r="U327" s="823"/>
      <c r="V327" s="823"/>
      <c r="W327" s="823"/>
      <c r="X327" s="823"/>
      <c r="Y327" s="823"/>
      <c r="Z327" s="56">
        <v>666.12</v>
      </c>
      <c r="AA327" s="823"/>
      <c r="AB327" s="823"/>
      <c r="AC327" s="823"/>
      <c r="AD327" s="823"/>
      <c r="AE327" s="823"/>
      <c r="AF327" s="823"/>
      <c r="AG327" s="823"/>
      <c r="AH327" s="56">
        <v>20.18</v>
      </c>
      <c r="AI327" s="823"/>
      <c r="AJ327" s="823"/>
      <c r="AK327" s="56">
        <v>686.3</v>
      </c>
      <c r="AL327" s="56">
        <v>0</v>
      </c>
    </row>
    <row r="328" spans="1:38" ht="15.75" thickBot="1" x14ac:dyDescent="0.3">
      <c r="A328" s="51" t="s">
        <v>954</v>
      </c>
      <c r="B328" s="51" t="s">
        <v>491</v>
      </c>
      <c r="C328" s="51" t="s">
        <v>492</v>
      </c>
      <c r="D328" s="51" t="s">
        <v>320</v>
      </c>
      <c r="E328" s="51" t="s">
        <v>621</v>
      </c>
      <c r="F328" s="51" t="s">
        <v>266</v>
      </c>
      <c r="G328" s="56">
        <v>2220.64</v>
      </c>
      <c r="H328" s="823"/>
      <c r="I328" s="823"/>
      <c r="J328" s="823"/>
      <c r="K328" s="823"/>
      <c r="L328" s="823"/>
      <c r="M328" s="823"/>
      <c r="N328" s="823"/>
      <c r="O328" s="823"/>
      <c r="P328" s="823"/>
      <c r="Q328" s="823"/>
      <c r="R328" s="823"/>
      <c r="S328" s="823"/>
      <c r="T328" s="823"/>
      <c r="U328" s="823"/>
      <c r="V328" s="823"/>
      <c r="W328" s="823"/>
      <c r="X328" s="823"/>
      <c r="Y328" s="823"/>
      <c r="Z328" s="823"/>
      <c r="AA328" s="56">
        <v>2220.64</v>
      </c>
      <c r="AB328" s="823"/>
      <c r="AC328" s="823"/>
      <c r="AD328" s="823"/>
      <c r="AE328" s="823"/>
      <c r="AF328" s="823"/>
      <c r="AG328" s="823"/>
      <c r="AH328" s="56">
        <v>90.11</v>
      </c>
      <c r="AI328" s="823"/>
      <c r="AJ328" s="823"/>
      <c r="AK328" s="56">
        <v>2310.75</v>
      </c>
      <c r="AL328" s="56">
        <v>0</v>
      </c>
    </row>
    <row r="329" spans="1:38" ht="15.75" thickBot="1" x14ac:dyDescent="0.3">
      <c r="A329" s="51" t="s">
        <v>954</v>
      </c>
      <c r="B329" s="51" t="s">
        <v>491</v>
      </c>
      <c r="C329" s="51" t="s">
        <v>492</v>
      </c>
      <c r="D329" s="51" t="s">
        <v>320</v>
      </c>
      <c r="E329" s="51" t="s">
        <v>273</v>
      </c>
      <c r="F329" s="51" t="s">
        <v>266</v>
      </c>
      <c r="G329" s="56">
        <v>16332.11</v>
      </c>
      <c r="H329" s="823"/>
      <c r="I329" s="823"/>
      <c r="J329" s="823"/>
      <c r="K329" s="823"/>
      <c r="L329" s="823"/>
      <c r="M329" s="823"/>
      <c r="N329" s="823"/>
      <c r="O329" s="823"/>
      <c r="P329" s="823"/>
      <c r="Q329" s="823"/>
      <c r="R329" s="823"/>
      <c r="S329" s="823"/>
      <c r="T329" s="823"/>
      <c r="U329" s="823"/>
      <c r="V329" s="823"/>
      <c r="W329" s="823"/>
      <c r="X329" s="823"/>
      <c r="Y329" s="56">
        <v>16332.11</v>
      </c>
      <c r="Z329" s="823"/>
      <c r="AA329" s="823"/>
      <c r="AB329" s="823"/>
      <c r="AC329" s="823"/>
      <c r="AD329" s="823"/>
      <c r="AE329" s="823"/>
      <c r="AF329" s="823"/>
      <c r="AG329" s="823"/>
      <c r="AH329" s="56">
        <v>662.72</v>
      </c>
      <c r="AI329" s="823"/>
      <c r="AJ329" s="823"/>
      <c r="AK329" s="56">
        <v>16994.830000000002</v>
      </c>
      <c r="AL329" s="56">
        <v>0</v>
      </c>
    </row>
    <row r="330" spans="1:38" ht="15.75" thickBot="1" x14ac:dyDescent="0.3">
      <c r="A330" s="51" t="s">
        <v>954</v>
      </c>
      <c r="B330" s="51" t="s">
        <v>491</v>
      </c>
      <c r="C330" s="51" t="s">
        <v>492</v>
      </c>
      <c r="D330" s="51" t="s">
        <v>320</v>
      </c>
      <c r="E330" s="51" t="s">
        <v>268</v>
      </c>
      <c r="F330" s="51" t="s">
        <v>266</v>
      </c>
      <c r="G330" s="56">
        <v>3300</v>
      </c>
      <c r="H330" s="823"/>
      <c r="I330" s="823"/>
      <c r="J330" s="823"/>
      <c r="K330" s="56">
        <v>3300</v>
      </c>
      <c r="L330" s="823"/>
      <c r="M330" s="823"/>
      <c r="N330" s="823"/>
      <c r="O330" s="823"/>
      <c r="P330" s="823"/>
      <c r="Q330" s="823"/>
      <c r="R330" s="823"/>
      <c r="S330" s="823"/>
      <c r="T330" s="823"/>
      <c r="U330" s="823"/>
      <c r="V330" s="823"/>
      <c r="W330" s="823"/>
      <c r="X330" s="823"/>
      <c r="Y330" s="823"/>
      <c r="Z330" s="823"/>
      <c r="AA330" s="823"/>
      <c r="AB330" s="823"/>
      <c r="AC330" s="823"/>
      <c r="AD330" s="823"/>
      <c r="AE330" s="823"/>
      <c r="AF330" s="823"/>
      <c r="AG330" s="823"/>
      <c r="AH330" s="56">
        <v>99.99</v>
      </c>
      <c r="AI330" s="823"/>
      <c r="AJ330" s="823"/>
      <c r="AK330" s="56">
        <v>3399.99</v>
      </c>
      <c r="AL330" s="56">
        <v>0</v>
      </c>
    </row>
    <row r="331" spans="1:38" ht="23.25" thickBot="1" x14ac:dyDescent="0.3">
      <c r="A331" s="51" t="s">
        <v>954</v>
      </c>
      <c r="B331" s="51" t="s">
        <v>52</v>
      </c>
      <c r="C331" s="51" t="s">
        <v>355</v>
      </c>
      <c r="D331" s="51" t="s">
        <v>320</v>
      </c>
      <c r="E331" s="51" t="s">
        <v>269</v>
      </c>
      <c r="F331" s="51" t="s">
        <v>915</v>
      </c>
      <c r="G331" s="56">
        <v>-8262.84</v>
      </c>
      <c r="H331" s="823"/>
      <c r="I331" s="823"/>
      <c r="J331" s="823"/>
      <c r="K331" s="823"/>
      <c r="L331" s="823"/>
      <c r="M331" s="823"/>
      <c r="N331" s="823"/>
      <c r="O331" s="823"/>
      <c r="P331" s="823"/>
      <c r="Q331" s="823"/>
      <c r="R331" s="823"/>
      <c r="S331" s="823"/>
      <c r="T331" s="56">
        <v>-8262.84</v>
      </c>
      <c r="U331" s="823"/>
      <c r="V331" s="823"/>
      <c r="W331" s="823"/>
      <c r="X331" s="823"/>
      <c r="Y331" s="823"/>
      <c r="Z331" s="823"/>
      <c r="AA331" s="823"/>
      <c r="AB331" s="823"/>
      <c r="AC331" s="823"/>
      <c r="AD331" s="823"/>
      <c r="AE331" s="823"/>
      <c r="AF331" s="823"/>
      <c r="AG331" s="823"/>
      <c r="AH331" s="56">
        <v>0</v>
      </c>
      <c r="AI331" s="823"/>
      <c r="AJ331" s="823"/>
      <c r="AK331" s="56">
        <v>-8262.84</v>
      </c>
      <c r="AL331" s="56">
        <v>0</v>
      </c>
    </row>
    <row r="332" spans="1:38" ht="23.25" thickBot="1" x14ac:dyDescent="0.3">
      <c r="A332" s="51" t="s">
        <v>954</v>
      </c>
      <c r="B332" s="51" t="s">
        <v>52</v>
      </c>
      <c r="C332" s="51" t="s">
        <v>355</v>
      </c>
      <c r="D332" s="51" t="s">
        <v>320</v>
      </c>
      <c r="E332" s="51" t="s">
        <v>271</v>
      </c>
      <c r="F332" s="51" t="s">
        <v>915</v>
      </c>
      <c r="G332" s="56">
        <v>75.44</v>
      </c>
      <c r="H332" s="823"/>
      <c r="I332" s="823"/>
      <c r="J332" s="823"/>
      <c r="K332" s="823"/>
      <c r="L332" s="823"/>
      <c r="M332" s="823"/>
      <c r="N332" s="823"/>
      <c r="O332" s="823"/>
      <c r="P332" s="823"/>
      <c r="Q332" s="823"/>
      <c r="R332" s="823"/>
      <c r="S332" s="823"/>
      <c r="T332" s="823"/>
      <c r="U332" s="56">
        <v>75.44</v>
      </c>
      <c r="V332" s="823"/>
      <c r="W332" s="823"/>
      <c r="X332" s="823"/>
      <c r="Y332" s="823"/>
      <c r="Z332" s="823"/>
      <c r="AA332" s="823"/>
      <c r="AB332" s="823"/>
      <c r="AC332" s="823"/>
      <c r="AD332" s="823"/>
      <c r="AE332" s="823"/>
      <c r="AF332" s="823"/>
      <c r="AG332" s="823"/>
      <c r="AH332" s="56">
        <v>0</v>
      </c>
      <c r="AI332" s="823"/>
      <c r="AJ332" s="823"/>
      <c r="AK332" s="56">
        <v>75.44</v>
      </c>
      <c r="AL332" s="56">
        <v>0</v>
      </c>
    </row>
    <row r="333" spans="1:38" ht="15.75" thickBot="1" x14ac:dyDescent="0.3">
      <c r="A333" s="51" t="s">
        <v>954</v>
      </c>
      <c r="B333" s="51" t="s">
        <v>52</v>
      </c>
      <c r="C333" s="51" t="s">
        <v>355</v>
      </c>
      <c r="D333" s="51" t="s">
        <v>320</v>
      </c>
      <c r="E333" s="51" t="s">
        <v>268</v>
      </c>
      <c r="F333" s="51" t="s">
        <v>266</v>
      </c>
      <c r="G333" s="56">
        <v>675</v>
      </c>
      <c r="H333" s="823"/>
      <c r="I333" s="823"/>
      <c r="J333" s="823"/>
      <c r="K333" s="56">
        <v>675</v>
      </c>
      <c r="L333" s="823"/>
      <c r="M333" s="823"/>
      <c r="N333" s="823"/>
      <c r="O333" s="823"/>
      <c r="P333" s="823"/>
      <c r="Q333" s="823"/>
      <c r="R333" s="823"/>
      <c r="S333" s="823"/>
      <c r="T333" s="823"/>
      <c r="U333" s="823"/>
      <c r="V333" s="823"/>
      <c r="W333" s="823"/>
      <c r="X333" s="823"/>
      <c r="Y333" s="823"/>
      <c r="Z333" s="823"/>
      <c r="AA333" s="823"/>
      <c r="AB333" s="823"/>
      <c r="AC333" s="823"/>
      <c r="AD333" s="823"/>
      <c r="AE333" s="823"/>
      <c r="AF333" s="823"/>
      <c r="AG333" s="823"/>
      <c r="AH333" s="56">
        <v>0</v>
      </c>
      <c r="AI333" s="823"/>
      <c r="AJ333" s="823"/>
      <c r="AK333" s="56">
        <v>675</v>
      </c>
      <c r="AL333" s="56">
        <v>0</v>
      </c>
    </row>
    <row r="334" spans="1:38" ht="15.75" thickBot="1" x14ac:dyDescent="0.3">
      <c r="A334" s="51" t="s">
        <v>954</v>
      </c>
      <c r="B334" s="51" t="s">
        <v>53</v>
      </c>
      <c r="C334" s="51" t="s">
        <v>836</v>
      </c>
      <c r="D334" s="51" t="s">
        <v>320</v>
      </c>
      <c r="E334" s="51" t="s">
        <v>356</v>
      </c>
      <c r="F334" s="51" t="s">
        <v>266</v>
      </c>
      <c r="G334" s="822"/>
      <c r="H334" s="822"/>
      <c r="I334" s="822"/>
      <c r="J334" s="822"/>
      <c r="K334" s="822"/>
      <c r="L334" s="822"/>
      <c r="M334" s="822"/>
      <c r="N334" s="822"/>
      <c r="O334" s="822"/>
      <c r="P334" s="822"/>
      <c r="Q334" s="822"/>
      <c r="R334" s="822"/>
      <c r="S334" s="822"/>
      <c r="T334" s="822"/>
      <c r="U334" s="822"/>
      <c r="V334" s="822"/>
      <c r="W334" s="822"/>
      <c r="X334" s="822"/>
      <c r="Y334" s="822"/>
      <c r="Z334" s="822"/>
      <c r="AA334" s="822"/>
      <c r="AB334" s="822"/>
      <c r="AC334" s="822"/>
      <c r="AD334" s="822"/>
      <c r="AE334" s="822"/>
      <c r="AF334" s="822"/>
      <c r="AG334" s="54">
        <v>1196.6300000000001</v>
      </c>
      <c r="AH334" s="54">
        <v>0</v>
      </c>
      <c r="AI334" s="822"/>
      <c r="AJ334" s="822"/>
      <c r="AK334" s="54">
        <v>1196.6300000000001</v>
      </c>
      <c r="AL334" s="54">
        <v>0</v>
      </c>
    </row>
    <row r="335" spans="1:38" ht="15.75" thickBot="1" x14ac:dyDescent="0.3">
      <c r="A335" s="51" t="s">
        <v>954</v>
      </c>
      <c r="B335" s="51" t="s">
        <v>53</v>
      </c>
      <c r="C335" s="51" t="s">
        <v>836</v>
      </c>
      <c r="D335" s="51" t="s">
        <v>320</v>
      </c>
      <c r="E335" s="51" t="s">
        <v>272</v>
      </c>
      <c r="F335" s="51" t="s">
        <v>266</v>
      </c>
      <c r="G335" s="54">
        <v>500</v>
      </c>
      <c r="H335" s="822"/>
      <c r="I335" s="822"/>
      <c r="J335" s="822"/>
      <c r="K335" s="54">
        <v>500</v>
      </c>
      <c r="L335" s="822"/>
      <c r="M335" s="822"/>
      <c r="N335" s="822"/>
      <c r="O335" s="822"/>
      <c r="P335" s="822"/>
      <c r="Q335" s="822"/>
      <c r="R335" s="822"/>
      <c r="S335" s="822"/>
      <c r="T335" s="822"/>
      <c r="U335" s="822"/>
      <c r="V335" s="822"/>
      <c r="W335" s="822"/>
      <c r="X335" s="822"/>
      <c r="Y335" s="822"/>
      <c r="Z335" s="822"/>
      <c r="AA335" s="822"/>
      <c r="AB335" s="822"/>
      <c r="AC335" s="822"/>
      <c r="AD335" s="822"/>
      <c r="AE335" s="822"/>
      <c r="AF335" s="822"/>
      <c r="AG335" s="822"/>
      <c r="AH335" s="54">
        <v>0</v>
      </c>
      <c r="AI335" s="822"/>
      <c r="AJ335" s="822"/>
      <c r="AK335" s="54">
        <v>500</v>
      </c>
      <c r="AL335" s="54">
        <v>0</v>
      </c>
    </row>
    <row r="336" spans="1:38" ht="15.75" thickBot="1" x14ac:dyDescent="0.3">
      <c r="A336" s="51" t="s">
        <v>954</v>
      </c>
      <c r="B336" s="51" t="s">
        <v>53</v>
      </c>
      <c r="C336" s="51" t="s">
        <v>836</v>
      </c>
      <c r="D336" s="51" t="s">
        <v>320</v>
      </c>
      <c r="E336" s="51" t="s">
        <v>265</v>
      </c>
      <c r="F336" s="51" t="s">
        <v>266</v>
      </c>
      <c r="G336" s="54">
        <v>20187.41</v>
      </c>
      <c r="H336" s="54">
        <v>189660</v>
      </c>
      <c r="I336" s="822"/>
      <c r="J336" s="822"/>
      <c r="K336" s="822"/>
      <c r="L336" s="822"/>
      <c r="M336" s="54">
        <v>20187.41</v>
      </c>
      <c r="N336" s="822"/>
      <c r="O336" s="822"/>
      <c r="P336" s="822"/>
      <c r="Q336" s="822"/>
      <c r="R336" s="822"/>
      <c r="S336" s="822"/>
      <c r="T336" s="822"/>
      <c r="U336" s="822"/>
      <c r="V336" s="822"/>
      <c r="W336" s="822"/>
      <c r="X336" s="822"/>
      <c r="Y336" s="822"/>
      <c r="Z336" s="822"/>
      <c r="AA336" s="822"/>
      <c r="AB336" s="822"/>
      <c r="AC336" s="822"/>
      <c r="AD336" s="822"/>
      <c r="AE336" s="822"/>
      <c r="AF336" s="822"/>
      <c r="AG336" s="822"/>
      <c r="AH336" s="54">
        <v>0</v>
      </c>
      <c r="AI336" s="822"/>
      <c r="AJ336" s="822"/>
      <c r="AK336" s="54">
        <v>20187.41</v>
      </c>
      <c r="AL336" s="54">
        <v>0</v>
      </c>
    </row>
    <row r="337" spans="1:38" ht="15.75" thickBot="1" x14ac:dyDescent="0.3">
      <c r="A337" s="51" t="s">
        <v>954</v>
      </c>
      <c r="B337" s="51" t="s">
        <v>53</v>
      </c>
      <c r="C337" s="51" t="s">
        <v>836</v>
      </c>
      <c r="D337" s="51" t="s">
        <v>320</v>
      </c>
      <c r="E337" s="51" t="s">
        <v>620</v>
      </c>
      <c r="F337" s="51" t="s">
        <v>266</v>
      </c>
      <c r="G337" s="54">
        <v>111.02</v>
      </c>
      <c r="H337" s="822"/>
      <c r="I337" s="822"/>
      <c r="J337" s="822"/>
      <c r="K337" s="822"/>
      <c r="L337" s="822"/>
      <c r="M337" s="822"/>
      <c r="N337" s="822"/>
      <c r="O337" s="822"/>
      <c r="P337" s="822"/>
      <c r="Q337" s="822"/>
      <c r="R337" s="822"/>
      <c r="S337" s="822"/>
      <c r="T337" s="822"/>
      <c r="U337" s="822"/>
      <c r="V337" s="822"/>
      <c r="W337" s="822"/>
      <c r="X337" s="822"/>
      <c r="Y337" s="822"/>
      <c r="Z337" s="54">
        <v>111.02</v>
      </c>
      <c r="AA337" s="822"/>
      <c r="AB337" s="822"/>
      <c r="AC337" s="822"/>
      <c r="AD337" s="822"/>
      <c r="AE337" s="822"/>
      <c r="AF337" s="822"/>
      <c r="AG337" s="822"/>
      <c r="AH337" s="54">
        <v>0</v>
      </c>
      <c r="AI337" s="822"/>
      <c r="AJ337" s="822"/>
      <c r="AK337" s="54">
        <v>111.02</v>
      </c>
      <c r="AL337" s="54">
        <v>0</v>
      </c>
    </row>
    <row r="338" spans="1:38" ht="15.75" thickBot="1" x14ac:dyDescent="0.3">
      <c r="A338" s="51" t="s">
        <v>954</v>
      </c>
      <c r="B338" s="51" t="s">
        <v>53</v>
      </c>
      <c r="C338" s="51" t="s">
        <v>836</v>
      </c>
      <c r="D338" s="51" t="s">
        <v>320</v>
      </c>
      <c r="E338" s="51" t="s">
        <v>621</v>
      </c>
      <c r="F338" s="51" t="s">
        <v>266</v>
      </c>
      <c r="G338" s="54">
        <v>2219.02</v>
      </c>
      <c r="H338" s="822"/>
      <c r="I338" s="822"/>
      <c r="J338" s="822"/>
      <c r="K338" s="822"/>
      <c r="L338" s="822"/>
      <c r="M338" s="822"/>
      <c r="N338" s="822"/>
      <c r="O338" s="822"/>
      <c r="P338" s="822"/>
      <c r="Q338" s="822"/>
      <c r="R338" s="822"/>
      <c r="S338" s="822"/>
      <c r="T338" s="822"/>
      <c r="U338" s="822"/>
      <c r="V338" s="822"/>
      <c r="W338" s="822"/>
      <c r="X338" s="822"/>
      <c r="Y338" s="822"/>
      <c r="Z338" s="822"/>
      <c r="AA338" s="54">
        <v>2219.02</v>
      </c>
      <c r="AB338" s="822"/>
      <c r="AC338" s="822"/>
      <c r="AD338" s="822"/>
      <c r="AE338" s="822"/>
      <c r="AF338" s="822"/>
      <c r="AG338" s="822"/>
      <c r="AH338" s="54">
        <v>0</v>
      </c>
      <c r="AI338" s="822"/>
      <c r="AJ338" s="822"/>
      <c r="AK338" s="54">
        <v>2219.02</v>
      </c>
      <c r="AL338" s="54">
        <v>0</v>
      </c>
    </row>
    <row r="339" spans="1:38" ht="15.75" thickBot="1" x14ac:dyDescent="0.3">
      <c r="A339" s="51" t="s">
        <v>954</v>
      </c>
      <c r="B339" s="51" t="s">
        <v>53</v>
      </c>
      <c r="C339" s="51" t="s">
        <v>836</v>
      </c>
      <c r="D339" s="51" t="s">
        <v>320</v>
      </c>
      <c r="E339" s="51" t="s">
        <v>273</v>
      </c>
      <c r="F339" s="51" t="s">
        <v>266</v>
      </c>
      <c r="G339" s="54">
        <v>16320.24</v>
      </c>
      <c r="H339" s="822"/>
      <c r="I339" s="822"/>
      <c r="J339" s="822"/>
      <c r="K339" s="822"/>
      <c r="L339" s="822"/>
      <c r="M339" s="822"/>
      <c r="N339" s="822"/>
      <c r="O339" s="822"/>
      <c r="P339" s="822"/>
      <c r="Q339" s="822"/>
      <c r="R339" s="822"/>
      <c r="S339" s="822"/>
      <c r="T339" s="822"/>
      <c r="U339" s="822"/>
      <c r="V339" s="822"/>
      <c r="W339" s="822"/>
      <c r="X339" s="822"/>
      <c r="Y339" s="54">
        <v>16320.24</v>
      </c>
      <c r="Z339" s="822"/>
      <c r="AA339" s="822"/>
      <c r="AB339" s="822"/>
      <c r="AC339" s="822"/>
      <c r="AD339" s="822"/>
      <c r="AE339" s="822"/>
      <c r="AF339" s="822"/>
      <c r="AG339" s="822"/>
      <c r="AH339" s="54">
        <v>0</v>
      </c>
      <c r="AI339" s="822"/>
      <c r="AJ339" s="822"/>
      <c r="AK339" s="54">
        <v>16320.24</v>
      </c>
      <c r="AL339" s="54">
        <v>0</v>
      </c>
    </row>
    <row r="340" spans="1:38" ht="15.75" thickBot="1" x14ac:dyDescent="0.3">
      <c r="A340" s="51" t="s">
        <v>954</v>
      </c>
      <c r="B340" s="51" t="s">
        <v>53</v>
      </c>
      <c r="C340" s="51" t="s">
        <v>836</v>
      </c>
      <c r="D340" s="51" t="s">
        <v>320</v>
      </c>
      <c r="E340" s="51" t="s">
        <v>268</v>
      </c>
      <c r="F340" s="51" t="s">
        <v>266</v>
      </c>
      <c r="G340" s="54">
        <v>550</v>
      </c>
      <c r="H340" s="822"/>
      <c r="I340" s="822"/>
      <c r="J340" s="822"/>
      <c r="K340" s="54">
        <v>550</v>
      </c>
      <c r="L340" s="822"/>
      <c r="M340" s="822"/>
      <c r="N340" s="822"/>
      <c r="O340" s="822"/>
      <c r="P340" s="822"/>
      <c r="Q340" s="822"/>
      <c r="R340" s="822"/>
      <c r="S340" s="822"/>
      <c r="T340" s="822"/>
      <c r="U340" s="822"/>
      <c r="V340" s="822"/>
      <c r="W340" s="822"/>
      <c r="X340" s="822"/>
      <c r="Y340" s="822"/>
      <c r="Z340" s="822"/>
      <c r="AA340" s="822"/>
      <c r="AB340" s="822"/>
      <c r="AC340" s="822"/>
      <c r="AD340" s="822"/>
      <c r="AE340" s="822"/>
      <c r="AF340" s="822"/>
      <c r="AG340" s="822"/>
      <c r="AH340" s="54">
        <v>0</v>
      </c>
      <c r="AI340" s="822"/>
      <c r="AJ340" s="822"/>
      <c r="AK340" s="54">
        <v>550</v>
      </c>
      <c r="AL340" s="54">
        <v>0</v>
      </c>
    </row>
    <row r="341" spans="1:38" ht="23.25" thickBot="1" x14ac:dyDescent="0.3">
      <c r="A341" s="51" t="s">
        <v>954</v>
      </c>
      <c r="B341" s="51" t="s">
        <v>36</v>
      </c>
      <c r="C341" s="51" t="s">
        <v>438</v>
      </c>
      <c r="D341" s="51" t="s">
        <v>320</v>
      </c>
      <c r="E341" s="51" t="s">
        <v>269</v>
      </c>
      <c r="F341" s="51" t="s">
        <v>915</v>
      </c>
      <c r="G341" s="54">
        <v>-1589.01</v>
      </c>
      <c r="H341" s="822"/>
      <c r="I341" s="822"/>
      <c r="J341" s="822"/>
      <c r="K341" s="822"/>
      <c r="L341" s="822"/>
      <c r="M341" s="822"/>
      <c r="N341" s="822"/>
      <c r="O341" s="822"/>
      <c r="P341" s="822"/>
      <c r="Q341" s="822"/>
      <c r="R341" s="822"/>
      <c r="S341" s="822"/>
      <c r="T341" s="54">
        <v>-1589.01</v>
      </c>
      <c r="U341" s="822"/>
      <c r="V341" s="822"/>
      <c r="W341" s="822"/>
      <c r="X341" s="822"/>
      <c r="Y341" s="822"/>
      <c r="Z341" s="822"/>
      <c r="AA341" s="822"/>
      <c r="AB341" s="822"/>
      <c r="AC341" s="822"/>
      <c r="AD341" s="822"/>
      <c r="AE341" s="822"/>
      <c r="AF341" s="822"/>
      <c r="AG341" s="822"/>
      <c r="AH341" s="54">
        <v>-95.33</v>
      </c>
      <c r="AI341" s="822"/>
      <c r="AJ341" s="822"/>
      <c r="AK341" s="54">
        <v>-1684.34</v>
      </c>
      <c r="AL341" s="54">
        <v>0</v>
      </c>
    </row>
    <row r="342" spans="1:38" ht="15.75" thickBot="1" x14ac:dyDescent="0.3">
      <c r="A342" s="51" t="s">
        <v>954</v>
      </c>
      <c r="B342" s="51" t="s">
        <v>36</v>
      </c>
      <c r="C342" s="51" t="s">
        <v>438</v>
      </c>
      <c r="D342" s="51" t="s">
        <v>320</v>
      </c>
      <c r="E342" s="51" t="s">
        <v>272</v>
      </c>
      <c r="F342" s="51" t="s">
        <v>266</v>
      </c>
      <c r="G342" s="54">
        <v>36000</v>
      </c>
      <c r="H342" s="822"/>
      <c r="I342" s="822"/>
      <c r="J342" s="822"/>
      <c r="K342" s="54">
        <v>36000</v>
      </c>
      <c r="L342" s="822"/>
      <c r="M342" s="822"/>
      <c r="N342" s="822"/>
      <c r="O342" s="822"/>
      <c r="P342" s="822"/>
      <c r="Q342" s="822"/>
      <c r="R342" s="822"/>
      <c r="S342" s="822"/>
      <c r="T342" s="822"/>
      <c r="U342" s="822"/>
      <c r="V342" s="822"/>
      <c r="W342" s="822"/>
      <c r="X342" s="822"/>
      <c r="Y342" s="822"/>
      <c r="Z342" s="822"/>
      <c r="AA342" s="822"/>
      <c r="AB342" s="822"/>
      <c r="AC342" s="822"/>
      <c r="AD342" s="822"/>
      <c r="AE342" s="822"/>
      <c r="AF342" s="822"/>
      <c r="AG342" s="822"/>
      <c r="AH342" s="54">
        <v>1604.23</v>
      </c>
      <c r="AI342" s="822"/>
      <c r="AJ342" s="822"/>
      <c r="AK342" s="54">
        <v>37604.230000000003</v>
      </c>
      <c r="AL342" s="54">
        <v>0</v>
      </c>
    </row>
    <row r="343" spans="1:38" ht="15.75" thickBot="1" x14ac:dyDescent="0.3">
      <c r="A343" s="51" t="s">
        <v>954</v>
      </c>
      <c r="B343" s="51" t="s">
        <v>36</v>
      </c>
      <c r="C343" s="51" t="s">
        <v>438</v>
      </c>
      <c r="D343" s="51" t="s">
        <v>320</v>
      </c>
      <c r="E343" s="51" t="s">
        <v>265</v>
      </c>
      <c r="F343" s="51" t="s">
        <v>266</v>
      </c>
      <c r="G343" s="54">
        <v>25606.62</v>
      </c>
      <c r="H343" s="54">
        <v>6738584</v>
      </c>
      <c r="I343" s="822"/>
      <c r="J343" s="822"/>
      <c r="K343" s="822"/>
      <c r="L343" s="822"/>
      <c r="M343" s="54">
        <v>25606.62</v>
      </c>
      <c r="N343" s="822"/>
      <c r="O343" s="822"/>
      <c r="P343" s="822"/>
      <c r="Q343" s="822"/>
      <c r="R343" s="822"/>
      <c r="S343" s="822"/>
      <c r="T343" s="822"/>
      <c r="U343" s="822"/>
      <c r="V343" s="822"/>
      <c r="W343" s="822"/>
      <c r="X343" s="822"/>
      <c r="Y343" s="822"/>
      <c r="Z343" s="822"/>
      <c r="AA343" s="822"/>
      <c r="AB343" s="822"/>
      <c r="AC343" s="822"/>
      <c r="AD343" s="822"/>
      <c r="AE343" s="822"/>
      <c r="AF343" s="822"/>
      <c r="AG343" s="822"/>
      <c r="AH343" s="54">
        <v>980.23</v>
      </c>
      <c r="AI343" s="822"/>
      <c r="AJ343" s="822"/>
      <c r="AK343" s="54">
        <v>26586.85</v>
      </c>
      <c r="AL343" s="54">
        <v>0</v>
      </c>
    </row>
    <row r="344" spans="1:38" ht="15.75" thickBot="1" x14ac:dyDescent="0.3">
      <c r="A344" s="51" t="s">
        <v>954</v>
      </c>
      <c r="B344" s="51" t="s">
        <v>36</v>
      </c>
      <c r="C344" s="51" t="s">
        <v>438</v>
      </c>
      <c r="D344" s="51" t="s">
        <v>320</v>
      </c>
      <c r="E344" s="51" t="s">
        <v>621</v>
      </c>
      <c r="F344" s="51" t="s">
        <v>266</v>
      </c>
      <c r="G344" s="54">
        <v>6603.79</v>
      </c>
      <c r="H344" s="822"/>
      <c r="I344" s="822"/>
      <c r="J344" s="822"/>
      <c r="K344" s="822"/>
      <c r="L344" s="822"/>
      <c r="M344" s="822"/>
      <c r="N344" s="822"/>
      <c r="O344" s="822"/>
      <c r="P344" s="822"/>
      <c r="Q344" s="822"/>
      <c r="R344" s="822"/>
      <c r="S344" s="822"/>
      <c r="T344" s="822"/>
      <c r="U344" s="822"/>
      <c r="V344" s="822"/>
      <c r="W344" s="822"/>
      <c r="X344" s="822"/>
      <c r="Y344" s="822"/>
      <c r="Z344" s="822"/>
      <c r="AA344" s="54">
        <v>6603.79</v>
      </c>
      <c r="AB344" s="822"/>
      <c r="AC344" s="822"/>
      <c r="AD344" s="822"/>
      <c r="AE344" s="822"/>
      <c r="AF344" s="822"/>
      <c r="AG344" s="822"/>
      <c r="AH344" s="54">
        <v>252.81</v>
      </c>
      <c r="AI344" s="822"/>
      <c r="AJ344" s="822"/>
      <c r="AK344" s="54">
        <v>6856.6</v>
      </c>
      <c r="AL344" s="54">
        <v>0</v>
      </c>
    </row>
    <row r="345" spans="1:38" ht="23.25" thickBot="1" x14ac:dyDescent="0.3">
      <c r="A345" s="51" t="s">
        <v>954</v>
      </c>
      <c r="B345" s="51" t="s">
        <v>36</v>
      </c>
      <c r="C345" s="51" t="s">
        <v>438</v>
      </c>
      <c r="D345" s="51" t="s">
        <v>320</v>
      </c>
      <c r="E345" s="51" t="s">
        <v>271</v>
      </c>
      <c r="F345" s="51" t="s">
        <v>915</v>
      </c>
      <c r="G345" s="54">
        <v>27.94</v>
      </c>
      <c r="H345" s="822"/>
      <c r="I345" s="822"/>
      <c r="J345" s="822"/>
      <c r="K345" s="822"/>
      <c r="L345" s="822"/>
      <c r="M345" s="822"/>
      <c r="N345" s="822"/>
      <c r="O345" s="822"/>
      <c r="P345" s="822"/>
      <c r="Q345" s="822"/>
      <c r="R345" s="822"/>
      <c r="S345" s="822"/>
      <c r="T345" s="822"/>
      <c r="U345" s="54">
        <v>27.94</v>
      </c>
      <c r="V345" s="822"/>
      <c r="W345" s="822"/>
      <c r="X345" s="822"/>
      <c r="Y345" s="822"/>
      <c r="Z345" s="822"/>
      <c r="AA345" s="822"/>
      <c r="AB345" s="822"/>
      <c r="AC345" s="822"/>
      <c r="AD345" s="822"/>
      <c r="AE345" s="822"/>
      <c r="AF345" s="822"/>
      <c r="AG345" s="822"/>
      <c r="AH345" s="54">
        <v>1.68</v>
      </c>
      <c r="AI345" s="822"/>
      <c r="AJ345" s="822"/>
      <c r="AK345" s="54">
        <v>29.62</v>
      </c>
      <c r="AL345" s="54">
        <v>0</v>
      </c>
    </row>
    <row r="346" spans="1:38" ht="15.75" thickBot="1" x14ac:dyDescent="0.3">
      <c r="A346" s="51" t="s">
        <v>954</v>
      </c>
      <c r="B346" s="51" t="s">
        <v>36</v>
      </c>
      <c r="C346" s="51" t="s">
        <v>438</v>
      </c>
      <c r="D346" s="51" t="s">
        <v>320</v>
      </c>
      <c r="E346" s="51" t="s">
        <v>325</v>
      </c>
      <c r="F346" s="51" t="s">
        <v>266</v>
      </c>
      <c r="G346" s="54">
        <v>110.4</v>
      </c>
      <c r="H346" s="822"/>
      <c r="I346" s="822"/>
      <c r="J346" s="822"/>
      <c r="K346" s="822"/>
      <c r="L346" s="822"/>
      <c r="M346" s="822"/>
      <c r="N346" s="54">
        <v>110.4</v>
      </c>
      <c r="O346" s="822"/>
      <c r="P346" s="822"/>
      <c r="Q346" s="822"/>
      <c r="R346" s="822"/>
      <c r="S346" s="822"/>
      <c r="T346" s="822"/>
      <c r="U346" s="822"/>
      <c r="V346" s="822"/>
      <c r="W346" s="822"/>
      <c r="X346" s="822"/>
      <c r="Y346" s="822"/>
      <c r="Z346" s="822"/>
      <c r="AA346" s="822"/>
      <c r="AB346" s="822"/>
      <c r="AC346" s="822"/>
      <c r="AD346" s="822"/>
      <c r="AE346" s="822"/>
      <c r="AF346" s="822"/>
      <c r="AG346" s="822"/>
      <c r="AH346" s="54">
        <v>7.52</v>
      </c>
      <c r="AI346" s="822"/>
      <c r="AJ346" s="822"/>
      <c r="AK346" s="54">
        <v>117.92</v>
      </c>
      <c r="AL346" s="54">
        <v>0</v>
      </c>
    </row>
    <row r="347" spans="1:38" ht="15.75" thickBot="1" x14ac:dyDescent="0.3">
      <c r="A347" s="51" t="s">
        <v>954</v>
      </c>
      <c r="B347" s="51" t="s">
        <v>36</v>
      </c>
      <c r="C347" s="51" t="s">
        <v>438</v>
      </c>
      <c r="D347" s="51" t="s">
        <v>320</v>
      </c>
      <c r="E347" s="51" t="s">
        <v>268</v>
      </c>
      <c r="F347" s="51" t="s">
        <v>266</v>
      </c>
      <c r="G347" s="54">
        <v>26400</v>
      </c>
      <c r="H347" s="822"/>
      <c r="I347" s="822"/>
      <c r="J347" s="822"/>
      <c r="K347" s="54">
        <v>26400</v>
      </c>
      <c r="L347" s="822"/>
      <c r="M347" s="822"/>
      <c r="N347" s="822"/>
      <c r="O347" s="822"/>
      <c r="P347" s="822"/>
      <c r="Q347" s="822"/>
      <c r="R347" s="822"/>
      <c r="S347" s="822"/>
      <c r="T347" s="822"/>
      <c r="U347" s="822"/>
      <c r="V347" s="822"/>
      <c r="W347" s="822"/>
      <c r="X347" s="822"/>
      <c r="Y347" s="822"/>
      <c r="Z347" s="822"/>
      <c r="AA347" s="822"/>
      <c r="AB347" s="822"/>
      <c r="AC347" s="822"/>
      <c r="AD347" s="822"/>
      <c r="AE347" s="822"/>
      <c r="AF347" s="822"/>
      <c r="AG347" s="822"/>
      <c r="AH347" s="54">
        <v>1176.45</v>
      </c>
      <c r="AI347" s="822"/>
      <c r="AJ347" s="822"/>
      <c r="AK347" s="54">
        <v>27576.45</v>
      </c>
      <c r="AL347" s="54">
        <v>0</v>
      </c>
    </row>
    <row r="348" spans="1:38" ht="15.75" thickBot="1" x14ac:dyDescent="0.3">
      <c r="A348" s="51" t="s">
        <v>954</v>
      </c>
      <c r="B348" s="51" t="s">
        <v>36</v>
      </c>
      <c r="C348" s="51" t="s">
        <v>438</v>
      </c>
      <c r="D348" s="51" t="s">
        <v>320</v>
      </c>
      <c r="E348" s="51" t="s">
        <v>914</v>
      </c>
      <c r="F348" s="51" t="s">
        <v>266</v>
      </c>
      <c r="G348" s="54">
        <v>319800.65999999997</v>
      </c>
      <c r="H348" s="822"/>
      <c r="I348" s="822"/>
      <c r="J348" s="822"/>
      <c r="K348" s="822"/>
      <c r="L348" s="54">
        <v>319800.65999999997</v>
      </c>
      <c r="M348" s="822"/>
      <c r="N348" s="822"/>
      <c r="O348" s="822"/>
      <c r="P348" s="822"/>
      <c r="Q348" s="822"/>
      <c r="R348" s="822"/>
      <c r="S348" s="822"/>
      <c r="T348" s="822"/>
      <c r="U348" s="822"/>
      <c r="V348" s="822"/>
      <c r="W348" s="822"/>
      <c r="X348" s="822"/>
      <c r="Y348" s="822"/>
      <c r="Z348" s="822"/>
      <c r="AA348" s="822"/>
      <c r="AB348" s="822"/>
      <c r="AC348" s="822"/>
      <c r="AD348" s="822"/>
      <c r="AE348" s="822"/>
      <c r="AF348" s="822"/>
      <c r="AG348" s="822"/>
      <c r="AH348" s="54">
        <v>14362.54</v>
      </c>
      <c r="AI348" s="822"/>
      <c r="AJ348" s="822"/>
      <c r="AK348" s="54">
        <v>334163.20000000001</v>
      </c>
      <c r="AL348" s="54">
        <v>0</v>
      </c>
    </row>
    <row r="349" spans="1:38" ht="15.75" thickBot="1" x14ac:dyDescent="0.3">
      <c r="A349" s="51" t="s">
        <v>954</v>
      </c>
      <c r="B349" s="51" t="s">
        <v>36</v>
      </c>
      <c r="C349" s="51" t="s">
        <v>438</v>
      </c>
      <c r="D349" s="51" t="s">
        <v>320</v>
      </c>
      <c r="E349" s="51" t="s">
        <v>329</v>
      </c>
      <c r="F349" s="51" t="s">
        <v>266</v>
      </c>
      <c r="G349" s="54">
        <v>369.68</v>
      </c>
      <c r="H349" s="822"/>
      <c r="I349" s="822"/>
      <c r="J349" s="822"/>
      <c r="K349" s="822"/>
      <c r="L349" s="822"/>
      <c r="M349" s="822"/>
      <c r="N349" s="822"/>
      <c r="O349" s="822"/>
      <c r="P349" s="822"/>
      <c r="Q349" s="822"/>
      <c r="R349" s="822"/>
      <c r="S349" s="822"/>
      <c r="T349" s="822"/>
      <c r="U349" s="822"/>
      <c r="V349" s="822"/>
      <c r="W349" s="54">
        <v>369.68</v>
      </c>
      <c r="X349" s="822"/>
      <c r="Y349" s="822"/>
      <c r="Z349" s="822"/>
      <c r="AA349" s="822"/>
      <c r="AB349" s="822"/>
      <c r="AC349" s="822"/>
      <c r="AD349" s="822"/>
      <c r="AE349" s="822"/>
      <c r="AF349" s="822"/>
      <c r="AG349" s="822"/>
      <c r="AH349" s="54">
        <v>22.18</v>
      </c>
      <c r="AI349" s="822"/>
      <c r="AJ349" s="822"/>
      <c r="AK349" s="54">
        <v>391.86</v>
      </c>
      <c r="AL349" s="54">
        <v>0</v>
      </c>
    </row>
    <row r="350" spans="1:38" ht="15.75" thickBot="1" x14ac:dyDescent="0.3">
      <c r="A350" s="51" t="s">
        <v>954</v>
      </c>
      <c r="B350" s="51" t="s">
        <v>36</v>
      </c>
      <c r="C350" s="51" t="s">
        <v>438</v>
      </c>
      <c r="D350" s="51" t="s">
        <v>320</v>
      </c>
      <c r="E350" s="51" t="s">
        <v>330</v>
      </c>
      <c r="F350" s="51" t="s">
        <v>266</v>
      </c>
      <c r="G350" s="54">
        <v>863.3</v>
      </c>
      <c r="H350" s="822"/>
      <c r="I350" s="822"/>
      <c r="J350" s="822"/>
      <c r="K350" s="822"/>
      <c r="L350" s="822"/>
      <c r="M350" s="822"/>
      <c r="N350" s="822"/>
      <c r="O350" s="822"/>
      <c r="P350" s="822"/>
      <c r="Q350" s="822"/>
      <c r="R350" s="822"/>
      <c r="S350" s="822"/>
      <c r="T350" s="822"/>
      <c r="U350" s="822"/>
      <c r="V350" s="822"/>
      <c r="W350" s="822"/>
      <c r="X350" s="54">
        <v>863.3</v>
      </c>
      <c r="Y350" s="822"/>
      <c r="Z350" s="822"/>
      <c r="AA350" s="822"/>
      <c r="AB350" s="822"/>
      <c r="AC350" s="822"/>
      <c r="AD350" s="822"/>
      <c r="AE350" s="822"/>
      <c r="AF350" s="822"/>
      <c r="AG350" s="822"/>
      <c r="AH350" s="54">
        <v>51.79</v>
      </c>
      <c r="AI350" s="822"/>
      <c r="AJ350" s="822"/>
      <c r="AK350" s="54">
        <v>915.09</v>
      </c>
      <c r="AL350" s="54">
        <v>0</v>
      </c>
    </row>
    <row r="351" spans="1:38" ht="15.75" thickBot="1" x14ac:dyDescent="0.3">
      <c r="A351" s="51" t="s">
        <v>954</v>
      </c>
      <c r="B351" s="51" t="s">
        <v>36</v>
      </c>
      <c r="C351" s="51" t="s">
        <v>438</v>
      </c>
      <c r="D351" s="51" t="s">
        <v>319</v>
      </c>
      <c r="E351" s="51" t="s">
        <v>272</v>
      </c>
      <c r="F351" s="51" t="s">
        <v>266</v>
      </c>
      <c r="G351" s="56">
        <v>1500</v>
      </c>
      <c r="H351" s="823"/>
      <c r="I351" s="823"/>
      <c r="J351" s="823"/>
      <c r="K351" s="56">
        <v>1500</v>
      </c>
      <c r="L351" s="823"/>
      <c r="M351" s="823"/>
      <c r="N351" s="823"/>
      <c r="O351" s="823"/>
      <c r="P351" s="823"/>
      <c r="Q351" s="823"/>
      <c r="R351" s="823"/>
      <c r="S351" s="823"/>
      <c r="T351" s="823"/>
      <c r="U351" s="823"/>
      <c r="V351" s="823"/>
      <c r="W351" s="823"/>
      <c r="X351" s="823"/>
      <c r="Y351" s="823"/>
      <c r="Z351" s="823"/>
      <c r="AA351" s="823"/>
      <c r="AB351" s="823"/>
      <c r="AC351" s="823"/>
      <c r="AD351" s="823"/>
      <c r="AE351" s="823"/>
      <c r="AF351" s="823"/>
      <c r="AG351" s="823"/>
      <c r="AH351" s="56">
        <v>0</v>
      </c>
      <c r="AI351" s="823"/>
      <c r="AJ351" s="823"/>
      <c r="AK351" s="56">
        <v>1500</v>
      </c>
      <c r="AL351" s="56">
        <v>0</v>
      </c>
    </row>
    <row r="352" spans="1:38" ht="15.75" thickBot="1" x14ac:dyDescent="0.3">
      <c r="A352" s="51" t="s">
        <v>954</v>
      </c>
      <c r="B352" s="51" t="s">
        <v>36</v>
      </c>
      <c r="C352" s="51" t="s">
        <v>438</v>
      </c>
      <c r="D352" s="51" t="s">
        <v>319</v>
      </c>
      <c r="E352" s="51" t="s">
        <v>265</v>
      </c>
      <c r="F352" s="51" t="s">
        <v>266</v>
      </c>
      <c r="G352" s="56">
        <v>964.54</v>
      </c>
      <c r="H352" s="56">
        <v>253826</v>
      </c>
      <c r="I352" s="823"/>
      <c r="J352" s="823"/>
      <c r="K352" s="823"/>
      <c r="L352" s="823"/>
      <c r="M352" s="56">
        <v>964.54</v>
      </c>
      <c r="N352" s="823"/>
      <c r="O352" s="823"/>
      <c r="P352" s="823"/>
      <c r="Q352" s="823"/>
      <c r="R352" s="823"/>
      <c r="S352" s="823"/>
      <c r="T352" s="823"/>
      <c r="U352" s="823"/>
      <c r="V352" s="823"/>
      <c r="W352" s="823"/>
      <c r="X352" s="823"/>
      <c r="Y352" s="823"/>
      <c r="Z352" s="823"/>
      <c r="AA352" s="823"/>
      <c r="AB352" s="823"/>
      <c r="AC352" s="823"/>
      <c r="AD352" s="823"/>
      <c r="AE352" s="823"/>
      <c r="AF352" s="823"/>
      <c r="AG352" s="823"/>
      <c r="AH352" s="56">
        <v>0</v>
      </c>
      <c r="AI352" s="823"/>
      <c r="AJ352" s="823"/>
      <c r="AK352" s="56">
        <v>964.54</v>
      </c>
      <c r="AL352" s="56">
        <v>0</v>
      </c>
    </row>
    <row r="353" spans="1:38" ht="15.75" thickBot="1" x14ac:dyDescent="0.3">
      <c r="A353" s="51" t="s">
        <v>954</v>
      </c>
      <c r="B353" s="51" t="s">
        <v>36</v>
      </c>
      <c r="C353" s="51" t="s">
        <v>438</v>
      </c>
      <c r="D353" s="51" t="s">
        <v>319</v>
      </c>
      <c r="E353" s="51" t="s">
        <v>621</v>
      </c>
      <c r="F353" s="51" t="s">
        <v>266</v>
      </c>
      <c r="G353" s="56">
        <v>248.75</v>
      </c>
      <c r="H353" s="823"/>
      <c r="I353" s="823"/>
      <c r="J353" s="823"/>
      <c r="K353" s="823"/>
      <c r="L353" s="823"/>
      <c r="M353" s="823"/>
      <c r="N353" s="823"/>
      <c r="O353" s="823"/>
      <c r="P353" s="823"/>
      <c r="Q353" s="823"/>
      <c r="R353" s="823"/>
      <c r="S353" s="823"/>
      <c r="T353" s="823"/>
      <c r="U353" s="823"/>
      <c r="V353" s="823"/>
      <c r="W353" s="823"/>
      <c r="X353" s="823"/>
      <c r="Y353" s="823"/>
      <c r="Z353" s="823"/>
      <c r="AA353" s="56">
        <v>248.75</v>
      </c>
      <c r="AB353" s="823"/>
      <c r="AC353" s="823"/>
      <c r="AD353" s="823"/>
      <c r="AE353" s="823"/>
      <c r="AF353" s="823"/>
      <c r="AG353" s="823"/>
      <c r="AH353" s="56">
        <v>0</v>
      </c>
      <c r="AI353" s="823"/>
      <c r="AJ353" s="823"/>
      <c r="AK353" s="56">
        <v>248.75</v>
      </c>
      <c r="AL353" s="56">
        <v>0</v>
      </c>
    </row>
    <row r="354" spans="1:38" ht="15.75" thickBot="1" x14ac:dyDescent="0.3">
      <c r="A354" s="51" t="s">
        <v>954</v>
      </c>
      <c r="B354" s="51" t="s">
        <v>36</v>
      </c>
      <c r="C354" s="51" t="s">
        <v>438</v>
      </c>
      <c r="D354" s="51" t="s">
        <v>319</v>
      </c>
      <c r="E354" s="51" t="s">
        <v>325</v>
      </c>
      <c r="F354" s="51" t="s">
        <v>266</v>
      </c>
      <c r="G354" s="56">
        <v>4.28</v>
      </c>
      <c r="H354" s="823"/>
      <c r="I354" s="823"/>
      <c r="J354" s="823"/>
      <c r="K354" s="823"/>
      <c r="L354" s="823"/>
      <c r="M354" s="823"/>
      <c r="N354" s="56">
        <v>4.28</v>
      </c>
      <c r="O354" s="823"/>
      <c r="P354" s="823"/>
      <c r="Q354" s="823"/>
      <c r="R354" s="823"/>
      <c r="S354" s="823"/>
      <c r="T354" s="823"/>
      <c r="U354" s="823"/>
      <c r="V354" s="823"/>
      <c r="W354" s="823"/>
      <c r="X354" s="823"/>
      <c r="Y354" s="823"/>
      <c r="Z354" s="823"/>
      <c r="AA354" s="823"/>
      <c r="AB354" s="823"/>
      <c r="AC354" s="823"/>
      <c r="AD354" s="823"/>
      <c r="AE354" s="823"/>
      <c r="AF354" s="823"/>
      <c r="AG354" s="823"/>
      <c r="AH354" s="56">
        <v>0</v>
      </c>
      <c r="AI354" s="823"/>
      <c r="AJ354" s="823"/>
      <c r="AK354" s="56">
        <v>4.28</v>
      </c>
      <c r="AL354" s="56">
        <v>0</v>
      </c>
    </row>
    <row r="355" spans="1:38" ht="15.75" thickBot="1" x14ac:dyDescent="0.3">
      <c r="A355" s="51" t="s">
        <v>954</v>
      </c>
      <c r="B355" s="51" t="s">
        <v>36</v>
      </c>
      <c r="C355" s="51" t="s">
        <v>438</v>
      </c>
      <c r="D355" s="51" t="s">
        <v>319</v>
      </c>
      <c r="E355" s="51" t="s">
        <v>268</v>
      </c>
      <c r="F355" s="51" t="s">
        <v>266</v>
      </c>
      <c r="G355" s="56">
        <v>1100</v>
      </c>
      <c r="H355" s="823"/>
      <c r="I355" s="823"/>
      <c r="J355" s="823"/>
      <c r="K355" s="56">
        <v>1100</v>
      </c>
      <c r="L355" s="823"/>
      <c r="M355" s="823"/>
      <c r="N355" s="823"/>
      <c r="O355" s="823"/>
      <c r="P355" s="823"/>
      <c r="Q355" s="823"/>
      <c r="R355" s="823"/>
      <c r="S355" s="823"/>
      <c r="T355" s="823"/>
      <c r="U355" s="823"/>
      <c r="V355" s="823"/>
      <c r="W355" s="823"/>
      <c r="X355" s="823"/>
      <c r="Y355" s="823"/>
      <c r="Z355" s="823"/>
      <c r="AA355" s="823"/>
      <c r="AB355" s="823"/>
      <c r="AC355" s="823"/>
      <c r="AD355" s="823"/>
      <c r="AE355" s="823"/>
      <c r="AF355" s="823"/>
      <c r="AG355" s="823"/>
      <c r="AH355" s="56">
        <v>0</v>
      </c>
      <c r="AI355" s="823"/>
      <c r="AJ355" s="823"/>
      <c r="AK355" s="56">
        <v>1100</v>
      </c>
      <c r="AL355" s="56">
        <v>0</v>
      </c>
    </row>
    <row r="356" spans="1:38" ht="15.75" thickBot="1" x14ac:dyDescent="0.3">
      <c r="A356" s="51" t="s">
        <v>954</v>
      </c>
      <c r="B356" s="51" t="s">
        <v>36</v>
      </c>
      <c r="C356" s="51" t="s">
        <v>438</v>
      </c>
      <c r="D356" s="51" t="s">
        <v>319</v>
      </c>
      <c r="E356" s="51" t="s">
        <v>914</v>
      </c>
      <c r="F356" s="51" t="s">
        <v>266</v>
      </c>
      <c r="G356" s="56">
        <v>18788.36</v>
      </c>
      <c r="H356" s="823"/>
      <c r="I356" s="823"/>
      <c r="J356" s="823"/>
      <c r="K356" s="823"/>
      <c r="L356" s="56">
        <v>18788.36</v>
      </c>
      <c r="M356" s="823"/>
      <c r="N356" s="823"/>
      <c r="O356" s="823"/>
      <c r="P356" s="823"/>
      <c r="Q356" s="823"/>
      <c r="R356" s="823"/>
      <c r="S356" s="823"/>
      <c r="T356" s="823"/>
      <c r="U356" s="823"/>
      <c r="V356" s="823"/>
      <c r="W356" s="823"/>
      <c r="X356" s="823"/>
      <c r="Y356" s="823"/>
      <c r="Z356" s="823"/>
      <c r="AA356" s="823"/>
      <c r="AB356" s="823"/>
      <c r="AC356" s="823"/>
      <c r="AD356" s="823"/>
      <c r="AE356" s="823"/>
      <c r="AF356" s="823"/>
      <c r="AG356" s="823"/>
      <c r="AH356" s="56">
        <v>0</v>
      </c>
      <c r="AI356" s="823"/>
      <c r="AJ356" s="823"/>
      <c r="AK356" s="56">
        <v>18788.36</v>
      </c>
      <c r="AL356" s="56">
        <v>0</v>
      </c>
    </row>
    <row r="357" spans="1:38" ht="15.75" thickBot="1" x14ac:dyDescent="0.3">
      <c r="A357" s="51" t="s">
        <v>954</v>
      </c>
      <c r="B357" s="51" t="s">
        <v>447</v>
      </c>
      <c r="C357" s="51" t="s">
        <v>494</v>
      </c>
      <c r="D357" s="51" t="s">
        <v>320</v>
      </c>
      <c r="E357" s="51" t="s">
        <v>109</v>
      </c>
      <c r="F357" s="51" t="s">
        <v>266</v>
      </c>
      <c r="G357" s="54">
        <v>329.98</v>
      </c>
      <c r="H357" s="822"/>
      <c r="I357" s="822"/>
      <c r="J357" s="822"/>
      <c r="K357" s="822"/>
      <c r="L357" s="822"/>
      <c r="M357" s="822"/>
      <c r="N357" s="822"/>
      <c r="O357" s="822"/>
      <c r="P357" s="822"/>
      <c r="Q357" s="54">
        <v>329.98</v>
      </c>
      <c r="R357" s="822"/>
      <c r="S357" s="822"/>
      <c r="T357" s="822"/>
      <c r="U357" s="822"/>
      <c r="V357" s="822"/>
      <c r="W357" s="822"/>
      <c r="X357" s="822"/>
      <c r="Y357" s="822"/>
      <c r="Z357" s="822"/>
      <c r="AA357" s="822"/>
      <c r="AB357" s="822"/>
      <c r="AC357" s="822"/>
      <c r="AD357" s="822"/>
      <c r="AE357" s="822"/>
      <c r="AF357" s="822"/>
      <c r="AG357" s="822"/>
      <c r="AH357" s="54">
        <v>14.08</v>
      </c>
      <c r="AI357" s="822"/>
      <c r="AJ357" s="822"/>
      <c r="AK357" s="54">
        <v>344.06</v>
      </c>
      <c r="AL357" s="54">
        <v>0</v>
      </c>
    </row>
    <row r="358" spans="1:38" ht="15.75" thickBot="1" x14ac:dyDescent="0.3">
      <c r="A358" s="51" t="s">
        <v>954</v>
      </c>
      <c r="B358" s="51" t="s">
        <v>447</v>
      </c>
      <c r="C358" s="51" t="s">
        <v>494</v>
      </c>
      <c r="D358" s="51" t="s">
        <v>320</v>
      </c>
      <c r="E358" s="51" t="s">
        <v>356</v>
      </c>
      <c r="F358" s="51" t="s">
        <v>266</v>
      </c>
      <c r="G358" s="822"/>
      <c r="H358" s="822"/>
      <c r="I358" s="822"/>
      <c r="J358" s="822"/>
      <c r="K358" s="822"/>
      <c r="L358" s="822"/>
      <c r="M358" s="822"/>
      <c r="N358" s="822"/>
      <c r="O358" s="822"/>
      <c r="P358" s="822"/>
      <c r="Q358" s="822"/>
      <c r="R358" s="822"/>
      <c r="S358" s="822"/>
      <c r="T358" s="822"/>
      <c r="U358" s="822"/>
      <c r="V358" s="822"/>
      <c r="W358" s="822"/>
      <c r="X358" s="822"/>
      <c r="Y358" s="822"/>
      <c r="Z358" s="822"/>
      <c r="AA358" s="822"/>
      <c r="AB358" s="822"/>
      <c r="AC358" s="822"/>
      <c r="AD358" s="822"/>
      <c r="AE358" s="822"/>
      <c r="AF358" s="822"/>
      <c r="AG358" s="54">
        <v>442.48</v>
      </c>
      <c r="AH358" s="54">
        <v>10.39</v>
      </c>
      <c r="AI358" s="822"/>
      <c r="AJ358" s="822"/>
      <c r="AK358" s="54">
        <v>452.87</v>
      </c>
      <c r="AL358" s="54">
        <v>0</v>
      </c>
    </row>
    <row r="359" spans="1:38" ht="15.75" thickBot="1" x14ac:dyDescent="0.3">
      <c r="A359" s="51" t="s">
        <v>954</v>
      </c>
      <c r="B359" s="51" t="s">
        <v>447</v>
      </c>
      <c r="C359" s="51" t="s">
        <v>494</v>
      </c>
      <c r="D359" s="51" t="s">
        <v>320</v>
      </c>
      <c r="E359" s="51" t="s">
        <v>272</v>
      </c>
      <c r="F359" s="51" t="s">
        <v>266</v>
      </c>
      <c r="G359" s="54">
        <v>11250</v>
      </c>
      <c r="H359" s="822"/>
      <c r="I359" s="822"/>
      <c r="J359" s="822"/>
      <c r="K359" s="54">
        <v>11250</v>
      </c>
      <c r="L359" s="822"/>
      <c r="M359" s="822"/>
      <c r="N359" s="822"/>
      <c r="O359" s="822"/>
      <c r="P359" s="822"/>
      <c r="Q359" s="822"/>
      <c r="R359" s="822"/>
      <c r="S359" s="822"/>
      <c r="T359" s="822"/>
      <c r="U359" s="822"/>
      <c r="V359" s="822"/>
      <c r="W359" s="822"/>
      <c r="X359" s="822"/>
      <c r="Y359" s="822"/>
      <c r="Z359" s="822"/>
      <c r="AA359" s="822"/>
      <c r="AB359" s="822"/>
      <c r="AC359" s="822"/>
      <c r="AD359" s="822"/>
      <c r="AE359" s="822"/>
      <c r="AF359" s="822"/>
      <c r="AG359" s="822"/>
      <c r="AH359" s="54">
        <v>499.03</v>
      </c>
      <c r="AI359" s="822"/>
      <c r="AJ359" s="822"/>
      <c r="AK359" s="54">
        <v>11749.03</v>
      </c>
      <c r="AL359" s="54">
        <v>0</v>
      </c>
    </row>
    <row r="360" spans="1:38" ht="15.75" thickBot="1" x14ac:dyDescent="0.3">
      <c r="A360" s="51" t="s">
        <v>954</v>
      </c>
      <c r="B360" s="51" t="s">
        <v>447</v>
      </c>
      <c r="C360" s="51" t="s">
        <v>494</v>
      </c>
      <c r="D360" s="51" t="s">
        <v>320</v>
      </c>
      <c r="E360" s="51" t="s">
        <v>265</v>
      </c>
      <c r="F360" s="51" t="s">
        <v>266</v>
      </c>
      <c r="G360" s="54">
        <v>2612.4499999999998</v>
      </c>
      <c r="H360" s="54">
        <v>687485</v>
      </c>
      <c r="I360" s="822"/>
      <c r="J360" s="822"/>
      <c r="K360" s="822"/>
      <c r="L360" s="822"/>
      <c r="M360" s="54">
        <v>2612.4499999999998</v>
      </c>
      <c r="N360" s="822"/>
      <c r="O360" s="822"/>
      <c r="P360" s="822"/>
      <c r="Q360" s="822"/>
      <c r="R360" s="822"/>
      <c r="S360" s="822"/>
      <c r="T360" s="822"/>
      <c r="U360" s="822"/>
      <c r="V360" s="822"/>
      <c r="W360" s="822"/>
      <c r="X360" s="822"/>
      <c r="Y360" s="822"/>
      <c r="Z360" s="822"/>
      <c r="AA360" s="822"/>
      <c r="AB360" s="822"/>
      <c r="AC360" s="822"/>
      <c r="AD360" s="822"/>
      <c r="AE360" s="822"/>
      <c r="AF360" s="822"/>
      <c r="AG360" s="822"/>
      <c r="AH360" s="54">
        <v>111.62</v>
      </c>
      <c r="AI360" s="822"/>
      <c r="AJ360" s="822"/>
      <c r="AK360" s="54">
        <v>2724.07</v>
      </c>
      <c r="AL360" s="54">
        <v>0</v>
      </c>
    </row>
    <row r="361" spans="1:38" ht="15.75" thickBot="1" x14ac:dyDescent="0.3">
      <c r="A361" s="51" t="s">
        <v>954</v>
      </c>
      <c r="B361" s="51" t="s">
        <v>447</v>
      </c>
      <c r="C361" s="51" t="s">
        <v>494</v>
      </c>
      <c r="D361" s="51" t="s">
        <v>320</v>
      </c>
      <c r="E361" s="51" t="s">
        <v>621</v>
      </c>
      <c r="F361" s="51" t="s">
        <v>266</v>
      </c>
      <c r="G361" s="54">
        <v>673.74</v>
      </c>
      <c r="H361" s="822"/>
      <c r="I361" s="822"/>
      <c r="J361" s="822"/>
      <c r="K361" s="822"/>
      <c r="L361" s="822"/>
      <c r="M361" s="822"/>
      <c r="N361" s="822"/>
      <c r="O361" s="822"/>
      <c r="P361" s="822"/>
      <c r="Q361" s="822"/>
      <c r="R361" s="822"/>
      <c r="S361" s="822"/>
      <c r="T361" s="822"/>
      <c r="U361" s="822"/>
      <c r="V361" s="822"/>
      <c r="W361" s="822"/>
      <c r="X361" s="822"/>
      <c r="Y361" s="822"/>
      <c r="Z361" s="822"/>
      <c r="AA361" s="54">
        <v>673.74</v>
      </c>
      <c r="AB361" s="822"/>
      <c r="AC361" s="822"/>
      <c r="AD361" s="822"/>
      <c r="AE361" s="822"/>
      <c r="AF361" s="822"/>
      <c r="AG361" s="822"/>
      <c r="AH361" s="54">
        <v>28.78</v>
      </c>
      <c r="AI361" s="822"/>
      <c r="AJ361" s="822"/>
      <c r="AK361" s="54">
        <v>702.52</v>
      </c>
      <c r="AL361" s="54">
        <v>0</v>
      </c>
    </row>
    <row r="362" spans="1:38" ht="15.75" thickBot="1" x14ac:dyDescent="0.3">
      <c r="A362" s="51" t="s">
        <v>954</v>
      </c>
      <c r="B362" s="51" t="s">
        <v>447</v>
      </c>
      <c r="C362" s="51" t="s">
        <v>494</v>
      </c>
      <c r="D362" s="51" t="s">
        <v>320</v>
      </c>
      <c r="E362" s="51" t="s">
        <v>325</v>
      </c>
      <c r="F362" s="51" t="s">
        <v>266</v>
      </c>
      <c r="G362" s="54">
        <v>96.98</v>
      </c>
      <c r="H362" s="822"/>
      <c r="I362" s="822"/>
      <c r="J362" s="822"/>
      <c r="K362" s="822"/>
      <c r="L362" s="822"/>
      <c r="M362" s="822"/>
      <c r="N362" s="54">
        <v>96.98</v>
      </c>
      <c r="O362" s="822"/>
      <c r="P362" s="822"/>
      <c r="Q362" s="822"/>
      <c r="R362" s="822"/>
      <c r="S362" s="822"/>
      <c r="T362" s="822"/>
      <c r="U362" s="822"/>
      <c r="V362" s="822"/>
      <c r="W362" s="822"/>
      <c r="X362" s="822"/>
      <c r="Y362" s="822"/>
      <c r="Z362" s="822"/>
      <c r="AA362" s="822"/>
      <c r="AB362" s="822"/>
      <c r="AC362" s="822"/>
      <c r="AD362" s="822"/>
      <c r="AE362" s="822"/>
      <c r="AF362" s="822"/>
      <c r="AG362" s="822"/>
      <c r="AH362" s="54">
        <v>1.69</v>
      </c>
      <c r="AI362" s="822"/>
      <c r="AJ362" s="822"/>
      <c r="AK362" s="54">
        <v>98.67</v>
      </c>
      <c r="AL362" s="54">
        <v>0</v>
      </c>
    </row>
    <row r="363" spans="1:38" ht="15.75" thickBot="1" x14ac:dyDescent="0.3">
      <c r="A363" s="51" t="s">
        <v>954</v>
      </c>
      <c r="B363" s="51" t="s">
        <v>447</v>
      </c>
      <c r="C363" s="51" t="s">
        <v>494</v>
      </c>
      <c r="D363" s="51" t="s">
        <v>320</v>
      </c>
      <c r="E363" s="51" t="s">
        <v>268</v>
      </c>
      <c r="F363" s="51" t="s">
        <v>266</v>
      </c>
      <c r="G363" s="54">
        <v>8250</v>
      </c>
      <c r="H363" s="822"/>
      <c r="I363" s="822"/>
      <c r="J363" s="822"/>
      <c r="K363" s="54">
        <v>8250</v>
      </c>
      <c r="L363" s="822"/>
      <c r="M363" s="822"/>
      <c r="N363" s="822"/>
      <c r="O363" s="822"/>
      <c r="P363" s="822"/>
      <c r="Q363" s="822"/>
      <c r="R363" s="822"/>
      <c r="S363" s="822"/>
      <c r="T363" s="822"/>
      <c r="U363" s="822"/>
      <c r="V363" s="822"/>
      <c r="W363" s="822"/>
      <c r="X363" s="822"/>
      <c r="Y363" s="822"/>
      <c r="Z363" s="822"/>
      <c r="AA363" s="822"/>
      <c r="AB363" s="822"/>
      <c r="AC363" s="822"/>
      <c r="AD363" s="822"/>
      <c r="AE363" s="822"/>
      <c r="AF363" s="822"/>
      <c r="AG363" s="822"/>
      <c r="AH363" s="54">
        <v>365.97</v>
      </c>
      <c r="AI363" s="822"/>
      <c r="AJ363" s="822"/>
      <c r="AK363" s="54">
        <v>8615.9699999999993</v>
      </c>
      <c r="AL363" s="54">
        <v>0</v>
      </c>
    </row>
    <row r="364" spans="1:38" ht="15.75" thickBot="1" x14ac:dyDescent="0.3">
      <c r="A364" s="51" t="s">
        <v>954</v>
      </c>
      <c r="B364" s="51" t="s">
        <v>447</v>
      </c>
      <c r="C364" s="51" t="s">
        <v>494</v>
      </c>
      <c r="D364" s="51" t="s">
        <v>320</v>
      </c>
      <c r="E364" s="51" t="s">
        <v>914</v>
      </c>
      <c r="F364" s="51" t="s">
        <v>266</v>
      </c>
      <c r="G364" s="54">
        <v>26171.279999999999</v>
      </c>
      <c r="H364" s="822"/>
      <c r="I364" s="822"/>
      <c r="J364" s="822"/>
      <c r="K364" s="822"/>
      <c r="L364" s="54">
        <v>26171.279999999999</v>
      </c>
      <c r="M364" s="822"/>
      <c r="N364" s="822"/>
      <c r="O364" s="822"/>
      <c r="P364" s="822"/>
      <c r="Q364" s="822"/>
      <c r="R364" s="822"/>
      <c r="S364" s="822"/>
      <c r="T364" s="822"/>
      <c r="U364" s="822"/>
      <c r="V364" s="822"/>
      <c r="W364" s="822"/>
      <c r="X364" s="822"/>
      <c r="Y364" s="822"/>
      <c r="Z364" s="822"/>
      <c r="AA364" s="822"/>
      <c r="AB364" s="822"/>
      <c r="AC364" s="822"/>
      <c r="AD364" s="822"/>
      <c r="AE364" s="822"/>
      <c r="AF364" s="822"/>
      <c r="AG364" s="822"/>
      <c r="AH364" s="54">
        <v>1096.1500000000001</v>
      </c>
      <c r="AI364" s="822"/>
      <c r="AJ364" s="822"/>
      <c r="AK364" s="54">
        <v>27267.43</v>
      </c>
      <c r="AL364" s="54">
        <v>0</v>
      </c>
    </row>
    <row r="365" spans="1:38" ht="23.25" thickBot="1" x14ac:dyDescent="0.3">
      <c r="A365" s="51" t="s">
        <v>954</v>
      </c>
      <c r="B365" s="51" t="s">
        <v>38</v>
      </c>
      <c r="C365" s="51" t="s">
        <v>39</v>
      </c>
      <c r="D365" s="51" t="s">
        <v>320</v>
      </c>
      <c r="E365" s="51" t="s">
        <v>269</v>
      </c>
      <c r="F365" s="51" t="s">
        <v>915</v>
      </c>
      <c r="G365" s="54">
        <v>-5129.6499999999996</v>
      </c>
      <c r="H365" s="822"/>
      <c r="I365" s="822"/>
      <c r="J365" s="822"/>
      <c r="K365" s="822"/>
      <c r="L365" s="822"/>
      <c r="M365" s="822"/>
      <c r="N365" s="822"/>
      <c r="O365" s="822"/>
      <c r="P365" s="822"/>
      <c r="Q365" s="822"/>
      <c r="R365" s="822"/>
      <c r="S365" s="822"/>
      <c r="T365" s="54">
        <v>-5129.6499999999996</v>
      </c>
      <c r="U365" s="822"/>
      <c r="V365" s="822"/>
      <c r="W365" s="822"/>
      <c r="X365" s="822"/>
      <c r="Y365" s="822"/>
      <c r="Z365" s="822"/>
      <c r="AA365" s="822"/>
      <c r="AB365" s="822"/>
      <c r="AC365" s="822"/>
      <c r="AD365" s="822"/>
      <c r="AE365" s="822"/>
      <c r="AF365" s="822"/>
      <c r="AG365" s="822"/>
      <c r="AH365" s="54">
        <v>0</v>
      </c>
      <c r="AI365" s="822"/>
      <c r="AJ365" s="822"/>
      <c r="AK365" s="54">
        <v>-5129.6499999999996</v>
      </c>
      <c r="AL365" s="54">
        <v>0</v>
      </c>
    </row>
    <row r="366" spans="1:38" ht="23.25" thickBot="1" x14ac:dyDescent="0.3">
      <c r="A366" s="51" t="s">
        <v>954</v>
      </c>
      <c r="B366" s="51" t="s">
        <v>38</v>
      </c>
      <c r="C366" s="51" t="s">
        <v>39</v>
      </c>
      <c r="D366" s="51" t="s">
        <v>320</v>
      </c>
      <c r="E366" s="51" t="s">
        <v>271</v>
      </c>
      <c r="F366" s="51" t="s">
        <v>915</v>
      </c>
      <c r="G366" s="54">
        <v>1359.2</v>
      </c>
      <c r="H366" s="822"/>
      <c r="I366" s="822"/>
      <c r="J366" s="822"/>
      <c r="K366" s="822"/>
      <c r="L366" s="822"/>
      <c r="M366" s="822"/>
      <c r="N366" s="822"/>
      <c r="O366" s="822"/>
      <c r="P366" s="822"/>
      <c r="Q366" s="822"/>
      <c r="R366" s="822"/>
      <c r="S366" s="822"/>
      <c r="T366" s="822"/>
      <c r="U366" s="54">
        <v>1359.2</v>
      </c>
      <c r="V366" s="822"/>
      <c r="W366" s="822"/>
      <c r="X366" s="822"/>
      <c r="Y366" s="822"/>
      <c r="Z366" s="822"/>
      <c r="AA366" s="822"/>
      <c r="AB366" s="822"/>
      <c r="AC366" s="822"/>
      <c r="AD366" s="822"/>
      <c r="AE366" s="822"/>
      <c r="AF366" s="822"/>
      <c r="AG366" s="822"/>
      <c r="AH366" s="54">
        <v>0</v>
      </c>
      <c r="AI366" s="822"/>
      <c r="AJ366" s="822"/>
      <c r="AK366" s="54">
        <v>1359.2</v>
      </c>
      <c r="AL366" s="54">
        <v>0</v>
      </c>
    </row>
    <row r="367" spans="1:38" ht="15.75" thickBot="1" x14ac:dyDescent="0.3">
      <c r="A367" s="51" t="s">
        <v>954</v>
      </c>
      <c r="B367" s="51" t="s">
        <v>38</v>
      </c>
      <c r="C367" s="51" t="s">
        <v>39</v>
      </c>
      <c r="D367" s="51" t="s">
        <v>320</v>
      </c>
      <c r="E367" s="51" t="s">
        <v>268</v>
      </c>
      <c r="F367" s="51" t="s">
        <v>266</v>
      </c>
      <c r="G367" s="54">
        <v>5325</v>
      </c>
      <c r="H367" s="822"/>
      <c r="I367" s="822"/>
      <c r="J367" s="822"/>
      <c r="K367" s="54">
        <v>5325</v>
      </c>
      <c r="L367" s="822"/>
      <c r="M367" s="822"/>
      <c r="N367" s="822"/>
      <c r="O367" s="822"/>
      <c r="P367" s="822"/>
      <c r="Q367" s="822"/>
      <c r="R367" s="822"/>
      <c r="S367" s="822"/>
      <c r="T367" s="822"/>
      <c r="U367" s="822"/>
      <c r="V367" s="822"/>
      <c r="W367" s="822"/>
      <c r="X367" s="822"/>
      <c r="Y367" s="822"/>
      <c r="Z367" s="822"/>
      <c r="AA367" s="822"/>
      <c r="AB367" s="822"/>
      <c r="AC367" s="822"/>
      <c r="AD367" s="822"/>
      <c r="AE367" s="822"/>
      <c r="AF367" s="822"/>
      <c r="AG367" s="822"/>
      <c r="AH367" s="54">
        <v>0</v>
      </c>
      <c r="AI367" s="822"/>
      <c r="AJ367" s="822"/>
      <c r="AK367" s="54">
        <v>5325</v>
      </c>
      <c r="AL367" s="54">
        <v>0</v>
      </c>
    </row>
    <row r="368" spans="1:38" ht="15.75" thickBot="1" x14ac:dyDescent="0.3">
      <c r="A368" s="51" t="s">
        <v>954</v>
      </c>
      <c r="B368" s="51" t="s">
        <v>38</v>
      </c>
      <c r="C368" s="51" t="s">
        <v>39</v>
      </c>
      <c r="D368" s="51" t="s">
        <v>320</v>
      </c>
      <c r="E368" s="51" t="s">
        <v>329</v>
      </c>
      <c r="F368" s="51" t="s">
        <v>266</v>
      </c>
      <c r="G368" s="54">
        <v>6755.3</v>
      </c>
      <c r="H368" s="822"/>
      <c r="I368" s="822"/>
      <c r="J368" s="822"/>
      <c r="K368" s="822"/>
      <c r="L368" s="822"/>
      <c r="M368" s="822"/>
      <c r="N368" s="822"/>
      <c r="O368" s="822"/>
      <c r="P368" s="822"/>
      <c r="Q368" s="822"/>
      <c r="R368" s="822"/>
      <c r="S368" s="822"/>
      <c r="T368" s="822"/>
      <c r="U368" s="822"/>
      <c r="V368" s="822"/>
      <c r="W368" s="54">
        <v>6755.3</v>
      </c>
      <c r="X368" s="822"/>
      <c r="Y368" s="822"/>
      <c r="Z368" s="822"/>
      <c r="AA368" s="822"/>
      <c r="AB368" s="822"/>
      <c r="AC368" s="822"/>
      <c r="AD368" s="822"/>
      <c r="AE368" s="822"/>
      <c r="AF368" s="822"/>
      <c r="AG368" s="822"/>
      <c r="AH368" s="54">
        <v>0</v>
      </c>
      <c r="AI368" s="822"/>
      <c r="AJ368" s="822"/>
      <c r="AK368" s="54">
        <v>6755.3</v>
      </c>
      <c r="AL368" s="54">
        <v>0</v>
      </c>
    </row>
    <row r="369" spans="1:38" ht="15.75" thickBot="1" x14ac:dyDescent="0.3">
      <c r="A369" s="51" t="s">
        <v>954</v>
      </c>
      <c r="B369" s="51" t="s">
        <v>38</v>
      </c>
      <c r="C369" s="51" t="s">
        <v>39</v>
      </c>
      <c r="D369" s="51" t="s">
        <v>320</v>
      </c>
      <c r="E369" s="51" t="s">
        <v>330</v>
      </c>
      <c r="F369" s="51" t="s">
        <v>266</v>
      </c>
      <c r="G369" s="54">
        <v>15774.83</v>
      </c>
      <c r="H369" s="822"/>
      <c r="I369" s="822"/>
      <c r="J369" s="822"/>
      <c r="K369" s="822"/>
      <c r="L369" s="822"/>
      <c r="M369" s="822"/>
      <c r="N369" s="822"/>
      <c r="O369" s="822"/>
      <c r="P369" s="822"/>
      <c r="Q369" s="822"/>
      <c r="R369" s="822"/>
      <c r="S369" s="822"/>
      <c r="T369" s="822"/>
      <c r="U369" s="822"/>
      <c r="V369" s="822"/>
      <c r="W369" s="822"/>
      <c r="X369" s="54">
        <v>15774.83</v>
      </c>
      <c r="Y369" s="822"/>
      <c r="Z369" s="822"/>
      <c r="AA369" s="822"/>
      <c r="AB369" s="822"/>
      <c r="AC369" s="822"/>
      <c r="AD369" s="822"/>
      <c r="AE369" s="822"/>
      <c r="AF369" s="822"/>
      <c r="AG369" s="822"/>
      <c r="AH369" s="54">
        <v>0</v>
      </c>
      <c r="AI369" s="822"/>
      <c r="AJ369" s="822"/>
      <c r="AK369" s="54">
        <v>15774.83</v>
      </c>
      <c r="AL369" s="54">
        <v>0</v>
      </c>
    </row>
    <row r="370" spans="1:38" ht="15.75" thickBot="1" x14ac:dyDescent="0.3">
      <c r="A370" s="51" t="s">
        <v>1022</v>
      </c>
      <c r="B370" s="51" t="s">
        <v>34</v>
      </c>
      <c r="C370" s="51" t="s">
        <v>437</v>
      </c>
      <c r="D370" s="51" t="s">
        <v>318</v>
      </c>
      <c r="E370" s="51" t="s">
        <v>109</v>
      </c>
      <c r="F370" s="51" t="s">
        <v>266</v>
      </c>
      <c r="G370" s="54">
        <v>120.5</v>
      </c>
      <c r="H370" s="822"/>
      <c r="I370" s="822"/>
      <c r="J370" s="822"/>
      <c r="K370" s="822"/>
      <c r="L370" s="822"/>
      <c r="M370" s="822"/>
      <c r="N370" s="822"/>
      <c r="O370" s="822"/>
      <c r="P370" s="822"/>
      <c r="Q370" s="54">
        <v>120.5</v>
      </c>
      <c r="R370" s="822"/>
      <c r="S370" s="822"/>
      <c r="T370" s="822"/>
      <c r="U370" s="822"/>
      <c r="V370" s="822"/>
      <c r="W370" s="822"/>
      <c r="X370" s="822"/>
      <c r="Y370" s="822"/>
      <c r="Z370" s="822"/>
      <c r="AA370" s="822"/>
      <c r="AB370" s="822"/>
      <c r="AC370" s="822"/>
      <c r="AD370" s="822"/>
      <c r="AE370" s="822"/>
      <c r="AF370" s="822"/>
      <c r="AG370" s="822"/>
      <c r="AH370" s="54">
        <v>0.41</v>
      </c>
      <c r="AI370" s="822"/>
      <c r="AJ370" s="822"/>
      <c r="AK370" s="54">
        <v>120.91</v>
      </c>
      <c r="AL370" s="54">
        <v>0</v>
      </c>
    </row>
    <row r="371" spans="1:38" ht="15.75" thickBot="1" x14ac:dyDescent="0.3">
      <c r="A371" s="51" t="s">
        <v>1022</v>
      </c>
      <c r="B371" s="51" t="s">
        <v>34</v>
      </c>
      <c r="C371" s="51" t="s">
        <v>437</v>
      </c>
      <c r="D371" s="51" t="s">
        <v>318</v>
      </c>
      <c r="E371" s="51" t="s">
        <v>272</v>
      </c>
      <c r="F371" s="51" t="s">
        <v>266</v>
      </c>
      <c r="G371" s="54">
        <v>5250</v>
      </c>
      <c r="H371" s="822"/>
      <c r="I371" s="822"/>
      <c r="J371" s="822"/>
      <c r="K371" s="54">
        <v>5250</v>
      </c>
      <c r="L371" s="822"/>
      <c r="M371" s="822"/>
      <c r="N371" s="822"/>
      <c r="O371" s="822"/>
      <c r="P371" s="822"/>
      <c r="Q371" s="822"/>
      <c r="R371" s="822"/>
      <c r="S371" s="822"/>
      <c r="T371" s="822"/>
      <c r="U371" s="822"/>
      <c r="V371" s="822"/>
      <c r="W371" s="822"/>
      <c r="X371" s="822"/>
      <c r="Y371" s="822"/>
      <c r="Z371" s="822"/>
      <c r="AA371" s="822"/>
      <c r="AB371" s="822"/>
      <c r="AC371" s="822"/>
      <c r="AD371" s="822"/>
      <c r="AE371" s="822"/>
      <c r="AF371" s="822"/>
      <c r="AG371" s="822"/>
      <c r="AH371" s="54">
        <v>44.99</v>
      </c>
      <c r="AI371" s="822"/>
      <c r="AJ371" s="822"/>
      <c r="AK371" s="54">
        <v>5294.99</v>
      </c>
      <c r="AL371" s="54">
        <v>0</v>
      </c>
    </row>
    <row r="372" spans="1:38" ht="15.75" thickBot="1" x14ac:dyDescent="0.3">
      <c r="A372" s="51" t="s">
        <v>1022</v>
      </c>
      <c r="B372" s="51" t="s">
        <v>34</v>
      </c>
      <c r="C372" s="51" t="s">
        <v>437</v>
      </c>
      <c r="D372" s="51" t="s">
        <v>318</v>
      </c>
      <c r="E372" s="51" t="s">
        <v>265</v>
      </c>
      <c r="F372" s="51" t="s">
        <v>266</v>
      </c>
      <c r="G372" s="54">
        <v>953.91</v>
      </c>
      <c r="H372" s="54">
        <v>251027</v>
      </c>
      <c r="I372" s="822"/>
      <c r="J372" s="822"/>
      <c r="K372" s="822"/>
      <c r="L372" s="822"/>
      <c r="M372" s="54">
        <v>953.91</v>
      </c>
      <c r="N372" s="822"/>
      <c r="O372" s="822"/>
      <c r="P372" s="822"/>
      <c r="Q372" s="822"/>
      <c r="R372" s="822"/>
      <c r="S372" s="822"/>
      <c r="T372" s="822"/>
      <c r="U372" s="822"/>
      <c r="V372" s="822"/>
      <c r="W372" s="822"/>
      <c r="X372" s="822"/>
      <c r="Y372" s="822"/>
      <c r="Z372" s="822"/>
      <c r="AA372" s="822"/>
      <c r="AB372" s="822"/>
      <c r="AC372" s="822"/>
      <c r="AD372" s="822"/>
      <c r="AE372" s="822"/>
      <c r="AF372" s="822"/>
      <c r="AG372" s="822"/>
      <c r="AH372" s="54">
        <v>3.21</v>
      </c>
      <c r="AI372" s="822"/>
      <c r="AJ372" s="822"/>
      <c r="AK372" s="54">
        <v>957.12</v>
      </c>
      <c r="AL372" s="54">
        <v>0</v>
      </c>
    </row>
    <row r="373" spans="1:38" ht="15.75" thickBot="1" x14ac:dyDescent="0.3">
      <c r="A373" s="51" t="s">
        <v>1022</v>
      </c>
      <c r="B373" s="51" t="s">
        <v>34</v>
      </c>
      <c r="C373" s="51" t="s">
        <v>437</v>
      </c>
      <c r="D373" s="51" t="s">
        <v>318</v>
      </c>
      <c r="E373" s="51" t="s">
        <v>621</v>
      </c>
      <c r="F373" s="51" t="s">
        <v>266</v>
      </c>
      <c r="G373" s="54">
        <v>246</v>
      </c>
      <c r="H373" s="822"/>
      <c r="I373" s="822"/>
      <c r="J373" s="822"/>
      <c r="K373" s="822"/>
      <c r="L373" s="822"/>
      <c r="M373" s="822"/>
      <c r="N373" s="822"/>
      <c r="O373" s="822"/>
      <c r="P373" s="822"/>
      <c r="Q373" s="822"/>
      <c r="R373" s="822"/>
      <c r="S373" s="822"/>
      <c r="T373" s="822"/>
      <c r="U373" s="822"/>
      <c r="V373" s="822"/>
      <c r="W373" s="822"/>
      <c r="X373" s="822"/>
      <c r="Y373" s="822"/>
      <c r="Z373" s="822"/>
      <c r="AA373" s="54">
        <v>246</v>
      </c>
      <c r="AB373" s="822"/>
      <c r="AC373" s="822"/>
      <c r="AD373" s="822"/>
      <c r="AE373" s="822"/>
      <c r="AF373" s="822"/>
      <c r="AG373" s="822"/>
      <c r="AH373" s="54">
        <v>0.83</v>
      </c>
      <c r="AI373" s="822"/>
      <c r="AJ373" s="822"/>
      <c r="AK373" s="54">
        <v>246.83</v>
      </c>
      <c r="AL373" s="54">
        <v>0</v>
      </c>
    </row>
    <row r="374" spans="1:38" ht="15.75" thickBot="1" x14ac:dyDescent="0.3">
      <c r="A374" s="51" t="s">
        <v>1022</v>
      </c>
      <c r="B374" s="51" t="s">
        <v>34</v>
      </c>
      <c r="C374" s="51" t="s">
        <v>437</v>
      </c>
      <c r="D374" s="51" t="s">
        <v>318</v>
      </c>
      <c r="E374" s="51" t="s">
        <v>325</v>
      </c>
      <c r="F374" s="51" t="s">
        <v>266</v>
      </c>
      <c r="G374" s="54">
        <v>11.15</v>
      </c>
      <c r="H374" s="822"/>
      <c r="I374" s="822"/>
      <c r="J374" s="822"/>
      <c r="K374" s="822"/>
      <c r="L374" s="822"/>
      <c r="M374" s="822"/>
      <c r="N374" s="54">
        <v>11.15</v>
      </c>
      <c r="O374" s="822"/>
      <c r="P374" s="822"/>
      <c r="Q374" s="822"/>
      <c r="R374" s="822"/>
      <c r="S374" s="822"/>
      <c r="T374" s="822"/>
      <c r="U374" s="822"/>
      <c r="V374" s="822"/>
      <c r="W374" s="822"/>
      <c r="X374" s="822"/>
      <c r="Y374" s="822"/>
      <c r="Z374" s="822"/>
      <c r="AA374" s="822"/>
      <c r="AB374" s="822"/>
      <c r="AC374" s="822"/>
      <c r="AD374" s="822"/>
      <c r="AE374" s="822"/>
      <c r="AF374" s="822"/>
      <c r="AG374" s="822"/>
      <c r="AH374" s="54">
        <v>0.34</v>
      </c>
      <c r="AI374" s="822"/>
      <c r="AJ374" s="822"/>
      <c r="AK374" s="54">
        <v>11.49</v>
      </c>
      <c r="AL374" s="54">
        <v>0</v>
      </c>
    </row>
    <row r="375" spans="1:38" ht="15.75" thickBot="1" x14ac:dyDescent="0.3">
      <c r="A375" s="51" t="s">
        <v>1022</v>
      </c>
      <c r="B375" s="51" t="s">
        <v>34</v>
      </c>
      <c r="C375" s="51" t="s">
        <v>437</v>
      </c>
      <c r="D375" s="51" t="s">
        <v>318</v>
      </c>
      <c r="E375" s="51" t="s">
        <v>268</v>
      </c>
      <c r="F375" s="51" t="s">
        <v>266</v>
      </c>
      <c r="G375" s="54">
        <v>3850</v>
      </c>
      <c r="H375" s="822"/>
      <c r="I375" s="822"/>
      <c r="J375" s="822"/>
      <c r="K375" s="54">
        <v>3850</v>
      </c>
      <c r="L375" s="822"/>
      <c r="M375" s="822"/>
      <c r="N375" s="822"/>
      <c r="O375" s="822"/>
      <c r="P375" s="822"/>
      <c r="Q375" s="822"/>
      <c r="R375" s="822"/>
      <c r="S375" s="822"/>
      <c r="T375" s="822"/>
      <c r="U375" s="822"/>
      <c r="V375" s="822"/>
      <c r="W375" s="822"/>
      <c r="X375" s="822"/>
      <c r="Y375" s="822"/>
      <c r="Z375" s="822"/>
      <c r="AA375" s="822"/>
      <c r="AB375" s="822"/>
      <c r="AC375" s="822"/>
      <c r="AD375" s="822"/>
      <c r="AE375" s="822"/>
      <c r="AF375" s="822"/>
      <c r="AG375" s="822"/>
      <c r="AH375" s="54">
        <v>33</v>
      </c>
      <c r="AI375" s="822"/>
      <c r="AJ375" s="822"/>
      <c r="AK375" s="54">
        <v>3883</v>
      </c>
      <c r="AL375" s="54">
        <v>0</v>
      </c>
    </row>
    <row r="376" spans="1:38" ht="15.75" thickBot="1" x14ac:dyDescent="0.3">
      <c r="A376" s="51" t="s">
        <v>1022</v>
      </c>
      <c r="B376" s="51" t="s">
        <v>34</v>
      </c>
      <c r="C376" s="51" t="s">
        <v>437</v>
      </c>
      <c r="D376" s="51" t="s">
        <v>318</v>
      </c>
      <c r="E376" s="51" t="s">
        <v>914</v>
      </c>
      <c r="F376" s="51" t="s">
        <v>266</v>
      </c>
      <c r="G376" s="54">
        <v>10099.32</v>
      </c>
      <c r="H376" s="822"/>
      <c r="I376" s="822"/>
      <c r="J376" s="822"/>
      <c r="K376" s="822"/>
      <c r="L376" s="54">
        <v>10099.32</v>
      </c>
      <c r="M376" s="822"/>
      <c r="N376" s="822"/>
      <c r="O376" s="822"/>
      <c r="P376" s="822"/>
      <c r="Q376" s="822"/>
      <c r="R376" s="822"/>
      <c r="S376" s="822"/>
      <c r="T376" s="822"/>
      <c r="U376" s="822"/>
      <c r="V376" s="822"/>
      <c r="W376" s="822"/>
      <c r="X376" s="822"/>
      <c r="Y376" s="822"/>
      <c r="Z376" s="822"/>
      <c r="AA376" s="822"/>
      <c r="AB376" s="822"/>
      <c r="AC376" s="822"/>
      <c r="AD376" s="822"/>
      <c r="AE376" s="822"/>
      <c r="AF376" s="822"/>
      <c r="AG376" s="822"/>
      <c r="AH376" s="54">
        <v>55.39</v>
      </c>
      <c r="AI376" s="822"/>
      <c r="AJ376" s="822"/>
      <c r="AK376" s="54">
        <v>10154.709999999999</v>
      </c>
      <c r="AL376" s="54">
        <v>0</v>
      </c>
    </row>
    <row r="377" spans="1:38" ht="15.75" thickBot="1" x14ac:dyDescent="0.3">
      <c r="A377" s="51" t="s">
        <v>1022</v>
      </c>
      <c r="B377" s="51" t="s">
        <v>34</v>
      </c>
      <c r="C377" s="51" t="s">
        <v>437</v>
      </c>
      <c r="D377" s="51" t="s">
        <v>319</v>
      </c>
      <c r="E377" s="51" t="s">
        <v>109</v>
      </c>
      <c r="F377" s="51" t="s">
        <v>266</v>
      </c>
      <c r="G377" s="54">
        <v>37.159999999999997</v>
      </c>
      <c r="H377" s="822"/>
      <c r="I377" s="822"/>
      <c r="J377" s="822"/>
      <c r="K377" s="822"/>
      <c r="L377" s="822"/>
      <c r="M377" s="822"/>
      <c r="N377" s="822"/>
      <c r="O377" s="822"/>
      <c r="P377" s="822"/>
      <c r="Q377" s="54">
        <v>37.159999999999997</v>
      </c>
      <c r="R377" s="822"/>
      <c r="S377" s="822"/>
      <c r="T377" s="822"/>
      <c r="U377" s="822"/>
      <c r="V377" s="822"/>
      <c r="W377" s="822"/>
      <c r="X377" s="822"/>
      <c r="Y377" s="822"/>
      <c r="Z377" s="822"/>
      <c r="AA377" s="822"/>
      <c r="AB377" s="822"/>
      <c r="AC377" s="822"/>
      <c r="AD377" s="822"/>
      <c r="AE377" s="822"/>
      <c r="AF377" s="822"/>
      <c r="AG377" s="822"/>
      <c r="AH377" s="54">
        <v>0.83</v>
      </c>
      <c r="AI377" s="822"/>
      <c r="AJ377" s="822"/>
      <c r="AK377" s="54">
        <v>37.99</v>
      </c>
      <c r="AL377" s="54">
        <v>0</v>
      </c>
    </row>
    <row r="378" spans="1:38" ht="23.25" thickBot="1" x14ac:dyDescent="0.3">
      <c r="A378" s="51" t="s">
        <v>1022</v>
      </c>
      <c r="B378" s="51" t="s">
        <v>34</v>
      </c>
      <c r="C378" s="51" t="s">
        <v>437</v>
      </c>
      <c r="D378" s="51" t="s">
        <v>319</v>
      </c>
      <c r="E378" s="51" t="s">
        <v>269</v>
      </c>
      <c r="F378" s="51" t="s">
        <v>915</v>
      </c>
      <c r="G378" s="54">
        <v>-141.75</v>
      </c>
      <c r="H378" s="822"/>
      <c r="I378" s="822"/>
      <c r="J378" s="822"/>
      <c r="K378" s="822"/>
      <c r="L378" s="822"/>
      <c r="M378" s="822"/>
      <c r="N378" s="822"/>
      <c r="O378" s="822"/>
      <c r="P378" s="822"/>
      <c r="Q378" s="822"/>
      <c r="R378" s="822"/>
      <c r="S378" s="822"/>
      <c r="T378" s="54">
        <v>-141.75</v>
      </c>
      <c r="U378" s="822"/>
      <c r="V378" s="822"/>
      <c r="W378" s="822"/>
      <c r="X378" s="822"/>
      <c r="Y378" s="822"/>
      <c r="Z378" s="822"/>
      <c r="AA378" s="822"/>
      <c r="AB378" s="822"/>
      <c r="AC378" s="822"/>
      <c r="AD378" s="822"/>
      <c r="AE378" s="822"/>
      <c r="AF378" s="822"/>
      <c r="AG378" s="822"/>
      <c r="AH378" s="54">
        <v>-4.25</v>
      </c>
      <c r="AI378" s="822"/>
      <c r="AJ378" s="822"/>
      <c r="AK378" s="54">
        <v>-146</v>
      </c>
      <c r="AL378" s="54">
        <v>0</v>
      </c>
    </row>
    <row r="379" spans="1:38" ht="15.75" thickBot="1" x14ac:dyDescent="0.3">
      <c r="A379" s="51" t="s">
        <v>1022</v>
      </c>
      <c r="B379" s="51" t="s">
        <v>34</v>
      </c>
      <c r="C379" s="51" t="s">
        <v>437</v>
      </c>
      <c r="D379" s="51" t="s">
        <v>319</v>
      </c>
      <c r="E379" s="51" t="s">
        <v>272</v>
      </c>
      <c r="F379" s="51" t="s">
        <v>266</v>
      </c>
      <c r="G379" s="54">
        <v>1500</v>
      </c>
      <c r="H379" s="822"/>
      <c r="I379" s="822"/>
      <c r="J379" s="822"/>
      <c r="K379" s="54">
        <v>1500</v>
      </c>
      <c r="L379" s="822"/>
      <c r="M379" s="822"/>
      <c r="N379" s="822"/>
      <c r="O379" s="822"/>
      <c r="P379" s="822"/>
      <c r="Q379" s="822"/>
      <c r="R379" s="822"/>
      <c r="S379" s="822"/>
      <c r="T379" s="822"/>
      <c r="U379" s="822"/>
      <c r="V379" s="822"/>
      <c r="W379" s="822"/>
      <c r="X379" s="822"/>
      <c r="Y379" s="822"/>
      <c r="Z379" s="822"/>
      <c r="AA379" s="822"/>
      <c r="AB379" s="822"/>
      <c r="AC379" s="822"/>
      <c r="AD379" s="822"/>
      <c r="AE379" s="822"/>
      <c r="AF379" s="822"/>
      <c r="AG379" s="822"/>
      <c r="AH379" s="54">
        <v>22.49</v>
      </c>
      <c r="AI379" s="822"/>
      <c r="AJ379" s="822"/>
      <c r="AK379" s="54">
        <v>1522.49</v>
      </c>
      <c r="AL379" s="54">
        <v>0</v>
      </c>
    </row>
    <row r="380" spans="1:38" ht="15.75" thickBot="1" x14ac:dyDescent="0.3">
      <c r="A380" s="51" t="s">
        <v>1022</v>
      </c>
      <c r="B380" s="51" t="s">
        <v>34</v>
      </c>
      <c r="C380" s="51" t="s">
        <v>437</v>
      </c>
      <c r="D380" s="51" t="s">
        <v>319</v>
      </c>
      <c r="E380" s="51" t="s">
        <v>265</v>
      </c>
      <c r="F380" s="51" t="s">
        <v>266</v>
      </c>
      <c r="G380" s="54">
        <v>294.2</v>
      </c>
      <c r="H380" s="54">
        <v>77422</v>
      </c>
      <c r="I380" s="822"/>
      <c r="J380" s="822"/>
      <c r="K380" s="822"/>
      <c r="L380" s="822"/>
      <c r="M380" s="54">
        <v>294.2</v>
      </c>
      <c r="N380" s="822"/>
      <c r="O380" s="822"/>
      <c r="P380" s="822"/>
      <c r="Q380" s="822"/>
      <c r="R380" s="822"/>
      <c r="S380" s="822"/>
      <c r="T380" s="822"/>
      <c r="U380" s="822"/>
      <c r="V380" s="822"/>
      <c r="W380" s="822"/>
      <c r="X380" s="822"/>
      <c r="Y380" s="822"/>
      <c r="Z380" s="822"/>
      <c r="AA380" s="822"/>
      <c r="AB380" s="822"/>
      <c r="AC380" s="822"/>
      <c r="AD380" s="822"/>
      <c r="AE380" s="822"/>
      <c r="AF380" s="822"/>
      <c r="AG380" s="822"/>
      <c r="AH380" s="54">
        <v>6.54</v>
      </c>
      <c r="AI380" s="822"/>
      <c r="AJ380" s="822"/>
      <c r="AK380" s="54">
        <v>300.74</v>
      </c>
      <c r="AL380" s="54">
        <v>0</v>
      </c>
    </row>
    <row r="381" spans="1:38" ht="15.75" thickBot="1" x14ac:dyDescent="0.3">
      <c r="A381" s="51" t="s">
        <v>1022</v>
      </c>
      <c r="B381" s="51" t="s">
        <v>34</v>
      </c>
      <c r="C381" s="51" t="s">
        <v>437</v>
      </c>
      <c r="D381" s="51" t="s">
        <v>319</v>
      </c>
      <c r="E381" s="51" t="s">
        <v>621</v>
      </c>
      <c r="F381" s="51" t="s">
        <v>266</v>
      </c>
      <c r="G381" s="54">
        <v>75.88</v>
      </c>
      <c r="H381" s="822"/>
      <c r="I381" s="822"/>
      <c r="J381" s="822"/>
      <c r="K381" s="822"/>
      <c r="L381" s="822"/>
      <c r="M381" s="822"/>
      <c r="N381" s="822"/>
      <c r="O381" s="822"/>
      <c r="P381" s="822"/>
      <c r="Q381" s="822"/>
      <c r="R381" s="822"/>
      <c r="S381" s="822"/>
      <c r="T381" s="822"/>
      <c r="U381" s="822"/>
      <c r="V381" s="822"/>
      <c r="W381" s="822"/>
      <c r="X381" s="822"/>
      <c r="Y381" s="822"/>
      <c r="Z381" s="822"/>
      <c r="AA381" s="54">
        <v>75.88</v>
      </c>
      <c r="AB381" s="822"/>
      <c r="AC381" s="822"/>
      <c r="AD381" s="822"/>
      <c r="AE381" s="822"/>
      <c r="AF381" s="822"/>
      <c r="AG381" s="822"/>
      <c r="AH381" s="54">
        <v>1.69</v>
      </c>
      <c r="AI381" s="822"/>
      <c r="AJ381" s="822"/>
      <c r="AK381" s="54">
        <v>77.569999999999993</v>
      </c>
      <c r="AL381" s="54">
        <v>0</v>
      </c>
    </row>
    <row r="382" spans="1:38" ht="23.25" thickBot="1" x14ac:dyDescent="0.3">
      <c r="A382" s="51" t="s">
        <v>1022</v>
      </c>
      <c r="B382" s="51" t="s">
        <v>34</v>
      </c>
      <c r="C382" s="51" t="s">
        <v>437</v>
      </c>
      <c r="D382" s="51" t="s">
        <v>319</v>
      </c>
      <c r="E382" s="51" t="s">
        <v>271</v>
      </c>
      <c r="F382" s="51" t="s">
        <v>915</v>
      </c>
      <c r="G382" s="54">
        <v>-9.08</v>
      </c>
      <c r="H382" s="822"/>
      <c r="I382" s="822"/>
      <c r="J382" s="822"/>
      <c r="K382" s="822"/>
      <c r="L382" s="822"/>
      <c r="M382" s="822"/>
      <c r="N382" s="822"/>
      <c r="O382" s="822"/>
      <c r="P382" s="822"/>
      <c r="Q382" s="822"/>
      <c r="R382" s="822"/>
      <c r="S382" s="822"/>
      <c r="T382" s="822"/>
      <c r="U382" s="54">
        <v>-9.08</v>
      </c>
      <c r="V382" s="822"/>
      <c r="W382" s="822"/>
      <c r="X382" s="822"/>
      <c r="Y382" s="822"/>
      <c r="Z382" s="822"/>
      <c r="AA382" s="822"/>
      <c r="AB382" s="822"/>
      <c r="AC382" s="822"/>
      <c r="AD382" s="822"/>
      <c r="AE382" s="822"/>
      <c r="AF382" s="822"/>
      <c r="AG382" s="822"/>
      <c r="AH382" s="54">
        <v>-0.27</v>
      </c>
      <c r="AI382" s="822"/>
      <c r="AJ382" s="822"/>
      <c r="AK382" s="54">
        <v>-9.35</v>
      </c>
      <c r="AL382" s="54">
        <v>0</v>
      </c>
    </row>
    <row r="383" spans="1:38" ht="15.75" thickBot="1" x14ac:dyDescent="0.3">
      <c r="A383" s="51" t="s">
        <v>1022</v>
      </c>
      <c r="B383" s="51" t="s">
        <v>34</v>
      </c>
      <c r="C383" s="51" t="s">
        <v>437</v>
      </c>
      <c r="D383" s="51" t="s">
        <v>319</v>
      </c>
      <c r="E383" s="51" t="s">
        <v>325</v>
      </c>
      <c r="F383" s="51" t="s">
        <v>266</v>
      </c>
      <c r="G383" s="54">
        <v>9.51</v>
      </c>
      <c r="H383" s="822"/>
      <c r="I383" s="822"/>
      <c r="J383" s="822"/>
      <c r="K383" s="822"/>
      <c r="L383" s="822"/>
      <c r="M383" s="822"/>
      <c r="N383" s="54">
        <v>9.51</v>
      </c>
      <c r="O383" s="822"/>
      <c r="P383" s="822"/>
      <c r="Q383" s="822"/>
      <c r="R383" s="822"/>
      <c r="S383" s="822"/>
      <c r="T383" s="822"/>
      <c r="U383" s="822"/>
      <c r="V383" s="822"/>
      <c r="W383" s="822"/>
      <c r="X383" s="822"/>
      <c r="Y383" s="822"/>
      <c r="Z383" s="822"/>
      <c r="AA383" s="822"/>
      <c r="AB383" s="822"/>
      <c r="AC383" s="822"/>
      <c r="AD383" s="822"/>
      <c r="AE383" s="822"/>
      <c r="AF383" s="822"/>
      <c r="AG383" s="822"/>
      <c r="AH383" s="54">
        <v>0</v>
      </c>
      <c r="AI383" s="822"/>
      <c r="AJ383" s="822"/>
      <c r="AK383" s="54">
        <v>9.51</v>
      </c>
      <c r="AL383" s="54">
        <v>0</v>
      </c>
    </row>
    <row r="384" spans="1:38" ht="15.75" thickBot="1" x14ac:dyDescent="0.3">
      <c r="A384" s="51" t="s">
        <v>1022</v>
      </c>
      <c r="B384" s="51" t="s">
        <v>34</v>
      </c>
      <c r="C384" s="51" t="s">
        <v>437</v>
      </c>
      <c r="D384" s="51" t="s">
        <v>319</v>
      </c>
      <c r="E384" s="51" t="s">
        <v>268</v>
      </c>
      <c r="F384" s="51" t="s">
        <v>266</v>
      </c>
      <c r="G384" s="54">
        <v>1100</v>
      </c>
      <c r="H384" s="822"/>
      <c r="I384" s="822"/>
      <c r="J384" s="822"/>
      <c r="K384" s="54">
        <v>1100</v>
      </c>
      <c r="L384" s="822"/>
      <c r="M384" s="822"/>
      <c r="N384" s="822"/>
      <c r="O384" s="822"/>
      <c r="P384" s="822"/>
      <c r="Q384" s="822"/>
      <c r="R384" s="822"/>
      <c r="S384" s="822"/>
      <c r="T384" s="822"/>
      <c r="U384" s="822"/>
      <c r="V384" s="822"/>
      <c r="W384" s="822"/>
      <c r="X384" s="822"/>
      <c r="Y384" s="822"/>
      <c r="Z384" s="822"/>
      <c r="AA384" s="822"/>
      <c r="AB384" s="822"/>
      <c r="AC384" s="822"/>
      <c r="AD384" s="822"/>
      <c r="AE384" s="822"/>
      <c r="AF384" s="822"/>
      <c r="AG384" s="822"/>
      <c r="AH384" s="54">
        <v>16.5</v>
      </c>
      <c r="AI384" s="822"/>
      <c r="AJ384" s="822"/>
      <c r="AK384" s="54">
        <v>1116.5</v>
      </c>
      <c r="AL384" s="54">
        <v>0</v>
      </c>
    </row>
    <row r="385" spans="1:38" ht="15.75" thickBot="1" x14ac:dyDescent="0.3">
      <c r="A385" s="51" t="s">
        <v>1022</v>
      </c>
      <c r="B385" s="51" t="s">
        <v>34</v>
      </c>
      <c r="C385" s="51" t="s">
        <v>437</v>
      </c>
      <c r="D385" s="51" t="s">
        <v>319</v>
      </c>
      <c r="E385" s="51" t="s">
        <v>914</v>
      </c>
      <c r="F385" s="51" t="s">
        <v>266</v>
      </c>
      <c r="G385" s="54">
        <v>3486.08</v>
      </c>
      <c r="H385" s="822"/>
      <c r="I385" s="822"/>
      <c r="J385" s="822"/>
      <c r="K385" s="822"/>
      <c r="L385" s="54">
        <v>3486.08</v>
      </c>
      <c r="M385" s="822"/>
      <c r="N385" s="822"/>
      <c r="O385" s="822"/>
      <c r="P385" s="822"/>
      <c r="Q385" s="822"/>
      <c r="R385" s="822"/>
      <c r="S385" s="822"/>
      <c r="T385" s="822"/>
      <c r="U385" s="822"/>
      <c r="V385" s="822"/>
      <c r="W385" s="822"/>
      <c r="X385" s="822"/>
      <c r="Y385" s="822"/>
      <c r="Z385" s="822"/>
      <c r="AA385" s="822"/>
      <c r="AB385" s="822"/>
      <c r="AC385" s="822"/>
      <c r="AD385" s="822"/>
      <c r="AE385" s="822"/>
      <c r="AF385" s="822"/>
      <c r="AG385" s="822"/>
      <c r="AH385" s="54">
        <v>78.91</v>
      </c>
      <c r="AI385" s="822"/>
      <c r="AJ385" s="822"/>
      <c r="AK385" s="54">
        <v>3564.99</v>
      </c>
      <c r="AL385" s="54">
        <v>0</v>
      </c>
    </row>
    <row r="386" spans="1:38" ht="15.75" thickBot="1" x14ac:dyDescent="0.3">
      <c r="A386" s="51" t="s">
        <v>1022</v>
      </c>
      <c r="B386" s="51" t="s">
        <v>34</v>
      </c>
      <c r="C386" s="51" t="s">
        <v>437</v>
      </c>
      <c r="D386" s="51" t="s">
        <v>319</v>
      </c>
      <c r="E386" s="51" t="s">
        <v>329</v>
      </c>
      <c r="F386" s="51" t="s">
        <v>266</v>
      </c>
      <c r="G386" s="54">
        <v>29.8</v>
      </c>
      <c r="H386" s="822"/>
      <c r="I386" s="822"/>
      <c r="J386" s="822"/>
      <c r="K386" s="822"/>
      <c r="L386" s="822"/>
      <c r="M386" s="822"/>
      <c r="N386" s="822"/>
      <c r="O386" s="822"/>
      <c r="P386" s="822"/>
      <c r="Q386" s="822"/>
      <c r="R386" s="822"/>
      <c r="S386" s="822"/>
      <c r="T386" s="822"/>
      <c r="U386" s="822"/>
      <c r="V386" s="822"/>
      <c r="W386" s="54">
        <v>29.8</v>
      </c>
      <c r="X386" s="822"/>
      <c r="Y386" s="822"/>
      <c r="Z386" s="822"/>
      <c r="AA386" s="822"/>
      <c r="AB386" s="822"/>
      <c r="AC386" s="822"/>
      <c r="AD386" s="822"/>
      <c r="AE386" s="822"/>
      <c r="AF386" s="822"/>
      <c r="AG386" s="822"/>
      <c r="AH386" s="54">
        <v>0.89</v>
      </c>
      <c r="AI386" s="822"/>
      <c r="AJ386" s="822"/>
      <c r="AK386" s="54">
        <v>30.69</v>
      </c>
      <c r="AL386" s="54">
        <v>0</v>
      </c>
    </row>
    <row r="387" spans="1:38" ht="15.75" thickBot="1" x14ac:dyDescent="0.3">
      <c r="A387" s="51" t="s">
        <v>1022</v>
      </c>
      <c r="B387" s="51" t="s">
        <v>34</v>
      </c>
      <c r="C387" s="51" t="s">
        <v>437</v>
      </c>
      <c r="D387" s="51" t="s">
        <v>319</v>
      </c>
      <c r="E387" s="51" t="s">
        <v>330</v>
      </c>
      <c r="F387" s="51" t="s">
        <v>266</v>
      </c>
      <c r="G387" s="54">
        <v>69.599999999999994</v>
      </c>
      <c r="H387" s="822"/>
      <c r="I387" s="822"/>
      <c r="J387" s="822"/>
      <c r="K387" s="822"/>
      <c r="L387" s="822"/>
      <c r="M387" s="822"/>
      <c r="N387" s="822"/>
      <c r="O387" s="822"/>
      <c r="P387" s="822"/>
      <c r="Q387" s="822"/>
      <c r="R387" s="822"/>
      <c r="S387" s="822"/>
      <c r="T387" s="822"/>
      <c r="U387" s="822"/>
      <c r="V387" s="822"/>
      <c r="W387" s="822"/>
      <c r="X387" s="54">
        <v>69.599999999999994</v>
      </c>
      <c r="Y387" s="822"/>
      <c r="Z387" s="822"/>
      <c r="AA387" s="822"/>
      <c r="AB387" s="822"/>
      <c r="AC387" s="822"/>
      <c r="AD387" s="822"/>
      <c r="AE387" s="822"/>
      <c r="AF387" s="822"/>
      <c r="AG387" s="822"/>
      <c r="AH387" s="54">
        <v>2.09</v>
      </c>
      <c r="AI387" s="822"/>
      <c r="AJ387" s="822"/>
      <c r="AK387" s="54">
        <v>71.69</v>
      </c>
      <c r="AL387" s="54">
        <v>0</v>
      </c>
    </row>
    <row r="388" spans="1:38" ht="15.75" thickBot="1" x14ac:dyDescent="0.3">
      <c r="A388" s="51" t="s">
        <v>1022</v>
      </c>
      <c r="B388" s="51" t="s">
        <v>31</v>
      </c>
      <c r="C388" s="51" t="s">
        <v>835</v>
      </c>
      <c r="D388" s="51" t="s">
        <v>320</v>
      </c>
      <c r="E388" s="51" t="s">
        <v>357</v>
      </c>
      <c r="F388" s="51" t="s">
        <v>266</v>
      </c>
      <c r="G388" s="54">
        <v>-695.74</v>
      </c>
      <c r="H388" s="822"/>
      <c r="I388" s="822"/>
      <c r="J388" s="822"/>
      <c r="K388" s="822"/>
      <c r="L388" s="822"/>
      <c r="M388" s="822"/>
      <c r="N388" s="822"/>
      <c r="O388" s="822"/>
      <c r="P388" s="822"/>
      <c r="Q388" s="822"/>
      <c r="R388" s="822"/>
      <c r="S388" s="54">
        <v>-695.74</v>
      </c>
      <c r="T388" s="822"/>
      <c r="U388" s="822"/>
      <c r="V388" s="822"/>
      <c r="W388" s="822"/>
      <c r="X388" s="822"/>
      <c r="Y388" s="822"/>
      <c r="Z388" s="822"/>
      <c r="AA388" s="822"/>
      <c r="AB388" s="822"/>
      <c r="AC388" s="822"/>
      <c r="AD388" s="822"/>
      <c r="AE388" s="822"/>
      <c r="AF388" s="822"/>
      <c r="AG388" s="822"/>
      <c r="AH388" s="54">
        <v>-63.87</v>
      </c>
      <c r="AI388" s="822"/>
      <c r="AJ388" s="822"/>
      <c r="AK388" s="54">
        <v>-759.61</v>
      </c>
      <c r="AL388" s="54">
        <v>0</v>
      </c>
    </row>
    <row r="389" spans="1:38" ht="15.75" thickBot="1" x14ac:dyDescent="0.3">
      <c r="A389" s="51" t="s">
        <v>1022</v>
      </c>
      <c r="B389" s="51" t="s">
        <v>31</v>
      </c>
      <c r="C389" s="51" t="s">
        <v>835</v>
      </c>
      <c r="D389" s="51" t="s">
        <v>320</v>
      </c>
      <c r="E389" s="51" t="s">
        <v>272</v>
      </c>
      <c r="F389" s="51" t="s">
        <v>266</v>
      </c>
      <c r="G389" s="54">
        <v>1527.68</v>
      </c>
      <c r="H389" s="822"/>
      <c r="I389" s="822"/>
      <c r="J389" s="822"/>
      <c r="K389" s="54">
        <v>1527.68</v>
      </c>
      <c r="L389" s="822"/>
      <c r="M389" s="822"/>
      <c r="N389" s="822"/>
      <c r="O389" s="822"/>
      <c r="P389" s="822"/>
      <c r="Q389" s="822"/>
      <c r="R389" s="822"/>
      <c r="S389" s="822"/>
      <c r="T389" s="822"/>
      <c r="U389" s="822"/>
      <c r="V389" s="822"/>
      <c r="W389" s="822"/>
      <c r="X389" s="822"/>
      <c r="Y389" s="822"/>
      <c r="Z389" s="822"/>
      <c r="AA389" s="822"/>
      <c r="AB389" s="822"/>
      <c r="AC389" s="822"/>
      <c r="AD389" s="822"/>
      <c r="AE389" s="822"/>
      <c r="AF389" s="822"/>
      <c r="AG389" s="822"/>
      <c r="AH389" s="54">
        <v>115.96</v>
      </c>
      <c r="AI389" s="822"/>
      <c r="AJ389" s="822"/>
      <c r="AK389" s="54">
        <v>1643.64</v>
      </c>
      <c r="AL389" s="54">
        <v>0</v>
      </c>
    </row>
    <row r="390" spans="1:38" ht="15.75" thickBot="1" x14ac:dyDescent="0.3">
      <c r="A390" s="51" t="s">
        <v>1022</v>
      </c>
      <c r="B390" s="51" t="s">
        <v>31</v>
      </c>
      <c r="C390" s="51" t="s">
        <v>835</v>
      </c>
      <c r="D390" s="51" t="s">
        <v>320</v>
      </c>
      <c r="E390" s="51" t="s">
        <v>265</v>
      </c>
      <c r="F390" s="51" t="s">
        <v>266</v>
      </c>
      <c r="G390" s="54">
        <v>14035.44</v>
      </c>
      <c r="H390" s="54">
        <v>82317</v>
      </c>
      <c r="I390" s="822"/>
      <c r="J390" s="822"/>
      <c r="K390" s="822"/>
      <c r="L390" s="822"/>
      <c r="M390" s="54">
        <v>14035.44</v>
      </c>
      <c r="N390" s="822"/>
      <c r="O390" s="822"/>
      <c r="P390" s="822"/>
      <c r="Q390" s="822"/>
      <c r="R390" s="822"/>
      <c r="S390" s="822"/>
      <c r="T390" s="822"/>
      <c r="U390" s="822"/>
      <c r="V390" s="822"/>
      <c r="W390" s="822"/>
      <c r="X390" s="822"/>
      <c r="Y390" s="822"/>
      <c r="Z390" s="822"/>
      <c r="AA390" s="822"/>
      <c r="AB390" s="822"/>
      <c r="AC390" s="822"/>
      <c r="AD390" s="822"/>
      <c r="AE390" s="822"/>
      <c r="AF390" s="822"/>
      <c r="AG390" s="822"/>
      <c r="AH390" s="54">
        <v>1271.28</v>
      </c>
      <c r="AI390" s="822"/>
      <c r="AJ390" s="822"/>
      <c r="AK390" s="54">
        <v>15306.72</v>
      </c>
      <c r="AL390" s="54">
        <v>0</v>
      </c>
    </row>
    <row r="391" spans="1:38" ht="15.75" thickBot="1" x14ac:dyDescent="0.3">
      <c r="A391" s="51" t="s">
        <v>1022</v>
      </c>
      <c r="B391" s="51" t="s">
        <v>31</v>
      </c>
      <c r="C391" s="51" t="s">
        <v>835</v>
      </c>
      <c r="D391" s="51" t="s">
        <v>320</v>
      </c>
      <c r="E391" s="51" t="s">
        <v>620</v>
      </c>
      <c r="F391" s="51" t="s">
        <v>266</v>
      </c>
      <c r="G391" s="54">
        <v>222.04</v>
      </c>
      <c r="H391" s="822"/>
      <c r="I391" s="822"/>
      <c r="J391" s="822"/>
      <c r="K391" s="822"/>
      <c r="L391" s="822"/>
      <c r="M391" s="822"/>
      <c r="N391" s="822"/>
      <c r="O391" s="822"/>
      <c r="P391" s="822"/>
      <c r="Q391" s="822"/>
      <c r="R391" s="822"/>
      <c r="S391" s="822"/>
      <c r="T391" s="822"/>
      <c r="U391" s="822"/>
      <c r="V391" s="822"/>
      <c r="W391" s="822"/>
      <c r="X391" s="822"/>
      <c r="Y391" s="822"/>
      <c r="Z391" s="54">
        <v>222.04</v>
      </c>
      <c r="AA391" s="822"/>
      <c r="AB391" s="822"/>
      <c r="AC391" s="822"/>
      <c r="AD391" s="822"/>
      <c r="AE391" s="822"/>
      <c r="AF391" s="822"/>
      <c r="AG391" s="822"/>
      <c r="AH391" s="54">
        <v>16.850000000000001</v>
      </c>
      <c r="AI391" s="822"/>
      <c r="AJ391" s="822"/>
      <c r="AK391" s="54">
        <v>238.89</v>
      </c>
      <c r="AL391" s="54">
        <v>0</v>
      </c>
    </row>
    <row r="392" spans="1:38" ht="15.75" thickBot="1" x14ac:dyDescent="0.3">
      <c r="A392" s="51" t="s">
        <v>1022</v>
      </c>
      <c r="B392" s="51" t="s">
        <v>31</v>
      </c>
      <c r="C392" s="51" t="s">
        <v>835</v>
      </c>
      <c r="D392" s="51" t="s">
        <v>320</v>
      </c>
      <c r="E392" s="51" t="s">
        <v>621</v>
      </c>
      <c r="F392" s="51" t="s">
        <v>266</v>
      </c>
      <c r="G392" s="54">
        <v>963.11</v>
      </c>
      <c r="H392" s="822"/>
      <c r="I392" s="822"/>
      <c r="J392" s="822"/>
      <c r="K392" s="822"/>
      <c r="L392" s="822"/>
      <c r="M392" s="822"/>
      <c r="N392" s="822"/>
      <c r="O392" s="822"/>
      <c r="P392" s="822"/>
      <c r="Q392" s="822"/>
      <c r="R392" s="822"/>
      <c r="S392" s="822"/>
      <c r="T392" s="822"/>
      <c r="U392" s="822"/>
      <c r="V392" s="822"/>
      <c r="W392" s="822"/>
      <c r="X392" s="822"/>
      <c r="Y392" s="822"/>
      <c r="Z392" s="822"/>
      <c r="AA392" s="54">
        <v>963.11</v>
      </c>
      <c r="AB392" s="822"/>
      <c r="AC392" s="822"/>
      <c r="AD392" s="822"/>
      <c r="AE392" s="822"/>
      <c r="AF392" s="822"/>
      <c r="AG392" s="822"/>
      <c r="AH392" s="54">
        <v>87.33</v>
      </c>
      <c r="AI392" s="822"/>
      <c r="AJ392" s="822"/>
      <c r="AK392" s="54">
        <v>1050.44</v>
      </c>
      <c r="AL392" s="54">
        <v>0</v>
      </c>
    </row>
    <row r="393" spans="1:38" ht="15.75" thickBot="1" x14ac:dyDescent="0.3">
      <c r="A393" s="51" t="s">
        <v>1022</v>
      </c>
      <c r="B393" s="51" t="s">
        <v>31</v>
      </c>
      <c r="C393" s="51" t="s">
        <v>835</v>
      </c>
      <c r="D393" s="51" t="s">
        <v>320</v>
      </c>
      <c r="E393" s="51" t="s">
        <v>273</v>
      </c>
      <c r="F393" s="51" t="s">
        <v>266</v>
      </c>
      <c r="G393" s="54">
        <v>7083.37</v>
      </c>
      <c r="H393" s="822"/>
      <c r="I393" s="822"/>
      <c r="J393" s="822"/>
      <c r="K393" s="822"/>
      <c r="L393" s="822"/>
      <c r="M393" s="822"/>
      <c r="N393" s="822"/>
      <c r="O393" s="822"/>
      <c r="P393" s="822"/>
      <c r="Q393" s="822"/>
      <c r="R393" s="822"/>
      <c r="S393" s="822"/>
      <c r="T393" s="822"/>
      <c r="U393" s="822"/>
      <c r="V393" s="822"/>
      <c r="W393" s="822"/>
      <c r="X393" s="822"/>
      <c r="Y393" s="54">
        <v>7083.37</v>
      </c>
      <c r="Z393" s="822"/>
      <c r="AA393" s="822"/>
      <c r="AB393" s="822"/>
      <c r="AC393" s="822"/>
      <c r="AD393" s="822"/>
      <c r="AE393" s="822"/>
      <c r="AF393" s="822"/>
      <c r="AG393" s="822"/>
      <c r="AH393" s="54">
        <v>642.34</v>
      </c>
      <c r="AI393" s="822"/>
      <c r="AJ393" s="822"/>
      <c r="AK393" s="54">
        <v>7725.71</v>
      </c>
      <c r="AL393" s="54">
        <v>0</v>
      </c>
    </row>
    <row r="394" spans="1:38" ht="15.75" thickBot="1" x14ac:dyDescent="0.3">
      <c r="A394" s="51" t="s">
        <v>1022</v>
      </c>
      <c r="B394" s="51" t="s">
        <v>31</v>
      </c>
      <c r="C394" s="51" t="s">
        <v>835</v>
      </c>
      <c r="D394" s="51" t="s">
        <v>320</v>
      </c>
      <c r="E394" s="51" t="s">
        <v>268</v>
      </c>
      <c r="F394" s="51" t="s">
        <v>266</v>
      </c>
      <c r="G394" s="54">
        <v>1100</v>
      </c>
      <c r="H394" s="822"/>
      <c r="I394" s="822"/>
      <c r="J394" s="822"/>
      <c r="K394" s="54">
        <v>1100</v>
      </c>
      <c r="L394" s="822"/>
      <c r="M394" s="822"/>
      <c r="N394" s="822"/>
      <c r="O394" s="822"/>
      <c r="P394" s="822"/>
      <c r="Q394" s="822"/>
      <c r="R394" s="822"/>
      <c r="S394" s="822"/>
      <c r="T394" s="822"/>
      <c r="U394" s="822"/>
      <c r="V394" s="822"/>
      <c r="W394" s="822"/>
      <c r="X394" s="822"/>
      <c r="Y394" s="822"/>
      <c r="Z394" s="822"/>
      <c r="AA394" s="822"/>
      <c r="AB394" s="822"/>
      <c r="AC394" s="822"/>
      <c r="AD394" s="822"/>
      <c r="AE394" s="822"/>
      <c r="AF394" s="822"/>
      <c r="AG394" s="822"/>
      <c r="AH394" s="54">
        <v>83.49</v>
      </c>
      <c r="AI394" s="822"/>
      <c r="AJ394" s="822"/>
      <c r="AK394" s="54">
        <v>1183.49</v>
      </c>
      <c r="AL394" s="54">
        <v>0</v>
      </c>
    </row>
    <row r="395" spans="1:38" ht="15.75" thickBot="1" x14ac:dyDescent="0.3">
      <c r="A395" s="51" t="s">
        <v>1022</v>
      </c>
      <c r="B395" s="51" t="s">
        <v>491</v>
      </c>
      <c r="C395" s="51" t="s">
        <v>492</v>
      </c>
      <c r="D395" s="51" t="s">
        <v>320</v>
      </c>
      <c r="E395" s="51" t="s">
        <v>109</v>
      </c>
      <c r="F395" s="51" t="s">
        <v>266</v>
      </c>
      <c r="G395" s="54">
        <v>108.99</v>
      </c>
      <c r="H395" s="822"/>
      <c r="I395" s="822"/>
      <c r="J395" s="822"/>
      <c r="K395" s="822"/>
      <c r="L395" s="822"/>
      <c r="M395" s="822"/>
      <c r="N395" s="822"/>
      <c r="O395" s="822"/>
      <c r="P395" s="822"/>
      <c r="Q395" s="54">
        <v>108.99</v>
      </c>
      <c r="R395" s="822"/>
      <c r="S395" s="822"/>
      <c r="T395" s="822"/>
      <c r="U395" s="822"/>
      <c r="V395" s="822"/>
      <c r="W395" s="822"/>
      <c r="X395" s="822"/>
      <c r="Y395" s="822"/>
      <c r="Z395" s="822"/>
      <c r="AA395" s="822"/>
      <c r="AB395" s="822"/>
      <c r="AC395" s="822"/>
      <c r="AD395" s="822"/>
      <c r="AE395" s="822"/>
      <c r="AF395" s="822"/>
      <c r="AG395" s="822"/>
      <c r="AH395" s="54">
        <v>2.63</v>
      </c>
      <c r="AI395" s="822"/>
      <c r="AJ395" s="822"/>
      <c r="AK395" s="54">
        <v>111.62</v>
      </c>
      <c r="AL395" s="54">
        <v>0</v>
      </c>
    </row>
    <row r="396" spans="1:38" ht="15.75" thickBot="1" x14ac:dyDescent="0.3">
      <c r="A396" s="51" t="s">
        <v>1022</v>
      </c>
      <c r="B396" s="51" t="s">
        <v>491</v>
      </c>
      <c r="C396" s="51" t="s">
        <v>492</v>
      </c>
      <c r="D396" s="51" t="s">
        <v>320</v>
      </c>
      <c r="E396" s="51" t="s">
        <v>272</v>
      </c>
      <c r="F396" s="51" t="s">
        <v>266</v>
      </c>
      <c r="G396" s="54">
        <v>4583.04</v>
      </c>
      <c r="H396" s="822"/>
      <c r="I396" s="822"/>
      <c r="J396" s="822"/>
      <c r="K396" s="54">
        <v>4583.04</v>
      </c>
      <c r="L396" s="822"/>
      <c r="M396" s="822"/>
      <c r="N396" s="822"/>
      <c r="O396" s="822"/>
      <c r="P396" s="822"/>
      <c r="Q396" s="822"/>
      <c r="R396" s="822"/>
      <c r="S396" s="822"/>
      <c r="T396" s="822"/>
      <c r="U396" s="822"/>
      <c r="V396" s="822"/>
      <c r="W396" s="822"/>
      <c r="X396" s="822"/>
      <c r="Y396" s="822"/>
      <c r="Z396" s="822"/>
      <c r="AA396" s="822"/>
      <c r="AB396" s="822"/>
      <c r="AC396" s="822"/>
      <c r="AD396" s="822"/>
      <c r="AE396" s="822"/>
      <c r="AF396" s="822"/>
      <c r="AG396" s="822"/>
      <c r="AH396" s="54">
        <v>138.87</v>
      </c>
      <c r="AI396" s="822"/>
      <c r="AJ396" s="822"/>
      <c r="AK396" s="54">
        <v>4721.91</v>
      </c>
      <c r="AL396" s="54">
        <v>0</v>
      </c>
    </row>
    <row r="397" spans="1:38" ht="15.75" thickBot="1" x14ac:dyDescent="0.3">
      <c r="A397" s="51" t="s">
        <v>1022</v>
      </c>
      <c r="B397" s="51" t="s">
        <v>491</v>
      </c>
      <c r="C397" s="51" t="s">
        <v>492</v>
      </c>
      <c r="D397" s="51" t="s">
        <v>320</v>
      </c>
      <c r="E397" s="51" t="s">
        <v>265</v>
      </c>
      <c r="F397" s="51" t="s">
        <v>266</v>
      </c>
      <c r="G397" s="54">
        <v>38690.01</v>
      </c>
      <c r="H397" s="54">
        <v>227066</v>
      </c>
      <c r="I397" s="822"/>
      <c r="J397" s="822"/>
      <c r="K397" s="822"/>
      <c r="L397" s="822"/>
      <c r="M397" s="54">
        <v>38690.01</v>
      </c>
      <c r="N397" s="822"/>
      <c r="O397" s="822"/>
      <c r="P397" s="822"/>
      <c r="Q397" s="822"/>
      <c r="R397" s="822"/>
      <c r="S397" s="822"/>
      <c r="T397" s="822"/>
      <c r="U397" s="822"/>
      <c r="V397" s="822"/>
      <c r="W397" s="822"/>
      <c r="X397" s="822"/>
      <c r="Y397" s="822"/>
      <c r="Z397" s="822"/>
      <c r="AA397" s="822"/>
      <c r="AB397" s="822"/>
      <c r="AC397" s="822"/>
      <c r="AD397" s="822"/>
      <c r="AE397" s="822"/>
      <c r="AF397" s="822"/>
      <c r="AG397" s="822"/>
      <c r="AH397" s="54">
        <v>933.31</v>
      </c>
      <c r="AI397" s="822"/>
      <c r="AJ397" s="822"/>
      <c r="AK397" s="54">
        <v>39623.32</v>
      </c>
      <c r="AL397" s="54">
        <v>0</v>
      </c>
    </row>
    <row r="398" spans="1:38" ht="15.75" thickBot="1" x14ac:dyDescent="0.3">
      <c r="A398" s="51" t="s">
        <v>1022</v>
      </c>
      <c r="B398" s="51" t="s">
        <v>491</v>
      </c>
      <c r="C398" s="51" t="s">
        <v>492</v>
      </c>
      <c r="D398" s="51" t="s">
        <v>320</v>
      </c>
      <c r="E398" s="51" t="s">
        <v>620</v>
      </c>
      <c r="F398" s="51" t="s">
        <v>266</v>
      </c>
      <c r="G398" s="54">
        <v>666.12</v>
      </c>
      <c r="H398" s="822"/>
      <c r="I398" s="822"/>
      <c r="J398" s="822"/>
      <c r="K398" s="822"/>
      <c r="L398" s="822"/>
      <c r="M398" s="822"/>
      <c r="N398" s="822"/>
      <c r="O398" s="822"/>
      <c r="P398" s="822"/>
      <c r="Q398" s="822"/>
      <c r="R398" s="822"/>
      <c r="S398" s="822"/>
      <c r="T398" s="822"/>
      <c r="U398" s="822"/>
      <c r="V398" s="822"/>
      <c r="W398" s="822"/>
      <c r="X398" s="822"/>
      <c r="Y398" s="822"/>
      <c r="Z398" s="54">
        <v>666.12</v>
      </c>
      <c r="AA398" s="822"/>
      <c r="AB398" s="822"/>
      <c r="AC398" s="822"/>
      <c r="AD398" s="822"/>
      <c r="AE398" s="822"/>
      <c r="AF398" s="822"/>
      <c r="AG398" s="822"/>
      <c r="AH398" s="54">
        <v>20.18</v>
      </c>
      <c r="AI398" s="822"/>
      <c r="AJ398" s="822"/>
      <c r="AK398" s="54">
        <v>686.3</v>
      </c>
      <c r="AL398" s="54">
        <v>0</v>
      </c>
    </row>
    <row r="399" spans="1:38" ht="15.75" thickBot="1" x14ac:dyDescent="0.3">
      <c r="A399" s="51" t="s">
        <v>1022</v>
      </c>
      <c r="B399" s="51" t="s">
        <v>491</v>
      </c>
      <c r="C399" s="51" t="s">
        <v>492</v>
      </c>
      <c r="D399" s="51" t="s">
        <v>320</v>
      </c>
      <c r="E399" s="51" t="s">
        <v>621</v>
      </c>
      <c r="F399" s="51" t="s">
        <v>266</v>
      </c>
      <c r="G399" s="54">
        <v>2656.67</v>
      </c>
      <c r="H399" s="822"/>
      <c r="I399" s="822"/>
      <c r="J399" s="822"/>
      <c r="K399" s="822"/>
      <c r="L399" s="822"/>
      <c r="M399" s="822"/>
      <c r="N399" s="822"/>
      <c r="O399" s="822"/>
      <c r="P399" s="822"/>
      <c r="Q399" s="822"/>
      <c r="R399" s="822"/>
      <c r="S399" s="822"/>
      <c r="T399" s="822"/>
      <c r="U399" s="822"/>
      <c r="V399" s="822"/>
      <c r="W399" s="822"/>
      <c r="X399" s="822"/>
      <c r="Y399" s="822"/>
      <c r="Z399" s="822"/>
      <c r="AA399" s="54">
        <v>2656.67</v>
      </c>
      <c r="AB399" s="822"/>
      <c r="AC399" s="822"/>
      <c r="AD399" s="822"/>
      <c r="AE399" s="822"/>
      <c r="AF399" s="822"/>
      <c r="AG399" s="822"/>
      <c r="AH399" s="54">
        <v>63.98</v>
      </c>
      <c r="AI399" s="822"/>
      <c r="AJ399" s="822"/>
      <c r="AK399" s="54">
        <v>2720.65</v>
      </c>
      <c r="AL399" s="54">
        <v>0</v>
      </c>
    </row>
    <row r="400" spans="1:38" ht="15.75" thickBot="1" x14ac:dyDescent="0.3">
      <c r="A400" s="51" t="s">
        <v>1022</v>
      </c>
      <c r="B400" s="51" t="s">
        <v>491</v>
      </c>
      <c r="C400" s="51" t="s">
        <v>492</v>
      </c>
      <c r="D400" s="51" t="s">
        <v>320</v>
      </c>
      <c r="E400" s="51" t="s">
        <v>273</v>
      </c>
      <c r="F400" s="51" t="s">
        <v>266</v>
      </c>
      <c r="G400" s="54">
        <v>19539.03</v>
      </c>
      <c r="H400" s="822"/>
      <c r="I400" s="822"/>
      <c r="J400" s="822"/>
      <c r="K400" s="822"/>
      <c r="L400" s="822"/>
      <c r="M400" s="822"/>
      <c r="N400" s="822"/>
      <c r="O400" s="822"/>
      <c r="P400" s="822"/>
      <c r="Q400" s="822"/>
      <c r="R400" s="822"/>
      <c r="S400" s="822"/>
      <c r="T400" s="822"/>
      <c r="U400" s="822"/>
      <c r="V400" s="822"/>
      <c r="W400" s="822"/>
      <c r="X400" s="822"/>
      <c r="Y400" s="54">
        <v>19539.03</v>
      </c>
      <c r="Z400" s="822"/>
      <c r="AA400" s="822"/>
      <c r="AB400" s="822"/>
      <c r="AC400" s="822"/>
      <c r="AD400" s="822"/>
      <c r="AE400" s="822"/>
      <c r="AF400" s="822"/>
      <c r="AG400" s="822"/>
      <c r="AH400" s="54">
        <v>470.55</v>
      </c>
      <c r="AI400" s="822"/>
      <c r="AJ400" s="822"/>
      <c r="AK400" s="54">
        <v>20009.580000000002</v>
      </c>
      <c r="AL400" s="54">
        <v>0</v>
      </c>
    </row>
    <row r="401" spans="1:38" ht="15.75" thickBot="1" x14ac:dyDescent="0.3">
      <c r="A401" s="51" t="s">
        <v>1022</v>
      </c>
      <c r="B401" s="51" t="s">
        <v>491</v>
      </c>
      <c r="C401" s="51" t="s">
        <v>492</v>
      </c>
      <c r="D401" s="51" t="s">
        <v>320</v>
      </c>
      <c r="E401" s="51" t="s">
        <v>268</v>
      </c>
      <c r="F401" s="51" t="s">
        <v>266</v>
      </c>
      <c r="G401" s="54">
        <v>3300</v>
      </c>
      <c r="H401" s="822"/>
      <c r="I401" s="822"/>
      <c r="J401" s="822"/>
      <c r="K401" s="54">
        <v>3300</v>
      </c>
      <c r="L401" s="822"/>
      <c r="M401" s="822"/>
      <c r="N401" s="822"/>
      <c r="O401" s="822"/>
      <c r="P401" s="822"/>
      <c r="Q401" s="822"/>
      <c r="R401" s="822"/>
      <c r="S401" s="822"/>
      <c r="T401" s="822"/>
      <c r="U401" s="822"/>
      <c r="V401" s="822"/>
      <c r="W401" s="822"/>
      <c r="X401" s="822"/>
      <c r="Y401" s="822"/>
      <c r="Z401" s="822"/>
      <c r="AA401" s="822"/>
      <c r="AB401" s="822"/>
      <c r="AC401" s="822"/>
      <c r="AD401" s="822"/>
      <c r="AE401" s="822"/>
      <c r="AF401" s="822"/>
      <c r="AG401" s="822"/>
      <c r="AH401" s="54">
        <v>99.99</v>
      </c>
      <c r="AI401" s="822"/>
      <c r="AJ401" s="822"/>
      <c r="AK401" s="54">
        <v>3399.99</v>
      </c>
      <c r="AL401" s="54">
        <v>0</v>
      </c>
    </row>
    <row r="402" spans="1:38" ht="23.25" thickBot="1" x14ac:dyDescent="0.3">
      <c r="A402" s="51" t="s">
        <v>1022</v>
      </c>
      <c r="B402" s="51" t="s">
        <v>52</v>
      </c>
      <c r="C402" s="51" t="s">
        <v>355</v>
      </c>
      <c r="D402" s="51" t="s">
        <v>320</v>
      </c>
      <c r="E402" s="51" t="s">
        <v>269</v>
      </c>
      <c r="F402" s="51" t="s">
        <v>915</v>
      </c>
      <c r="G402" s="54">
        <v>-4056.38</v>
      </c>
      <c r="H402" s="822"/>
      <c r="I402" s="822"/>
      <c r="J402" s="822"/>
      <c r="K402" s="822"/>
      <c r="L402" s="822"/>
      <c r="M402" s="822"/>
      <c r="N402" s="822"/>
      <c r="O402" s="822"/>
      <c r="P402" s="822"/>
      <c r="Q402" s="822"/>
      <c r="R402" s="822"/>
      <c r="S402" s="822"/>
      <c r="T402" s="54">
        <v>-4056.38</v>
      </c>
      <c r="U402" s="822"/>
      <c r="V402" s="822"/>
      <c r="W402" s="822"/>
      <c r="X402" s="822"/>
      <c r="Y402" s="822"/>
      <c r="Z402" s="822"/>
      <c r="AA402" s="822"/>
      <c r="AB402" s="822"/>
      <c r="AC402" s="822"/>
      <c r="AD402" s="822"/>
      <c r="AE402" s="822"/>
      <c r="AF402" s="822"/>
      <c r="AG402" s="822"/>
      <c r="AH402" s="54">
        <v>0</v>
      </c>
      <c r="AI402" s="822"/>
      <c r="AJ402" s="822"/>
      <c r="AK402" s="54">
        <v>-4056.38</v>
      </c>
      <c r="AL402" s="54">
        <v>0</v>
      </c>
    </row>
    <row r="403" spans="1:38" ht="23.25" thickBot="1" x14ac:dyDescent="0.3">
      <c r="A403" s="51" t="s">
        <v>1022</v>
      </c>
      <c r="B403" s="51" t="s">
        <v>52</v>
      </c>
      <c r="C403" s="51" t="s">
        <v>355</v>
      </c>
      <c r="D403" s="51" t="s">
        <v>320</v>
      </c>
      <c r="E403" s="51" t="s">
        <v>271</v>
      </c>
      <c r="F403" s="51" t="s">
        <v>915</v>
      </c>
      <c r="G403" s="54">
        <v>46.9</v>
      </c>
      <c r="H403" s="822"/>
      <c r="I403" s="822"/>
      <c r="J403" s="822"/>
      <c r="K403" s="822"/>
      <c r="L403" s="822"/>
      <c r="M403" s="822"/>
      <c r="N403" s="822"/>
      <c r="O403" s="822"/>
      <c r="P403" s="822"/>
      <c r="Q403" s="822"/>
      <c r="R403" s="822"/>
      <c r="S403" s="822"/>
      <c r="T403" s="822"/>
      <c r="U403" s="54">
        <v>46.9</v>
      </c>
      <c r="V403" s="822"/>
      <c r="W403" s="822"/>
      <c r="X403" s="822"/>
      <c r="Y403" s="822"/>
      <c r="Z403" s="822"/>
      <c r="AA403" s="822"/>
      <c r="AB403" s="822"/>
      <c r="AC403" s="822"/>
      <c r="AD403" s="822"/>
      <c r="AE403" s="822"/>
      <c r="AF403" s="822"/>
      <c r="AG403" s="822"/>
      <c r="AH403" s="54">
        <v>0</v>
      </c>
      <c r="AI403" s="822"/>
      <c r="AJ403" s="822"/>
      <c r="AK403" s="54">
        <v>46.9</v>
      </c>
      <c r="AL403" s="54">
        <v>0</v>
      </c>
    </row>
    <row r="404" spans="1:38" ht="15.75" thickBot="1" x14ac:dyDescent="0.3">
      <c r="A404" s="51" t="s">
        <v>1022</v>
      </c>
      <c r="B404" s="51" t="s">
        <v>52</v>
      </c>
      <c r="C404" s="51" t="s">
        <v>355</v>
      </c>
      <c r="D404" s="51" t="s">
        <v>320</v>
      </c>
      <c r="E404" s="51" t="s">
        <v>268</v>
      </c>
      <c r="F404" s="51" t="s">
        <v>266</v>
      </c>
      <c r="G404" s="54">
        <v>675</v>
      </c>
      <c r="H404" s="822"/>
      <c r="I404" s="822"/>
      <c r="J404" s="822"/>
      <c r="K404" s="54">
        <v>675</v>
      </c>
      <c r="L404" s="822"/>
      <c r="M404" s="822"/>
      <c r="N404" s="822"/>
      <c r="O404" s="822"/>
      <c r="P404" s="822"/>
      <c r="Q404" s="822"/>
      <c r="R404" s="822"/>
      <c r="S404" s="822"/>
      <c r="T404" s="822"/>
      <c r="U404" s="822"/>
      <c r="V404" s="822"/>
      <c r="W404" s="822"/>
      <c r="X404" s="822"/>
      <c r="Y404" s="822"/>
      <c r="Z404" s="822"/>
      <c r="AA404" s="822"/>
      <c r="AB404" s="822"/>
      <c r="AC404" s="822"/>
      <c r="AD404" s="822"/>
      <c r="AE404" s="822"/>
      <c r="AF404" s="822"/>
      <c r="AG404" s="822"/>
      <c r="AH404" s="54">
        <v>0</v>
      </c>
      <c r="AI404" s="822"/>
      <c r="AJ404" s="822"/>
      <c r="AK404" s="54">
        <v>675</v>
      </c>
      <c r="AL404" s="54">
        <v>0</v>
      </c>
    </row>
    <row r="405" spans="1:38" ht="15.75" thickBot="1" x14ac:dyDescent="0.3">
      <c r="A405" s="51" t="s">
        <v>1022</v>
      </c>
      <c r="B405" s="51" t="s">
        <v>53</v>
      </c>
      <c r="C405" s="51" t="s">
        <v>836</v>
      </c>
      <c r="D405" s="51" t="s">
        <v>320</v>
      </c>
      <c r="E405" s="51" t="s">
        <v>356</v>
      </c>
      <c r="F405" s="51" t="s">
        <v>266</v>
      </c>
      <c r="G405" s="823"/>
      <c r="H405" s="823"/>
      <c r="I405" s="823"/>
      <c r="J405" s="823"/>
      <c r="K405" s="823"/>
      <c r="L405" s="823"/>
      <c r="M405" s="823"/>
      <c r="N405" s="823"/>
      <c r="O405" s="823"/>
      <c r="P405" s="823"/>
      <c r="Q405" s="823"/>
      <c r="R405" s="823"/>
      <c r="S405" s="823"/>
      <c r="T405" s="823"/>
      <c r="U405" s="823"/>
      <c r="V405" s="823"/>
      <c r="W405" s="823"/>
      <c r="X405" s="823"/>
      <c r="Y405" s="823"/>
      <c r="Z405" s="823"/>
      <c r="AA405" s="823"/>
      <c r="AB405" s="823"/>
      <c r="AC405" s="823"/>
      <c r="AD405" s="823"/>
      <c r="AE405" s="823"/>
      <c r="AF405" s="823"/>
      <c r="AG405" s="56">
        <v>35.99</v>
      </c>
      <c r="AH405" s="56">
        <v>0</v>
      </c>
      <c r="AI405" s="823"/>
      <c r="AJ405" s="823"/>
      <c r="AK405" s="56">
        <v>35.99</v>
      </c>
      <c r="AL405" s="56">
        <v>0</v>
      </c>
    </row>
    <row r="406" spans="1:38" ht="15.75" thickBot="1" x14ac:dyDescent="0.3">
      <c r="A406" s="51" t="s">
        <v>1022</v>
      </c>
      <c r="B406" s="51" t="s">
        <v>53</v>
      </c>
      <c r="C406" s="51" t="s">
        <v>836</v>
      </c>
      <c r="D406" s="51" t="s">
        <v>320</v>
      </c>
      <c r="E406" s="51" t="s">
        <v>272</v>
      </c>
      <c r="F406" s="51" t="s">
        <v>266</v>
      </c>
      <c r="G406" s="56">
        <v>500</v>
      </c>
      <c r="H406" s="823"/>
      <c r="I406" s="823"/>
      <c r="J406" s="823"/>
      <c r="K406" s="56">
        <v>500</v>
      </c>
      <c r="L406" s="823"/>
      <c r="M406" s="823"/>
      <c r="N406" s="823"/>
      <c r="O406" s="823"/>
      <c r="P406" s="823"/>
      <c r="Q406" s="823"/>
      <c r="R406" s="823"/>
      <c r="S406" s="823"/>
      <c r="T406" s="823"/>
      <c r="U406" s="823"/>
      <c r="V406" s="823"/>
      <c r="W406" s="823"/>
      <c r="X406" s="823"/>
      <c r="Y406" s="823"/>
      <c r="Z406" s="823"/>
      <c r="AA406" s="823"/>
      <c r="AB406" s="823"/>
      <c r="AC406" s="823"/>
      <c r="AD406" s="823"/>
      <c r="AE406" s="823"/>
      <c r="AF406" s="823"/>
      <c r="AG406" s="823"/>
      <c r="AH406" s="56">
        <v>0</v>
      </c>
      <c r="AI406" s="823"/>
      <c r="AJ406" s="823"/>
      <c r="AK406" s="56">
        <v>500</v>
      </c>
      <c r="AL406" s="56">
        <v>0</v>
      </c>
    </row>
    <row r="407" spans="1:38" ht="15.75" thickBot="1" x14ac:dyDescent="0.3">
      <c r="A407" s="51" t="s">
        <v>1022</v>
      </c>
      <c r="B407" s="51" t="s">
        <v>53</v>
      </c>
      <c r="C407" s="51" t="s">
        <v>836</v>
      </c>
      <c r="D407" s="51" t="s">
        <v>320</v>
      </c>
      <c r="E407" s="51" t="s">
        <v>265</v>
      </c>
      <c r="F407" s="51" t="s">
        <v>266</v>
      </c>
      <c r="G407" s="56">
        <v>20.12</v>
      </c>
      <c r="H407" s="56">
        <v>189</v>
      </c>
      <c r="I407" s="823"/>
      <c r="J407" s="823"/>
      <c r="K407" s="823"/>
      <c r="L407" s="823"/>
      <c r="M407" s="56">
        <v>20.12</v>
      </c>
      <c r="N407" s="823"/>
      <c r="O407" s="823"/>
      <c r="P407" s="823"/>
      <c r="Q407" s="823"/>
      <c r="R407" s="823"/>
      <c r="S407" s="823"/>
      <c r="T407" s="823"/>
      <c r="U407" s="823"/>
      <c r="V407" s="823"/>
      <c r="W407" s="823"/>
      <c r="X407" s="823"/>
      <c r="Y407" s="823"/>
      <c r="Z407" s="823"/>
      <c r="AA407" s="823"/>
      <c r="AB407" s="823"/>
      <c r="AC407" s="823"/>
      <c r="AD407" s="823"/>
      <c r="AE407" s="823"/>
      <c r="AF407" s="823"/>
      <c r="AG407" s="823"/>
      <c r="AH407" s="56">
        <v>0</v>
      </c>
      <c r="AI407" s="823"/>
      <c r="AJ407" s="823"/>
      <c r="AK407" s="56">
        <v>20.12</v>
      </c>
      <c r="AL407" s="56">
        <v>0</v>
      </c>
    </row>
    <row r="408" spans="1:38" ht="15.75" thickBot="1" x14ac:dyDescent="0.3">
      <c r="A408" s="51" t="s">
        <v>1022</v>
      </c>
      <c r="B408" s="51" t="s">
        <v>53</v>
      </c>
      <c r="C408" s="51" t="s">
        <v>836</v>
      </c>
      <c r="D408" s="51" t="s">
        <v>320</v>
      </c>
      <c r="E408" s="51" t="s">
        <v>620</v>
      </c>
      <c r="F408" s="51" t="s">
        <v>266</v>
      </c>
      <c r="G408" s="56">
        <v>111.02</v>
      </c>
      <c r="H408" s="823"/>
      <c r="I408" s="823"/>
      <c r="J408" s="823"/>
      <c r="K408" s="823"/>
      <c r="L408" s="823"/>
      <c r="M408" s="823"/>
      <c r="N408" s="823"/>
      <c r="O408" s="823"/>
      <c r="P408" s="823"/>
      <c r="Q408" s="823"/>
      <c r="R408" s="823"/>
      <c r="S408" s="823"/>
      <c r="T408" s="823"/>
      <c r="U408" s="823"/>
      <c r="V408" s="823"/>
      <c r="W408" s="823"/>
      <c r="X408" s="823"/>
      <c r="Y408" s="823"/>
      <c r="Z408" s="56">
        <v>111.02</v>
      </c>
      <c r="AA408" s="823"/>
      <c r="AB408" s="823"/>
      <c r="AC408" s="823"/>
      <c r="AD408" s="823"/>
      <c r="AE408" s="823"/>
      <c r="AF408" s="823"/>
      <c r="AG408" s="823"/>
      <c r="AH408" s="56">
        <v>0</v>
      </c>
      <c r="AI408" s="823"/>
      <c r="AJ408" s="823"/>
      <c r="AK408" s="56">
        <v>111.02</v>
      </c>
      <c r="AL408" s="56">
        <v>0</v>
      </c>
    </row>
    <row r="409" spans="1:38" ht="15.75" thickBot="1" x14ac:dyDescent="0.3">
      <c r="A409" s="51" t="s">
        <v>1022</v>
      </c>
      <c r="B409" s="51" t="s">
        <v>53</v>
      </c>
      <c r="C409" s="51" t="s">
        <v>836</v>
      </c>
      <c r="D409" s="51" t="s">
        <v>320</v>
      </c>
      <c r="E409" s="51" t="s">
        <v>621</v>
      </c>
      <c r="F409" s="51" t="s">
        <v>266</v>
      </c>
      <c r="G409" s="56">
        <v>2.21</v>
      </c>
      <c r="H409" s="823"/>
      <c r="I409" s="823"/>
      <c r="J409" s="823"/>
      <c r="K409" s="823"/>
      <c r="L409" s="823"/>
      <c r="M409" s="823"/>
      <c r="N409" s="823"/>
      <c r="O409" s="823"/>
      <c r="P409" s="823"/>
      <c r="Q409" s="823"/>
      <c r="R409" s="823"/>
      <c r="S409" s="823"/>
      <c r="T409" s="823"/>
      <c r="U409" s="823"/>
      <c r="V409" s="823"/>
      <c r="W409" s="823"/>
      <c r="X409" s="823"/>
      <c r="Y409" s="823"/>
      <c r="Z409" s="823"/>
      <c r="AA409" s="56">
        <v>2.21</v>
      </c>
      <c r="AB409" s="823"/>
      <c r="AC409" s="823"/>
      <c r="AD409" s="823"/>
      <c r="AE409" s="823"/>
      <c r="AF409" s="823"/>
      <c r="AG409" s="823"/>
      <c r="AH409" s="56">
        <v>0</v>
      </c>
      <c r="AI409" s="823"/>
      <c r="AJ409" s="823"/>
      <c r="AK409" s="56">
        <v>2.21</v>
      </c>
      <c r="AL409" s="56">
        <v>0</v>
      </c>
    </row>
    <row r="410" spans="1:38" ht="15.75" thickBot="1" x14ac:dyDescent="0.3">
      <c r="A410" s="51" t="s">
        <v>1022</v>
      </c>
      <c r="B410" s="51" t="s">
        <v>53</v>
      </c>
      <c r="C410" s="51" t="s">
        <v>836</v>
      </c>
      <c r="D410" s="51" t="s">
        <v>320</v>
      </c>
      <c r="E410" s="51" t="s">
        <v>273</v>
      </c>
      <c r="F410" s="51" t="s">
        <v>266</v>
      </c>
      <c r="G410" s="56">
        <v>16.260000000000002</v>
      </c>
      <c r="H410" s="823"/>
      <c r="I410" s="823"/>
      <c r="J410" s="823"/>
      <c r="K410" s="823"/>
      <c r="L410" s="823"/>
      <c r="M410" s="823"/>
      <c r="N410" s="823"/>
      <c r="O410" s="823"/>
      <c r="P410" s="823"/>
      <c r="Q410" s="823"/>
      <c r="R410" s="823"/>
      <c r="S410" s="823"/>
      <c r="T410" s="823"/>
      <c r="U410" s="823"/>
      <c r="V410" s="823"/>
      <c r="W410" s="823"/>
      <c r="X410" s="823"/>
      <c r="Y410" s="56">
        <v>16.260000000000002</v>
      </c>
      <c r="Z410" s="823"/>
      <c r="AA410" s="823"/>
      <c r="AB410" s="823"/>
      <c r="AC410" s="823"/>
      <c r="AD410" s="823"/>
      <c r="AE410" s="823"/>
      <c r="AF410" s="823"/>
      <c r="AG410" s="823"/>
      <c r="AH410" s="56">
        <v>0</v>
      </c>
      <c r="AI410" s="823"/>
      <c r="AJ410" s="823"/>
      <c r="AK410" s="56">
        <v>16.260000000000002</v>
      </c>
      <c r="AL410" s="56">
        <v>0</v>
      </c>
    </row>
    <row r="411" spans="1:38" ht="15.75" thickBot="1" x14ac:dyDescent="0.3">
      <c r="A411" s="51" t="s">
        <v>1022</v>
      </c>
      <c r="B411" s="51" t="s">
        <v>53</v>
      </c>
      <c r="C411" s="51" t="s">
        <v>836</v>
      </c>
      <c r="D411" s="51" t="s">
        <v>320</v>
      </c>
      <c r="E411" s="51" t="s">
        <v>268</v>
      </c>
      <c r="F411" s="51" t="s">
        <v>266</v>
      </c>
      <c r="G411" s="56">
        <v>550</v>
      </c>
      <c r="H411" s="823"/>
      <c r="I411" s="823"/>
      <c r="J411" s="823"/>
      <c r="K411" s="56">
        <v>550</v>
      </c>
      <c r="L411" s="823"/>
      <c r="M411" s="823"/>
      <c r="N411" s="823"/>
      <c r="O411" s="823"/>
      <c r="P411" s="823"/>
      <c r="Q411" s="823"/>
      <c r="R411" s="823"/>
      <c r="S411" s="823"/>
      <c r="T411" s="823"/>
      <c r="U411" s="823"/>
      <c r="V411" s="823"/>
      <c r="W411" s="823"/>
      <c r="X411" s="823"/>
      <c r="Y411" s="823"/>
      <c r="Z411" s="823"/>
      <c r="AA411" s="823"/>
      <c r="AB411" s="823"/>
      <c r="AC411" s="823"/>
      <c r="AD411" s="823"/>
      <c r="AE411" s="823"/>
      <c r="AF411" s="823"/>
      <c r="AG411" s="823"/>
      <c r="AH411" s="56">
        <v>0</v>
      </c>
      <c r="AI411" s="823"/>
      <c r="AJ411" s="823"/>
      <c r="AK411" s="56">
        <v>550</v>
      </c>
      <c r="AL411" s="56">
        <v>0</v>
      </c>
    </row>
    <row r="412" spans="1:38" ht="23.25" thickBot="1" x14ac:dyDescent="0.3">
      <c r="A412" s="51" t="s">
        <v>1022</v>
      </c>
      <c r="B412" s="51" t="s">
        <v>36</v>
      </c>
      <c r="C412" s="51" t="s">
        <v>438</v>
      </c>
      <c r="D412" s="51" t="s">
        <v>320</v>
      </c>
      <c r="E412" s="51" t="s">
        <v>269</v>
      </c>
      <c r="F412" s="51" t="s">
        <v>915</v>
      </c>
      <c r="G412" s="56">
        <v>-1193.1500000000001</v>
      </c>
      <c r="H412" s="823"/>
      <c r="I412" s="823"/>
      <c r="J412" s="823"/>
      <c r="K412" s="823"/>
      <c r="L412" s="823"/>
      <c r="M412" s="823"/>
      <c r="N412" s="823"/>
      <c r="O412" s="823"/>
      <c r="P412" s="823"/>
      <c r="Q412" s="823"/>
      <c r="R412" s="823"/>
      <c r="S412" s="823"/>
      <c r="T412" s="56">
        <v>-1193.1500000000001</v>
      </c>
      <c r="U412" s="823"/>
      <c r="V412" s="823"/>
      <c r="W412" s="823"/>
      <c r="X412" s="823"/>
      <c r="Y412" s="823"/>
      <c r="Z412" s="823"/>
      <c r="AA412" s="823"/>
      <c r="AB412" s="823"/>
      <c r="AC412" s="823"/>
      <c r="AD412" s="823"/>
      <c r="AE412" s="823"/>
      <c r="AF412" s="823"/>
      <c r="AG412" s="823"/>
      <c r="AH412" s="56">
        <v>-71.59</v>
      </c>
      <c r="AI412" s="823"/>
      <c r="AJ412" s="823"/>
      <c r="AK412" s="56">
        <v>-1264.74</v>
      </c>
      <c r="AL412" s="56">
        <v>0</v>
      </c>
    </row>
    <row r="413" spans="1:38" ht="15.75" thickBot="1" x14ac:dyDescent="0.3">
      <c r="A413" s="51" t="s">
        <v>1022</v>
      </c>
      <c r="B413" s="51" t="s">
        <v>36</v>
      </c>
      <c r="C413" s="51" t="s">
        <v>438</v>
      </c>
      <c r="D413" s="51" t="s">
        <v>320</v>
      </c>
      <c r="E413" s="51" t="s">
        <v>272</v>
      </c>
      <c r="F413" s="51" t="s">
        <v>266</v>
      </c>
      <c r="G413" s="56">
        <v>36000</v>
      </c>
      <c r="H413" s="823"/>
      <c r="I413" s="823"/>
      <c r="J413" s="823"/>
      <c r="K413" s="56">
        <v>36000</v>
      </c>
      <c r="L413" s="823"/>
      <c r="M413" s="823"/>
      <c r="N413" s="823"/>
      <c r="O413" s="823"/>
      <c r="P413" s="823"/>
      <c r="Q413" s="823"/>
      <c r="R413" s="823"/>
      <c r="S413" s="823"/>
      <c r="T413" s="823"/>
      <c r="U413" s="823"/>
      <c r="V413" s="823"/>
      <c r="W413" s="823"/>
      <c r="X413" s="823"/>
      <c r="Y413" s="823"/>
      <c r="Z413" s="823"/>
      <c r="AA413" s="823"/>
      <c r="AB413" s="823"/>
      <c r="AC413" s="823"/>
      <c r="AD413" s="823"/>
      <c r="AE413" s="823"/>
      <c r="AF413" s="823"/>
      <c r="AG413" s="823"/>
      <c r="AH413" s="56">
        <v>1604.26</v>
      </c>
      <c r="AI413" s="823"/>
      <c r="AJ413" s="823"/>
      <c r="AK413" s="56">
        <v>37604.26</v>
      </c>
      <c r="AL413" s="56">
        <v>0</v>
      </c>
    </row>
    <row r="414" spans="1:38" ht="15.75" thickBot="1" x14ac:dyDescent="0.3">
      <c r="A414" s="51" t="s">
        <v>1022</v>
      </c>
      <c r="B414" s="51" t="s">
        <v>36</v>
      </c>
      <c r="C414" s="51" t="s">
        <v>438</v>
      </c>
      <c r="D414" s="51" t="s">
        <v>320</v>
      </c>
      <c r="E414" s="51" t="s">
        <v>265</v>
      </c>
      <c r="F414" s="51" t="s">
        <v>266</v>
      </c>
      <c r="G414" s="56">
        <v>23682.06</v>
      </c>
      <c r="H414" s="56">
        <v>6232130</v>
      </c>
      <c r="I414" s="823"/>
      <c r="J414" s="823"/>
      <c r="K414" s="823"/>
      <c r="L414" s="823"/>
      <c r="M414" s="56">
        <v>23682.06</v>
      </c>
      <c r="N414" s="823"/>
      <c r="O414" s="823"/>
      <c r="P414" s="823"/>
      <c r="Q414" s="823"/>
      <c r="R414" s="823"/>
      <c r="S414" s="823"/>
      <c r="T414" s="823"/>
      <c r="U414" s="823"/>
      <c r="V414" s="823"/>
      <c r="W414" s="823"/>
      <c r="X414" s="823"/>
      <c r="Y414" s="823"/>
      <c r="Z414" s="823"/>
      <c r="AA414" s="823"/>
      <c r="AB414" s="823"/>
      <c r="AC414" s="823"/>
      <c r="AD414" s="823"/>
      <c r="AE414" s="823"/>
      <c r="AF414" s="823"/>
      <c r="AG414" s="823"/>
      <c r="AH414" s="56">
        <v>993.89</v>
      </c>
      <c r="AI414" s="823"/>
      <c r="AJ414" s="823"/>
      <c r="AK414" s="56">
        <v>24675.95</v>
      </c>
      <c r="AL414" s="56">
        <v>0</v>
      </c>
    </row>
    <row r="415" spans="1:38" ht="15.75" thickBot="1" x14ac:dyDescent="0.3">
      <c r="A415" s="51" t="s">
        <v>1022</v>
      </c>
      <c r="B415" s="51" t="s">
        <v>36</v>
      </c>
      <c r="C415" s="51" t="s">
        <v>438</v>
      </c>
      <c r="D415" s="51" t="s">
        <v>320</v>
      </c>
      <c r="E415" s="51" t="s">
        <v>621</v>
      </c>
      <c r="F415" s="51" t="s">
        <v>266</v>
      </c>
      <c r="G415" s="56">
        <v>6107.5</v>
      </c>
      <c r="H415" s="823"/>
      <c r="I415" s="823"/>
      <c r="J415" s="823"/>
      <c r="K415" s="823"/>
      <c r="L415" s="823"/>
      <c r="M415" s="823"/>
      <c r="N415" s="823"/>
      <c r="O415" s="823"/>
      <c r="P415" s="823"/>
      <c r="Q415" s="823"/>
      <c r="R415" s="823"/>
      <c r="S415" s="823"/>
      <c r="T415" s="823"/>
      <c r="U415" s="823"/>
      <c r="V415" s="823"/>
      <c r="W415" s="823"/>
      <c r="X415" s="823"/>
      <c r="Y415" s="823"/>
      <c r="Z415" s="823"/>
      <c r="AA415" s="56">
        <v>6107.5</v>
      </c>
      <c r="AB415" s="823"/>
      <c r="AC415" s="823"/>
      <c r="AD415" s="823"/>
      <c r="AE415" s="823"/>
      <c r="AF415" s="823"/>
      <c r="AG415" s="823"/>
      <c r="AH415" s="56">
        <v>256.33</v>
      </c>
      <c r="AI415" s="823"/>
      <c r="AJ415" s="823"/>
      <c r="AK415" s="56">
        <v>6363.83</v>
      </c>
      <c r="AL415" s="56">
        <v>0</v>
      </c>
    </row>
    <row r="416" spans="1:38" ht="23.25" thickBot="1" x14ac:dyDescent="0.3">
      <c r="A416" s="51" t="s">
        <v>1022</v>
      </c>
      <c r="B416" s="51" t="s">
        <v>36</v>
      </c>
      <c r="C416" s="51" t="s">
        <v>438</v>
      </c>
      <c r="D416" s="51" t="s">
        <v>320</v>
      </c>
      <c r="E416" s="51" t="s">
        <v>271</v>
      </c>
      <c r="F416" s="51" t="s">
        <v>915</v>
      </c>
      <c r="G416" s="56">
        <v>25.72</v>
      </c>
      <c r="H416" s="823"/>
      <c r="I416" s="823"/>
      <c r="J416" s="823"/>
      <c r="K416" s="823"/>
      <c r="L416" s="823"/>
      <c r="M416" s="823"/>
      <c r="N416" s="823"/>
      <c r="O416" s="823"/>
      <c r="P416" s="823"/>
      <c r="Q416" s="823"/>
      <c r="R416" s="823"/>
      <c r="S416" s="823"/>
      <c r="T416" s="823"/>
      <c r="U416" s="56">
        <v>25.72</v>
      </c>
      <c r="V416" s="823"/>
      <c r="W416" s="823"/>
      <c r="X416" s="823"/>
      <c r="Y416" s="823"/>
      <c r="Z416" s="823"/>
      <c r="AA416" s="823"/>
      <c r="AB416" s="823"/>
      <c r="AC416" s="823"/>
      <c r="AD416" s="823"/>
      <c r="AE416" s="823"/>
      <c r="AF416" s="823"/>
      <c r="AG416" s="823"/>
      <c r="AH416" s="56">
        <v>1.54</v>
      </c>
      <c r="AI416" s="823"/>
      <c r="AJ416" s="823"/>
      <c r="AK416" s="56">
        <v>27.26</v>
      </c>
      <c r="AL416" s="56">
        <v>0</v>
      </c>
    </row>
    <row r="417" spans="1:38" ht="15.75" thickBot="1" x14ac:dyDescent="0.3">
      <c r="A417" s="51" t="s">
        <v>1022</v>
      </c>
      <c r="B417" s="51" t="s">
        <v>36</v>
      </c>
      <c r="C417" s="51" t="s">
        <v>438</v>
      </c>
      <c r="D417" s="51" t="s">
        <v>320</v>
      </c>
      <c r="E417" s="51" t="s">
        <v>325</v>
      </c>
      <c r="F417" s="51" t="s">
        <v>266</v>
      </c>
      <c r="G417" s="56">
        <v>161.11000000000001</v>
      </c>
      <c r="H417" s="823"/>
      <c r="I417" s="823"/>
      <c r="J417" s="823"/>
      <c r="K417" s="823"/>
      <c r="L417" s="823"/>
      <c r="M417" s="823"/>
      <c r="N417" s="56">
        <v>161.11000000000001</v>
      </c>
      <c r="O417" s="823"/>
      <c r="P417" s="823"/>
      <c r="Q417" s="823"/>
      <c r="R417" s="823"/>
      <c r="S417" s="823"/>
      <c r="T417" s="823"/>
      <c r="U417" s="823"/>
      <c r="V417" s="823"/>
      <c r="W417" s="823"/>
      <c r="X417" s="823"/>
      <c r="Y417" s="823"/>
      <c r="Z417" s="823"/>
      <c r="AA417" s="823"/>
      <c r="AB417" s="823"/>
      <c r="AC417" s="823"/>
      <c r="AD417" s="823"/>
      <c r="AE417" s="823"/>
      <c r="AF417" s="823"/>
      <c r="AG417" s="823"/>
      <c r="AH417" s="56">
        <v>7.83</v>
      </c>
      <c r="AI417" s="823"/>
      <c r="AJ417" s="823"/>
      <c r="AK417" s="56">
        <v>168.94</v>
      </c>
      <c r="AL417" s="56">
        <v>0</v>
      </c>
    </row>
    <row r="418" spans="1:38" ht="15.75" thickBot="1" x14ac:dyDescent="0.3">
      <c r="A418" s="51" t="s">
        <v>1022</v>
      </c>
      <c r="B418" s="51" t="s">
        <v>36</v>
      </c>
      <c r="C418" s="51" t="s">
        <v>438</v>
      </c>
      <c r="D418" s="51" t="s">
        <v>320</v>
      </c>
      <c r="E418" s="51" t="s">
        <v>268</v>
      </c>
      <c r="F418" s="51" t="s">
        <v>266</v>
      </c>
      <c r="G418" s="56">
        <v>26400</v>
      </c>
      <c r="H418" s="823"/>
      <c r="I418" s="823"/>
      <c r="J418" s="823"/>
      <c r="K418" s="56">
        <v>26400</v>
      </c>
      <c r="L418" s="823"/>
      <c r="M418" s="823"/>
      <c r="N418" s="823"/>
      <c r="O418" s="823"/>
      <c r="P418" s="823"/>
      <c r="Q418" s="823"/>
      <c r="R418" s="823"/>
      <c r="S418" s="823"/>
      <c r="T418" s="823"/>
      <c r="U418" s="823"/>
      <c r="V418" s="823"/>
      <c r="W418" s="823"/>
      <c r="X418" s="823"/>
      <c r="Y418" s="823"/>
      <c r="Z418" s="823"/>
      <c r="AA418" s="823"/>
      <c r="AB418" s="823"/>
      <c r="AC418" s="823"/>
      <c r="AD418" s="823"/>
      <c r="AE418" s="823"/>
      <c r="AF418" s="823"/>
      <c r="AG418" s="823"/>
      <c r="AH418" s="56">
        <v>1176.45</v>
      </c>
      <c r="AI418" s="823"/>
      <c r="AJ418" s="823"/>
      <c r="AK418" s="56">
        <v>27576.45</v>
      </c>
      <c r="AL418" s="56">
        <v>0</v>
      </c>
    </row>
    <row r="419" spans="1:38" ht="15.75" thickBot="1" x14ac:dyDescent="0.3">
      <c r="A419" s="51" t="s">
        <v>1022</v>
      </c>
      <c r="B419" s="51" t="s">
        <v>36</v>
      </c>
      <c r="C419" s="51" t="s">
        <v>438</v>
      </c>
      <c r="D419" s="51" t="s">
        <v>320</v>
      </c>
      <c r="E419" s="51" t="s">
        <v>914</v>
      </c>
      <c r="F419" s="51" t="s">
        <v>266</v>
      </c>
      <c r="G419" s="56">
        <v>319998.7</v>
      </c>
      <c r="H419" s="823"/>
      <c r="I419" s="823"/>
      <c r="J419" s="823"/>
      <c r="K419" s="823"/>
      <c r="L419" s="56">
        <v>319998.7</v>
      </c>
      <c r="M419" s="823"/>
      <c r="N419" s="823"/>
      <c r="O419" s="823"/>
      <c r="P419" s="823"/>
      <c r="Q419" s="823"/>
      <c r="R419" s="823"/>
      <c r="S419" s="823"/>
      <c r="T419" s="823"/>
      <c r="U419" s="823"/>
      <c r="V419" s="823"/>
      <c r="W419" s="823"/>
      <c r="X419" s="823"/>
      <c r="Y419" s="823"/>
      <c r="Z419" s="823"/>
      <c r="AA419" s="823"/>
      <c r="AB419" s="823"/>
      <c r="AC419" s="823"/>
      <c r="AD419" s="823"/>
      <c r="AE419" s="823"/>
      <c r="AF419" s="823"/>
      <c r="AG419" s="823"/>
      <c r="AH419" s="56">
        <v>14374.43</v>
      </c>
      <c r="AI419" s="823"/>
      <c r="AJ419" s="823"/>
      <c r="AK419" s="56">
        <v>334373.13</v>
      </c>
      <c r="AL419" s="56">
        <v>0</v>
      </c>
    </row>
    <row r="420" spans="1:38" ht="15.75" thickBot="1" x14ac:dyDescent="0.3">
      <c r="A420" s="51" t="s">
        <v>1022</v>
      </c>
      <c r="B420" s="51" t="s">
        <v>36</v>
      </c>
      <c r="C420" s="51" t="s">
        <v>438</v>
      </c>
      <c r="D420" s="51" t="s">
        <v>320</v>
      </c>
      <c r="E420" s="51" t="s">
        <v>329</v>
      </c>
      <c r="F420" s="51" t="s">
        <v>266</v>
      </c>
      <c r="G420" s="56">
        <v>344.6</v>
      </c>
      <c r="H420" s="823"/>
      <c r="I420" s="823"/>
      <c r="J420" s="823"/>
      <c r="K420" s="823"/>
      <c r="L420" s="823"/>
      <c r="M420" s="823"/>
      <c r="N420" s="823"/>
      <c r="O420" s="823"/>
      <c r="P420" s="823"/>
      <c r="Q420" s="823"/>
      <c r="R420" s="823"/>
      <c r="S420" s="823"/>
      <c r="T420" s="823"/>
      <c r="U420" s="823"/>
      <c r="V420" s="823"/>
      <c r="W420" s="56">
        <v>344.6</v>
      </c>
      <c r="X420" s="823"/>
      <c r="Y420" s="823"/>
      <c r="Z420" s="823"/>
      <c r="AA420" s="823"/>
      <c r="AB420" s="823"/>
      <c r="AC420" s="823"/>
      <c r="AD420" s="823"/>
      <c r="AE420" s="823"/>
      <c r="AF420" s="823"/>
      <c r="AG420" s="823"/>
      <c r="AH420" s="56">
        <v>20.68</v>
      </c>
      <c r="AI420" s="823"/>
      <c r="AJ420" s="823"/>
      <c r="AK420" s="56">
        <v>365.28</v>
      </c>
      <c r="AL420" s="56">
        <v>0</v>
      </c>
    </row>
    <row r="421" spans="1:38" ht="15.75" thickBot="1" x14ac:dyDescent="0.3">
      <c r="A421" s="51" t="s">
        <v>1022</v>
      </c>
      <c r="B421" s="51" t="s">
        <v>36</v>
      </c>
      <c r="C421" s="51" t="s">
        <v>438</v>
      </c>
      <c r="D421" s="51" t="s">
        <v>320</v>
      </c>
      <c r="E421" s="51" t="s">
        <v>330</v>
      </c>
      <c r="F421" s="51" t="s">
        <v>266</v>
      </c>
      <c r="G421" s="56">
        <v>804.69</v>
      </c>
      <c r="H421" s="823"/>
      <c r="I421" s="823"/>
      <c r="J421" s="823"/>
      <c r="K421" s="823"/>
      <c r="L421" s="823"/>
      <c r="M421" s="823"/>
      <c r="N421" s="823"/>
      <c r="O421" s="823"/>
      <c r="P421" s="823"/>
      <c r="Q421" s="823"/>
      <c r="R421" s="823"/>
      <c r="S421" s="823"/>
      <c r="T421" s="823"/>
      <c r="U421" s="823"/>
      <c r="V421" s="823"/>
      <c r="W421" s="823"/>
      <c r="X421" s="56">
        <v>804.69</v>
      </c>
      <c r="Y421" s="823"/>
      <c r="Z421" s="823"/>
      <c r="AA421" s="823"/>
      <c r="AB421" s="823"/>
      <c r="AC421" s="823"/>
      <c r="AD421" s="823"/>
      <c r="AE421" s="823"/>
      <c r="AF421" s="823"/>
      <c r="AG421" s="823"/>
      <c r="AH421" s="56">
        <v>48.28</v>
      </c>
      <c r="AI421" s="823"/>
      <c r="AJ421" s="823"/>
      <c r="AK421" s="56">
        <v>852.97</v>
      </c>
      <c r="AL421" s="56">
        <v>0</v>
      </c>
    </row>
    <row r="422" spans="1:38" ht="15.75" thickBot="1" x14ac:dyDescent="0.3">
      <c r="A422" s="51" t="s">
        <v>1022</v>
      </c>
      <c r="B422" s="51" t="s">
        <v>36</v>
      </c>
      <c r="C422" s="51" t="s">
        <v>438</v>
      </c>
      <c r="D422" s="51" t="s">
        <v>319</v>
      </c>
      <c r="E422" s="51" t="s">
        <v>272</v>
      </c>
      <c r="F422" s="51" t="s">
        <v>266</v>
      </c>
      <c r="G422" s="54">
        <v>1500</v>
      </c>
      <c r="H422" s="822"/>
      <c r="I422" s="822"/>
      <c r="J422" s="822"/>
      <c r="K422" s="54">
        <v>1500</v>
      </c>
      <c r="L422" s="822"/>
      <c r="M422" s="822"/>
      <c r="N422" s="822"/>
      <c r="O422" s="822"/>
      <c r="P422" s="822"/>
      <c r="Q422" s="822"/>
      <c r="R422" s="822"/>
      <c r="S422" s="822"/>
      <c r="T422" s="822"/>
      <c r="U422" s="822"/>
      <c r="V422" s="822"/>
      <c r="W422" s="822"/>
      <c r="X422" s="822"/>
      <c r="Y422" s="822"/>
      <c r="Z422" s="822"/>
      <c r="AA422" s="822"/>
      <c r="AB422" s="822"/>
      <c r="AC422" s="822"/>
      <c r="AD422" s="822"/>
      <c r="AE422" s="822"/>
      <c r="AF422" s="822"/>
      <c r="AG422" s="822"/>
      <c r="AH422" s="54">
        <v>0</v>
      </c>
      <c r="AI422" s="822"/>
      <c r="AJ422" s="822"/>
      <c r="AK422" s="54">
        <v>1500</v>
      </c>
      <c r="AL422" s="54">
        <v>0</v>
      </c>
    </row>
    <row r="423" spans="1:38" ht="15.75" thickBot="1" x14ac:dyDescent="0.3">
      <c r="A423" s="51" t="s">
        <v>1022</v>
      </c>
      <c r="B423" s="51" t="s">
        <v>36</v>
      </c>
      <c r="C423" s="51" t="s">
        <v>438</v>
      </c>
      <c r="D423" s="51" t="s">
        <v>319</v>
      </c>
      <c r="E423" s="51" t="s">
        <v>265</v>
      </c>
      <c r="F423" s="51" t="s">
        <v>266</v>
      </c>
      <c r="G423" s="54">
        <v>1400.62</v>
      </c>
      <c r="H423" s="54">
        <v>368584</v>
      </c>
      <c r="I423" s="822"/>
      <c r="J423" s="822"/>
      <c r="K423" s="822"/>
      <c r="L423" s="822"/>
      <c r="M423" s="54">
        <v>1400.62</v>
      </c>
      <c r="N423" s="822"/>
      <c r="O423" s="822"/>
      <c r="P423" s="822"/>
      <c r="Q423" s="822"/>
      <c r="R423" s="822"/>
      <c r="S423" s="822"/>
      <c r="T423" s="822"/>
      <c r="U423" s="822"/>
      <c r="V423" s="822"/>
      <c r="W423" s="822"/>
      <c r="X423" s="822"/>
      <c r="Y423" s="822"/>
      <c r="Z423" s="822"/>
      <c r="AA423" s="822"/>
      <c r="AB423" s="822"/>
      <c r="AC423" s="822"/>
      <c r="AD423" s="822"/>
      <c r="AE423" s="822"/>
      <c r="AF423" s="822"/>
      <c r="AG423" s="822"/>
      <c r="AH423" s="54">
        <v>0</v>
      </c>
      <c r="AI423" s="822"/>
      <c r="AJ423" s="822"/>
      <c r="AK423" s="54">
        <v>1400.62</v>
      </c>
      <c r="AL423" s="54">
        <v>0</v>
      </c>
    </row>
    <row r="424" spans="1:38" ht="15.75" thickBot="1" x14ac:dyDescent="0.3">
      <c r="A424" s="51" t="s">
        <v>1022</v>
      </c>
      <c r="B424" s="51" t="s">
        <v>36</v>
      </c>
      <c r="C424" s="51" t="s">
        <v>438</v>
      </c>
      <c r="D424" s="51" t="s">
        <v>319</v>
      </c>
      <c r="E424" s="51" t="s">
        <v>621</v>
      </c>
      <c r="F424" s="51" t="s">
        <v>266</v>
      </c>
      <c r="G424" s="54">
        <v>361.22</v>
      </c>
      <c r="H424" s="822"/>
      <c r="I424" s="822"/>
      <c r="J424" s="822"/>
      <c r="K424" s="822"/>
      <c r="L424" s="822"/>
      <c r="M424" s="822"/>
      <c r="N424" s="822"/>
      <c r="O424" s="822"/>
      <c r="P424" s="822"/>
      <c r="Q424" s="822"/>
      <c r="R424" s="822"/>
      <c r="S424" s="822"/>
      <c r="T424" s="822"/>
      <c r="U424" s="822"/>
      <c r="V424" s="822"/>
      <c r="W424" s="822"/>
      <c r="X424" s="822"/>
      <c r="Y424" s="822"/>
      <c r="Z424" s="822"/>
      <c r="AA424" s="54">
        <v>361.22</v>
      </c>
      <c r="AB424" s="822"/>
      <c r="AC424" s="822"/>
      <c r="AD424" s="822"/>
      <c r="AE424" s="822"/>
      <c r="AF424" s="822"/>
      <c r="AG424" s="822"/>
      <c r="AH424" s="54">
        <v>0</v>
      </c>
      <c r="AI424" s="822"/>
      <c r="AJ424" s="822"/>
      <c r="AK424" s="54">
        <v>361.22</v>
      </c>
      <c r="AL424" s="54">
        <v>0</v>
      </c>
    </row>
    <row r="425" spans="1:38" ht="15.75" thickBot="1" x14ac:dyDescent="0.3">
      <c r="A425" s="51" t="s">
        <v>1022</v>
      </c>
      <c r="B425" s="51" t="s">
        <v>36</v>
      </c>
      <c r="C425" s="51" t="s">
        <v>438</v>
      </c>
      <c r="D425" s="51" t="s">
        <v>319</v>
      </c>
      <c r="E425" s="51" t="s">
        <v>325</v>
      </c>
      <c r="F425" s="51" t="s">
        <v>266</v>
      </c>
      <c r="G425" s="54">
        <v>9.18</v>
      </c>
      <c r="H425" s="822"/>
      <c r="I425" s="822"/>
      <c r="J425" s="822"/>
      <c r="K425" s="822"/>
      <c r="L425" s="822"/>
      <c r="M425" s="822"/>
      <c r="N425" s="54">
        <v>9.18</v>
      </c>
      <c r="O425" s="822"/>
      <c r="P425" s="822"/>
      <c r="Q425" s="822"/>
      <c r="R425" s="822"/>
      <c r="S425" s="822"/>
      <c r="T425" s="822"/>
      <c r="U425" s="822"/>
      <c r="V425" s="822"/>
      <c r="W425" s="822"/>
      <c r="X425" s="822"/>
      <c r="Y425" s="822"/>
      <c r="Z425" s="822"/>
      <c r="AA425" s="822"/>
      <c r="AB425" s="822"/>
      <c r="AC425" s="822"/>
      <c r="AD425" s="822"/>
      <c r="AE425" s="822"/>
      <c r="AF425" s="822"/>
      <c r="AG425" s="822"/>
      <c r="AH425" s="54">
        <v>0</v>
      </c>
      <c r="AI425" s="822"/>
      <c r="AJ425" s="822"/>
      <c r="AK425" s="54">
        <v>9.18</v>
      </c>
      <c r="AL425" s="54">
        <v>0</v>
      </c>
    </row>
    <row r="426" spans="1:38" ht="15.75" thickBot="1" x14ac:dyDescent="0.3">
      <c r="A426" s="51" t="s">
        <v>1022</v>
      </c>
      <c r="B426" s="51" t="s">
        <v>36</v>
      </c>
      <c r="C426" s="51" t="s">
        <v>438</v>
      </c>
      <c r="D426" s="51" t="s">
        <v>319</v>
      </c>
      <c r="E426" s="51" t="s">
        <v>268</v>
      </c>
      <c r="F426" s="51" t="s">
        <v>266</v>
      </c>
      <c r="G426" s="54">
        <v>1100</v>
      </c>
      <c r="H426" s="822"/>
      <c r="I426" s="822"/>
      <c r="J426" s="822"/>
      <c r="K426" s="54">
        <v>1100</v>
      </c>
      <c r="L426" s="822"/>
      <c r="M426" s="822"/>
      <c r="N426" s="822"/>
      <c r="O426" s="822"/>
      <c r="P426" s="822"/>
      <c r="Q426" s="822"/>
      <c r="R426" s="822"/>
      <c r="S426" s="822"/>
      <c r="T426" s="822"/>
      <c r="U426" s="822"/>
      <c r="V426" s="822"/>
      <c r="W426" s="822"/>
      <c r="X426" s="822"/>
      <c r="Y426" s="822"/>
      <c r="Z426" s="822"/>
      <c r="AA426" s="822"/>
      <c r="AB426" s="822"/>
      <c r="AC426" s="822"/>
      <c r="AD426" s="822"/>
      <c r="AE426" s="822"/>
      <c r="AF426" s="822"/>
      <c r="AG426" s="822"/>
      <c r="AH426" s="54">
        <v>0</v>
      </c>
      <c r="AI426" s="822"/>
      <c r="AJ426" s="822"/>
      <c r="AK426" s="54">
        <v>1100</v>
      </c>
      <c r="AL426" s="54">
        <v>0</v>
      </c>
    </row>
    <row r="427" spans="1:38" ht="15.75" thickBot="1" x14ac:dyDescent="0.3">
      <c r="A427" s="51" t="s">
        <v>1022</v>
      </c>
      <c r="B427" s="51" t="s">
        <v>36</v>
      </c>
      <c r="C427" s="51" t="s">
        <v>438</v>
      </c>
      <c r="D427" s="51" t="s">
        <v>319</v>
      </c>
      <c r="E427" s="51" t="s">
        <v>914</v>
      </c>
      <c r="F427" s="51" t="s">
        <v>266</v>
      </c>
      <c r="G427" s="54">
        <v>18788.36</v>
      </c>
      <c r="H427" s="822"/>
      <c r="I427" s="822"/>
      <c r="J427" s="822"/>
      <c r="K427" s="822"/>
      <c r="L427" s="54">
        <v>18788.36</v>
      </c>
      <c r="M427" s="822"/>
      <c r="N427" s="822"/>
      <c r="O427" s="822"/>
      <c r="P427" s="822"/>
      <c r="Q427" s="822"/>
      <c r="R427" s="822"/>
      <c r="S427" s="822"/>
      <c r="T427" s="822"/>
      <c r="U427" s="822"/>
      <c r="V427" s="822"/>
      <c r="W427" s="822"/>
      <c r="X427" s="822"/>
      <c r="Y427" s="822"/>
      <c r="Z427" s="822"/>
      <c r="AA427" s="822"/>
      <c r="AB427" s="822"/>
      <c r="AC427" s="822"/>
      <c r="AD427" s="822"/>
      <c r="AE427" s="822"/>
      <c r="AF427" s="822"/>
      <c r="AG427" s="822"/>
      <c r="AH427" s="54">
        <v>0</v>
      </c>
      <c r="AI427" s="822"/>
      <c r="AJ427" s="822"/>
      <c r="AK427" s="54">
        <v>18788.36</v>
      </c>
      <c r="AL427" s="54">
        <v>0</v>
      </c>
    </row>
    <row r="428" spans="1:38" ht="15.75" thickBot="1" x14ac:dyDescent="0.3">
      <c r="A428" s="51" t="s">
        <v>1022</v>
      </c>
      <c r="B428" s="51" t="s">
        <v>447</v>
      </c>
      <c r="C428" s="51" t="s">
        <v>494</v>
      </c>
      <c r="D428" s="51" t="s">
        <v>320</v>
      </c>
      <c r="E428" s="51" t="s">
        <v>109</v>
      </c>
      <c r="F428" s="51" t="s">
        <v>266</v>
      </c>
      <c r="G428" s="56">
        <v>337.33</v>
      </c>
      <c r="H428" s="823"/>
      <c r="I428" s="823"/>
      <c r="J428" s="823"/>
      <c r="K428" s="823"/>
      <c r="L428" s="823"/>
      <c r="M428" s="823"/>
      <c r="N428" s="823"/>
      <c r="O428" s="823"/>
      <c r="P428" s="823"/>
      <c r="Q428" s="56">
        <v>337.33</v>
      </c>
      <c r="R428" s="823"/>
      <c r="S428" s="823"/>
      <c r="T428" s="823"/>
      <c r="U428" s="823"/>
      <c r="V428" s="823"/>
      <c r="W428" s="823"/>
      <c r="X428" s="823"/>
      <c r="Y428" s="823"/>
      <c r="Z428" s="823"/>
      <c r="AA428" s="823"/>
      <c r="AB428" s="823"/>
      <c r="AC428" s="823"/>
      <c r="AD428" s="823"/>
      <c r="AE428" s="823"/>
      <c r="AF428" s="823"/>
      <c r="AG428" s="823"/>
      <c r="AH428" s="56">
        <v>13.88</v>
      </c>
      <c r="AI428" s="823"/>
      <c r="AJ428" s="823"/>
      <c r="AK428" s="56">
        <v>351.21</v>
      </c>
      <c r="AL428" s="56">
        <v>0</v>
      </c>
    </row>
    <row r="429" spans="1:38" ht="15.75" thickBot="1" x14ac:dyDescent="0.3">
      <c r="A429" s="51" t="s">
        <v>1022</v>
      </c>
      <c r="B429" s="51" t="s">
        <v>447</v>
      </c>
      <c r="C429" s="51" t="s">
        <v>494</v>
      </c>
      <c r="D429" s="51" t="s">
        <v>320</v>
      </c>
      <c r="E429" s="51" t="s">
        <v>356</v>
      </c>
      <c r="F429" s="51" t="s">
        <v>266</v>
      </c>
      <c r="G429" s="823"/>
      <c r="H429" s="823"/>
      <c r="I429" s="823"/>
      <c r="J429" s="823"/>
      <c r="K429" s="823"/>
      <c r="L429" s="823"/>
      <c r="M429" s="823"/>
      <c r="N429" s="823"/>
      <c r="O429" s="823"/>
      <c r="P429" s="823"/>
      <c r="Q429" s="823"/>
      <c r="R429" s="823"/>
      <c r="S429" s="823"/>
      <c r="T429" s="823"/>
      <c r="U429" s="823"/>
      <c r="V429" s="823"/>
      <c r="W429" s="823"/>
      <c r="X429" s="823"/>
      <c r="Y429" s="823"/>
      <c r="Z429" s="823"/>
      <c r="AA429" s="823"/>
      <c r="AB429" s="823"/>
      <c r="AC429" s="823"/>
      <c r="AD429" s="823"/>
      <c r="AE429" s="823"/>
      <c r="AF429" s="823"/>
      <c r="AG429" s="56">
        <v>442.92</v>
      </c>
      <c r="AH429" s="56">
        <v>10.33</v>
      </c>
      <c r="AI429" s="823"/>
      <c r="AJ429" s="823"/>
      <c r="AK429" s="56">
        <v>453.25</v>
      </c>
      <c r="AL429" s="56">
        <v>0</v>
      </c>
    </row>
    <row r="430" spans="1:38" ht="15.75" thickBot="1" x14ac:dyDescent="0.3">
      <c r="A430" s="51" t="s">
        <v>1022</v>
      </c>
      <c r="B430" s="51" t="s">
        <v>447</v>
      </c>
      <c r="C430" s="51" t="s">
        <v>494</v>
      </c>
      <c r="D430" s="51" t="s">
        <v>320</v>
      </c>
      <c r="E430" s="51" t="s">
        <v>272</v>
      </c>
      <c r="F430" s="51" t="s">
        <v>266</v>
      </c>
      <c r="G430" s="56">
        <v>11350</v>
      </c>
      <c r="H430" s="823"/>
      <c r="I430" s="823"/>
      <c r="J430" s="823"/>
      <c r="K430" s="56">
        <v>11350</v>
      </c>
      <c r="L430" s="823"/>
      <c r="M430" s="823"/>
      <c r="N430" s="823"/>
      <c r="O430" s="823"/>
      <c r="P430" s="823"/>
      <c r="Q430" s="823"/>
      <c r="R430" s="823"/>
      <c r="S430" s="823"/>
      <c r="T430" s="823"/>
      <c r="U430" s="823"/>
      <c r="V430" s="823"/>
      <c r="W430" s="823"/>
      <c r="X430" s="823"/>
      <c r="Y430" s="823"/>
      <c r="Z430" s="823"/>
      <c r="AA430" s="823"/>
      <c r="AB430" s="823"/>
      <c r="AC430" s="823"/>
      <c r="AD430" s="823"/>
      <c r="AE430" s="823"/>
      <c r="AF430" s="823"/>
      <c r="AG430" s="823"/>
      <c r="AH430" s="56">
        <v>499.05</v>
      </c>
      <c r="AI430" s="823"/>
      <c r="AJ430" s="823"/>
      <c r="AK430" s="56">
        <v>11849.05</v>
      </c>
      <c r="AL430" s="56">
        <v>0</v>
      </c>
    </row>
    <row r="431" spans="1:38" ht="15.75" thickBot="1" x14ac:dyDescent="0.3">
      <c r="A431" s="51" t="s">
        <v>1022</v>
      </c>
      <c r="B431" s="51" t="s">
        <v>447</v>
      </c>
      <c r="C431" s="51" t="s">
        <v>494</v>
      </c>
      <c r="D431" s="51" t="s">
        <v>320</v>
      </c>
      <c r="E431" s="51" t="s">
        <v>265</v>
      </c>
      <c r="F431" s="51" t="s">
        <v>266</v>
      </c>
      <c r="G431" s="56">
        <v>2670.71</v>
      </c>
      <c r="H431" s="56">
        <v>702817</v>
      </c>
      <c r="I431" s="823"/>
      <c r="J431" s="823"/>
      <c r="K431" s="823"/>
      <c r="L431" s="823"/>
      <c r="M431" s="56">
        <v>2670.71</v>
      </c>
      <c r="N431" s="823"/>
      <c r="O431" s="823"/>
      <c r="P431" s="823"/>
      <c r="Q431" s="823"/>
      <c r="R431" s="823"/>
      <c r="S431" s="823"/>
      <c r="T431" s="823"/>
      <c r="U431" s="823"/>
      <c r="V431" s="823"/>
      <c r="W431" s="823"/>
      <c r="X431" s="823"/>
      <c r="Y431" s="823"/>
      <c r="Z431" s="823"/>
      <c r="AA431" s="823"/>
      <c r="AB431" s="823"/>
      <c r="AC431" s="823"/>
      <c r="AD431" s="823"/>
      <c r="AE431" s="823"/>
      <c r="AF431" s="823"/>
      <c r="AG431" s="823"/>
      <c r="AH431" s="56">
        <v>109.86</v>
      </c>
      <c r="AI431" s="823"/>
      <c r="AJ431" s="823"/>
      <c r="AK431" s="56">
        <v>2780.57</v>
      </c>
      <c r="AL431" s="56">
        <v>0</v>
      </c>
    </row>
    <row r="432" spans="1:38" ht="15.75" thickBot="1" x14ac:dyDescent="0.3">
      <c r="A432" s="51" t="s">
        <v>1022</v>
      </c>
      <c r="B432" s="51" t="s">
        <v>447</v>
      </c>
      <c r="C432" s="51" t="s">
        <v>494</v>
      </c>
      <c r="D432" s="51" t="s">
        <v>320</v>
      </c>
      <c r="E432" s="51" t="s">
        <v>621</v>
      </c>
      <c r="F432" s="51" t="s">
        <v>266</v>
      </c>
      <c r="G432" s="56">
        <v>688.76</v>
      </c>
      <c r="H432" s="823"/>
      <c r="I432" s="823"/>
      <c r="J432" s="823"/>
      <c r="K432" s="823"/>
      <c r="L432" s="823"/>
      <c r="M432" s="823"/>
      <c r="N432" s="823"/>
      <c r="O432" s="823"/>
      <c r="P432" s="823"/>
      <c r="Q432" s="823"/>
      <c r="R432" s="823"/>
      <c r="S432" s="823"/>
      <c r="T432" s="823"/>
      <c r="U432" s="823"/>
      <c r="V432" s="823"/>
      <c r="W432" s="823"/>
      <c r="X432" s="823"/>
      <c r="Y432" s="823"/>
      <c r="Z432" s="823"/>
      <c r="AA432" s="56">
        <v>688.76</v>
      </c>
      <c r="AB432" s="823"/>
      <c r="AC432" s="823"/>
      <c r="AD432" s="823"/>
      <c r="AE432" s="823"/>
      <c r="AF432" s="823"/>
      <c r="AG432" s="823"/>
      <c r="AH432" s="56">
        <v>28.33</v>
      </c>
      <c r="AI432" s="823"/>
      <c r="AJ432" s="823"/>
      <c r="AK432" s="56">
        <v>717.09</v>
      </c>
      <c r="AL432" s="56">
        <v>0</v>
      </c>
    </row>
    <row r="433" spans="1:38" ht="15.75" thickBot="1" x14ac:dyDescent="0.3">
      <c r="A433" s="51" t="s">
        <v>1022</v>
      </c>
      <c r="B433" s="51" t="s">
        <v>447</v>
      </c>
      <c r="C433" s="51" t="s">
        <v>494</v>
      </c>
      <c r="D433" s="51" t="s">
        <v>320</v>
      </c>
      <c r="E433" s="51" t="s">
        <v>325</v>
      </c>
      <c r="F433" s="51" t="s">
        <v>266</v>
      </c>
      <c r="G433" s="56">
        <v>108.33</v>
      </c>
      <c r="H433" s="823"/>
      <c r="I433" s="823"/>
      <c r="J433" s="823"/>
      <c r="K433" s="823"/>
      <c r="L433" s="823"/>
      <c r="M433" s="823"/>
      <c r="N433" s="56">
        <v>108.33</v>
      </c>
      <c r="O433" s="823"/>
      <c r="P433" s="823"/>
      <c r="Q433" s="823"/>
      <c r="R433" s="823"/>
      <c r="S433" s="823"/>
      <c r="T433" s="823"/>
      <c r="U433" s="823"/>
      <c r="V433" s="823"/>
      <c r="W433" s="823"/>
      <c r="X433" s="823"/>
      <c r="Y433" s="823"/>
      <c r="Z433" s="823"/>
      <c r="AA433" s="823"/>
      <c r="AB433" s="823"/>
      <c r="AC433" s="823"/>
      <c r="AD433" s="823"/>
      <c r="AE433" s="823"/>
      <c r="AF433" s="823"/>
      <c r="AG433" s="823"/>
      <c r="AH433" s="56">
        <v>3.64</v>
      </c>
      <c r="AI433" s="823"/>
      <c r="AJ433" s="823"/>
      <c r="AK433" s="56">
        <v>111.97</v>
      </c>
      <c r="AL433" s="56">
        <v>0</v>
      </c>
    </row>
    <row r="434" spans="1:38" ht="15.75" thickBot="1" x14ac:dyDescent="0.3">
      <c r="A434" s="51" t="s">
        <v>1022</v>
      </c>
      <c r="B434" s="51" t="s">
        <v>447</v>
      </c>
      <c r="C434" s="51" t="s">
        <v>494</v>
      </c>
      <c r="D434" s="51" t="s">
        <v>320</v>
      </c>
      <c r="E434" s="51" t="s">
        <v>268</v>
      </c>
      <c r="F434" s="51" t="s">
        <v>266</v>
      </c>
      <c r="G434" s="56">
        <v>8323.33</v>
      </c>
      <c r="H434" s="823"/>
      <c r="I434" s="823"/>
      <c r="J434" s="823"/>
      <c r="K434" s="56">
        <v>8323.33</v>
      </c>
      <c r="L434" s="823"/>
      <c r="M434" s="823"/>
      <c r="N434" s="823"/>
      <c r="O434" s="823"/>
      <c r="P434" s="823"/>
      <c r="Q434" s="823"/>
      <c r="R434" s="823"/>
      <c r="S434" s="823"/>
      <c r="T434" s="823"/>
      <c r="U434" s="823"/>
      <c r="V434" s="823"/>
      <c r="W434" s="823"/>
      <c r="X434" s="823"/>
      <c r="Y434" s="823"/>
      <c r="Z434" s="823"/>
      <c r="AA434" s="823"/>
      <c r="AB434" s="823"/>
      <c r="AC434" s="823"/>
      <c r="AD434" s="823"/>
      <c r="AE434" s="823"/>
      <c r="AF434" s="823"/>
      <c r="AG434" s="823"/>
      <c r="AH434" s="56">
        <v>365.97</v>
      </c>
      <c r="AI434" s="823"/>
      <c r="AJ434" s="823"/>
      <c r="AK434" s="56">
        <v>8689.2999999999993</v>
      </c>
      <c r="AL434" s="56">
        <v>0</v>
      </c>
    </row>
    <row r="435" spans="1:38" ht="15.75" thickBot="1" x14ac:dyDescent="0.3">
      <c r="A435" s="51" t="s">
        <v>1022</v>
      </c>
      <c r="B435" s="51" t="s">
        <v>447</v>
      </c>
      <c r="C435" s="51" t="s">
        <v>494</v>
      </c>
      <c r="D435" s="51" t="s">
        <v>320</v>
      </c>
      <c r="E435" s="51" t="s">
        <v>914</v>
      </c>
      <c r="F435" s="51" t="s">
        <v>266</v>
      </c>
      <c r="G435" s="56">
        <v>26269.08</v>
      </c>
      <c r="H435" s="823"/>
      <c r="I435" s="823"/>
      <c r="J435" s="823"/>
      <c r="K435" s="823"/>
      <c r="L435" s="56">
        <v>26269.08</v>
      </c>
      <c r="M435" s="823"/>
      <c r="N435" s="823"/>
      <c r="O435" s="823"/>
      <c r="P435" s="823"/>
      <c r="Q435" s="823"/>
      <c r="R435" s="823"/>
      <c r="S435" s="823"/>
      <c r="T435" s="823"/>
      <c r="U435" s="823"/>
      <c r="V435" s="823"/>
      <c r="W435" s="823"/>
      <c r="X435" s="823"/>
      <c r="Y435" s="823"/>
      <c r="Z435" s="823"/>
      <c r="AA435" s="823"/>
      <c r="AB435" s="823"/>
      <c r="AC435" s="823"/>
      <c r="AD435" s="823"/>
      <c r="AE435" s="823"/>
      <c r="AF435" s="823"/>
      <c r="AG435" s="823"/>
      <c r="AH435" s="56">
        <v>1096.1600000000001</v>
      </c>
      <c r="AI435" s="823"/>
      <c r="AJ435" s="823"/>
      <c r="AK435" s="56">
        <v>27365.24</v>
      </c>
      <c r="AL435" s="56">
        <v>0</v>
      </c>
    </row>
    <row r="436" spans="1:38" ht="23.25" thickBot="1" x14ac:dyDescent="0.3">
      <c r="A436" s="51" t="s">
        <v>1022</v>
      </c>
      <c r="B436" s="51" t="s">
        <v>38</v>
      </c>
      <c r="C436" s="51" t="s">
        <v>39</v>
      </c>
      <c r="D436" s="51" t="s">
        <v>320</v>
      </c>
      <c r="E436" s="51" t="s">
        <v>269</v>
      </c>
      <c r="F436" s="51" t="s">
        <v>915</v>
      </c>
      <c r="G436" s="56">
        <v>-4596.28</v>
      </c>
      <c r="H436" s="823"/>
      <c r="I436" s="823"/>
      <c r="J436" s="823"/>
      <c r="K436" s="823"/>
      <c r="L436" s="823"/>
      <c r="M436" s="823"/>
      <c r="N436" s="823"/>
      <c r="O436" s="823"/>
      <c r="P436" s="823"/>
      <c r="Q436" s="823"/>
      <c r="R436" s="823"/>
      <c r="S436" s="823"/>
      <c r="T436" s="56">
        <v>-4596.28</v>
      </c>
      <c r="U436" s="823"/>
      <c r="V436" s="823"/>
      <c r="W436" s="823"/>
      <c r="X436" s="823"/>
      <c r="Y436" s="823"/>
      <c r="Z436" s="823"/>
      <c r="AA436" s="823"/>
      <c r="AB436" s="823"/>
      <c r="AC436" s="823"/>
      <c r="AD436" s="823"/>
      <c r="AE436" s="823"/>
      <c r="AF436" s="823"/>
      <c r="AG436" s="823"/>
      <c r="AH436" s="56">
        <v>0</v>
      </c>
      <c r="AI436" s="823"/>
      <c r="AJ436" s="823"/>
      <c r="AK436" s="56">
        <v>-4596.28</v>
      </c>
      <c r="AL436" s="56">
        <v>0</v>
      </c>
    </row>
    <row r="437" spans="1:38" ht="23.25" thickBot="1" x14ac:dyDescent="0.3">
      <c r="A437" s="51" t="s">
        <v>1022</v>
      </c>
      <c r="B437" s="51" t="s">
        <v>38</v>
      </c>
      <c r="C437" s="51" t="s">
        <v>39</v>
      </c>
      <c r="D437" s="51" t="s">
        <v>320</v>
      </c>
      <c r="E437" s="51" t="s">
        <v>271</v>
      </c>
      <c r="F437" s="51" t="s">
        <v>915</v>
      </c>
      <c r="G437" s="56">
        <v>813.92</v>
      </c>
      <c r="H437" s="823"/>
      <c r="I437" s="823"/>
      <c r="J437" s="823"/>
      <c r="K437" s="823"/>
      <c r="L437" s="823"/>
      <c r="M437" s="823"/>
      <c r="N437" s="823"/>
      <c r="O437" s="823"/>
      <c r="P437" s="823"/>
      <c r="Q437" s="823"/>
      <c r="R437" s="823"/>
      <c r="S437" s="823"/>
      <c r="T437" s="823"/>
      <c r="U437" s="56">
        <v>813.92</v>
      </c>
      <c r="V437" s="823"/>
      <c r="W437" s="823"/>
      <c r="X437" s="823"/>
      <c r="Y437" s="823"/>
      <c r="Z437" s="823"/>
      <c r="AA437" s="823"/>
      <c r="AB437" s="823"/>
      <c r="AC437" s="823"/>
      <c r="AD437" s="823"/>
      <c r="AE437" s="823"/>
      <c r="AF437" s="823"/>
      <c r="AG437" s="823"/>
      <c r="AH437" s="56">
        <v>0</v>
      </c>
      <c r="AI437" s="823"/>
      <c r="AJ437" s="823"/>
      <c r="AK437" s="56">
        <v>813.92</v>
      </c>
      <c r="AL437" s="56">
        <v>0</v>
      </c>
    </row>
    <row r="438" spans="1:38" ht="15.75" thickBot="1" x14ac:dyDescent="0.3">
      <c r="A438" s="51" t="s">
        <v>1022</v>
      </c>
      <c r="B438" s="51" t="s">
        <v>38</v>
      </c>
      <c r="C438" s="51" t="s">
        <v>39</v>
      </c>
      <c r="D438" s="51" t="s">
        <v>320</v>
      </c>
      <c r="E438" s="51" t="s">
        <v>268</v>
      </c>
      <c r="F438" s="51" t="s">
        <v>266</v>
      </c>
      <c r="G438" s="56">
        <v>5325</v>
      </c>
      <c r="H438" s="823"/>
      <c r="I438" s="823"/>
      <c r="J438" s="823"/>
      <c r="K438" s="56">
        <v>5325</v>
      </c>
      <c r="L438" s="823"/>
      <c r="M438" s="823"/>
      <c r="N438" s="823"/>
      <c r="O438" s="823"/>
      <c r="P438" s="823"/>
      <c r="Q438" s="823"/>
      <c r="R438" s="823"/>
      <c r="S438" s="823"/>
      <c r="T438" s="823"/>
      <c r="U438" s="823"/>
      <c r="V438" s="823"/>
      <c r="W438" s="823"/>
      <c r="X438" s="823"/>
      <c r="Y438" s="823"/>
      <c r="Z438" s="823"/>
      <c r="AA438" s="823"/>
      <c r="AB438" s="823"/>
      <c r="AC438" s="823"/>
      <c r="AD438" s="823"/>
      <c r="AE438" s="823"/>
      <c r="AF438" s="823"/>
      <c r="AG438" s="823"/>
      <c r="AH438" s="56">
        <v>0</v>
      </c>
      <c r="AI438" s="823"/>
      <c r="AJ438" s="823"/>
      <c r="AK438" s="56">
        <v>5325</v>
      </c>
      <c r="AL438" s="56">
        <v>0</v>
      </c>
    </row>
    <row r="439" spans="1:38" ht="15.75" thickBot="1" x14ac:dyDescent="0.3">
      <c r="A439" s="51" t="s">
        <v>1022</v>
      </c>
      <c r="B439" s="51" t="s">
        <v>38</v>
      </c>
      <c r="C439" s="51" t="s">
        <v>39</v>
      </c>
      <c r="D439" s="51" t="s">
        <v>320</v>
      </c>
      <c r="E439" s="51" t="s">
        <v>329</v>
      </c>
      <c r="F439" s="51" t="s">
        <v>266</v>
      </c>
      <c r="G439" s="56">
        <v>4977.3500000000004</v>
      </c>
      <c r="H439" s="823"/>
      <c r="I439" s="823"/>
      <c r="J439" s="823"/>
      <c r="K439" s="823"/>
      <c r="L439" s="823"/>
      <c r="M439" s="823"/>
      <c r="N439" s="823"/>
      <c r="O439" s="823"/>
      <c r="P439" s="823"/>
      <c r="Q439" s="823"/>
      <c r="R439" s="823"/>
      <c r="S439" s="823"/>
      <c r="T439" s="823"/>
      <c r="U439" s="823"/>
      <c r="V439" s="823"/>
      <c r="W439" s="56">
        <v>4977.3500000000004</v>
      </c>
      <c r="X439" s="823"/>
      <c r="Y439" s="823"/>
      <c r="Z439" s="823"/>
      <c r="AA439" s="823"/>
      <c r="AB439" s="823"/>
      <c r="AC439" s="823"/>
      <c r="AD439" s="823"/>
      <c r="AE439" s="823"/>
      <c r="AF439" s="823"/>
      <c r="AG439" s="823"/>
      <c r="AH439" s="56">
        <v>0</v>
      </c>
      <c r="AI439" s="823"/>
      <c r="AJ439" s="823"/>
      <c r="AK439" s="56">
        <v>4977.3500000000004</v>
      </c>
      <c r="AL439" s="56">
        <v>0</v>
      </c>
    </row>
    <row r="440" spans="1:38" ht="15.75" thickBot="1" x14ac:dyDescent="0.3">
      <c r="A440" s="51" t="s">
        <v>1022</v>
      </c>
      <c r="B440" s="51" t="s">
        <v>38</v>
      </c>
      <c r="C440" s="51" t="s">
        <v>39</v>
      </c>
      <c r="D440" s="51" t="s">
        <v>320</v>
      </c>
      <c r="E440" s="51" t="s">
        <v>330</v>
      </c>
      <c r="F440" s="51" t="s">
        <v>266</v>
      </c>
      <c r="G440" s="56">
        <v>11622.99</v>
      </c>
      <c r="H440" s="823"/>
      <c r="I440" s="823"/>
      <c r="J440" s="823"/>
      <c r="K440" s="823"/>
      <c r="L440" s="823"/>
      <c r="M440" s="823"/>
      <c r="N440" s="823"/>
      <c r="O440" s="823"/>
      <c r="P440" s="823"/>
      <c r="Q440" s="823"/>
      <c r="R440" s="823"/>
      <c r="S440" s="823"/>
      <c r="T440" s="823"/>
      <c r="U440" s="823"/>
      <c r="V440" s="823"/>
      <c r="W440" s="823"/>
      <c r="X440" s="56">
        <v>11622.99</v>
      </c>
      <c r="Y440" s="823"/>
      <c r="Z440" s="823"/>
      <c r="AA440" s="823"/>
      <c r="AB440" s="823"/>
      <c r="AC440" s="823"/>
      <c r="AD440" s="823"/>
      <c r="AE440" s="823"/>
      <c r="AF440" s="823"/>
      <c r="AG440" s="823"/>
      <c r="AH440" s="56">
        <v>0</v>
      </c>
      <c r="AI440" s="823"/>
      <c r="AJ440" s="823"/>
      <c r="AK440" s="56">
        <v>11622.99</v>
      </c>
      <c r="AL440" s="56">
        <v>0</v>
      </c>
    </row>
    <row r="441" spans="1:38" ht="23.25" thickBot="1" x14ac:dyDescent="0.3">
      <c r="A441" s="51" t="s">
        <v>1030</v>
      </c>
      <c r="B441" s="51" t="s">
        <v>1031</v>
      </c>
      <c r="C441" s="51" t="s">
        <v>1032</v>
      </c>
      <c r="D441" s="51" t="s">
        <v>319</v>
      </c>
      <c r="E441" s="51" t="s">
        <v>1033</v>
      </c>
      <c r="F441" s="51" t="s">
        <v>915</v>
      </c>
      <c r="G441" s="54">
        <v>12.1</v>
      </c>
      <c r="H441" s="54">
        <v>0</v>
      </c>
      <c r="I441" s="822"/>
      <c r="J441" s="822"/>
      <c r="K441" s="822"/>
      <c r="L441" s="822"/>
      <c r="M441" s="822"/>
      <c r="N441" s="822"/>
      <c r="O441" s="822"/>
      <c r="P441" s="822"/>
      <c r="Q441" s="822"/>
      <c r="R441" s="822"/>
      <c r="S441" s="822"/>
      <c r="T441" s="822"/>
      <c r="U441" s="822"/>
      <c r="V441" s="822"/>
      <c r="W441" s="822"/>
      <c r="X441" s="822"/>
      <c r="Y441" s="822"/>
      <c r="Z441" s="822"/>
      <c r="AA441" s="822"/>
      <c r="AB441" s="822"/>
      <c r="AC441" s="822"/>
      <c r="AD441" s="822"/>
      <c r="AE441" s="822"/>
      <c r="AF441" s="822"/>
      <c r="AG441" s="822"/>
      <c r="AH441" s="54">
        <v>0.36</v>
      </c>
      <c r="AI441" s="822"/>
      <c r="AJ441" s="822"/>
      <c r="AK441" s="54">
        <v>12.46</v>
      </c>
      <c r="AL441" s="54">
        <v>0</v>
      </c>
    </row>
    <row r="442" spans="1:38" ht="23.25" thickBot="1" x14ac:dyDescent="0.3">
      <c r="A442" s="51" t="s">
        <v>1030</v>
      </c>
      <c r="B442" s="51" t="s">
        <v>1031</v>
      </c>
      <c r="C442" s="51" t="s">
        <v>1032</v>
      </c>
      <c r="D442" s="51" t="s">
        <v>319</v>
      </c>
      <c r="E442" s="51" t="s">
        <v>1034</v>
      </c>
      <c r="F442" s="51" t="s">
        <v>915</v>
      </c>
      <c r="G442" s="54">
        <v>-101.18</v>
      </c>
      <c r="H442" s="54">
        <v>0</v>
      </c>
      <c r="I442" s="822"/>
      <c r="J442" s="822"/>
      <c r="K442" s="822"/>
      <c r="L442" s="822"/>
      <c r="M442" s="822"/>
      <c r="N442" s="822"/>
      <c r="O442" s="822"/>
      <c r="P442" s="822"/>
      <c r="Q442" s="822"/>
      <c r="R442" s="822"/>
      <c r="S442" s="822"/>
      <c r="T442" s="822"/>
      <c r="U442" s="822"/>
      <c r="V442" s="822"/>
      <c r="W442" s="822"/>
      <c r="X442" s="822"/>
      <c r="Y442" s="822"/>
      <c r="Z442" s="822"/>
      <c r="AA442" s="822"/>
      <c r="AB442" s="822"/>
      <c r="AC442" s="822"/>
      <c r="AD442" s="822"/>
      <c r="AE442" s="822"/>
      <c r="AF442" s="822"/>
      <c r="AG442" s="822"/>
      <c r="AH442" s="54">
        <v>0</v>
      </c>
      <c r="AI442" s="822"/>
      <c r="AJ442" s="822"/>
      <c r="AK442" s="54">
        <v>-101.18</v>
      </c>
      <c r="AL442" s="54">
        <v>0</v>
      </c>
    </row>
    <row r="443" spans="1:38" ht="15.75" thickBot="1" x14ac:dyDescent="0.3">
      <c r="A443" s="51" t="s">
        <v>1030</v>
      </c>
      <c r="B443" s="51" t="s">
        <v>1031</v>
      </c>
      <c r="C443" s="51" t="s">
        <v>1032</v>
      </c>
      <c r="D443" s="51" t="s">
        <v>319</v>
      </c>
      <c r="E443" s="51" t="s">
        <v>272</v>
      </c>
      <c r="F443" s="51" t="s">
        <v>266</v>
      </c>
      <c r="G443" s="54">
        <v>750</v>
      </c>
      <c r="H443" s="54">
        <v>0</v>
      </c>
      <c r="I443" s="822"/>
      <c r="J443" s="822"/>
      <c r="K443" s="54">
        <v>750</v>
      </c>
      <c r="L443" s="822"/>
      <c r="M443" s="822"/>
      <c r="N443" s="822"/>
      <c r="O443" s="822"/>
      <c r="P443" s="822"/>
      <c r="Q443" s="822"/>
      <c r="R443" s="822"/>
      <c r="S443" s="822"/>
      <c r="T443" s="822"/>
      <c r="U443" s="822"/>
      <c r="V443" s="822"/>
      <c r="W443" s="822"/>
      <c r="X443" s="822"/>
      <c r="Y443" s="822"/>
      <c r="Z443" s="822"/>
      <c r="AA443" s="822"/>
      <c r="AB443" s="822"/>
      <c r="AC443" s="822"/>
      <c r="AD443" s="822"/>
      <c r="AE443" s="822"/>
      <c r="AF443" s="822"/>
      <c r="AG443" s="822"/>
      <c r="AH443" s="54">
        <v>22.5</v>
      </c>
      <c r="AI443" s="822"/>
      <c r="AJ443" s="822"/>
      <c r="AK443" s="54">
        <v>772.5</v>
      </c>
      <c r="AL443" s="54">
        <v>0</v>
      </c>
    </row>
    <row r="444" spans="1:38" ht="15.75" thickBot="1" x14ac:dyDescent="0.3">
      <c r="A444" s="51" t="s">
        <v>1030</v>
      </c>
      <c r="B444" s="51" t="s">
        <v>1031</v>
      </c>
      <c r="C444" s="51" t="s">
        <v>1032</v>
      </c>
      <c r="D444" s="51" t="s">
        <v>319</v>
      </c>
      <c r="E444" s="51" t="s">
        <v>1035</v>
      </c>
      <c r="F444" s="51" t="s">
        <v>266</v>
      </c>
      <c r="G444" s="54">
        <v>25.27</v>
      </c>
      <c r="H444" s="54">
        <v>0</v>
      </c>
      <c r="I444" s="822"/>
      <c r="J444" s="822"/>
      <c r="K444" s="822"/>
      <c r="L444" s="822"/>
      <c r="M444" s="822"/>
      <c r="N444" s="822"/>
      <c r="O444" s="822"/>
      <c r="P444" s="822"/>
      <c r="Q444" s="54">
        <v>25.27</v>
      </c>
      <c r="R444" s="822"/>
      <c r="S444" s="822"/>
      <c r="T444" s="822"/>
      <c r="U444" s="822"/>
      <c r="V444" s="822"/>
      <c r="W444" s="822"/>
      <c r="X444" s="822"/>
      <c r="Y444" s="822"/>
      <c r="Z444" s="822"/>
      <c r="AA444" s="822"/>
      <c r="AB444" s="822"/>
      <c r="AC444" s="822"/>
      <c r="AD444" s="822"/>
      <c r="AE444" s="822"/>
      <c r="AF444" s="822"/>
      <c r="AG444" s="822"/>
      <c r="AH444" s="54">
        <v>0.76</v>
      </c>
      <c r="AI444" s="822"/>
      <c r="AJ444" s="822"/>
      <c r="AK444" s="54">
        <v>26.03</v>
      </c>
      <c r="AL444" s="54">
        <v>0</v>
      </c>
    </row>
    <row r="445" spans="1:38" ht="15.75" thickBot="1" x14ac:dyDescent="0.3">
      <c r="A445" s="51" t="s">
        <v>1030</v>
      </c>
      <c r="B445" s="868" t="s">
        <v>1031</v>
      </c>
      <c r="C445" s="51" t="s">
        <v>1032</v>
      </c>
      <c r="D445" s="51" t="s">
        <v>319</v>
      </c>
      <c r="E445" s="51" t="s">
        <v>1036</v>
      </c>
      <c r="F445" s="51" t="s">
        <v>266</v>
      </c>
      <c r="G445" s="54">
        <v>200.05</v>
      </c>
      <c r="H445" s="54">
        <v>52646</v>
      </c>
      <c r="I445" s="54">
        <v>5265</v>
      </c>
      <c r="J445" s="822"/>
      <c r="K445" s="822"/>
      <c r="L445" s="822"/>
      <c r="M445" s="54">
        <v>200.05</v>
      </c>
      <c r="N445" s="822"/>
      <c r="O445" s="822"/>
      <c r="P445" s="822"/>
      <c r="Q445" s="822"/>
      <c r="R445" s="822"/>
      <c r="S445" s="822"/>
      <c r="T445" s="822"/>
      <c r="U445" s="822"/>
      <c r="V445" s="822"/>
      <c r="W445" s="822"/>
      <c r="X445" s="822"/>
      <c r="Y445" s="822"/>
      <c r="Z445" s="822"/>
      <c r="AA445" s="822"/>
      <c r="AB445" s="822"/>
      <c r="AC445" s="822"/>
      <c r="AD445" s="822"/>
      <c r="AE445" s="822"/>
      <c r="AF445" s="822"/>
      <c r="AG445" s="822"/>
      <c r="AH445" s="54">
        <v>6</v>
      </c>
      <c r="AI445" s="822"/>
      <c r="AJ445" s="822"/>
      <c r="AK445" s="54">
        <v>206.05</v>
      </c>
      <c r="AL445" s="54">
        <v>0</v>
      </c>
    </row>
    <row r="446" spans="1:38" ht="15.75" thickBot="1" x14ac:dyDescent="0.3">
      <c r="A446" s="51" t="s">
        <v>1030</v>
      </c>
      <c r="B446" s="51" t="s">
        <v>1031</v>
      </c>
      <c r="C446" s="51" t="s">
        <v>1032</v>
      </c>
      <c r="D446" s="51" t="s">
        <v>319</v>
      </c>
      <c r="E446" s="51" t="s">
        <v>1037</v>
      </c>
      <c r="F446" s="51" t="s">
        <v>266</v>
      </c>
      <c r="G446" s="54">
        <v>51.59</v>
      </c>
      <c r="H446" s="54">
        <v>0</v>
      </c>
      <c r="I446" s="822"/>
      <c r="J446" s="822"/>
      <c r="K446" s="822"/>
      <c r="L446" s="822"/>
      <c r="M446" s="822"/>
      <c r="N446" s="822"/>
      <c r="O446" s="822"/>
      <c r="P446" s="822"/>
      <c r="Q446" s="822"/>
      <c r="R446" s="822"/>
      <c r="S446" s="822"/>
      <c r="T446" s="822"/>
      <c r="U446" s="822"/>
      <c r="V446" s="822"/>
      <c r="W446" s="822"/>
      <c r="X446" s="822"/>
      <c r="Y446" s="822"/>
      <c r="Z446" s="822"/>
      <c r="AA446" s="54">
        <v>51.59</v>
      </c>
      <c r="AB446" s="822"/>
      <c r="AC446" s="822"/>
      <c r="AD446" s="822"/>
      <c r="AE446" s="822"/>
      <c r="AF446" s="822"/>
      <c r="AG446" s="822"/>
      <c r="AH446" s="54">
        <v>1.55</v>
      </c>
      <c r="AI446" s="822"/>
      <c r="AJ446" s="822"/>
      <c r="AK446" s="54">
        <v>53.14</v>
      </c>
      <c r="AL446" s="54">
        <v>0</v>
      </c>
    </row>
    <row r="447" spans="1:38" ht="15.75" thickBot="1" x14ac:dyDescent="0.3">
      <c r="A447" s="51" t="s">
        <v>1030</v>
      </c>
      <c r="B447" s="868" t="s">
        <v>1031</v>
      </c>
      <c r="C447" s="51" t="s">
        <v>1032</v>
      </c>
      <c r="D447" s="51" t="s">
        <v>319</v>
      </c>
      <c r="E447" s="51" t="s">
        <v>268</v>
      </c>
      <c r="F447" s="51" t="s">
        <v>266</v>
      </c>
      <c r="G447" s="54">
        <v>550</v>
      </c>
      <c r="H447" s="54">
        <v>0</v>
      </c>
      <c r="I447" s="822"/>
      <c r="J447" s="822"/>
      <c r="K447" s="54">
        <v>550</v>
      </c>
      <c r="L447" s="822"/>
      <c r="M447" s="822"/>
      <c r="N447" s="822"/>
      <c r="O447" s="822"/>
      <c r="P447" s="822"/>
      <c r="Q447" s="822"/>
      <c r="R447" s="822"/>
      <c r="S447" s="822"/>
      <c r="T447" s="822"/>
      <c r="U447" s="822"/>
      <c r="V447" s="822"/>
      <c r="W447" s="822"/>
      <c r="X447" s="822"/>
      <c r="Y447" s="822"/>
      <c r="Z447" s="822"/>
      <c r="AA447" s="822"/>
      <c r="AB447" s="822"/>
      <c r="AC447" s="822"/>
      <c r="AD447" s="822"/>
      <c r="AE447" s="822"/>
      <c r="AF447" s="822"/>
      <c r="AG447" s="822"/>
      <c r="AH447" s="54">
        <v>16.5</v>
      </c>
      <c r="AI447" s="822"/>
      <c r="AJ447" s="822"/>
      <c r="AK447" s="54">
        <v>566.5</v>
      </c>
      <c r="AL447" s="54">
        <v>0</v>
      </c>
    </row>
    <row r="448" spans="1:38" ht="15.75" thickBot="1" x14ac:dyDescent="0.3">
      <c r="A448" s="51" t="s">
        <v>1030</v>
      </c>
      <c r="B448" s="51" t="s">
        <v>1031</v>
      </c>
      <c r="C448" s="51" t="s">
        <v>1032</v>
      </c>
      <c r="D448" s="51" t="s">
        <v>319</v>
      </c>
      <c r="E448" s="51" t="s">
        <v>914</v>
      </c>
      <c r="F448" s="51" t="s">
        <v>266</v>
      </c>
      <c r="G448" s="54">
        <v>2630.33</v>
      </c>
      <c r="H448" s="54">
        <v>0</v>
      </c>
      <c r="I448" s="822"/>
      <c r="J448" s="54">
        <v>538</v>
      </c>
      <c r="K448" s="822"/>
      <c r="L448" s="54">
        <v>2630.33</v>
      </c>
      <c r="M448" s="822"/>
      <c r="N448" s="822"/>
      <c r="O448" s="822"/>
      <c r="P448" s="822"/>
      <c r="Q448" s="822"/>
      <c r="R448" s="822"/>
      <c r="S448" s="822"/>
      <c r="T448" s="822"/>
      <c r="U448" s="822"/>
      <c r="V448" s="822"/>
      <c r="W448" s="822"/>
      <c r="X448" s="822"/>
      <c r="Y448" s="822"/>
      <c r="Z448" s="822"/>
      <c r="AA448" s="822"/>
      <c r="AB448" s="822"/>
      <c r="AC448" s="822"/>
      <c r="AD448" s="822"/>
      <c r="AE448" s="822"/>
      <c r="AF448" s="822"/>
      <c r="AG448" s="822"/>
      <c r="AH448" s="54">
        <v>78.91</v>
      </c>
      <c r="AI448" s="822"/>
      <c r="AJ448" s="822"/>
      <c r="AK448" s="54">
        <v>2709.24</v>
      </c>
      <c r="AL448" s="54">
        <v>0</v>
      </c>
    </row>
    <row r="449" spans="1:38" ht="15.75" thickBot="1" x14ac:dyDescent="0.3">
      <c r="A449" s="51" t="s">
        <v>1030</v>
      </c>
      <c r="B449" s="51" t="s">
        <v>1031</v>
      </c>
      <c r="C449" s="51" t="s">
        <v>1032</v>
      </c>
      <c r="D449" s="51" t="s">
        <v>319</v>
      </c>
      <c r="E449" s="51" t="s">
        <v>1038</v>
      </c>
      <c r="F449" s="51" t="s">
        <v>266</v>
      </c>
      <c r="G449" s="54">
        <v>34.72</v>
      </c>
      <c r="H449" s="54">
        <v>0</v>
      </c>
      <c r="I449" s="822"/>
      <c r="J449" s="822"/>
      <c r="K449" s="822"/>
      <c r="L449" s="822"/>
      <c r="M449" s="822"/>
      <c r="N449" s="822"/>
      <c r="O449" s="822"/>
      <c r="P449" s="822"/>
      <c r="Q449" s="822"/>
      <c r="R449" s="822"/>
      <c r="S449" s="822"/>
      <c r="T449" s="822"/>
      <c r="U449" s="822"/>
      <c r="V449" s="822"/>
      <c r="W449" s="822"/>
      <c r="X449" s="54">
        <v>34.72</v>
      </c>
      <c r="Y449" s="822"/>
      <c r="Z449" s="822"/>
      <c r="AA449" s="822"/>
      <c r="AB449" s="822"/>
      <c r="AC449" s="822"/>
      <c r="AD449" s="822"/>
      <c r="AE449" s="822"/>
      <c r="AF449" s="822"/>
      <c r="AG449" s="822"/>
      <c r="AH449" s="54">
        <v>1.04</v>
      </c>
      <c r="AI449" s="822"/>
      <c r="AJ449" s="822"/>
      <c r="AK449" s="54">
        <v>35.76</v>
      </c>
      <c r="AL449" s="54">
        <v>0</v>
      </c>
    </row>
    <row r="450" spans="1:38" ht="15.75" thickBot="1" x14ac:dyDescent="0.3">
      <c r="A450" s="51" t="s">
        <v>1030</v>
      </c>
      <c r="B450" s="51" t="s">
        <v>1031</v>
      </c>
      <c r="C450" s="51" t="s">
        <v>1032</v>
      </c>
      <c r="D450" s="51" t="s">
        <v>319</v>
      </c>
      <c r="E450" s="51" t="s">
        <v>329</v>
      </c>
      <c r="F450" s="51" t="s">
        <v>266</v>
      </c>
      <c r="G450" s="54">
        <v>14.86</v>
      </c>
      <c r="H450" s="54">
        <v>0</v>
      </c>
      <c r="I450" s="822"/>
      <c r="J450" s="822"/>
      <c r="K450" s="822"/>
      <c r="L450" s="822"/>
      <c r="M450" s="822"/>
      <c r="N450" s="822"/>
      <c r="O450" s="822"/>
      <c r="P450" s="822"/>
      <c r="Q450" s="822"/>
      <c r="R450" s="822"/>
      <c r="S450" s="822"/>
      <c r="T450" s="822"/>
      <c r="U450" s="822"/>
      <c r="V450" s="822"/>
      <c r="W450" s="54">
        <v>14.86</v>
      </c>
      <c r="X450" s="822"/>
      <c r="Y450" s="822"/>
      <c r="Z450" s="822"/>
      <c r="AA450" s="822"/>
      <c r="AB450" s="822"/>
      <c r="AC450" s="822"/>
      <c r="AD450" s="822"/>
      <c r="AE450" s="822"/>
      <c r="AF450" s="822"/>
      <c r="AG450" s="822"/>
      <c r="AH450" s="54">
        <v>0.45</v>
      </c>
      <c r="AI450" s="822"/>
      <c r="AJ450" s="822"/>
      <c r="AK450" s="54">
        <v>15.31</v>
      </c>
      <c r="AL450" s="54">
        <v>0</v>
      </c>
    </row>
    <row r="451" spans="1:38" ht="15.75" thickBot="1" x14ac:dyDescent="0.3">
      <c r="A451" s="51" t="s">
        <v>1030</v>
      </c>
      <c r="B451" s="51" t="s">
        <v>1039</v>
      </c>
      <c r="C451" s="51" t="s">
        <v>1040</v>
      </c>
      <c r="D451" s="51" t="s">
        <v>318</v>
      </c>
      <c r="E451" s="51" t="s">
        <v>272</v>
      </c>
      <c r="F451" s="51" t="s">
        <v>266</v>
      </c>
      <c r="G451" s="56">
        <v>5250</v>
      </c>
      <c r="H451" s="56">
        <v>0</v>
      </c>
      <c r="I451" s="823"/>
      <c r="J451" s="823"/>
      <c r="K451" s="56">
        <v>5250</v>
      </c>
      <c r="L451" s="823"/>
      <c r="M451" s="823"/>
      <c r="N451" s="823"/>
      <c r="O451" s="823"/>
      <c r="P451" s="823"/>
      <c r="Q451" s="823"/>
      <c r="R451" s="823"/>
      <c r="S451" s="823"/>
      <c r="T451" s="823"/>
      <c r="U451" s="823"/>
      <c r="V451" s="823"/>
      <c r="W451" s="823"/>
      <c r="X451" s="823"/>
      <c r="Y451" s="823"/>
      <c r="Z451" s="823"/>
      <c r="AA451" s="823"/>
      <c r="AB451" s="823"/>
      <c r="AC451" s="823"/>
      <c r="AD451" s="823"/>
      <c r="AE451" s="823"/>
      <c r="AF451" s="823"/>
      <c r="AG451" s="823"/>
      <c r="AH451" s="56">
        <v>44.99</v>
      </c>
      <c r="AI451" s="823"/>
      <c r="AJ451" s="823"/>
      <c r="AK451" s="56">
        <v>5294.99</v>
      </c>
      <c r="AL451" s="56">
        <v>0</v>
      </c>
    </row>
    <row r="452" spans="1:38" ht="15.75" thickBot="1" x14ac:dyDescent="0.3">
      <c r="A452" s="51" t="s">
        <v>1030</v>
      </c>
      <c r="B452" s="51" t="s">
        <v>1039</v>
      </c>
      <c r="C452" s="51" t="s">
        <v>1040</v>
      </c>
      <c r="D452" s="51" t="s">
        <v>318</v>
      </c>
      <c r="E452" s="51" t="s">
        <v>1035</v>
      </c>
      <c r="F452" s="51" t="s">
        <v>266</v>
      </c>
      <c r="G452" s="56">
        <v>127.63</v>
      </c>
      <c r="H452" s="56">
        <v>0</v>
      </c>
      <c r="I452" s="823"/>
      <c r="J452" s="823"/>
      <c r="K452" s="823"/>
      <c r="L452" s="823"/>
      <c r="M452" s="823"/>
      <c r="N452" s="823"/>
      <c r="O452" s="823"/>
      <c r="P452" s="823"/>
      <c r="Q452" s="56">
        <v>127.63</v>
      </c>
      <c r="R452" s="823"/>
      <c r="S452" s="823"/>
      <c r="T452" s="823"/>
      <c r="U452" s="823"/>
      <c r="V452" s="823"/>
      <c r="W452" s="823"/>
      <c r="X452" s="823"/>
      <c r="Y452" s="823"/>
      <c r="Z452" s="823"/>
      <c r="AA452" s="823"/>
      <c r="AB452" s="823"/>
      <c r="AC452" s="823"/>
      <c r="AD452" s="823"/>
      <c r="AE452" s="823"/>
      <c r="AF452" s="823"/>
      <c r="AG452" s="823"/>
      <c r="AH452" s="56">
        <v>0.45</v>
      </c>
      <c r="AI452" s="823"/>
      <c r="AJ452" s="823"/>
      <c r="AK452" s="56">
        <v>128.08000000000001</v>
      </c>
      <c r="AL452" s="56">
        <v>0</v>
      </c>
    </row>
    <row r="453" spans="1:38" ht="15.75" thickBot="1" x14ac:dyDescent="0.3">
      <c r="A453" s="51" t="s">
        <v>1030</v>
      </c>
      <c r="B453" s="868" t="s">
        <v>1039</v>
      </c>
      <c r="C453" s="51" t="s">
        <v>1040</v>
      </c>
      <c r="D453" s="51" t="s">
        <v>318</v>
      </c>
      <c r="E453" s="51" t="s">
        <v>1036</v>
      </c>
      <c r="F453" s="51" t="s">
        <v>266</v>
      </c>
      <c r="G453" s="56">
        <v>1010.46</v>
      </c>
      <c r="H453" s="56">
        <v>265909</v>
      </c>
      <c r="I453" s="56">
        <v>26591</v>
      </c>
      <c r="J453" s="823"/>
      <c r="K453" s="823"/>
      <c r="L453" s="823"/>
      <c r="M453" s="56">
        <v>1010.46</v>
      </c>
      <c r="N453" s="823"/>
      <c r="O453" s="823"/>
      <c r="P453" s="823"/>
      <c r="Q453" s="823"/>
      <c r="R453" s="823"/>
      <c r="S453" s="823"/>
      <c r="T453" s="823"/>
      <c r="U453" s="823"/>
      <c r="V453" s="823"/>
      <c r="W453" s="823"/>
      <c r="X453" s="823"/>
      <c r="Y453" s="823"/>
      <c r="Z453" s="823"/>
      <c r="AA453" s="823"/>
      <c r="AB453" s="823"/>
      <c r="AC453" s="823"/>
      <c r="AD453" s="823"/>
      <c r="AE453" s="823"/>
      <c r="AF453" s="823"/>
      <c r="AG453" s="823"/>
      <c r="AH453" s="56">
        <v>3.56</v>
      </c>
      <c r="AI453" s="823"/>
      <c r="AJ453" s="823"/>
      <c r="AK453" s="56">
        <v>1014.02</v>
      </c>
      <c r="AL453" s="56">
        <v>0</v>
      </c>
    </row>
    <row r="454" spans="1:38" ht="15.75" thickBot="1" x14ac:dyDescent="0.3">
      <c r="A454" s="51" t="s">
        <v>1030</v>
      </c>
      <c r="B454" s="51" t="s">
        <v>1039</v>
      </c>
      <c r="C454" s="51" t="s">
        <v>1040</v>
      </c>
      <c r="D454" s="51" t="s">
        <v>318</v>
      </c>
      <c r="E454" s="51" t="s">
        <v>1037</v>
      </c>
      <c r="F454" s="51" t="s">
        <v>266</v>
      </c>
      <c r="G454" s="56">
        <v>260.57</v>
      </c>
      <c r="H454" s="56">
        <v>0</v>
      </c>
      <c r="I454" s="823"/>
      <c r="J454" s="823"/>
      <c r="K454" s="823"/>
      <c r="L454" s="823"/>
      <c r="M454" s="823"/>
      <c r="N454" s="823"/>
      <c r="O454" s="823"/>
      <c r="P454" s="823"/>
      <c r="Q454" s="823"/>
      <c r="R454" s="823"/>
      <c r="S454" s="823"/>
      <c r="T454" s="823"/>
      <c r="U454" s="823"/>
      <c r="V454" s="823"/>
      <c r="W454" s="823"/>
      <c r="X454" s="823"/>
      <c r="Y454" s="823"/>
      <c r="Z454" s="823"/>
      <c r="AA454" s="56">
        <v>260.57</v>
      </c>
      <c r="AB454" s="823"/>
      <c r="AC454" s="823"/>
      <c r="AD454" s="823"/>
      <c r="AE454" s="823"/>
      <c r="AF454" s="823"/>
      <c r="AG454" s="823"/>
      <c r="AH454" s="56">
        <v>0.92</v>
      </c>
      <c r="AI454" s="823"/>
      <c r="AJ454" s="823"/>
      <c r="AK454" s="56">
        <v>261.49</v>
      </c>
      <c r="AL454" s="56">
        <v>0</v>
      </c>
    </row>
    <row r="455" spans="1:38" ht="15.75" thickBot="1" x14ac:dyDescent="0.3">
      <c r="A455" s="51" t="s">
        <v>1030</v>
      </c>
      <c r="B455" s="51" t="s">
        <v>1039</v>
      </c>
      <c r="C455" s="51" t="s">
        <v>1040</v>
      </c>
      <c r="D455" s="51" t="s">
        <v>318</v>
      </c>
      <c r="E455" s="51" t="s">
        <v>325</v>
      </c>
      <c r="F455" s="51" t="s">
        <v>266</v>
      </c>
      <c r="G455" s="56">
        <v>4.3899999999999997</v>
      </c>
      <c r="H455" s="56">
        <v>0</v>
      </c>
      <c r="I455" s="823"/>
      <c r="J455" s="823"/>
      <c r="K455" s="823"/>
      <c r="L455" s="823"/>
      <c r="M455" s="823"/>
      <c r="N455" s="56">
        <v>4.3899999999999997</v>
      </c>
      <c r="O455" s="823"/>
      <c r="P455" s="823"/>
      <c r="Q455" s="823"/>
      <c r="R455" s="823"/>
      <c r="S455" s="823"/>
      <c r="T455" s="823"/>
      <c r="U455" s="823"/>
      <c r="V455" s="823"/>
      <c r="W455" s="823"/>
      <c r="X455" s="823"/>
      <c r="Y455" s="823"/>
      <c r="Z455" s="823"/>
      <c r="AA455" s="823"/>
      <c r="AB455" s="823"/>
      <c r="AC455" s="823"/>
      <c r="AD455" s="823"/>
      <c r="AE455" s="823"/>
      <c r="AF455" s="823"/>
      <c r="AG455" s="823"/>
      <c r="AH455" s="56">
        <v>0.12</v>
      </c>
      <c r="AI455" s="823"/>
      <c r="AJ455" s="823"/>
      <c r="AK455" s="56">
        <v>4.51</v>
      </c>
      <c r="AL455" s="56">
        <v>0</v>
      </c>
    </row>
    <row r="456" spans="1:38" ht="15.75" thickBot="1" x14ac:dyDescent="0.3">
      <c r="A456" s="51" t="s">
        <v>1030</v>
      </c>
      <c r="B456" s="868" t="s">
        <v>1039</v>
      </c>
      <c r="C456" s="51" t="s">
        <v>1040</v>
      </c>
      <c r="D456" s="51" t="s">
        <v>318</v>
      </c>
      <c r="E456" s="51" t="s">
        <v>268</v>
      </c>
      <c r="F456" s="51" t="s">
        <v>266</v>
      </c>
      <c r="G456" s="56">
        <v>3850</v>
      </c>
      <c r="H456" s="56">
        <v>0</v>
      </c>
      <c r="I456" s="823"/>
      <c r="J456" s="823"/>
      <c r="K456" s="56">
        <v>3850</v>
      </c>
      <c r="L456" s="823"/>
      <c r="M456" s="823"/>
      <c r="N456" s="823"/>
      <c r="O456" s="823"/>
      <c r="P456" s="823"/>
      <c r="Q456" s="823"/>
      <c r="R456" s="823"/>
      <c r="S456" s="823"/>
      <c r="T456" s="823"/>
      <c r="U456" s="823"/>
      <c r="V456" s="823"/>
      <c r="W456" s="823"/>
      <c r="X456" s="823"/>
      <c r="Y456" s="823"/>
      <c r="Z456" s="823"/>
      <c r="AA456" s="823"/>
      <c r="AB456" s="823"/>
      <c r="AC456" s="823"/>
      <c r="AD456" s="823"/>
      <c r="AE456" s="823"/>
      <c r="AF456" s="823"/>
      <c r="AG456" s="823"/>
      <c r="AH456" s="56">
        <v>33</v>
      </c>
      <c r="AI456" s="823"/>
      <c r="AJ456" s="823"/>
      <c r="AK456" s="56">
        <v>3883</v>
      </c>
      <c r="AL456" s="56">
        <v>0</v>
      </c>
    </row>
    <row r="457" spans="1:38" ht="15.75" thickBot="1" x14ac:dyDescent="0.3">
      <c r="A457" s="51" t="s">
        <v>1030</v>
      </c>
      <c r="B457" s="51" t="s">
        <v>1039</v>
      </c>
      <c r="C457" s="51" t="s">
        <v>1040</v>
      </c>
      <c r="D457" s="51" t="s">
        <v>318</v>
      </c>
      <c r="E457" s="51" t="s">
        <v>914</v>
      </c>
      <c r="F457" s="51" t="s">
        <v>266</v>
      </c>
      <c r="G457" s="56">
        <v>10099.32</v>
      </c>
      <c r="H457" s="56">
        <v>0</v>
      </c>
      <c r="I457" s="823"/>
      <c r="J457" s="56">
        <v>2065</v>
      </c>
      <c r="K457" s="823"/>
      <c r="L457" s="56">
        <v>10099.32</v>
      </c>
      <c r="M457" s="823"/>
      <c r="N457" s="823"/>
      <c r="O457" s="823"/>
      <c r="P457" s="823"/>
      <c r="Q457" s="823"/>
      <c r="R457" s="823"/>
      <c r="S457" s="823"/>
      <c r="T457" s="823"/>
      <c r="U457" s="823"/>
      <c r="V457" s="823"/>
      <c r="W457" s="823"/>
      <c r="X457" s="823"/>
      <c r="Y457" s="823"/>
      <c r="Z457" s="823"/>
      <c r="AA457" s="823"/>
      <c r="AB457" s="823"/>
      <c r="AC457" s="823"/>
      <c r="AD457" s="823"/>
      <c r="AE457" s="823"/>
      <c r="AF457" s="823"/>
      <c r="AG457" s="823"/>
      <c r="AH457" s="56">
        <v>55.4</v>
      </c>
      <c r="AI457" s="823"/>
      <c r="AJ457" s="823"/>
      <c r="AK457" s="56">
        <v>10154.719999999999</v>
      </c>
      <c r="AL457" s="56">
        <v>0</v>
      </c>
    </row>
    <row r="458" spans="1:38" ht="15.75" thickBot="1" x14ac:dyDescent="0.3">
      <c r="A458" s="51" t="s">
        <v>1030</v>
      </c>
      <c r="B458" s="51" t="s">
        <v>1039</v>
      </c>
      <c r="C458" s="51" t="s">
        <v>1040</v>
      </c>
      <c r="D458" s="51" t="s">
        <v>319</v>
      </c>
      <c r="E458" s="51" t="s">
        <v>272</v>
      </c>
      <c r="F458" s="51" t="s">
        <v>266</v>
      </c>
      <c r="G458" s="56">
        <v>750</v>
      </c>
      <c r="H458" s="56">
        <v>0</v>
      </c>
      <c r="I458" s="823"/>
      <c r="J458" s="823"/>
      <c r="K458" s="56">
        <v>750</v>
      </c>
      <c r="L458" s="823"/>
      <c r="M458" s="823"/>
      <c r="N458" s="823"/>
      <c r="O458" s="823"/>
      <c r="P458" s="823"/>
      <c r="Q458" s="823"/>
      <c r="R458" s="823"/>
      <c r="S458" s="823"/>
      <c r="T458" s="823"/>
      <c r="U458" s="823"/>
      <c r="V458" s="823"/>
      <c r="W458" s="823"/>
      <c r="X458" s="823"/>
      <c r="Y458" s="823"/>
      <c r="Z458" s="823"/>
      <c r="AA458" s="823"/>
      <c r="AB458" s="823"/>
      <c r="AC458" s="823"/>
      <c r="AD458" s="823"/>
      <c r="AE458" s="823"/>
      <c r="AF458" s="823"/>
      <c r="AG458" s="823"/>
      <c r="AH458" s="56">
        <v>0</v>
      </c>
      <c r="AI458" s="823"/>
      <c r="AJ458" s="823"/>
      <c r="AK458" s="56">
        <v>750</v>
      </c>
      <c r="AL458" s="56">
        <v>0</v>
      </c>
    </row>
    <row r="459" spans="1:38" ht="15.75" thickBot="1" x14ac:dyDescent="0.3">
      <c r="A459" s="51" t="s">
        <v>1030</v>
      </c>
      <c r="B459" s="51" t="s">
        <v>1039</v>
      </c>
      <c r="C459" s="51" t="s">
        <v>1040</v>
      </c>
      <c r="D459" s="51" t="s">
        <v>319</v>
      </c>
      <c r="E459" s="51" t="s">
        <v>1035</v>
      </c>
      <c r="F459" s="51" t="s">
        <v>266</v>
      </c>
      <c r="G459" s="56">
        <v>10.5</v>
      </c>
      <c r="H459" s="56">
        <v>0</v>
      </c>
      <c r="I459" s="823"/>
      <c r="J459" s="823"/>
      <c r="K459" s="823"/>
      <c r="L459" s="823"/>
      <c r="M459" s="823"/>
      <c r="N459" s="823"/>
      <c r="O459" s="823"/>
      <c r="P459" s="823"/>
      <c r="Q459" s="56">
        <v>10.5</v>
      </c>
      <c r="R459" s="823"/>
      <c r="S459" s="823"/>
      <c r="T459" s="823"/>
      <c r="U459" s="823"/>
      <c r="V459" s="823"/>
      <c r="W459" s="823"/>
      <c r="X459" s="823"/>
      <c r="Y459" s="823"/>
      <c r="Z459" s="823"/>
      <c r="AA459" s="823"/>
      <c r="AB459" s="823"/>
      <c r="AC459" s="823"/>
      <c r="AD459" s="823"/>
      <c r="AE459" s="823"/>
      <c r="AF459" s="823"/>
      <c r="AG459" s="823"/>
      <c r="AH459" s="56">
        <v>0</v>
      </c>
      <c r="AI459" s="823"/>
      <c r="AJ459" s="823"/>
      <c r="AK459" s="56">
        <v>10.5</v>
      </c>
      <c r="AL459" s="56">
        <v>0</v>
      </c>
    </row>
    <row r="460" spans="1:38" ht="15.75" thickBot="1" x14ac:dyDescent="0.3">
      <c r="A460" s="51" t="s">
        <v>1030</v>
      </c>
      <c r="B460" s="51" t="s">
        <v>1039</v>
      </c>
      <c r="C460" s="51" t="s">
        <v>1040</v>
      </c>
      <c r="D460" s="51" t="s">
        <v>319</v>
      </c>
      <c r="E460" s="51" t="s">
        <v>1036</v>
      </c>
      <c r="F460" s="51" t="s">
        <v>266</v>
      </c>
      <c r="G460" s="56">
        <v>83.09</v>
      </c>
      <c r="H460" s="56">
        <v>21866</v>
      </c>
      <c r="I460" s="56">
        <v>2187</v>
      </c>
      <c r="J460" s="823"/>
      <c r="K460" s="823"/>
      <c r="L460" s="823"/>
      <c r="M460" s="56">
        <v>83.09</v>
      </c>
      <c r="N460" s="823"/>
      <c r="O460" s="823"/>
      <c r="P460" s="823"/>
      <c r="Q460" s="823"/>
      <c r="R460" s="823"/>
      <c r="S460" s="823"/>
      <c r="T460" s="823"/>
      <c r="U460" s="823"/>
      <c r="V460" s="823"/>
      <c r="W460" s="823"/>
      <c r="X460" s="823"/>
      <c r="Y460" s="823"/>
      <c r="Z460" s="823"/>
      <c r="AA460" s="823"/>
      <c r="AB460" s="823"/>
      <c r="AC460" s="823"/>
      <c r="AD460" s="823"/>
      <c r="AE460" s="823"/>
      <c r="AF460" s="823"/>
      <c r="AG460" s="823"/>
      <c r="AH460" s="56">
        <v>0</v>
      </c>
      <c r="AI460" s="823"/>
      <c r="AJ460" s="823"/>
      <c r="AK460" s="56">
        <v>83.09</v>
      </c>
      <c r="AL460" s="56">
        <v>0</v>
      </c>
    </row>
    <row r="461" spans="1:38" ht="15.75" thickBot="1" x14ac:dyDescent="0.3">
      <c r="A461" s="51" t="s">
        <v>1030</v>
      </c>
      <c r="B461" s="51" t="s">
        <v>1039</v>
      </c>
      <c r="C461" s="51" t="s">
        <v>1040</v>
      </c>
      <c r="D461" s="51" t="s">
        <v>319</v>
      </c>
      <c r="E461" s="51" t="s">
        <v>1037</v>
      </c>
      <c r="F461" s="51" t="s">
        <v>266</v>
      </c>
      <c r="G461" s="56">
        <v>21.43</v>
      </c>
      <c r="H461" s="56">
        <v>0</v>
      </c>
      <c r="I461" s="823"/>
      <c r="J461" s="823"/>
      <c r="K461" s="823"/>
      <c r="L461" s="823"/>
      <c r="M461" s="823"/>
      <c r="N461" s="823"/>
      <c r="O461" s="823"/>
      <c r="P461" s="823"/>
      <c r="Q461" s="823"/>
      <c r="R461" s="823"/>
      <c r="S461" s="823"/>
      <c r="T461" s="823"/>
      <c r="U461" s="823"/>
      <c r="V461" s="823"/>
      <c r="W461" s="823"/>
      <c r="X461" s="823"/>
      <c r="Y461" s="823"/>
      <c r="Z461" s="823"/>
      <c r="AA461" s="56">
        <v>21.43</v>
      </c>
      <c r="AB461" s="823"/>
      <c r="AC461" s="823"/>
      <c r="AD461" s="823"/>
      <c r="AE461" s="823"/>
      <c r="AF461" s="823"/>
      <c r="AG461" s="823"/>
      <c r="AH461" s="56">
        <v>0</v>
      </c>
      <c r="AI461" s="823"/>
      <c r="AJ461" s="823"/>
      <c r="AK461" s="56">
        <v>21.43</v>
      </c>
      <c r="AL461" s="56">
        <v>0</v>
      </c>
    </row>
    <row r="462" spans="1:38" ht="15.75" thickBot="1" x14ac:dyDescent="0.3">
      <c r="A462" s="51" t="s">
        <v>1030</v>
      </c>
      <c r="B462" s="51" t="s">
        <v>1039</v>
      </c>
      <c r="C462" s="51" t="s">
        <v>1040</v>
      </c>
      <c r="D462" s="51" t="s">
        <v>319</v>
      </c>
      <c r="E462" s="51" t="s">
        <v>325</v>
      </c>
      <c r="F462" s="51" t="s">
        <v>266</v>
      </c>
      <c r="G462" s="56">
        <v>5.8</v>
      </c>
      <c r="H462" s="56">
        <v>0</v>
      </c>
      <c r="I462" s="823"/>
      <c r="J462" s="823"/>
      <c r="K462" s="823"/>
      <c r="L462" s="823"/>
      <c r="M462" s="823"/>
      <c r="N462" s="56">
        <v>5.8</v>
      </c>
      <c r="O462" s="823"/>
      <c r="P462" s="823"/>
      <c r="Q462" s="823"/>
      <c r="R462" s="823"/>
      <c r="S462" s="823"/>
      <c r="T462" s="823"/>
      <c r="U462" s="823"/>
      <c r="V462" s="823"/>
      <c r="W462" s="823"/>
      <c r="X462" s="823"/>
      <c r="Y462" s="823"/>
      <c r="Z462" s="823"/>
      <c r="AA462" s="823"/>
      <c r="AB462" s="823"/>
      <c r="AC462" s="823"/>
      <c r="AD462" s="823"/>
      <c r="AE462" s="823"/>
      <c r="AF462" s="823"/>
      <c r="AG462" s="823"/>
      <c r="AH462" s="56">
        <v>0</v>
      </c>
      <c r="AI462" s="823"/>
      <c r="AJ462" s="823"/>
      <c r="AK462" s="56">
        <v>5.8</v>
      </c>
      <c r="AL462" s="56">
        <v>0</v>
      </c>
    </row>
    <row r="463" spans="1:38" ht="15.75" thickBot="1" x14ac:dyDescent="0.3">
      <c r="A463" s="51" t="s">
        <v>1030</v>
      </c>
      <c r="B463" s="51" t="s">
        <v>1039</v>
      </c>
      <c r="C463" s="51" t="s">
        <v>1040</v>
      </c>
      <c r="D463" s="51" t="s">
        <v>319</v>
      </c>
      <c r="E463" s="51" t="s">
        <v>268</v>
      </c>
      <c r="F463" s="51" t="s">
        <v>266</v>
      </c>
      <c r="G463" s="56">
        <v>550</v>
      </c>
      <c r="H463" s="56">
        <v>0</v>
      </c>
      <c r="I463" s="823"/>
      <c r="J463" s="823"/>
      <c r="K463" s="56">
        <v>550</v>
      </c>
      <c r="L463" s="823"/>
      <c r="M463" s="823"/>
      <c r="N463" s="823"/>
      <c r="O463" s="823"/>
      <c r="P463" s="823"/>
      <c r="Q463" s="823"/>
      <c r="R463" s="823"/>
      <c r="S463" s="823"/>
      <c r="T463" s="823"/>
      <c r="U463" s="823"/>
      <c r="V463" s="823"/>
      <c r="W463" s="823"/>
      <c r="X463" s="823"/>
      <c r="Y463" s="823"/>
      <c r="Z463" s="823"/>
      <c r="AA463" s="823"/>
      <c r="AB463" s="823"/>
      <c r="AC463" s="823"/>
      <c r="AD463" s="823"/>
      <c r="AE463" s="823"/>
      <c r="AF463" s="823"/>
      <c r="AG463" s="823"/>
      <c r="AH463" s="56">
        <v>0</v>
      </c>
      <c r="AI463" s="823"/>
      <c r="AJ463" s="823"/>
      <c r="AK463" s="56">
        <v>550</v>
      </c>
      <c r="AL463" s="56">
        <v>0</v>
      </c>
    </row>
    <row r="464" spans="1:38" ht="15.75" thickBot="1" x14ac:dyDescent="0.3">
      <c r="A464" s="51" t="s">
        <v>1030</v>
      </c>
      <c r="B464" s="51" t="s">
        <v>1039</v>
      </c>
      <c r="C464" s="51" t="s">
        <v>1040</v>
      </c>
      <c r="D464" s="51" t="s">
        <v>319</v>
      </c>
      <c r="E464" s="51" t="s">
        <v>914</v>
      </c>
      <c r="F464" s="51" t="s">
        <v>266</v>
      </c>
      <c r="G464" s="56">
        <v>855.75</v>
      </c>
      <c r="H464" s="56">
        <v>0</v>
      </c>
      <c r="I464" s="823"/>
      <c r="J464" s="56">
        <v>175</v>
      </c>
      <c r="K464" s="823"/>
      <c r="L464" s="56">
        <v>855.75</v>
      </c>
      <c r="M464" s="823"/>
      <c r="N464" s="823"/>
      <c r="O464" s="823"/>
      <c r="P464" s="823"/>
      <c r="Q464" s="823"/>
      <c r="R464" s="823"/>
      <c r="S464" s="823"/>
      <c r="T464" s="823"/>
      <c r="U464" s="823"/>
      <c r="V464" s="823"/>
      <c r="W464" s="823"/>
      <c r="X464" s="823"/>
      <c r="Y464" s="823"/>
      <c r="Z464" s="823"/>
      <c r="AA464" s="823"/>
      <c r="AB464" s="823"/>
      <c r="AC464" s="823"/>
      <c r="AD464" s="823"/>
      <c r="AE464" s="823"/>
      <c r="AF464" s="823"/>
      <c r="AG464" s="823"/>
      <c r="AH464" s="56">
        <v>0</v>
      </c>
      <c r="AI464" s="823"/>
      <c r="AJ464" s="823"/>
      <c r="AK464" s="56">
        <v>855.75</v>
      </c>
      <c r="AL464" s="56">
        <v>0</v>
      </c>
    </row>
    <row r="465" spans="1:38" ht="15.75" thickBot="1" x14ac:dyDescent="0.3">
      <c r="A465" s="51" t="s">
        <v>1030</v>
      </c>
      <c r="B465" s="51" t="s">
        <v>1041</v>
      </c>
      <c r="C465" s="51" t="s">
        <v>1042</v>
      </c>
      <c r="D465" s="51" t="s">
        <v>320</v>
      </c>
      <c r="E465" s="51" t="s">
        <v>356</v>
      </c>
      <c r="F465" s="51" t="s">
        <v>266</v>
      </c>
      <c r="G465" s="823"/>
      <c r="H465" s="56">
        <v>0</v>
      </c>
      <c r="I465" s="823"/>
      <c r="J465" s="823"/>
      <c r="K465" s="823"/>
      <c r="L465" s="823"/>
      <c r="M465" s="823"/>
      <c r="N465" s="823"/>
      <c r="O465" s="823"/>
      <c r="P465" s="823"/>
      <c r="Q465" s="823"/>
      <c r="R465" s="823"/>
      <c r="S465" s="823"/>
      <c r="T465" s="823"/>
      <c r="U465" s="823"/>
      <c r="V465" s="823"/>
      <c r="W465" s="823"/>
      <c r="X465" s="823"/>
      <c r="Y465" s="823"/>
      <c r="Z465" s="823"/>
      <c r="AA465" s="823"/>
      <c r="AB465" s="823"/>
      <c r="AC465" s="823"/>
      <c r="AD465" s="823"/>
      <c r="AE465" s="823"/>
      <c r="AF465" s="823"/>
      <c r="AG465" s="56">
        <v>450.72</v>
      </c>
      <c r="AH465" s="56">
        <v>10.42</v>
      </c>
      <c r="AI465" s="823"/>
      <c r="AJ465" s="823"/>
      <c r="AK465" s="56">
        <v>461.14</v>
      </c>
      <c r="AL465" s="56">
        <v>0</v>
      </c>
    </row>
    <row r="466" spans="1:38" ht="15.75" thickBot="1" x14ac:dyDescent="0.3">
      <c r="A466" s="51" t="s">
        <v>1030</v>
      </c>
      <c r="B466" s="51" t="s">
        <v>1041</v>
      </c>
      <c r="C466" s="51" t="s">
        <v>1042</v>
      </c>
      <c r="D466" s="51" t="s">
        <v>320</v>
      </c>
      <c r="E466" s="51" t="s">
        <v>272</v>
      </c>
      <c r="F466" s="51" t="s">
        <v>266</v>
      </c>
      <c r="G466" s="56">
        <v>11250</v>
      </c>
      <c r="H466" s="56">
        <v>0</v>
      </c>
      <c r="I466" s="823"/>
      <c r="J466" s="823"/>
      <c r="K466" s="56">
        <v>11250</v>
      </c>
      <c r="L466" s="823"/>
      <c r="M466" s="823"/>
      <c r="N466" s="823"/>
      <c r="O466" s="823"/>
      <c r="P466" s="823"/>
      <c r="Q466" s="823"/>
      <c r="R466" s="823"/>
      <c r="S466" s="823"/>
      <c r="T466" s="823"/>
      <c r="U466" s="823"/>
      <c r="V466" s="823"/>
      <c r="W466" s="823"/>
      <c r="X466" s="823"/>
      <c r="Y466" s="823"/>
      <c r="Z466" s="823"/>
      <c r="AA466" s="823"/>
      <c r="AB466" s="823"/>
      <c r="AC466" s="823"/>
      <c r="AD466" s="823"/>
      <c r="AE466" s="823"/>
      <c r="AF466" s="823"/>
      <c r="AG466" s="823"/>
      <c r="AH466" s="56">
        <v>499.03</v>
      </c>
      <c r="AI466" s="823"/>
      <c r="AJ466" s="823"/>
      <c r="AK466" s="56">
        <v>11749.03</v>
      </c>
      <c r="AL466" s="56">
        <v>0</v>
      </c>
    </row>
    <row r="467" spans="1:38" ht="15.75" thickBot="1" x14ac:dyDescent="0.3">
      <c r="A467" s="51" t="s">
        <v>1030</v>
      </c>
      <c r="B467" s="51" t="s">
        <v>1041</v>
      </c>
      <c r="C467" s="51" t="s">
        <v>1042</v>
      </c>
      <c r="D467" s="51" t="s">
        <v>320</v>
      </c>
      <c r="E467" s="51" t="s">
        <v>1035</v>
      </c>
      <c r="F467" s="51" t="s">
        <v>266</v>
      </c>
      <c r="G467" s="56">
        <v>372.03</v>
      </c>
      <c r="H467" s="56">
        <v>0</v>
      </c>
      <c r="I467" s="823"/>
      <c r="J467" s="823"/>
      <c r="K467" s="823"/>
      <c r="L467" s="823"/>
      <c r="M467" s="823"/>
      <c r="N467" s="823"/>
      <c r="O467" s="823"/>
      <c r="P467" s="823"/>
      <c r="Q467" s="56">
        <v>372.03</v>
      </c>
      <c r="R467" s="823"/>
      <c r="S467" s="823"/>
      <c r="T467" s="823"/>
      <c r="U467" s="823"/>
      <c r="V467" s="823"/>
      <c r="W467" s="823"/>
      <c r="X467" s="823"/>
      <c r="Y467" s="823"/>
      <c r="Z467" s="823"/>
      <c r="AA467" s="823"/>
      <c r="AB467" s="823"/>
      <c r="AC467" s="823"/>
      <c r="AD467" s="823"/>
      <c r="AE467" s="823"/>
      <c r="AF467" s="823"/>
      <c r="AG467" s="823"/>
      <c r="AH467" s="56">
        <v>15.26</v>
      </c>
      <c r="AI467" s="823"/>
      <c r="AJ467" s="823"/>
      <c r="AK467" s="56">
        <v>387.29</v>
      </c>
      <c r="AL467" s="56">
        <v>0</v>
      </c>
    </row>
    <row r="468" spans="1:38" ht="15.75" thickBot="1" x14ac:dyDescent="0.3">
      <c r="A468" s="51" t="s">
        <v>1030</v>
      </c>
      <c r="B468" s="51" t="s">
        <v>1041</v>
      </c>
      <c r="C468" s="51" t="s">
        <v>1042</v>
      </c>
      <c r="D468" s="51" t="s">
        <v>320</v>
      </c>
      <c r="E468" s="51" t="s">
        <v>1036</v>
      </c>
      <c r="F468" s="51" t="s">
        <v>266</v>
      </c>
      <c r="G468" s="56">
        <v>2945.24</v>
      </c>
      <c r="H468" s="56">
        <v>775061</v>
      </c>
      <c r="I468" s="56">
        <v>77506</v>
      </c>
      <c r="J468" s="823"/>
      <c r="K468" s="823"/>
      <c r="L468" s="823"/>
      <c r="M468" s="56">
        <v>2945.24</v>
      </c>
      <c r="N468" s="823"/>
      <c r="O468" s="823"/>
      <c r="P468" s="823"/>
      <c r="Q468" s="823"/>
      <c r="R468" s="823"/>
      <c r="S468" s="823"/>
      <c r="T468" s="823"/>
      <c r="U468" s="823"/>
      <c r="V468" s="823"/>
      <c r="W468" s="823"/>
      <c r="X468" s="823"/>
      <c r="Y468" s="823"/>
      <c r="Z468" s="823"/>
      <c r="AA468" s="823"/>
      <c r="AB468" s="823"/>
      <c r="AC468" s="823"/>
      <c r="AD468" s="823"/>
      <c r="AE468" s="823"/>
      <c r="AF468" s="823"/>
      <c r="AG468" s="823"/>
      <c r="AH468" s="56">
        <v>120.84</v>
      </c>
      <c r="AI468" s="823"/>
      <c r="AJ468" s="823"/>
      <c r="AK468" s="56">
        <v>3066.08</v>
      </c>
      <c r="AL468" s="56">
        <v>0</v>
      </c>
    </row>
    <row r="469" spans="1:38" ht="15.75" thickBot="1" x14ac:dyDescent="0.3">
      <c r="A469" s="51" t="s">
        <v>1030</v>
      </c>
      <c r="B469" s="51" t="s">
        <v>1041</v>
      </c>
      <c r="C469" s="51" t="s">
        <v>1042</v>
      </c>
      <c r="D469" s="51" t="s">
        <v>320</v>
      </c>
      <c r="E469" s="51" t="s">
        <v>1037</v>
      </c>
      <c r="F469" s="51" t="s">
        <v>266</v>
      </c>
      <c r="G469" s="56">
        <v>759.55</v>
      </c>
      <c r="H469" s="56">
        <v>0</v>
      </c>
      <c r="I469" s="823"/>
      <c r="J469" s="823"/>
      <c r="K469" s="823"/>
      <c r="L469" s="823"/>
      <c r="M469" s="823"/>
      <c r="N469" s="823"/>
      <c r="O469" s="823"/>
      <c r="P469" s="823"/>
      <c r="Q469" s="823"/>
      <c r="R469" s="823"/>
      <c r="S469" s="823"/>
      <c r="T469" s="823"/>
      <c r="U469" s="823"/>
      <c r="V469" s="823"/>
      <c r="W469" s="823"/>
      <c r="X469" s="823"/>
      <c r="Y469" s="823"/>
      <c r="Z469" s="823"/>
      <c r="AA469" s="56">
        <v>759.55</v>
      </c>
      <c r="AB469" s="823"/>
      <c r="AC469" s="823"/>
      <c r="AD469" s="823"/>
      <c r="AE469" s="823"/>
      <c r="AF469" s="823"/>
      <c r="AG469" s="823"/>
      <c r="AH469" s="56">
        <v>31.19</v>
      </c>
      <c r="AI469" s="823"/>
      <c r="AJ469" s="823"/>
      <c r="AK469" s="56">
        <v>790.74</v>
      </c>
      <c r="AL469" s="56">
        <v>0</v>
      </c>
    </row>
    <row r="470" spans="1:38" ht="15.75" thickBot="1" x14ac:dyDescent="0.3">
      <c r="A470" s="51" t="s">
        <v>1030</v>
      </c>
      <c r="B470" s="51" t="s">
        <v>1041</v>
      </c>
      <c r="C470" s="51" t="s">
        <v>1042</v>
      </c>
      <c r="D470" s="51" t="s">
        <v>320</v>
      </c>
      <c r="E470" s="51" t="s">
        <v>325</v>
      </c>
      <c r="F470" s="51" t="s">
        <v>266</v>
      </c>
      <c r="G470" s="56">
        <v>64.91</v>
      </c>
      <c r="H470" s="56">
        <v>0</v>
      </c>
      <c r="I470" s="823"/>
      <c r="J470" s="823"/>
      <c r="K470" s="823"/>
      <c r="L470" s="823"/>
      <c r="M470" s="823"/>
      <c r="N470" s="56">
        <v>64.91</v>
      </c>
      <c r="O470" s="823"/>
      <c r="P470" s="823"/>
      <c r="Q470" s="823"/>
      <c r="R470" s="823"/>
      <c r="S470" s="823"/>
      <c r="T470" s="823"/>
      <c r="U470" s="823"/>
      <c r="V470" s="823"/>
      <c r="W470" s="823"/>
      <c r="X470" s="823"/>
      <c r="Y470" s="823"/>
      <c r="Z470" s="823"/>
      <c r="AA470" s="823"/>
      <c r="AB470" s="823"/>
      <c r="AC470" s="823"/>
      <c r="AD470" s="823"/>
      <c r="AE470" s="823"/>
      <c r="AF470" s="823"/>
      <c r="AG470" s="823"/>
      <c r="AH470" s="56">
        <v>0.91</v>
      </c>
      <c r="AI470" s="823"/>
      <c r="AJ470" s="823"/>
      <c r="AK470" s="56">
        <v>65.819999999999993</v>
      </c>
      <c r="AL470" s="56">
        <v>0</v>
      </c>
    </row>
    <row r="471" spans="1:38" ht="15.75" thickBot="1" x14ac:dyDescent="0.3">
      <c r="A471" s="51" t="s">
        <v>1030</v>
      </c>
      <c r="B471" s="868" t="s">
        <v>1041</v>
      </c>
      <c r="C471" s="51" t="s">
        <v>1042</v>
      </c>
      <c r="D471" s="51" t="s">
        <v>320</v>
      </c>
      <c r="E471" s="51" t="s">
        <v>268</v>
      </c>
      <c r="F471" s="51" t="s">
        <v>266</v>
      </c>
      <c r="G471" s="56">
        <v>8250</v>
      </c>
      <c r="H471" s="56">
        <v>0</v>
      </c>
      <c r="I471" s="823"/>
      <c r="J471" s="823"/>
      <c r="K471" s="56">
        <v>8250</v>
      </c>
      <c r="L471" s="823"/>
      <c r="M471" s="823"/>
      <c r="N471" s="823"/>
      <c r="O471" s="823"/>
      <c r="P471" s="823"/>
      <c r="Q471" s="823"/>
      <c r="R471" s="823"/>
      <c r="S471" s="823"/>
      <c r="T471" s="823"/>
      <c r="U471" s="823"/>
      <c r="V471" s="823"/>
      <c r="W471" s="823"/>
      <c r="X471" s="823"/>
      <c r="Y471" s="823"/>
      <c r="Z471" s="823"/>
      <c r="AA471" s="823"/>
      <c r="AB471" s="823"/>
      <c r="AC471" s="823"/>
      <c r="AD471" s="823"/>
      <c r="AE471" s="823"/>
      <c r="AF471" s="823"/>
      <c r="AG471" s="823"/>
      <c r="AH471" s="56">
        <v>365.97</v>
      </c>
      <c r="AI471" s="823"/>
      <c r="AJ471" s="823"/>
      <c r="AK471" s="56">
        <v>8615.9699999999993</v>
      </c>
      <c r="AL471" s="56">
        <v>0</v>
      </c>
    </row>
    <row r="472" spans="1:38" ht="15.75" thickBot="1" x14ac:dyDescent="0.3">
      <c r="A472" s="51" t="s">
        <v>1030</v>
      </c>
      <c r="B472" s="51" t="s">
        <v>1041</v>
      </c>
      <c r="C472" s="51" t="s">
        <v>1042</v>
      </c>
      <c r="D472" s="51" t="s">
        <v>320</v>
      </c>
      <c r="E472" s="51" t="s">
        <v>914</v>
      </c>
      <c r="F472" s="51" t="s">
        <v>266</v>
      </c>
      <c r="G472" s="56">
        <v>25900.86</v>
      </c>
      <c r="H472" s="56">
        <v>0</v>
      </c>
      <c r="I472" s="823"/>
      <c r="J472" s="56">
        <v>5297</v>
      </c>
      <c r="K472" s="823"/>
      <c r="L472" s="56">
        <v>25900.86</v>
      </c>
      <c r="M472" s="823"/>
      <c r="N472" s="823"/>
      <c r="O472" s="823"/>
      <c r="P472" s="823"/>
      <c r="Q472" s="823"/>
      <c r="R472" s="823"/>
      <c r="S472" s="823"/>
      <c r="T472" s="823"/>
      <c r="U472" s="823"/>
      <c r="V472" s="823"/>
      <c r="W472" s="823"/>
      <c r="X472" s="823"/>
      <c r="Y472" s="823"/>
      <c r="Z472" s="823"/>
      <c r="AA472" s="823"/>
      <c r="AB472" s="823"/>
      <c r="AC472" s="823"/>
      <c r="AD472" s="823"/>
      <c r="AE472" s="823"/>
      <c r="AF472" s="823"/>
      <c r="AG472" s="823"/>
      <c r="AH472" s="56">
        <v>1096.1600000000001</v>
      </c>
      <c r="AI472" s="823"/>
      <c r="AJ472" s="823"/>
      <c r="AK472" s="56">
        <v>26997.02</v>
      </c>
      <c r="AL472" s="56">
        <v>0</v>
      </c>
    </row>
    <row r="473" spans="1:38" ht="23.25" thickBot="1" x14ac:dyDescent="0.3">
      <c r="A473" s="51" t="s">
        <v>1030</v>
      </c>
      <c r="B473" s="51" t="s">
        <v>1043</v>
      </c>
      <c r="C473" s="51" t="s">
        <v>1044</v>
      </c>
      <c r="D473" s="51" t="s">
        <v>320</v>
      </c>
      <c r="E473" s="51" t="s">
        <v>1033</v>
      </c>
      <c r="F473" s="51" t="s">
        <v>915</v>
      </c>
      <c r="G473" s="56">
        <v>4.54</v>
      </c>
      <c r="H473" s="56">
        <v>0</v>
      </c>
      <c r="I473" s="823"/>
      <c r="J473" s="823"/>
      <c r="K473" s="823"/>
      <c r="L473" s="823"/>
      <c r="M473" s="823"/>
      <c r="N473" s="823"/>
      <c r="O473" s="823"/>
      <c r="P473" s="823"/>
      <c r="Q473" s="823"/>
      <c r="R473" s="823"/>
      <c r="S473" s="823"/>
      <c r="T473" s="823"/>
      <c r="U473" s="823"/>
      <c r="V473" s="823"/>
      <c r="W473" s="823"/>
      <c r="X473" s="823"/>
      <c r="Y473" s="823"/>
      <c r="Z473" s="823"/>
      <c r="AA473" s="823"/>
      <c r="AB473" s="823"/>
      <c r="AC473" s="823"/>
      <c r="AD473" s="823"/>
      <c r="AE473" s="823"/>
      <c r="AF473" s="823"/>
      <c r="AG473" s="823"/>
      <c r="AH473" s="56">
        <v>0.27</v>
      </c>
      <c r="AI473" s="823"/>
      <c r="AJ473" s="823"/>
      <c r="AK473" s="56">
        <v>4.8099999999999996</v>
      </c>
      <c r="AL473" s="56">
        <v>0</v>
      </c>
    </row>
    <row r="474" spans="1:38" ht="23.25" thickBot="1" x14ac:dyDescent="0.3">
      <c r="A474" s="51" t="s">
        <v>1030</v>
      </c>
      <c r="B474" s="51" t="s">
        <v>1043</v>
      </c>
      <c r="C474" s="51" t="s">
        <v>1044</v>
      </c>
      <c r="D474" s="51" t="s">
        <v>320</v>
      </c>
      <c r="E474" s="51" t="s">
        <v>1045</v>
      </c>
      <c r="F474" s="51" t="s">
        <v>915</v>
      </c>
      <c r="G474" s="56">
        <v>-39.33</v>
      </c>
      <c r="H474" s="56">
        <v>0</v>
      </c>
      <c r="I474" s="823"/>
      <c r="J474" s="823"/>
      <c r="K474" s="823"/>
      <c r="L474" s="823"/>
      <c r="M474" s="823"/>
      <c r="N474" s="823"/>
      <c r="O474" s="823"/>
      <c r="P474" s="823"/>
      <c r="Q474" s="823"/>
      <c r="R474" s="823"/>
      <c r="S474" s="823"/>
      <c r="T474" s="823"/>
      <c r="U474" s="823"/>
      <c r="V474" s="823"/>
      <c r="W474" s="823"/>
      <c r="X474" s="823"/>
      <c r="Y474" s="823"/>
      <c r="Z474" s="823"/>
      <c r="AA474" s="823"/>
      <c r="AB474" s="823"/>
      <c r="AC474" s="823"/>
      <c r="AD474" s="823"/>
      <c r="AE474" s="823"/>
      <c r="AF474" s="823"/>
      <c r="AG474" s="823"/>
      <c r="AH474" s="56">
        <v>0</v>
      </c>
      <c r="AI474" s="823"/>
      <c r="AJ474" s="823"/>
      <c r="AK474" s="56">
        <v>-39.33</v>
      </c>
      <c r="AL474" s="56">
        <v>0</v>
      </c>
    </row>
    <row r="475" spans="1:38" ht="23.25" thickBot="1" x14ac:dyDescent="0.3">
      <c r="A475" s="51" t="s">
        <v>1030</v>
      </c>
      <c r="B475" s="51" t="s">
        <v>1043</v>
      </c>
      <c r="C475" s="51" t="s">
        <v>1044</v>
      </c>
      <c r="D475" s="51" t="s">
        <v>320</v>
      </c>
      <c r="E475" s="51" t="s">
        <v>1034</v>
      </c>
      <c r="F475" s="51" t="s">
        <v>915</v>
      </c>
      <c r="G475" s="56">
        <v>-1102.0999999999999</v>
      </c>
      <c r="H475" s="56">
        <v>0</v>
      </c>
      <c r="I475" s="823"/>
      <c r="J475" s="823"/>
      <c r="K475" s="823"/>
      <c r="L475" s="823"/>
      <c r="M475" s="823"/>
      <c r="N475" s="823"/>
      <c r="O475" s="823"/>
      <c r="P475" s="823"/>
      <c r="Q475" s="823"/>
      <c r="R475" s="823"/>
      <c r="S475" s="823"/>
      <c r="T475" s="823"/>
      <c r="U475" s="823"/>
      <c r="V475" s="823"/>
      <c r="W475" s="823"/>
      <c r="X475" s="823"/>
      <c r="Y475" s="823"/>
      <c r="Z475" s="823"/>
      <c r="AA475" s="823"/>
      <c r="AB475" s="823"/>
      <c r="AC475" s="823"/>
      <c r="AD475" s="823"/>
      <c r="AE475" s="823"/>
      <c r="AF475" s="823"/>
      <c r="AG475" s="823"/>
      <c r="AH475" s="56">
        <v>0</v>
      </c>
      <c r="AI475" s="823"/>
      <c r="AJ475" s="823"/>
      <c r="AK475" s="56">
        <v>-1102.0999999999999</v>
      </c>
      <c r="AL475" s="56">
        <v>0</v>
      </c>
    </row>
    <row r="476" spans="1:38" ht="23.25" thickBot="1" x14ac:dyDescent="0.3">
      <c r="A476" s="51" t="s">
        <v>1030</v>
      </c>
      <c r="B476" s="51" t="s">
        <v>1043</v>
      </c>
      <c r="C476" s="51" t="s">
        <v>1044</v>
      </c>
      <c r="D476" s="51" t="s">
        <v>320</v>
      </c>
      <c r="E476" s="51" t="s">
        <v>1046</v>
      </c>
      <c r="F476" s="51" t="s">
        <v>915</v>
      </c>
      <c r="G476" s="56">
        <v>9.92</v>
      </c>
      <c r="H476" s="56">
        <v>0</v>
      </c>
      <c r="I476" s="823"/>
      <c r="J476" s="823"/>
      <c r="K476" s="823"/>
      <c r="L476" s="823"/>
      <c r="M476" s="823"/>
      <c r="N476" s="823"/>
      <c r="O476" s="823"/>
      <c r="P476" s="823"/>
      <c r="Q476" s="823"/>
      <c r="R476" s="823"/>
      <c r="S476" s="823"/>
      <c r="T476" s="823"/>
      <c r="U476" s="823"/>
      <c r="V476" s="823"/>
      <c r="W476" s="823"/>
      <c r="X476" s="823"/>
      <c r="Y476" s="823"/>
      <c r="Z476" s="823"/>
      <c r="AA476" s="823"/>
      <c r="AB476" s="823"/>
      <c r="AC476" s="823"/>
      <c r="AD476" s="823"/>
      <c r="AE476" s="823"/>
      <c r="AF476" s="823"/>
      <c r="AG476" s="823"/>
      <c r="AH476" s="56">
        <v>0.6</v>
      </c>
      <c r="AI476" s="823"/>
      <c r="AJ476" s="823"/>
      <c r="AK476" s="56">
        <v>10.52</v>
      </c>
      <c r="AL476" s="56">
        <v>0</v>
      </c>
    </row>
    <row r="477" spans="1:38" ht="15.75" thickBot="1" x14ac:dyDescent="0.3">
      <c r="A477" s="51" t="s">
        <v>1030</v>
      </c>
      <c r="B477" s="51" t="s">
        <v>1043</v>
      </c>
      <c r="C477" s="51" t="s">
        <v>1044</v>
      </c>
      <c r="D477" s="51" t="s">
        <v>320</v>
      </c>
      <c r="E477" s="51" t="s">
        <v>272</v>
      </c>
      <c r="F477" s="51" t="s">
        <v>266</v>
      </c>
      <c r="G477" s="56">
        <v>1500</v>
      </c>
      <c r="H477" s="56">
        <v>0</v>
      </c>
      <c r="I477" s="823"/>
      <c r="J477" s="823"/>
      <c r="K477" s="56">
        <v>1500</v>
      </c>
      <c r="L477" s="823"/>
      <c r="M477" s="823"/>
      <c r="N477" s="823"/>
      <c r="O477" s="823"/>
      <c r="P477" s="823"/>
      <c r="Q477" s="823"/>
      <c r="R477" s="823"/>
      <c r="S477" s="823"/>
      <c r="T477" s="823"/>
      <c r="U477" s="823"/>
      <c r="V477" s="823"/>
      <c r="W477" s="823"/>
      <c r="X477" s="823"/>
      <c r="Y477" s="823"/>
      <c r="Z477" s="823"/>
      <c r="AA477" s="823"/>
      <c r="AB477" s="823"/>
      <c r="AC477" s="823"/>
      <c r="AD477" s="823"/>
      <c r="AE477" s="823"/>
      <c r="AF477" s="823"/>
      <c r="AG477" s="823"/>
      <c r="AH477" s="56">
        <v>89.99</v>
      </c>
      <c r="AI477" s="823"/>
      <c r="AJ477" s="823"/>
      <c r="AK477" s="56">
        <v>1589.99</v>
      </c>
      <c r="AL477" s="56">
        <v>0</v>
      </c>
    </row>
    <row r="478" spans="1:38" ht="23.25" thickBot="1" x14ac:dyDescent="0.3">
      <c r="A478" s="51" t="s">
        <v>1030</v>
      </c>
      <c r="B478" s="51" t="s">
        <v>1043</v>
      </c>
      <c r="C478" s="51" t="s">
        <v>1044</v>
      </c>
      <c r="D478" s="51" t="s">
        <v>320</v>
      </c>
      <c r="E478" s="51" t="s">
        <v>1047</v>
      </c>
      <c r="F478" s="51" t="s">
        <v>915</v>
      </c>
      <c r="G478" s="56">
        <v>0.15</v>
      </c>
      <c r="H478" s="56">
        <v>40</v>
      </c>
      <c r="I478" s="56">
        <v>4</v>
      </c>
      <c r="J478" s="823"/>
      <c r="K478" s="823"/>
      <c r="L478" s="823"/>
      <c r="M478" s="56">
        <v>0.15</v>
      </c>
      <c r="N478" s="823"/>
      <c r="O478" s="823"/>
      <c r="P478" s="823"/>
      <c r="Q478" s="823"/>
      <c r="R478" s="823"/>
      <c r="S478" s="823"/>
      <c r="T478" s="823"/>
      <c r="U478" s="823"/>
      <c r="V478" s="823"/>
      <c r="W478" s="823"/>
      <c r="X478" s="823"/>
      <c r="Y478" s="823"/>
      <c r="Z478" s="823"/>
      <c r="AA478" s="823"/>
      <c r="AB478" s="823"/>
      <c r="AC478" s="823"/>
      <c r="AD478" s="823"/>
      <c r="AE478" s="823"/>
      <c r="AF478" s="823"/>
      <c r="AG478" s="823"/>
      <c r="AH478" s="56">
        <v>0.01</v>
      </c>
      <c r="AI478" s="823"/>
      <c r="AJ478" s="823"/>
      <c r="AK478" s="56">
        <v>0.16</v>
      </c>
      <c r="AL478" s="56">
        <v>0</v>
      </c>
    </row>
    <row r="479" spans="1:38" ht="15.75" thickBot="1" x14ac:dyDescent="0.3">
      <c r="A479" s="51" t="s">
        <v>1030</v>
      </c>
      <c r="B479" s="51" t="s">
        <v>1043</v>
      </c>
      <c r="C479" s="51" t="s">
        <v>1044</v>
      </c>
      <c r="D479" s="51" t="s">
        <v>320</v>
      </c>
      <c r="E479" s="51" t="s">
        <v>1036</v>
      </c>
      <c r="F479" s="51" t="s">
        <v>266</v>
      </c>
      <c r="G479" s="56">
        <v>779.8</v>
      </c>
      <c r="H479" s="56">
        <v>205210</v>
      </c>
      <c r="I479" s="56">
        <v>20521</v>
      </c>
      <c r="J479" s="823"/>
      <c r="K479" s="823"/>
      <c r="L479" s="823"/>
      <c r="M479" s="56">
        <v>779.8</v>
      </c>
      <c r="N479" s="823"/>
      <c r="O479" s="823"/>
      <c r="P479" s="823"/>
      <c r="Q479" s="823"/>
      <c r="R479" s="823"/>
      <c r="S479" s="823"/>
      <c r="T479" s="823"/>
      <c r="U479" s="823"/>
      <c r="V479" s="823"/>
      <c r="W479" s="823"/>
      <c r="X479" s="823"/>
      <c r="Y479" s="823"/>
      <c r="Z479" s="823"/>
      <c r="AA479" s="823"/>
      <c r="AB479" s="823"/>
      <c r="AC479" s="823"/>
      <c r="AD479" s="823"/>
      <c r="AE479" s="823"/>
      <c r="AF479" s="823"/>
      <c r="AG479" s="823"/>
      <c r="AH479" s="56">
        <v>46.79</v>
      </c>
      <c r="AI479" s="823"/>
      <c r="AJ479" s="823"/>
      <c r="AK479" s="56">
        <v>826.59</v>
      </c>
      <c r="AL479" s="56">
        <v>0</v>
      </c>
    </row>
    <row r="480" spans="1:38" ht="23.25" thickBot="1" x14ac:dyDescent="0.3">
      <c r="A480" s="51" t="s">
        <v>1030</v>
      </c>
      <c r="B480" s="51" t="s">
        <v>1043</v>
      </c>
      <c r="C480" s="51" t="s">
        <v>1044</v>
      </c>
      <c r="D480" s="51" t="s">
        <v>320</v>
      </c>
      <c r="E480" s="51" t="s">
        <v>916</v>
      </c>
      <c r="F480" s="51" t="s">
        <v>915</v>
      </c>
      <c r="G480" s="56">
        <v>0.04</v>
      </c>
      <c r="H480" s="56">
        <v>0</v>
      </c>
      <c r="I480" s="823"/>
      <c r="J480" s="823"/>
      <c r="K480" s="823"/>
      <c r="L480" s="823"/>
      <c r="M480" s="823"/>
      <c r="N480" s="823"/>
      <c r="O480" s="823"/>
      <c r="P480" s="823"/>
      <c r="Q480" s="823"/>
      <c r="R480" s="823"/>
      <c r="S480" s="823"/>
      <c r="T480" s="823"/>
      <c r="U480" s="823"/>
      <c r="V480" s="823"/>
      <c r="W480" s="823"/>
      <c r="X480" s="823"/>
      <c r="Y480" s="823"/>
      <c r="Z480" s="823"/>
      <c r="AA480" s="56">
        <v>0.04</v>
      </c>
      <c r="AB480" s="823"/>
      <c r="AC480" s="823"/>
      <c r="AD480" s="823"/>
      <c r="AE480" s="823"/>
      <c r="AF480" s="823"/>
      <c r="AG480" s="823"/>
      <c r="AH480" s="56">
        <v>0</v>
      </c>
      <c r="AI480" s="823"/>
      <c r="AJ480" s="823"/>
      <c r="AK480" s="56">
        <v>0.04</v>
      </c>
      <c r="AL480" s="56">
        <v>0</v>
      </c>
    </row>
    <row r="481" spans="1:38" ht="15.75" thickBot="1" x14ac:dyDescent="0.3">
      <c r="A481" s="51" t="s">
        <v>1030</v>
      </c>
      <c r="B481" s="51" t="s">
        <v>1043</v>
      </c>
      <c r="C481" s="51" t="s">
        <v>1044</v>
      </c>
      <c r="D481" s="51" t="s">
        <v>320</v>
      </c>
      <c r="E481" s="51" t="s">
        <v>1037</v>
      </c>
      <c r="F481" s="51" t="s">
        <v>266</v>
      </c>
      <c r="G481" s="56">
        <v>201.11</v>
      </c>
      <c r="H481" s="56">
        <v>0</v>
      </c>
      <c r="I481" s="823"/>
      <c r="J481" s="823"/>
      <c r="K481" s="823"/>
      <c r="L481" s="823"/>
      <c r="M481" s="823"/>
      <c r="N481" s="823"/>
      <c r="O481" s="823"/>
      <c r="P481" s="823"/>
      <c r="Q481" s="823"/>
      <c r="R481" s="823"/>
      <c r="S481" s="823"/>
      <c r="T481" s="823"/>
      <c r="U481" s="823"/>
      <c r="V481" s="823"/>
      <c r="W481" s="823"/>
      <c r="X481" s="823"/>
      <c r="Y481" s="823"/>
      <c r="Z481" s="823"/>
      <c r="AA481" s="56">
        <v>201.11</v>
      </c>
      <c r="AB481" s="823"/>
      <c r="AC481" s="823"/>
      <c r="AD481" s="823"/>
      <c r="AE481" s="823"/>
      <c r="AF481" s="823"/>
      <c r="AG481" s="823"/>
      <c r="AH481" s="56">
        <v>12.06</v>
      </c>
      <c r="AI481" s="823"/>
      <c r="AJ481" s="823"/>
      <c r="AK481" s="56">
        <v>213.17</v>
      </c>
      <c r="AL481" s="56">
        <v>0</v>
      </c>
    </row>
    <row r="482" spans="1:38" ht="15.75" thickBot="1" x14ac:dyDescent="0.3">
      <c r="A482" s="51" t="s">
        <v>1030</v>
      </c>
      <c r="B482" s="51" t="s">
        <v>1043</v>
      </c>
      <c r="C482" s="51" t="s">
        <v>1044</v>
      </c>
      <c r="D482" s="51" t="s">
        <v>320</v>
      </c>
      <c r="E482" s="51" t="s">
        <v>325</v>
      </c>
      <c r="F482" s="51" t="s">
        <v>266</v>
      </c>
      <c r="G482" s="56">
        <v>0.2</v>
      </c>
      <c r="H482" s="56">
        <v>0</v>
      </c>
      <c r="I482" s="823"/>
      <c r="J482" s="823"/>
      <c r="K482" s="823"/>
      <c r="L482" s="823"/>
      <c r="M482" s="823"/>
      <c r="N482" s="56">
        <v>0.2</v>
      </c>
      <c r="O482" s="823"/>
      <c r="P482" s="823"/>
      <c r="Q482" s="823"/>
      <c r="R482" s="823"/>
      <c r="S482" s="823"/>
      <c r="T482" s="823"/>
      <c r="U482" s="823"/>
      <c r="V482" s="823"/>
      <c r="W482" s="823"/>
      <c r="X482" s="823"/>
      <c r="Y482" s="823"/>
      <c r="Z482" s="823"/>
      <c r="AA482" s="823"/>
      <c r="AB482" s="823"/>
      <c r="AC482" s="823"/>
      <c r="AD482" s="823"/>
      <c r="AE482" s="823"/>
      <c r="AF482" s="823"/>
      <c r="AG482" s="823"/>
      <c r="AH482" s="56">
        <v>0.01</v>
      </c>
      <c r="AI482" s="823"/>
      <c r="AJ482" s="823"/>
      <c r="AK482" s="56">
        <v>0.21</v>
      </c>
      <c r="AL482" s="56">
        <v>0</v>
      </c>
    </row>
    <row r="483" spans="1:38" ht="15.75" thickBot="1" x14ac:dyDescent="0.3">
      <c r="A483" s="51" t="s">
        <v>1030</v>
      </c>
      <c r="B483" s="868" t="s">
        <v>1043</v>
      </c>
      <c r="C483" s="51" t="s">
        <v>1044</v>
      </c>
      <c r="D483" s="51" t="s">
        <v>320</v>
      </c>
      <c r="E483" s="51" t="s">
        <v>268</v>
      </c>
      <c r="F483" s="51" t="s">
        <v>266</v>
      </c>
      <c r="G483" s="56">
        <v>1100</v>
      </c>
      <c r="H483" s="56">
        <v>0</v>
      </c>
      <c r="I483" s="823"/>
      <c r="J483" s="823"/>
      <c r="K483" s="56">
        <v>1100</v>
      </c>
      <c r="L483" s="823"/>
      <c r="M483" s="823"/>
      <c r="N483" s="823"/>
      <c r="O483" s="823"/>
      <c r="P483" s="823"/>
      <c r="Q483" s="823"/>
      <c r="R483" s="823"/>
      <c r="S483" s="823"/>
      <c r="T483" s="823"/>
      <c r="U483" s="823"/>
      <c r="V483" s="823"/>
      <c r="W483" s="823"/>
      <c r="X483" s="823"/>
      <c r="Y483" s="823"/>
      <c r="Z483" s="823"/>
      <c r="AA483" s="823"/>
      <c r="AB483" s="823"/>
      <c r="AC483" s="823"/>
      <c r="AD483" s="823"/>
      <c r="AE483" s="823"/>
      <c r="AF483" s="823"/>
      <c r="AG483" s="823"/>
      <c r="AH483" s="56">
        <v>66</v>
      </c>
      <c r="AI483" s="823"/>
      <c r="AJ483" s="823"/>
      <c r="AK483" s="56">
        <v>1166</v>
      </c>
      <c r="AL483" s="56">
        <v>0</v>
      </c>
    </row>
    <row r="484" spans="1:38" ht="15.75" thickBot="1" x14ac:dyDescent="0.3">
      <c r="A484" s="51" t="s">
        <v>1030</v>
      </c>
      <c r="B484" s="51" t="s">
        <v>1043</v>
      </c>
      <c r="C484" s="51" t="s">
        <v>1044</v>
      </c>
      <c r="D484" s="51" t="s">
        <v>320</v>
      </c>
      <c r="E484" s="51" t="s">
        <v>914</v>
      </c>
      <c r="F484" s="51" t="s">
        <v>266</v>
      </c>
      <c r="G484" s="56">
        <v>8486.6</v>
      </c>
      <c r="H484" s="56">
        <v>0</v>
      </c>
      <c r="I484" s="823"/>
      <c r="J484" s="56">
        <v>1736</v>
      </c>
      <c r="K484" s="823"/>
      <c r="L484" s="56">
        <v>8486.6</v>
      </c>
      <c r="M484" s="823"/>
      <c r="N484" s="823"/>
      <c r="O484" s="823"/>
      <c r="P484" s="823"/>
      <c r="Q484" s="823"/>
      <c r="R484" s="823"/>
      <c r="S484" s="823"/>
      <c r="T484" s="823"/>
      <c r="U484" s="823"/>
      <c r="V484" s="823"/>
      <c r="W484" s="823"/>
      <c r="X484" s="823"/>
      <c r="Y484" s="823"/>
      <c r="Z484" s="823"/>
      <c r="AA484" s="823"/>
      <c r="AB484" s="823"/>
      <c r="AC484" s="823"/>
      <c r="AD484" s="823"/>
      <c r="AE484" s="823"/>
      <c r="AF484" s="823"/>
      <c r="AG484" s="823"/>
      <c r="AH484" s="56">
        <v>509.2</v>
      </c>
      <c r="AI484" s="823"/>
      <c r="AJ484" s="823"/>
      <c r="AK484" s="56">
        <v>8995.7999999999993</v>
      </c>
      <c r="AL484" s="56">
        <v>0</v>
      </c>
    </row>
    <row r="485" spans="1:38" ht="15.75" thickBot="1" x14ac:dyDescent="0.3">
      <c r="A485" s="51" t="s">
        <v>1030</v>
      </c>
      <c r="B485" s="51" t="s">
        <v>1043</v>
      </c>
      <c r="C485" s="51" t="s">
        <v>1044</v>
      </c>
      <c r="D485" s="51" t="s">
        <v>320</v>
      </c>
      <c r="E485" s="51" t="s">
        <v>1038</v>
      </c>
      <c r="F485" s="51" t="s">
        <v>266</v>
      </c>
      <c r="G485" s="56">
        <v>734.63</v>
      </c>
      <c r="H485" s="56">
        <v>0</v>
      </c>
      <c r="I485" s="823"/>
      <c r="J485" s="823"/>
      <c r="K485" s="823"/>
      <c r="L485" s="823"/>
      <c r="M485" s="823"/>
      <c r="N485" s="823"/>
      <c r="O485" s="823"/>
      <c r="P485" s="823"/>
      <c r="Q485" s="823"/>
      <c r="R485" s="823"/>
      <c r="S485" s="823"/>
      <c r="T485" s="823"/>
      <c r="U485" s="823"/>
      <c r="V485" s="823"/>
      <c r="W485" s="823"/>
      <c r="X485" s="56">
        <v>734.63</v>
      </c>
      <c r="Y485" s="823"/>
      <c r="Z485" s="823"/>
      <c r="AA485" s="823"/>
      <c r="AB485" s="823"/>
      <c r="AC485" s="823"/>
      <c r="AD485" s="823"/>
      <c r="AE485" s="823"/>
      <c r="AF485" s="823"/>
      <c r="AG485" s="823"/>
      <c r="AH485" s="56">
        <v>44.08</v>
      </c>
      <c r="AI485" s="823"/>
      <c r="AJ485" s="823"/>
      <c r="AK485" s="56">
        <v>778.71</v>
      </c>
      <c r="AL485" s="56">
        <v>0</v>
      </c>
    </row>
    <row r="486" spans="1:38" ht="15.75" thickBot="1" x14ac:dyDescent="0.3">
      <c r="A486" s="51" t="s">
        <v>1030</v>
      </c>
      <c r="B486" s="51" t="s">
        <v>1043</v>
      </c>
      <c r="C486" s="51" t="s">
        <v>1044</v>
      </c>
      <c r="D486" s="51" t="s">
        <v>320</v>
      </c>
      <c r="E486" s="51" t="s">
        <v>329</v>
      </c>
      <c r="F486" s="51" t="s">
        <v>266</v>
      </c>
      <c r="G486" s="56">
        <v>314.61</v>
      </c>
      <c r="H486" s="56">
        <v>0</v>
      </c>
      <c r="I486" s="823"/>
      <c r="J486" s="823"/>
      <c r="K486" s="823"/>
      <c r="L486" s="823"/>
      <c r="M486" s="823"/>
      <c r="N486" s="823"/>
      <c r="O486" s="823"/>
      <c r="P486" s="823"/>
      <c r="Q486" s="823"/>
      <c r="R486" s="823"/>
      <c r="S486" s="823"/>
      <c r="T486" s="823"/>
      <c r="U486" s="823"/>
      <c r="V486" s="823"/>
      <c r="W486" s="56">
        <v>314.61</v>
      </c>
      <c r="X486" s="823"/>
      <c r="Y486" s="823"/>
      <c r="Z486" s="823"/>
      <c r="AA486" s="823"/>
      <c r="AB486" s="823"/>
      <c r="AC486" s="823"/>
      <c r="AD486" s="823"/>
      <c r="AE486" s="823"/>
      <c r="AF486" s="823"/>
      <c r="AG486" s="823"/>
      <c r="AH486" s="56">
        <v>18.88</v>
      </c>
      <c r="AI486" s="823"/>
      <c r="AJ486" s="823"/>
      <c r="AK486" s="56">
        <v>333.49</v>
      </c>
      <c r="AL486" s="56">
        <v>0</v>
      </c>
    </row>
    <row r="487" spans="1:38" ht="15.75" thickBot="1" x14ac:dyDescent="0.3">
      <c r="A487" s="51" t="s">
        <v>1030</v>
      </c>
      <c r="B487" s="51" t="s">
        <v>1048</v>
      </c>
      <c r="C487" s="51" t="s">
        <v>1049</v>
      </c>
      <c r="D487" s="51" t="s">
        <v>320</v>
      </c>
      <c r="E487" s="51" t="s">
        <v>272</v>
      </c>
      <c r="F487" s="51" t="s">
        <v>266</v>
      </c>
      <c r="G487" s="54">
        <v>34500</v>
      </c>
      <c r="H487" s="54">
        <v>0</v>
      </c>
      <c r="I487" s="822"/>
      <c r="J487" s="822"/>
      <c r="K487" s="54">
        <v>34500</v>
      </c>
      <c r="L487" s="822"/>
      <c r="M487" s="822"/>
      <c r="N487" s="822"/>
      <c r="O487" s="822"/>
      <c r="P487" s="822"/>
      <c r="Q487" s="822"/>
      <c r="R487" s="822"/>
      <c r="S487" s="822"/>
      <c r="T487" s="822"/>
      <c r="U487" s="822"/>
      <c r="V487" s="822"/>
      <c r="W487" s="822"/>
      <c r="X487" s="822"/>
      <c r="Y487" s="822"/>
      <c r="Z487" s="822"/>
      <c r="AA487" s="822"/>
      <c r="AB487" s="822"/>
      <c r="AC487" s="822"/>
      <c r="AD487" s="822"/>
      <c r="AE487" s="822"/>
      <c r="AF487" s="822"/>
      <c r="AG487" s="822"/>
      <c r="AH487" s="54">
        <v>1514.22</v>
      </c>
      <c r="AI487" s="822"/>
      <c r="AJ487" s="822"/>
      <c r="AK487" s="54">
        <v>36014.22</v>
      </c>
      <c r="AL487" s="54">
        <v>0</v>
      </c>
    </row>
    <row r="488" spans="1:38" ht="15.75" thickBot="1" x14ac:dyDescent="0.3">
      <c r="A488" s="51" t="s">
        <v>1030</v>
      </c>
      <c r="B488" s="868" t="s">
        <v>1048</v>
      </c>
      <c r="C488" s="51" t="s">
        <v>1049</v>
      </c>
      <c r="D488" s="51" t="s">
        <v>320</v>
      </c>
      <c r="E488" s="51" t="s">
        <v>1036</v>
      </c>
      <c r="F488" s="51" t="s">
        <v>266</v>
      </c>
      <c r="G488" s="54">
        <v>24275.18</v>
      </c>
      <c r="H488" s="54">
        <v>6388210</v>
      </c>
      <c r="I488" s="54">
        <v>638821</v>
      </c>
      <c r="J488" s="822"/>
      <c r="K488" s="822"/>
      <c r="L488" s="822"/>
      <c r="M488" s="54">
        <v>24275.18</v>
      </c>
      <c r="N488" s="822"/>
      <c r="O488" s="822"/>
      <c r="P488" s="822"/>
      <c r="Q488" s="822"/>
      <c r="R488" s="822"/>
      <c r="S488" s="822"/>
      <c r="T488" s="822"/>
      <c r="U488" s="822"/>
      <c r="V488" s="822"/>
      <c r="W488" s="822"/>
      <c r="X488" s="822"/>
      <c r="Y488" s="822"/>
      <c r="Z488" s="822"/>
      <c r="AA488" s="822"/>
      <c r="AB488" s="822"/>
      <c r="AC488" s="822"/>
      <c r="AD488" s="822"/>
      <c r="AE488" s="822"/>
      <c r="AF488" s="822"/>
      <c r="AG488" s="822"/>
      <c r="AH488" s="54">
        <v>1064.6400000000001</v>
      </c>
      <c r="AI488" s="822"/>
      <c r="AJ488" s="822"/>
      <c r="AK488" s="54">
        <v>25339.82</v>
      </c>
      <c r="AL488" s="54">
        <v>0</v>
      </c>
    </row>
    <row r="489" spans="1:38" ht="15.75" thickBot="1" x14ac:dyDescent="0.3">
      <c r="A489" s="51" t="s">
        <v>1030</v>
      </c>
      <c r="B489" s="51" t="s">
        <v>1048</v>
      </c>
      <c r="C489" s="51" t="s">
        <v>1049</v>
      </c>
      <c r="D489" s="51" t="s">
        <v>320</v>
      </c>
      <c r="E489" s="51" t="s">
        <v>1037</v>
      </c>
      <c r="F489" s="51" t="s">
        <v>266</v>
      </c>
      <c r="G489" s="54">
        <v>6260.44</v>
      </c>
      <c r="H489" s="54">
        <v>0</v>
      </c>
      <c r="I489" s="822"/>
      <c r="J489" s="822"/>
      <c r="K489" s="822"/>
      <c r="L489" s="822"/>
      <c r="M489" s="822"/>
      <c r="N489" s="822"/>
      <c r="O489" s="822"/>
      <c r="P489" s="822"/>
      <c r="Q489" s="822"/>
      <c r="R489" s="822"/>
      <c r="S489" s="822"/>
      <c r="T489" s="822"/>
      <c r="U489" s="822"/>
      <c r="V489" s="822"/>
      <c r="W489" s="822"/>
      <c r="X489" s="822"/>
      <c r="Y489" s="822"/>
      <c r="Z489" s="822"/>
      <c r="AA489" s="54">
        <v>6260.44</v>
      </c>
      <c r="AB489" s="822"/>
      <c r="AC489" s="822"/>
      <c r="AD489" s="822"/>
      <c r="AE489" s="822"/>
      <c r="AF489" s="822"/>
      <c r="AG489" s="822"/>
      <c r="AH489" s="54">
        <v>274.58</v>
      </c>
      <c r="AI489" s="822"/>
      <c r="AJ489" s="822"/>
      <c r="AK489" s="54">
        <v>6535.02</v>
      </c>
      <c r="AL489" s="54">
        <v>0</v>
      </c>
    </row>
    <row r="490" spans="1:38" ht="15.75" thickBot="1" x14ac:dyDescent="0.3">
      <c r="A490" s="51" t="s">
        <v>1030</v>
      </c>
      <c r="B490" s="51" t="s">
        <v>1048</v>
      </c>
      <c r="C490" s="51" t="s">
        <v>1049</v>
      </c>
      <c r="D490" s="51" t="s">
        <v>320</v>
      </c>
      <c r="E490" s="51" t="s">
        <v>325</v>
      </c>
      <c r="F490" s="51" t="s">
        <v>266</v>
      </c>
      <c r="G490" s="54">
        <v>218.18</v>
      </c>
      <c r="H490" s="54">
        <v>0</v>
      </c>
      <c r="I490" s="822"/>
      <c r="J490" s="822"/>
      <c r="K490" s="822"/>
      <c r="L490" s="822"/>
      <c r="M490" s="822"/>
      <c r="N490" s="54">
        <v>218.18</v>
      </c>
      <c r="O490" s="822"/>
      <c r="P490" s="822"/>
      <c r="Q490" s="822"/>
      <c r="R490" s="822"/>
      <c r="S490" s="822"/>
      <c r="T490" s="822"/>
      <c r="U490" s="822"/>
      <c r="V490" s="822"/>
      <c r="W490" s="822"/>
      <c r="X490" s="822"/>
      <c r="Y490" s="822"/>
      <c r="Z490" s="822"/>
      <c r="AA490" s="822"/>
      <c r="AB490" s="822"/>
      <c r="AC490" s="822"/>
      <c r="AD490" s="822"/>
      <c r="AE490" s="822"/>
      <c r="AF490" s="822"/>
      <c r="AG490" s="822"/>
      <c r="AH490" s="54">
        <v>6.4</v>
      </c>
      <c r="AI490" s="822"/>
      <c r="AJ490" s="822"/>
      <c r="AK490" s="54">
        <v>224.58</v>
      </c>
      <c r="AL490" s="54">
        <v>0</v>
      </c>
    </row>
    <row r="491" spans="1:38" ht="15.75" thickBot="1" x14ac:dyDescent="0.3">
      <c r="A491" s="51" t="s">
        <v>1030</v>
      </c>
      <c r="B491" s="868" t="s">
        <v>1048</v>
      </c>
      <c r="C491" s="51" t="s">
        <v>1049</v>
      </c>
      <c r="D491" s="51" t="s">
        <v>320</v>
      </c>
      <c r="E491" s="51" t="s">
        <v>268</v>
      </c>
      <c r="F491" s="51" t="s">
        <v>266</v>
      </c>
      <c r="G491" s="54">
        <v>25300</v>
      </c>
      <c r="H491" s="54">
        <v>0</v>
      </c>
      <c r="I491" s="822"/>
      <c r="J491" s="822"/>
      <c r="K491" s="54">
        <v>25300</v>
      </c>
      <c r="L491" s="822"/>
      <c r="M491" s="822"/>
      <c r="N491" s="822"/>
      <c r="O491" s="822"/>
      <c r="P491" s="822"/>
      <c r="Q491" s="822"/>
      <c r="R491" s="822"/>
      <c r="S491" s="822"/>
      <c r="T491" s="822"/>
      <c r="U491" s="822"/>
      <c r="V491" s="822"/>
      <c r="W491" s="822"/>
      <c r="X491" s="822"/>
      <c r="Y491" s="822"/>
      <c r="Z491" s="822"/>
      <c r="AA491" s="822"/>
      <c r="AB491" s="822"/>
      <c r="AC491" s="822"/>
      <c r="AD491" s="822"/>
      <c r="AE491" s="822"/>
      <c r="AF491" s="822"/>
      <c r="AG491" s="822"/>
      <c r="AH491" s="54">
        <v>1110.45</v>
      </c>
      <c r="AI491" s="822"/>
      <c r="AJ491" s="822"/>
      <c r="AK491" s="54">
        <v>26410.45</v>
      </c>
      <c r="AL491" s="54">
        <v>0</v>
      </c>
    </row>
    <row r="492" spans="1:38" ht="15.75" thickBot="1" x14ac:dyDescent="0.3">
      <c r="A492" s="51" t="s">
        <v>1030</v>
      </c>
      <c r="B492" s="51" t="s">
        <v>1048</v>
      </c>
      <c r="C492" s="51" t="s">
        <v>1049</v>
      </c>
      <c r="D492" s="51" t="s">
        <v>320</v>
      </c>
      <c r="E492" s="51" t="s">
        <v>914</v>
      </c>
      <c r="F492" s="51" t="s">
        <v>266</v>
      </c>
      <c r="G492" s="54">
        <v>311483.25</v>
      </c>
      <c r="H492" s="54">
        <v>0</v>
      </c>
      <c r="I492" s="822"/>
      <c r="J492" s="54">
        <v>63698</v>
      </c>
      <c r="K492" s="822"/>
      <c r="L492" s="54">
        <v>311483.25</v>
      </c>
      <c r="M492" s="822"/>
      <c r="N492" s="822"/>
      <c r="O492" s="822"/>
      <c r="P492" s="822"/>
      <c r="Q492" s="822"/>
      <c r="R492" s="822"/>
      <c r="S492" s="822"/>
      <c r="T492" s="822"/>
      <c r="U492" s="822"/>
      <c r="V492" s="822"/>
      <c r="W492" s="822"/>
      <c r="X492" s="822"/>
      <c r="Y492" s="822"/>
      <c r="Z492" s="822"/>
      <c r="AA492" s="822"/>
      <c r="AB492" s="822"/>
      <c r="AC492" s="822"/>
      <c r="AD492" s="822"/>
      <c r="AE492" s="822"/>
      <c r="AF492" s="822"/>
      <c r="AG492" s="822"/>
      <c r="AH492" s="54">
        <v>13863.49</v>
      </c>
      <c r="AI492" s="822"/>
      <c r="AJ492" s="822"/>
      <c r="AK492" s="54">
        <v>325346.74</v>
      </c>
      <c r="AL492" s="54">
        <v>0</v>
      </c>
    </row>
    <row r="493" spans="1:38" ht="15.75" thickBot="1" x14ac:dyDescent="0.3">
      <c r="A493" s="51" t="s">
        <v>1030</v>
      </c>
      <c r="B493" s="51" t="s">
        <v>1048</v>
      </c>
      <c r="C493" s="51" t="s">
        <v>1049</v>
      </c>
      <c r="D493" s="51" t="s">
        <v>319</v>
      </c>
      <c r="E493" s="51" t="s">
        <v>272</v>
      </c>
      <c r="F493" s="51" t="s">
        <v>266</v>
      </c>
      <c r="G493" s="54">
        <v>1500</v>
      </c>
      <c r="H493" s="54">
        <v>0</v>
      </c>
      <c r="I493" s="822"/>
      <c r="J493" s="822"/>
      <c r="K493" s="54">
        <v>1500</v>
      </c>
      <c r="L493" s="822"/>
      <c r="M493" s="822"/>
      <c r="N493" s="822"/>
      <c r="O493" s="822"/>
      <c r="P493" s="822"/>
      <c r="Q493" s="822"/>
      <c r="R493" s="822"/>
      <c r="S493" s="822"/>
      <c r="T493" s="822"/>
      <c r="U493" s="822"/>
      <c r="V493" s="822"/>
      <c r="W493" s="822"/>
      <c r="X493" s="822"/>
      <c r="Y493" s="822"/>
      <c r="Z493" s="822"/>
      <c r="AA493" s="822"/>
      <c r="AB493" s="822"/>
      <c r="AC493" s="822"/>
      <c r="AD493" s="822"/>
      <c r="AE493" s="822"/>
      <c r="AF493" s="822"/>
      <c r="AG493" s="822"/>
      <c r="AH493" s="54">
        <v>0</v>
      </c>
      <c r="AI493" s="822"/>
      <c r="AJ493" s="822"/>
      <c r="AK493" s="54">
        <v>1500</v>
      </c>
      <c r="AL493" s="54">
        <v>0</v>
      </c>
    </row>
    <row r="494" spans="1:38" ht="15.75" thickBot="1" x14ac:dyDescent="0.3">
      <c r="A494" s="51" t="s">
        <v>1030</v>
      </c>
      <c r="B494" s="868" t="s">
        <v>1048</v>
      </c>
      <c r="C494" s="51" t="s">
        <v>1049</v>
      </c>
      <c r="D494" s="51" t="s">
        <v>319</v>
      </c>
      <c r="E494" s="51" t="s">
        <v>1036</v>
      </c>
      <c r="F494" s="51" t="s">
        <v>266</v>
      </c>
      <c r="G494" s="54">
        <v>1853.23</v>
      </c>
      <c r="H494" s="54">
        <v>487692</v>
      </c>
      <c r="I494" s="54">
        <v>48769</v>
      </c>
      <c r="J494" s="822"/>
      <c r="K494" s="822"/>
      <c r="L494" s="822"/>
      <c r="M494" s="54">
        <v>1853.23</v>
      </c>
      <c r="N494" s="822"/>
      <c r="O494" s="822"/>
      <c r="P494" s="822"/>
      <c r="Q494" s="822"/>
      <c r="R494" s="822"/>
      <c r="S494" s="822"/>
      <c r="T494" s="822"/>
      <c r="U494" s="822"/>
      <c r="V494" s="822"/>
      <c r="W494" s="822"/>
      <c r="X494" s="822"/>
      <c r="Y494" s="822"/>
      <c r="Z494" s="822"/>
      <c r="AA494" s="822"/>
      <c r="AB494" s="822"/>
      <c r="AC494" s="822"/>
      <c r="AD494" s="822"/>
      <c r="AE494" s="822"/>
      <c r="AF494" s="822"/>
      <c r="AG494" s="822"/>
      <c r="AH494" s="54">
        <v>0</v>
      </c>
      <c r="AI494" s="822"/>
      <c r="AJ494" s="822"/>
      <c r="AK494" s="54">
        <v>1853.23</v>
      </c>
      <c r="AL494" s="54">
        <v>0</v>
      </c>
    </row>
    <row r="495" spans="1:38" ht="15.75" thickBot="1" x14ac:dyDescent="0.3">
      <c r="A495" s="51" t="s">
        <v>1030</v>
      </c>
      <c r="B495" s="51" t="s">
        <v>1048</v>
      </c>
      <c r="C495" s="51" t="s">
        <v>1049</v>
      </c>
      <c r="D495" s="51" t="s">
        <v>319</v>
      </c>
      <c r="E495" s="51" t="s">
        <v>1037</v>
      </c>
      <c r="F495" s="51" t="s">
        <v>266</v>
      </c>
      <c r="G495" s="54">
        <v>477.93</v>
      </c>
      <c r="H495" s="54">
        <v>0</v>
      </c>
      <c r="I495" s="822"/>
      <c r="J495" s="822"/>
      <c r="K495" s="822"/>
      <c r="L495" s="822"/>
      <c r="M495" s="822"/>
      <c r="N495" s="822"/>
      <c r="O495" s="822"/>
      <c r="P495" s="822"/>
      <c r="Q495" s="822"/>
      <c r="R495" s="822"/>
      <c r="S495" s="822"/>
      <c r="T495" s="822"/>
      <c r="U495" s="822"/>
      <c r="V495" s="822"/>
      <c r="W495" s="822"/>
      <c r="X495" s="822"/>
      <c r="Y495" s="822"/>
      <c r="Z495" s="822"/>
      <c r="AA495" s="54">
        <v>477.93</v>
      </c>
      <c r="AB495" s="822"/>
      <c r="AC495" s="822"/>
      <c r="AD495" s="822"/>
      <c r="AE495" s="822"/>
      <c r="AF495" s="822"/>
      <c r="AG495" s="822"/>
      <c r="AH495" s="54">
        <v>0</v>
      </c>
      <c r="AI495" s="822"/>
      <c r="AJ495" s="822"/>
      <c r="AK495" s="54">
        <v>477.93</v>
      </c>
      <c r="AL495" s="54">
        <v>0</v>
      </c>
    </row>
    <row r="496" spans="1:38" ht="15.75" thickBot="1" x14ac:dyDescent="0.3">
      <c r="A496" s="51" t="s">
        <v>1030</v>
      </c>
      <c r="B496" s="51" t="s">
        <v>1048</v>
      </c>
      <c r="C496" s="51" t="s">
        <v>1049</v>
      </c>
      <c r="D496" s="51" t="s">
        <v>319</v>
      </c>
      <c r="E496" s="51" t="s">
        <v>325</v>
      </c>
      <c r="F496" s="51" t="s">
        <v>266</v>
      </c>
      <c r="G496" s="54">
        <v>7.31</v>
      </c>
      <c r="H496" s="54">
        <v>0</v>
      </c>
      <c r="I496" s="822"/>
      <c r="J496" s="822"/>
      <c r="K496" s="822"/>
      <c r="L496" s="822"/>
      <c r="M496" s="822"/>
      <c r="N496" s="54">
        <v>7.31</v>
      </c>
      <c r="O496" s="822"/>
      <c r="P496" s="822"/>
      <c r="Q496" s="822"/>
      <c r="R496" s="822"/>
      <c r="S496" s="822"/>
      <c r="T496" s="822"/>
      <c r="U496" s="822"/>
      <c r="V496" s="822"/>
      <c r="W496" s="822"/>
      <c r="X496" s="822"/>
      <c r="Y496" s="822"/>
      <c r="Z496" s="822"/>
      <c r="AA496" s="822"/>
      <c r="AB496" s="822"/>
      <c r="AC496" s="822"/>
      <c r="AD496" s="822"/>
      <c r="AE496" s="822"/>
      <c r="AF496" s="822"/>
      <c r="AG496" s="822"/>
      <c r="AH496" s="54">
        <v>0</v>
      </c>
      <c r="AI496" s="822"/>
      <c r="AJ496" s="822"/>
      <c r="AK496" s="54">
        <v>7.31</v>
      </c>
      <c r="AL496" s="54">
        <v>0</v>
      </c>
    </row>
    <row r="497" spans="1:38" ht="15.75" thickBot="1" x14ac:dyDescent="0.3">
      <c r="A497" s="51" t="s">
        <v>1030</v>
      </c>
      <c r="B497" s="868" t="s">
        <v>1048</v>
      </c>
      <c r="C497" s="51" t="s">
        <v>1049</v>
      </c>
      <c r="D497" s="51" t="s">
        <v>319</v>
      </c>
      <c r="E497" s="51" t="s">
        <v>268</v>
      </c>
      <c r="F497" s="51" t="s">
        <v>266</v>
      </c>
      <c r="G497" s="54">
        <v>1100</v>
      </c>
      <c r="H497" s="54">
        <v>0</v>
      </c>
      <c r="I497" s="822"/>
      <c r="J497" s="822"/>
      <c r="K497" s="54">
        <v>1100</v>
      </c>
      <c r="L497" s="822"/>
      <c r="M497" s="822"/>
      <c r="N497" s="822"/>
      <c r="O497" s="822"/>
      <c r="P497" s="822"/>
      <c r="Q497" s="822"/>
      <c r="R497" s="822"/>
      <c r="S497" s="822"/>
      <c r="T497" s="822"/>
      <c r="U497" s="822"/>
      <c r="V497" s="822"/>
      <c r="W497" s="822"/>
      <c r="X497" s="822"/>
      <c r="Y497" s="822"/>
      <c r="Z497" s="822"/>
      <c r="AA497" s="822"/>
      <c r="AB497" s="822"/>
      <c r="AC497" s="822"/>
      <c r="AD497" s="822"/>
      <c r="AE497" s="822"/>
      <c r="AF497" s="822"/>
      <c r="AG497" s="822"/>
      <c r="AH497" s="54">
        <v>0</v>
      </c>
      <c r="AI497" s="822"/>
      <c r="AJ497" s="822"/>
      <c r="AK497" s="54">
        <v>1100</v>
      </c>
      <c r="AL497" s="54">
        <v>0</v>
      </c>
    </row>
    <row r="498" spans="1:38" ht="15.75" thickBot="1" x14ac:dyDescent="0.3">
      <c r="A498" s="51" t="s">
        <v>1030</v>
      </c>
      <c r="B498" s="51" t="s">
        <v>1048</v>
      </c>
      <c r="C498" s="51" t="s">
        <v>1049</v>
      </c>
      <c r="D498" s="51" t="s">
        <v>319</v>
      </c>
      <c r="E498" s="51" t="s">
        <v>914</v>
      </c>
      <c r="F498" s="51" t="s">
        <v>266</v>
      </c>
      <c r="G498" s="54">
        <v>18788.36</v>
      </c>
      <c r="H498" s="54">
        <v>0</v>
      </c>
      <c r="I498" s="822"/>
      <c r="J498" s="54">
        <v>3842</v>
      </c>
      <c r="K498" s="822"/>
      <c r="L498" s="54">
        <v>18788.36</v>
      </c>
      <c r="M498" s="822"/>
      <c r="N498" s="822"/>
      <c r="O498" s="822"/>
      <c r="P498" s="822"/>
      <c r="Q498" s="822"/>
      <c r="R498" s="822"/>
      <c r="S498" s="822"/>
      <c r="T498" s="822"/>
      <c r="U498" s="822"/>
      <c r="V498" s="822"/>
      <c r="W498" s="822"/>
      <c r="X498" s="822"/>
      <c r="Y498" s="822"/>
      <c r="Z498" s="822"/>
      <c r="AA498" s="822"/>
      <c r="AB498" s="822"/>
      <c r="AC498" s="822"/>
      <c r="AD498" s="822"/>
      <c r="AE498" s="822"/>
      <c r="AF498" s="822"/>
      <c r="AG498" s="822"/>
      <c r="AH498" s="54">
        <v>0</v>
      </c>
      <c r="AI498" s="822"/>
      <c r="AJ498" s="822"/>
      <c r="AK498" s="54">
        <v>18788.36</v>
      </c>
      <c r="AL498" s="54">
        <v>0</v>
      </c>
    </row>
    <row r="499" spans="1:38" ht="15.75" thickBot="1" x14ac:dyDescent="0.3">
      <c r="A499" s="51" t="s">
        <v>1030</v>
      </c>
      <c r="B499" s="51" t="s">
        <v>1050</v>
      </c>
      <c r="C499" s="51" t="s">
        <v>1051</v>
      </c>
      <c r="D499" s="51" t="s">
        <v>320</v>
      </c>
      <c r="E499" s="51" t="s">
        <v>356</v>
      </c>
      <c r="F499" s="51" t="s">
        <v>266</v>
      </c>
      <c r="G499" s="822"/>
      <c r="H499" s="54">
        <v>0</v>
      </c>
      <c r="I499" s="822"/>
      <c r="J499" s="822"/>
      <c r="K499" s="822"/>
      <c r="L499" s="822"/>
      <c r="M499" s="822"/>
      <c r="N499" s="822"/>
      <c r="O499" s="822"/>
      <c r="P499" s="822"/>
      <c r="Q499" s="822"/>
      <c r="R499" s="822"/>
      <c r="S499" s="822"/>
      <c r="T499" s="822"/>
      <c r="U499" s="822"/>
      <c r="V499" s="822"/>
      <c r="W499" s="822"/>
      <c r="X499" s="822"/>
      <c r="Y499" s="822"/>
      <c r="Z499" s="822"/>
      <c r="AA499" s="822"/>
      <c r="AB499" s="822"/>
      <c r="AC499" s="822"/>
      <c r="AD499" s="822"/>
      <c r="AE499" s="822"/>
      <c r="AF499" s="822"/>
      <c r="AG499" s="54">
        <v>1302.51</v>
      </c>
      <c r="AH499" s="54">
        <v>0</v>
      </c>
      <c r="AI499" s="822"/>
      <c r="AJ499" s="822"/>
      <c r="AK499" s="54">
        <v>1302.51</v>
      </c>
      <c r="AL499" s="54">
        <v>0</v>
      </c>
    </row>
    <row r="500" spans="1:38" ht="15.75" thickBot="1" x14ac:dyDescent="0.3">
      <c r="A500" s="51" t="s">
        <v>1030</v>
      </c>
      <c r="B500" s="51" t="s">
        <v>1050</v>
      </c>
      <c r="C500" s="51" t="s">
        <v>1051</v>
      </c>
      <c r="D500" s="51" t="s">
        <v>320</v>
      </c>
      <c r="E500" s="51" t="s">
        <v>272</v>
      </c>
      <c r="F500" s="51" t="s">
        <v>266</v>
      </c>
      <c r="G500" s="54">
        <v>500</v>
      </c>
      <c r="H500" s="54">
        <v>0</v>
      </c>
      <c r="I500" s="822"/>
      <c r="J500" s="822"/>
      <c r="K500" s="54">
        <v>500</v>
      </c>
      <c r="L500" s="822"/>
      <c r="M500" s="822"/>
      <c r="N500" s="822"/>
      <c r="O500" s="822"/>
      <c r="P500" s="822"/>
      <c r="Q500" s="822"/>
      <c r="R500" s="822"/>
      <c r="S500" s="822"/>
      <c r="T500" s="822"/>
      <c r="U500" s="822"/>
      <c r="V500" s="822"/>
      <c r="W500" s="822"/>
      <c r="X500" s="822"/>
      <c r="Y500" s="822"/>
      <c r="Z500" s="822"/>
      <c r="AA500" s="822"/>
      <c r="AB500" s="822"/>
      <c r="AC500" s="822"/>
      <c r="AD500" s="822"/>
      <c r="AE500" s="822"/>
      <c r="AF500" s="822"/>
      <c r="AG500" s="822"/>
      <c r="AH500" s="54">
        <v>0</v>
      </c>
      <c r="AI500" s="822"/>
      <c r="AJ500" s="822"/>
      <c r="AK500" s="54">
        <v>500</v>
      </c>
      <c r="AL500" s="54">
        <v>0</v>
      </c>
    </row>
    <row r="501" spans="1:38" ht="15.75" thickBot="1" x14ac:dyDescent="0.3">
      <c r="A501" s="51" t="s">
        <v>1030</v>
      </c>
      <c r="B501" s="51" t="s">
        <v>1050</v>
      </c>
      <c r="C501" s="51" t="s">
        <v>1051</v>
      </c>
      <c r="D501" s="51" t="s">
        <v>320</v>
      </c>
      <c r="E501" s="51" t="s">
        <v>1036</v>
      </c>
      <c r="F501" s="51" t="s">
        <v>266</v>
      </c>
      <c r="G501" s="54">
        <v>22008.92</v>
      </c>
      <c r="H501" s="54">
        <v>206773</v>
      </c>
      <c r="I501" s="54">
        <v>20677</v>
      </c>
      <c r="J501" s="822"/>
      <c r="K501" s="822"/>
      <c r="L501" s="822"/>
      <c r="M501" s="54">
        <v>22008.92</v>
      </c>
      <c r="N501" s="822"/>
      <c r="O501" s="822"/>
      <c r="P501" s="822"/>
      <c r="Q501" s="822"/>
      <c r="R501" s="822"/>
      <c r="S501" s="822"/>
      <c r="T501" s="822"/>
      <c r="U501" s="822"/>
      <c r="V501" s="822"/>
      <c r="W501" s="822"/>
      <c r="X501" s="822"/>
      <c r="Y501" s="822"/>
      <c r="Z501" s="822"/>
      <c r="AA501" s="822"/>
      <c r="AB501" s="822"/>
      <c r="AC501" s="822"/>
      <c r="AD501" s="822"/>
      <c r="AE501" s="822"/>
      <c r="AF501" s="822"/>
      <c r="AG501" s="822"/>
      <c r="AH501" s="54">
        <v>0</v>
      </c>
      <c r="AI501" s="822"/>
      <c r="AJ501" s="822"/>
      <c r="AK501" s="54">
        <v>22008.92</v>
      </c>
      <c r="AL501" s="54">
        <v>0</v>
      </c>
    </row>
    <row r="502" spans="1:38" ht="15.75" thickBot="1" x14ac:dyDescent="0.3">
      <c r="A502" s="51" t="s">
        <v>1030</v>
      </c>
      <c r="B502" s="51" t="s">
        <v>1050</v>
      </c>
      <c r="C502" s="51" t="s">
        <v>1051</v>
      </c>
      <c r="D502" s="51" t="s">
        <v>320</v>
      </c>
      <c r="E502" s="51" t="s">
        <v>1052</v>
      </c>
      <c r="F502" s="51" t="s">
        <v>266</v>
      </c>
      <c r="G502" s="54">
        <v>111.02</v>
      </c>
      <c r="H502" s="54">
        <v>0</v>
      </c>
      <c r="I502" s="822"/>
      <c r="J502" s="822"/>
      <c r="K502" s="822"/>
      <c r="L502" s="822"/>
      <c r="M502" s="822"/>
      <c r="N502" s="822"/>
      <c r="O502" s="822"/>
      <c r="P502" s="822"/>
      <c r="Q502" s="822"/>
      <c r="R502" s="822"/>
      <c r="S502" s="822"/>
      <c r="T502" s="822"/>
      <c r="U502" s="822"/>
      <c r="V502" s="822"/>
      <c r="W502" s="822"/>
      <c r="X502" s="822"/>
      <c r="Y502" s="822"/>
      <c r="Z502" s="54">
        <v>111.02</v>
      </c>
      <c r="AA502" s="822"/>
      <c r="AB502" s="822"/>
      <c r="AC502" s="822"/>
      <c r="AD502" s="822"/>
      <c r="AE502" s="822"/>
      <c r="AF502" s="822"/>
      <c r="AG502" s="822"/>
      <c r="AH502" s="54">
        <v>0</v>
      </c>
      <c r="AI502" s="822"/>
      <c r="AJ502" s="822"/>
      <c r="AK502" s="54">
        <v>111.02</v>
      </c>
      <c r="AL502" s="54">
        <v>0</v>
      </c>
    </row>
    <row r="503" spans="1:38" ht="15.75" thickBot="1" x14ac:dyDescent="0.3">
      <c r="A503" s="51" t="s">
        <v>1030</v>
      </c>
      <c r="B503" s="51" t="s">
        <v>1050</v>
      </c>
      <c r="C503" s="51" t="s">
        <v>1051</v>
      </c>
      <c r="D503" s="51" t="s">
        <v>320</v>
      </c>
      <c r="E503" s="51" t="s">
        <v>1037</v>
      </c>
      <c r="F503" s="51" t="s">
        <v>266</v>
      </c>
      <c r="G503" s="54">
        <v>2419.2399999999998</v>
      </c>
      <c r="H503" s="54">
        <v>0</v>
      </c>
      <c r="I503" s="822"/>
      <c r="J503" s="822"/>
      <c r="K503" s="822"/>
      <c r="L503" s="822"/>
      <c r="M503" s="822"/>
      <c r="N503" s="822"/>
      <c r="O503" s="822"/>
      <c r="P503" s="822"/>
      <c r="Q503" s="822"/>
      <c r="R503" s="822"/>
      <c r="S503" s="822"/>
      <c r="T503" s="822"/>
      <c r="U503" s="822"/>
      <c r="V503" s="822"/>
      <c r="W503" s="822"/>
      <c r="X503" s="822"/>
      <c r="Y503" s="822"/>
      <c r="Z503" s="822"/>
      <c r="AA503" s="54">
        <v>2419.2399999999998</v>
      </c>
      <c r="AB503" s="822"/>
      <c r="AC503" s="822"/>
      <c r="AD503" s="822"/>
      <c r="AE503" s="822"/>
      <c r="AF503" s="822"/>
      <c r="AG503" s="822"/>
      <c r="AH503" s="54">
        <v>0</v>
      </c>
      <c r="AI503" s="822"/>
      <c r="AJ503" s="822"/>
      <c r="AK503" s="54">
        <v>2419.2399999999998</v>
      </c>
      <c r="AL503" s="54">
        <v>0</v>
      </c>
    </row>
    <row r="504" spans="1:38" ht="15.75" thickBot="1" x14ac:dyDescent="0.3">
      <c r="A504" s="51" t="s">
        <v>1030</v>
      </c>
      <c r="B504" s="51" t="s">
        <v>1050</v>
      </c>
      <c r="C504" s="51" t="s">
        <v>1051</v>
      </c>
      <c r="D504" s="51" t="s">
        <v>320</v>
      </c>
      <c r="E504" s="51" t="s">
        <v>273</v>
      </c>
      <c r="F504" s="51" t="s">
        <v>266</v>
      </c>
      <c r="G504" s="54">
        <v>17827.97</v>
      </c>
      <c r="H504" s="54">
        <v>0</v>
      </c>
      <c r="I504" s="822"/>
      <c r="J504" s="822"/>
      <c r="K504" s="822"/>
      <c r="L504" s="822"/>
      <c r="M504" s="822"/>
      <c r="N504" s="822"/>
      <c r="O504" s="822"/>
      <c r="P504" s="822"/>
      <c r="Q504" s="822"/>
      <c r="R504" s="822"/>
      <c r="S504" s="822"/>
      <c r="T504" s="822"/>
      <c r="U504" s="822"/>
      <c r="V504" s="822"/>
      <c r="W504" s="822"/>
      <c r="X504" s="822"/>
      <c r="Y504" s="54">
        <v>17827.97</v>
      </c>
      <c r="Z504" s="822"/>
      <c r="AA504" s="822"/>
      <c r="AB504" s="822"/>
      <c r="AC504" s="822"/>
      <c r="AD504" s="822"/>
      <c r="AE504" s="822"/>
      <c r="AF504" s="822"/>
      <c r="AG504" s="822"/>
      <c r="AH504" s="54">
        <v>0</v>
      </c>
      <c r="AI504" s="822"/>
      <c r="AJ504" s="822"/>
      <c r="AK504" s="54">
        <v>17827.97</v>
      </c>
      <c r="AL504" s="54">
        <v>0</v>
      </c>
    </row>
    <row r="505" spans="1:38" ht="15.75" thickBot="1" x14ac:dyDescent="0.3">
      <c r="A505" s="51" t="s">
        <v>1030</v>
      </c>
      <c r="B505" s="868" t="s">
        <v>1050</v>
      </c>
      <c r="C505" s="51" t="s">
        <v>1051</v>
      </c>
      <c r="D505" s="51" t="s">
        <v>320</v>
      </c>
      <c r="E505" s="51" t="s">
        <v>268</v>
      </c>
      <c r="F505" s="51" t="s">
        <v>266</v>
      </c>
      <c r="G505" s="54">
        <v>550</v>
      </c>
      <c r="H505" s="54">
        <v>0</v>
      </c>
      <c r="I505" s="822"/>
      <c r="J505" s="822"/>
      <c r="K505" s="54">
        <v>550</v>
      </c>
      <c r="L505" s="822"/>
      <c r="M505" s="822"/>
      <c r="N505" s="822"/>
      <c r="O505" s="822"/>
      <c r="P505" s="822"/>
      <c r="Q505" s="822"/>
      <c r="R505" s="822"/>
      <c r="S505" s="822"/>
      <c r="T505" s="822"/>
      <c r="U505" s="822"/>
      <c r="V505" s="822"/>
      <c r="W505" s="822"/>
      <c r="X505" s="822"/>
      <c r="Y505" s="822"/>
      <c r="Z505" s="822"/>
      <c r="AA505" s="822"/>
      <c r="AB505" s="822"/>
      <c r="AC505" s="822"/>
      <c r="AD505" s="822"/>
      <c r="AE505" s="822"/>
      <c r="AF505" s="822"/>
      <c r="AG505" s="822"/>
      <c r="AH505" s="54">
        <v>0</v>
      </c>
      <c r="AI505" s="822"/>
      <c r="AJ505" s="822"/>
      <c r="AK505" s="54">
        <v>550</v>
      </c>
      <c r="AL505" s="54">
        <v>0</v>
      </c>
    </row>
    <row r="506" spans="1:38" ht="15.75" thickBot="1" x14ac:dyDescent="0.3">
      <c r="A506" s="51" t="s">
        <v>1030</v>
      </c>
      <c r="B506" s="51" t="s">
        <v>1053</v>
      </c>
      <c r="C506" s="51" t="s">
        <v>1054</v>
      </c>
      <c r="D506" s="51" t="s">
        <v>320</v>
      </c>
      <c r="E506" s="872" t="s">
        <v>272</v>
      </c>
      <c r="F506" s="51" t="s">
        <v>266</v>
      </c>
      <c r="G506" s="54">
        <v>4583.04</v>
      </c>
      <c r="H506" s="54">
        <v>0</v>
      </c>
      <c r="I506" s="822"/>
      <c r="J506" s="822"/>
      <c r="K506" s="54">
        <v>4583.04</v>
      </c>
      <c r="L506" s="822"/>
      <c r="M506" s="822"/>
      <c r="N506" s="822"/>
      <c r="O506" s="822"/>
      <c r="P506" s="822"/>
      <c r="Q506" s="822"/>
      <c r="R506" s="822"/>
      <c r="S506" s="822"/>
      <c r="T506" s="822"/>
      <c r="U506" s="822"/>
      <c r="V506" s="822"/>
      <c r="W506" s="822"/>
      <c r="X506" s="822"/>
      <c r="Y506" s="822"/>
      <c r="Z506" s="822"/>
      <c r="AA506" s="822"/>
      <c r="AB506" s="822"/>
      <c r="AC506" s="822"/>
      <c r="AD506" s="822"/>
      <c r="AE506" s="822"/>
      <c r="AF506" s="822"/>
      <c r="AG506" s="822"/>
      <c r="AH506" s="54">
        <v>138.88999999999999</v>
      </c>
      <c r="AI506" s="822"/>
      <c r="AJ506" s="822"/>
      <c r="AK506" s="54">
        <v>4721.93</v>
      </c>
      <c r="AL506" s="54">
        <v>0</v>
      </c>
    </row>
    <row r="507" spans="1:38" ht="15.75" thickBot="1" x14ac:dyDescent="0.3">
      <c r="A507" s="51" t="s">
        <v>1030</v>
      </c>
      <c r="B507" s="51" t="s">
        <v>1053</v>
      </c>
      <c r="C507" s="51" t="s">
        <v>1054</v>
      </c>
      <c r="D507" s="51" t="s">
        <v>320</v>
      </c>
      <c r="E507" s="872" t="s">
        <v>265</v>
      </c>
      <c r="F507" s="51" t="s">
        <v>266</v>
      </c>
      <c r="G507" s="54">
        <v>43622.27</v>
      </c>
      <c r="H507" s="54">
        <v>256201</v>
      </c>
      <c r="I507" s="54">
        <v>25620</v>
      </c>
      <c r="J507" s="822"/>
      <c r="K507" s="822"/>
      <c r="L507" s="822"/>
      <c r="M507" s="54">
        <v>43622.27</v>
      </c>
      <c r="N507" s="822"/>
      <c r="O507" s="822"/>
      <c r="P507" s="822"/>
      <c r="Q507" s="822"/>
      <c r="R507" s="822"/>
      <c r="S507" s="822"/>
      <c r="T507" s="822"/>
      <c r="U507" s="822"/>
      <c r="V507" s="822"/>
      <c r="W507" s="822"/>
      <c r="X507" s="822"/>
      <c r="Y507" s="822"/>
      <c r="Z507" s="822"/>
      <c r="AA507" s="822"/>
      <c r="AB507" s="822"/>
      <c r="AC507" s="822"/>
      <c r="AD507" s="822"/>
      <c r="AE507" s="822"/>
      <c r="AF507" s="822"/>
      <c r="AG507" s="822"/>
      <c r="AH507" s="54">
        <v>946.69</v>
      </c>
      <c r="AI507" s="822"/>
      <c r="AJ507" s="822"/>
      <c r="AK507" s="54">
        <v>44568.959999999999</v>
      </c>
      <c r="AL507" s="54">
        <v>0</v>
      </c>
    </row>
    <row r="508" spans="1:38" ht="15.75" thickBot="1" x14ac:dyDescent="0.3">
      <c r="A508" s="51" t="s">
        <v>1030</v>
      </c>
      <c r="B508" s="51" t="s">
        <v>1053</v>
      </c>
      <c r="C508" s="51" t="s">
        <v>1054</v>
      </c>
      <c r="D508" s="51" t="s">
        <v>320</v>
      </c>
      <c r="E508" s="872" t="s">
        <v>1035</v>
      </c>
      <c r="F508" s="51" t="s">
        <v>266</v>
      </c>
      <c r="G508" s="54">
        <v>122.98</v>
      </c>
      <c r="H508" s="54">
        <v>0</v>
      </c>
      <c r="I508" s="822"/>
      <c r="J508" s="822"/>
      <c r="K508" s="822"/>
      <c r="L508" s="822"/>
      <c r="M508" s="822"/>
      <c r="N508" s="822"/>
      <c r="O508" s="822"/>
      <c r="P508" s="822"/>
      <c r="Q508" s="54">
        <v>122.98</v>
      </c>
      <c r="R508" s="822"/>
      <c r="S508" s="822"/>
      <c r="T508" s="822"/>
      <c r="U508" s="822"/>
      <c r="V508" s="822"/>
      <c r="W508" s="822"/>
      <c r="X508" s="822"/>
      <c r="Y508" s="822"/>
      <c r="Z508" s="822"/>
      <c r="AA508" s="822"/>
      <c r="AB508" s="822"/>
      <c r="AC508" s="822"/>
      <c r="AD508" s="822"/>
      <c r="AE508" s="822"/>
      <c r="AF508" s="822"/>
      <c r="AG508" s="822"/>
      <c r="AH508" s="54">
        <v>2.66</v>
      </c>
      <c r="AI508" s="822"/>
      <c r="AJ508" s="822"/>
      <c r="AK508" s="54">
        <v>125.64</v>
      </c>
      <c r="AL508" s="54">
        <v>0</v>
      </c>
    </row>
    <row r="509" spans="1:38" ht="15.75" thickBot="1" x14ac:dyDescent="0.3">
      <c r="A509" s="51" t="s">
        <v>1030</v>
      </c>
      <c r="B509" s="51" t="s">
        <v>1053</v>
      </c>
      <c r="C509" s="51" t="s">
        <v>1054</v>
      </c>
      <c r="D509" s="51" t="s">
        <v>320</v>
      </c>
      <c r="E509" s="872" t="s">
        <v>1052</v>
      </c>
      <c r="F509" s="51" t="s">
        <v>266</v>
      </c>
      <c r="G509" s="54">
        <v>666.12</v>
      </c>
      <c r="H509" s="54">
        <v>0</v>
      </c>
      <c r="I509" s="822"/>
      <c r="J509" s="822"/>
      <c r="K509" s="822"/>
      <c r="L509" s="822"/>
      <c r="M509" s="822"/>
      <c r="N509" s="822"/>
      <c r="O509" s="822"/>
      <c r="P509" s="822"/>
      <c r="Q509" s="822"/>
      <c r="R509" s="822"/>
      <c r="S509" s="822"/>
      <c r="T509" s="822"/>
      <c r="U509" s="822"/>
      <c r="V509" s="822"/>
      <c r="W509" s="822"/>
      <c r="X509" s="822"/>
      <c r="Y509" s="822"/>
      <c r="Z509" s="54">
        <v>666.12</v>
      </c>
      <c r="AA509" s="822"/>
      <c r="AB509" s="822"/>
      <c r="AC509" s="822"/>
      <c r="AD509" s="822"/>
      <c r="AE509" s="822"/>
      <c r="AF509" s="822"/>
      <c r="AG509" s="822"/>
      <c r="AH509" s="54">
        <v>20.18</v>
      </c>
      <c r="AI509" s="822"/>
      <c r="AJ509" s="822"/>
      <c r="AK509" s="54">
        <v>686.3</v>
      </c>
      <c r="AL509" s="54">
        <v>0</v>
      </c>
    </row>
    <row r="510" spans="1:38" ht="15.75" thickBot="1" x14ac:dyDescent="0.3">
      <c r="A510" s="51" t="s">
        <v>1030</v>
      </c>
      <c r="B510" s="51" t="s">
        <v>1053</v>
      </c>
      <c r="C510" s="51" t="s">
        <v>1054</v>
      </c>
      <c r="D510" s="51" t="s">
        <v>320</v>
      </c>
      <c r="E510" s="872" t="s">
        <v>1037</v>
      </c>
      <c r="F510" s="51" t="s">
        <v>266</v>
      </c>
      <c r="G510" s="54">
        <v>2997.56</v>
      </c>
      <c r="H510" s="54">
        <v>0</v>
      </c>
      <c r="I510" s="822"/>
      <c r="J510" s="822"/>
      <c r="K510" s="822"/>
      <c r="L510" s="822"/>
      <c r="M510" s="822"/>
      <c r="N510" s="822"/>
      <c r="O510" s="822"/>
      <c r="P510" s="822"/>
      <c r="Q510" s="822"/>
      <c r="R510" s="822"/>
      <c r="S510" s="822"/>
      <c r="T510" s="822"/>
      <c r="U510" s="822"/>
      <c r="V510" s="822"/>
      <c r="W510" s="822"/>
      <c r="X510" s="822"/>
      <c r="Y510" s="822"/>
      <c r="Z510" s="822"/>
      <c r="AA510" s="54">
        <v>2997.56</v>
      </c>
      <c r="AB510" s="822"/>
      <c r="AC510" s="822"/>
      <c r="AD510" s="822"/>
      <c r="AE510" s="822"/>
      <c r="AF510" s="822"/>
      <c r="AG510" s="822"/>
      <c r="AH510" s="54">
        <v>64.900000000000006</v>
      </c>
      <c r="AI510" s="822"/>
      <c r="AJ510" s="822"/>
      <c r="AK510" s="54">
        <v>3062.46</v>
      </c>
      <c r="AL510" s="54">
        <v>0</v>
      </c>
    </row>
    <row r="511" spans="1:38" ht="15.75" thickBot="1" x14ac:dyDescent="0.3">
      <c r="A511" s="51" t="s">
        <v>1030</v>
      </c>
      <c r="B511" s="51" t="s">
        <v>1053</v>
      </c>
      <c r="C511" s="51" t="s">
        <v>1054</v>
      </c>
      <c r="D511" s="51" t="s">
        <v>320</v>
      </c>
      <c r="E511" s="872" t="s">
        <v>273</v>
      </c>
      <c r="F511" s="51" t="s">
        <v>266</v>
      </c>
      <c r="G511" s="54">
        <v>22089.65</v>
      </c>
      <c r="H511" s="54">
        <v>0</v>
      </c>
      <c r="I511" s="822"/>
      <c r="J511" s="822"/>
      <c r="K511" s="822"/>
      <c r="L511" s="822"/>
      <c r="M511" s="822"/>
      <c r="N511" s="822"/>
      <c r="O511" s="822"/>
      <c r="P511" s="822"/>
      <c r="Q511" s="822"/>
      <c r="R511" s="822"/>
      <c r="S511" s="822"/>
      <c r="T511" s="822"/>
      <c r="U511" s="822"/>
      <c r="V511" s="822"/>
      <c r="W511" s="822"/>
      <c r="X511" s="822"/>
      <c r="Y511" s="54">
        <v>22089.65</v>
      </c>
      <c r="Z511" s="822"/>
      <c r="AA511" s="822"/>
      <c r="AB511" s="822"/>
      <c r="AC511" s="822"/>
      <c r="AD511" s="822"/>
      <c r="AE511" s="822"/>
      <c r="AF511" s="822"/>
      <c r="AG511" s="822"/>
      <c r="AH511" s="54">
        <v>478.28</v>
      </c>
      <c r="AI511" s="822"/>
      <c r="AJ511" s="822"/>
      <c r="AK511" s="54">
        <v>22567.93</v>
      </c>
      <c r="AL511" s="54">
        <v>0</v>
      </c>
    </row>
    <row r="512" spans="1:38" ht="15.75" thickBot="1" x14ac:dyDescent="0.3">
      <c r="A512" s="51" t="s">
        <v>1030</v>
      </c>
      <c r="B512" s="868" t="s">
        <v>1053</v>
      </c>
      <c r="C512" s="51" t="s">
        <v>1054</v>
      </c>
      <c r="D512" s="51" t="s">
        <v>320</v>
      </c>
      <c r="E512" s="872" t="s">
        <v>268</v>
      </c>
      <c r="F512" s="51" t="s">
        <v>266</v>
      </c>
      <c r="G512" s="54">
        <v>3300</v>
      </c>
      <c r="H512" s="54">
        <v>0</v>
      </c>
      <c r="I512" s="822"/>
      <c r="J512" s="822"/>
      <c r="K512" s="54">
        <v>3300</v>
      </c>
      <c r="L512" s="822"/>
      <c r="M512" s="822"/>
      <c r="N512" s="822"/>
      <c r="O512" s="822"/>
      <c r="P512" s="822"/>
      <c r="Q512" s="822"/>
      <c r="R512" s="822"/>
      <c r="S512" s="822"/>
      <c r="T512" s="822"/>
      <c r="U512" s="822"/>
      <c r="V512" s="822"/>
      <c r="W512" s="822"/>
      <c r="X512" s="822"/>
      <c r="Y512" s="822"/>
      <c r="Z512" s="822"/>
      <c r="AA512" s="822"/>
      <c r="AB512" s="822"/>
      <c r="AC512" s="822"/>
      <c r="AD512" s="822"/>
      <c r="AE512" s="822"/>
      <c r="AF512" s="822"/>
      <c r="AG512" s="822"/>
      <c r="AH512" s="54">
        <v>99.99</v>
      </c>
      <c r="AI512" s="822"/>
      <c r="AJ512" s="822"/>
      <c r="AK512" s="54">
        <v>3399.99</v>
      </c>
      <c r="AL512" s="54">
        <v>0</v>
      </c>
    </row>
    <row r="513" spans="1:38" ht="15.75" thickBot="1" x14ac:dyDescent="0.3">
      <c r="A513" s="51" t="s">
        <v>1030</v>
      </c>
      <c r="B513" s="51" t="s">
        <v>1055</v>
      </c>
      <c r="C513" s="51" t="s">
        <v>1056</v>
      </c>
      <c r="D513" s="51" t="s">
        <v>320</v>
      </c>
      <c r="E513" s="51" t="s">
        <v>357</v>
      </c>
      <c r="F513" s="51" t="s">
        <v>266</v>
      </c>
      <c r="G513" s="54">
        <v>2644.24</v>
      </c>
      <c r="H513" s="54">
        <v>0</v>
      </c>
      <c r="I513" s="822"/>
      <c r="J513" s="822"/>
      <c r="K513" s="822"/>
      <c r="L513" s="822"/>
      <c r="M513" s="822"/>
      <c r="N513" s="822"/>
      <c r="O513" s="822"/>
      <c r="P513" s="822"/>
      <c r="Q513" s="822"/>
      <c r="R513" s="822"/>
      <c r="S513" s="54">
        <v>2644.24</v>
      </c>
      <c r="T513" s="822"/>
      <c r="U513" s="822"/>
      <c r="V513" s="822"/>
      <c r="W513" s="822"/>
      <c r="X513" s="822"/>
      <c r="Y513" s="822"/>
      <c r="Z513" s="822"/>
      <c r="AA513" s="822"/>
      <c r="AB513" s="822"/>
      <c r="AC513" s="822"/>
      <c r="AD513" s="822"/>
      <c r="AE513" s="822"/>
      <c r="AF513" s="822"/>
      <c r="AG513" s="822"/>
      <c r="AH513" s="54">
        <v>242.74</v>
      </c>
      <c r="AI513" s="822"/>
      <c r="AJ513" s="822"/>
      <c r="AK513" s="54">
        <v>2886.98</v>
      </c>
      <c r="AL513" s="54">
        <v>0</v>
      </c>
    </row>
    <row r="514" spans="1:38" ht="15.75" thickBot="1" x14ac:dyDescent="0.3">
      <c r="A514" s="51" t="s">
        <v>1030</v>
      </c>
      <c r="B514" s="51" t="s">
        <v>1055</v>
      </c>
      <c r="C514" s="51" t="s">
        <v>1056</v>
      </c>
      <c r="D514" s="51" t="s">
        <v>320</v>
      </c>
      <c r="E514" s="51" t="s">
        <v>272</v>
      </c>
      <c r="F514" s="51" t="s">
        <v>266</v>
      </c>
      <c r="G514" s="54">
        <v>1527.68</v>
      </c>
      <c r="H514" s="54">
        <v>0</v>
      </c>
      <c r="I514" s="822"/>
      <c r="J514" s="822"/>
      <c r="K514" s="54">
        <v>1527.68</v>
      </c>
      <c r="L514" s="822"/>
      <c r="M514" s="822"/>
      <c r="N514" s="822"/>
      <c r="O514" s="822"/>
      <c r="P514" s="822"/>
      <c r="Q514" s="822"/>
      <c r="R514" s="822"/>
      <c r="S514" s="822"/>
      <c r="T514" s="822"/>
      <c r="U514" s="822"/>
      <c r="V514" s="822"/>
      <c r="W514" s="822"/>
      <c r="X514" s="822"/>
      <c r="Y514" s="822"/>
      <c r="Z514" s="822"/>
      <c r="AA514" s="822"/>
      <c r="AB514" s="822"/>
      <c r="AC514" s="822"/>
      <c r="AD514" s="822"/>
      <c r="AE514" s="822"/>
      <c r="AF514" s="822"/>
      <c r="AG514" s="822"/>
      <c r="AH514" s="54">
        <v>115.95</v>
      </c>
      <c r="AI514" s="822"/>
      <c r="AJ514" s="822"/>
      <c r="AK514" s="54">
        <v>1643.63</v>
      </c>
      <c r="AL514" s="54">
        <v>0</v>
      </c>
    </row>
    <row r="515" spans="1:38" ht="15.75" thickBot="1" x14ac:dyDescent="0.3">
      <c r="A515" s="51" t="s">
        <v>1030</v>
      </c>
      <c r="B515" s="51" t="s">
        <v>1055</v>
      </c>
      <c r="C515" s="51" t="s">
        <v>1056</v>
      </c>
      <c r="D515" s="51" t="s">
        <v>320</v>
      </c>
      <c r="E515" s="51" t="s">
        <v>265</v>
      </c>
      <c r="F515" s="51" t="s">
        <v>266</v>
      </c>
      <c r="G515" s="54">
        <v>13216.42</v>
      </c>
      <c r="H515" s="54">
        <v>77479</v>
      </c>
      <c r="I515" s="54">
        <v>7748</v>
      </c>
      <c r="J515" s="822"/>
      <c r="K515" s="822"/>
      <c r="L515" s="822"/>
      <c r="M515" s="54">
        <v>13216.42</v>
      </c>
      <c r="N515" s="822"/>
      <c r="O515" s="822"/>
      <c r="P515" s="822"/>
      <c r="Q515" s="822"/>
      <c r="R515" s="822"/>
      <c r="S515" s="822"/>
      <c r="T515" s="822"/>
      <c r="U515" s="822"/>
      <c r="V515" s="822"/>
      <c r="W515" s="822"/>
      <c r="X515" s="822"/>
      <c r="Y515" s="822"/>
      <c r="Z515" s="822"/>
      <c r="AA515" s="822"/>
      <c r="AB515" s="822"/>
      <c r="AC515" s="822"/>
      <c r="AD515" s="822"/>
      <c r="AE515" s="822"/>
      <c r="AF515" s="822"/>
      <c r="AG515" s="822"/>
      <c r="AH515" s="54">
        <v>1192.32</v>
      </c>
      <c r="AI515" s="822"/>
      <c r="AJ515" s="822"/>
      <c r="AK515" s="54">
        <v>14408.74</v>
      </c>
      <c r="AL515" s="54">
        <v>0</v>
      </c>
    </row>
    <row r="516" spans="1:38" ht="15.75" thickBot="1" x14ac:dyDescent="0.3">
      <c r="A516" s="51" t="s">
        <v>1030</v>
      </c>
      <c r="B516" s="51" t="s">
        <v>1055</v>
      </c>
      <c r="C516" s="51" t="s">
        <v>1056</v>
      </c>
      <c r="D516" s="51" t="s">
        <v>320</v>
      </c>
      <c r="E516" s="51" t="s">
        <v>1052</v>
      </c>
      <c r="F516" s="51" t="s">
        <v>266</v>
      </c>
      <c r="G516" s="54">
        <v>222.04</v>
      </c>
      <c r="H516" s="54">
        <v>0</v>
      </c>
      <c r="I516" s="822"/>
      <c r="J516" s="822"/>
      <c r="K516" s="822"/>
      <c r="L516" s="822"/>
      <c r="M516" s="822"/>
      <c r="N516" s="822"/>
      <c r="O516" s="822"/>
      <c r="P516" s="822"/>
      <c r="Q516" s="822"/>
      <c r="R516" s="822"/>
      <c r="S516" s="822"/>
      <c r="T516" s="822"/>
      <c r="U516" s="822"/>
      <c r="V516" s="822"/>
      <c r="W516" s="822"/>
      <c r="X516" s="822"/>
      <c r="Y516" s="822"/>
      <c r="Z516" s="54">
        <v>222.04</v>
      </c>
      <c r="AA516" s="822"/>
      <c r="AB516" s="822"/>
      <c r="AC516" s="822"/>
      <c r="AD516" s="822"/>
      <c r="AE516" s="822"/>
      <c r="AF516" s="822"/>
      <c r="AG516" s="822"/>
      <c r="AH516" s="54">
        <v>16.850000000000001</v>
      </c>
      <c r="AI516" s="822"/>
      <c r="AJ516" s="822"/>
      <c r="AK516" s="54">
        <v>238.89</v>
      </c>
      <c r="AL516" s="54">
        <v>0</v>
      </c>
    </row>
    <row r="517" spans="1:38" ht="15.75" thickBot="1" x14ac:dyDescent="0.3">
      <c r="A517" s="51" t="s">
        <v>1030</v>
      </c>
      <c r="B517" s="51" t="s">
        <v>1055</v>
      </c>
      <c r="C517" s="51" t="s">
        <v>1056</v>
      </c>
      <c r="D517" s="51" t="s">
        <v>320</v>
      </c>
      <c r="E517" s="51" t="s">
        <v>1037</v>
      </c>
      <c r="F517" s="51" t="s">
        <v>266</v>
      </c>
      <c r="G517" s="54">
        <v>906.5</v>
      </c>
      <c r="H517" s="54">
        <v>0</v>
      </c>
      <c r="I517" s="822"/>
      <c r="J517" s="822"/>
      <c r="K517" s="822"/>
      <c r="L517" s="822"/>
      <c r="M517" s="822"/>
      <c r="N517" s="822"/>
      <c r="O517" s="822"/>
      <c r="P517" s="822"/>
      <c r="Q517" s="822"/>
      <c r="R517" s="822"/>
      <c r="S517" s="822"/>
      <c r="T517" s="822"/>
      <c r="U517" s="822"/>
      <c r="V517" s="822"/>
      <c r="W517" s="822"/>
      <c r="X517" s="822"/>
      <c r="Y517" s="822"/>
      <c r="Z517" s="822"/>
      <c r="AA517" s="54">
        <v>906.5</v>
      </c>
      <c r="AB517" s="822"/>
      <c r="AC517" s="822"/>
      <c r="AD517" s="822"/>
      <c r="AE517" s="822"/>
      <c r="AF517" s="822"/>
      <c r="AG517" s="822"/>
      <c r="AH517" s="54">
        <v>81.87</v>
      </c>
      <c r="AI517" s="822"/>
      <c r="AJ517" s="822"/>
      <c r="AK517" s="54">
        <v>988.37</v>
      </c>
      <c r="AL517" s="54">
        <v>0</v>
      </c>
    </row>
    <row r="518" spans="1:38" ht="15.75" thickBot="1" x14ac:dyDescent="0.3">
      <c r="A518" s="51" t="s">
        <v>1030</v>
      </c>
      <c r="B518" s="51" t="s">
        <v>1055</v>
      </c>
      <c r="C518" s="51" t="s">
        <v>1056</v>
      </c>
      <c r="D518" s="51" t="s">
        <v>320</v>
      </c>
      <c r="E518" s="51" t="s">
        <v>273</v>
      </c>
      <c r="F518" s="51" t="s">
        <v>266</v>
      </c>
      <c r="G518" s="54">
        <v>6680.24</v>
      </c>
      <c r="H518" s="54">
        <v>0</v>
      </c>
      <c r="I518" s="822"/>
      <c r="J518" s="822"/>
      <c r="K518" s="822"/>
      <c r="L518" s="822"/>
      <c r="M518" s="822"/>
      <c r="N518" s="822"/>
      <c r="O518" s="822"/>
      <c r="P518" s="822"/>
      <c r="Q518" s="822"/>
      <c r="R518" s="822"/>
      <c r="S518" s="822"/>
      <c r="T518" s="822"/>
      <c r="U518" s="822"/>
      <c r="V518" s="822"/>
      <c r="W518" s="822"/>
      <c r="X518" s="822"/>
      <c r="Y518" s="54">
        <v>6680.24</v>
      </c>
      <c r="Z518" s="822"/>
      <c r="AA518" s="822"/>
      <c r="AB518" s="822"/>
      <c r="AC518" s="822"/>
      <c r="AD518" s="822"/>
      <c r="AE518" s="822"/>
      <c r="AF518" s="822"/>
      <c r="AG518" s="822"/>
      <c r="AH518" s="54">
        <v>603.39</v>
      </c>
      <c r="AI518" s="822"/>
      <c r="AJ518" s="822"/>
      <c r="AK518" s="54">
        <v>7283.63</v>
      </c>
      <c r="AL518" s="54">
        <v>0</v>
      </c>
    </row>
    <row r="519" spans="1:38" ht="15.75" thickBot="1" x14ac:dyDescent="0.3">
      <c r="A519" s="51" t="s">
        <v>1030</v>
      </c>
      <c r="B519" s="868" t="s">
        <v>1055</v>
      </c>
      <c r="C519" s="51" t="s">
        <v>1056</v>
      </c>
      <c r="D519" s="51" t="s">
        <v>320</v>
      </c>
      <c r="E519" s="51" t="s">
        <v>268</v>
      </c>
      <c r="F519" s="51" t="s">
        <v>266</v>
      </c>
      <c r="G519" s="54">
        <v>1100</v>
      </c>
      <c r="H519" s="54">
        <v>0</v>
      </c>
      <c r="I519" s="822"/>
      <c r="J519" s="822"/>
      <c r="K519" s="54">
        <v>1100</v>
      </c>
      <c r="L519" s="822"/>
      <c r="M519" s="822"/>
      <c r="N519" s="822"/>
      <c r="O519" s="822"/>
      <c r="P519" s="822"/>
      <c r="Q519" s="822"/>
      <c r="R519" s="822"/>
      <c r="S519" s="822"/>
      <c r="T519" s="822"/>
      <c r="U519" s="822"/>
      <c r="V519" s="822"/>
      <c r="W519" s="822"/>
      <c r="X519" s="822"/>
      <c r="Y519" s="822"/>
      <c r="Z519" s="822"/>
      <c r="AA519" s="822"/>
      <c r="AB519" s="822"/>
      <c r="AC519" s="822"/>
      <c r="AD519" s="822"/>
      <c r="AE519" s="822"/>
      <c r="AF519" s="822"/>
      <c r="AG519" s="822"/>
      <c r="AH519" s="54">
        <v>83.49</v>
      </c>
      <c r="AI519" s="822"/>
      <c r="AJ519" s="822"/>
      <c r="AK519" s="54">
        <v>1183.49</v>
      </c>
      <c r="AL519" s="54">
        <v>0</v>
      </c>
    </row>
    <row r="520" spans="1:38" ht="23.25" thickBot="1" x14ac:dyDescent="0.3">
      <c r="A520" s="51" t="s">
        <v>1030</v>
      </c>
      <c r="B520" s="51" t="s">
        <v>1057</v>
      </c>
      <c r="C520" s="51" t="s">
        <v>1058</v>
      </c>
      <c r="D520" s="51" t="s">
        <v>320</v>
      </c>
      <c r="E520" s="51" t="s">
        <v>1033</v>
      </c>
      <c r="F520" s="51" t="s">
        <v>915</v>
      </c>
      <c r="G520" s="54">
        <v>158.37</v>
      </c>
      <c r="H520" s="54">
        <v>0</v>
      </c>
      <c r="I520" s="822"/>
      <c r="J520" s="822"/>
      <c r="K520" s="822"/>
      <c r="L520" s="822"/>
      <c r="M520" s="822"/>
      <c r="N520" s="822"/>
      <c r="O520" s="822"/>
      <c r="P520" s="822"/>
      <c r="Q520" s="822"/>
      <c r="R520" s="822"/>
      <c r="S520" s="822"/>
      <c r="T520" s="822"/>
      <c r="U520" s="822"/>
      <c r="V520" s="822"/>
      <c r="W520" s="822"/>
      <c r="X520" s="822"/>
      <c r="Y520" s="822"/>
      <c r="Z520" s="822"/>
      <c r="AA520" s="822"/>
      <c r="AB520" s="822"/>
      <c r="AC520" s="822"/>
      <c r="AD520" s="822"/>
      <c r="AE520" s="822"/>
      <c r="AF520" s="822"/>
      <c r="AG520" s="822"/>
      <c r="AH520" s="54">
        <v>0</v>
      </c>
      <c r="AI520" s="822"/>
      <c r="AJ520" s="822"/>
      <c r="AK520" s="54">
        <v>158.37</v>
      </c>
      <c r="AL520" s="54">
        <v>0</v>
      </c>
    </row>
    <row r="521" spans="1:38" ht="23.25" thickBot="1" x14ac:dyDescent="0.3">
      <c r="A521" s="51" t="s">
        <v>1030</v>
      </c>
      <c r="B521" s="51" t="s">
        <v>1057</v>
      </c>
      <c r="C521" s="51" t="s">
        <v>1058</v>
      </c>
      <c r="D521" s="51" t="s">
        <v>320</v>
      </c>
      <c r="E521" s="51" t="s">
        <v>1034</v>
      </c>
      <c r="F521" s="51" t="s">
        <v>915</v>
      </c>
      <c r="G521" s="54">
        <v>-3763.83</v>
      </c>
      <c r="H521" s="54">
        <v>0</v>
      </c>
      <c r="I521" s="822"/>
      <c r="J521" s="822"/>
      <c r="K521" s="822"/>
      <c r="L521" s="822"/>
      <c r="M521" s="822"/>
      <c r="N521" s="822"/>
      <c r="O521" s="822"/>
      <c r="P521" s="822"/>
      <c r="Q521" s="822"/>
      <c r="R521" s="822"/>
      <c r="S521" s="822"/>
      <c r="T521" s="822"/>
      <c r="U521" s="822"/>
      <c r="V521" s="822"/>
      <c r="W521" s="822"/>
      <c r="X521" s="822"/>
      <c r="Y521" s="822"/>
      <c r="Z521" s="822"/>
      <c r="AA521" s="822"/>
      <c r="AB521" s="822"/>
      <c r="AC521" s="822"/>
      <c r="AD521" s="822"/>
      <c r="AE521" s="822"/>
      <c r="AF521" s="822"/>
      <c r="AG521" s="822"/>
      <c r="AH521" s="54">
        <v>0</v>
      </c>
      <c r="AI521" s="822"/>
      <c r="AJ521" s="822"/>
      <c r="AK521" s="54">
        <v>-3763.83</v>
      </c>
      <c r="AL521" s="54">
        <v>0</v>
      </c>
    </row>
    <row r="522" spans="1:38" ht="23.25" thickBot="1" x14ac:dyDescent="0.3">
      <c r="A522" s="51" t="s">
        <v>1030</v>
      </c>
      <c r="B522" s="51" t="s">
        <v>1057</v>
      </c>
      <c r="C522" s="51" t="s">
        <v>1058</v>
      </c>
      <c r="D522" s="51" t="s">
        <v>320</v>
      </c>
      <c r="E522" s="51" t="s">
        <v>1046</v>
      </c>
      <c r="F522" s="51" t="s">
        <v>915</v>
      </c>
      <c r="G522" s="54">
        <v>23718.78</v>
      </c>
      <c r="H522" s="54">
        <v>0</v>
      </c>
      <c r="I522" s="822"/>
      <c r="J522" s="822"/>
      <c r="K522" s="822"/>
      <c r="L522" s="822"/>
      <c r="M522" s="822"/>
      <c r="N522" s="822"/>
      <c r="O522" s="822"/>
      <c r="P522" s="822"/>
      <c r="Q522" s="822"/>
      <c r="R522" s="822"/>
      <c r="S522" s="822"/>
      <c r="T522" s="822"/>
      <c r="U522" s="822"/>
      <c r="V522" s="822"/>
      <c r="W522" s="822"/>
      <c r="X522" s="822"/>
      <c r="Y522" s="822"/>
      <c r="Z522" s="822"/>
      <c r="AA522" s="822"/>
      <c r="AB522" s="822"/>
      <c r="AC522" s="822"/>
      <c r="AD522" s="822"/>
      <c r="AE522" s="822"/>
      <c r="AF522" s="822"/>
      <c r="AG522" s="822"/>
      <c r="AH522" s="54">
        <v>0</v>
      </c>
      <c r="AI522" s="822"/>
      <c r="AJ522" s="822"/>
      <c r="AK522" s="54">
        <v>23718.78</v>
      </c>
      <c r="AL522" s="54">
        <v>0</v>
      </c>
    </row>
    <row r="523" spans="1:38" ht="15.75" thickBot="1" x14ac:dyDescent="0.3">
      <c r="A523" s="51" t="s">
        <v>1030</v>
      </c>
      <c r="B523" s="868" t="s">
        <v>1057</v>
      </c>
      <c r="C523" s="51" t="s">
        <v>1058</v>
      </c>
      <c r="D523" s="51" t="s">
        <v>320</v>
      </c>
      <c r="E523" s="51" t="s">
        <v>268</v>
      </c>
      <c r="F523" s="51" t="s">
        <v>266</v>
      </c>
      <c r="G523" s="54">
        <v>5325</v>
      </c>
      <c r="H523" s="54">
        <v>0</v>
      </c>
      <c r="I523" s="822"/>
      <c r="J523" s="822"/>
      <c r="K523" s="54">
        <v>5325</v>
      </c>
      <c r="L523" s="822"/>
      <c r="M523" s="822"/>
      <c r="N523" s="822"/>
      <c r="O523" s="822"/>
      <c r="P523" s="822"/>
      <c r="Q523" s="822"/>
      <c r="R523" s="822"/>
      <c r="S523" s="822"/>
      <c r="T523" s="822"/>
      <c r="U523" s="822"/>
      <c r="V523" s="822"/>
      <c r="W523" s="822"/>
      <c r="X523" s="822"/>
      <c r="Y523" s="822"/>
      <c r="Z523" s="822"/>
      <c r="AA523" s="822"/>
      <c r="AB523" s="822"/>
      <c r="AC523" s="822"/>
      <c r="AD523" s="822"/>
      <c r="AE523" s="822"/>
      <c r="AF523" s="822"/>
      <c r="AG523" s="822"/>
      <c r="AH523" s="54">
        <v>0</v>
      </c>
      <c r="AI523" s="822"/>
      <c r="AJ523" s="822"/>
      <c r="AK523" s="54">
        <v>5325</v>
      </c>
      <c r="AL523" s="54">
        <v>0</v>
      </c>
    </row>
    <row r="524" spans="1:38" ht="15.75" thickBot="1" x14ac:dyDescent="0.3">
      <c r="A524" s="51" t="s">
        <v>1030</v>
      </c>
      <c r="B524" s="51" t="s">
        <v>1057</v>
      </c>
      <c r="C524" s="51" t="s">
        <v>1058</v>
      </c>
      <c r="D524" s="51" t="s">
        <v>320</v>
      </c>
      <c r="E524" s="51" t="s">
        <v>1038</v>
      </c>
      <c r="F524" s="51" t="s">
        <v>266</v>
      </c>
      <c r="G524" s="54">
        <v>5697.73</v>
      </c>
      <c r="H524" s="54">
        <v>0</v>
      </c>
      <c r="I524" s="822"/>
      <c r="J524" s="822"/>
      <c r="K524" s="822"/>
      <c r="L524" s="822"/>
      <c r="M524" s="822"/>
      <c r="N524" s="822"/>
      <c r="O524" s="822"/>
      <c r="P524" s="822"/>
      <c r="Q524" s="822"/>
      <c r="R524" s="822"/>
      <c r="S524" s="822"/>
      <c r="T524" s="822"/>
      <c r="U524" s="822"/>
      <c r="V524" s="822"/>
      <c r="W524" s="822"/>
      <c r="X524" s="54">
        <v>5697.73</v>
      </c>
      <c r="Y524" s="822"/>
      <c r="Z524" s="822"/>
      <c r="AA524" s="822"/>
      <c r="AB524" s="822"/>
      <c r="AC524" s="822"/>
      <c r="AD524" s="822"/>
      <c r="AE524" s="822"/>
      <c r="AF524" s="822"/>
      <c r="AG524" s="822"/>
      <c r="AH524" s="54">
        <v>0</v>
      </c>
      <c r="AI524" s="822"/>
      <c r="AJ524" s="822"/>
      <c r="AK524" s="54">
        <v>5697.73</v>
      </c>
      <c r="AL524" s="54">
        <v>0</v>
      </c>
    </row>
    <row r="525" spans="1:38" ht="15.75" thickBot="1" x14ac:dyDescent="0.3">
      <c r="A525" s="51" t="s">
        <v>1030</v>
      </c>
      <c r="B525" s="51" t="s">
        <v>1057</v>
      </c>
      <c r="C525" s="51" t="s">
        <v>1058</v>
      </c>
      <c r="D525" s="51" t="s">
        <v>320</v>
      </c>
      <c r="E525" s="51" t="s">
        <v>329</v>
      </c>
      <c r="F525" s="51" t="s">
        <v>266</v>
      </c>
      <c r="G525" s="54">
        <v>2439.92</v>
      </c>
      <c r="H525" s="54">
        <v>0</v>
      </c>
      <c r="I525" s="822"/>
      <c r="J525" s="822"/>
      <c r="K525" s="822"/>
      <c r="L525" s="822"/>
      <c r="M525" s="822"/>
      <c r="N525" s="822"/>
      <c r="O525" s="822"/>
      <c r="P525" s="822"/>
      <c r="Q525" s="822"/>
      <c r="R525" s="822"/>
      <c r="S525" s="822"/>
      <c r="T525" s="822"/>
      <c r="U525" s="822"/>
      <c r="V525" s="822"/>
      <c r="W525" s="54">
        <v>2439.92</v>
      </c>
      <c r="X525" s="822"/>
      <c r="Y525" s="822"/>
      <c r="Z525" s="822"/>
      <c r="AA525" s="822"/>
      <c r="AB525" s="822"/>
      <c r="AC525" s="822"/>
      <c r="AD525" s="822"/>
      <c r="AE525" s="822"/>
      <c r="AF525" s="822"/>
      <c r="AG525" s="822"/>
      <c r="AH525" s="54">
        <v>0</v>
      </c>
      <c r="AI525" s="822"/>
      <c r="AJ525" s="822"/>
      <c r="AK525" s="54">
        <v>2439.92</v>
      </c>
      <c r="AL525" s="54">
        <v>0</v>
      </c>
    </row>
    <row r="526" spans="1:38" ht="23.25" thickBot="1" x14ac:dyDescent="0.3">
      <c r="A526" s="51" t="s">
        <v>1030</v>
      </c>
      <c r="B526" s="51" t="s">
        <v>1059</v>
      </c>
      <c r="C526" s="51" t="s">
        <v>1060</v>
      </c>
      <c r="D526" s="51" t="s">
        <v>320</v>
      </c>
      <c r="E526" s="51" t="s">
        <v>1033</v>
      </c>
      <c r="F526" s="51" t="s">
        <v>915</v>
      </c>
      <c r="G526" s="56">
        <v>12.1</v>
      </c>
      <c r="H526" s="56">
        <v>0</v>
      </c>
      <c r="I526" s="823"/>
      <c r="J526" s="823"/>
      <c r="K526" s="823"/>
      <c r="L526" s="823"/>
      <c r="M526" s="823"/>
      <c r="N526" s="823"/>
      <c r="O526" s="823"/>
      <c r="P526" s="823"/>
      <c r="Q526" s="823"/>
      <c r="R526" s="823"/>
      <c r="S526" s="823"/>
      <c r="T526" s="823"/>
      <c r="U526" s="823"/>
      <c r="V526" s="823"/>
      <c r="W526" s="823"/>
      <c r="X526" s="823"/>
      <c r="Y526" s="823"/>
      <c r="Z526" s="823"/>
      <c r="AA526" s="823"/>
      <c r="AB526" s="823"/>
      <c r="AC526" s="823"/>
      <c r="AD526" s="823"/>
      <c r="AE526" s="823"/>
      <c r="AF526" s="823"/>
      <c r="AG526" s="823"/>
      <c r="AH526" s="56">
        <v>0</v>
      </c>
      <c r="AI526" s="823"/>
      <c r="AJ526" s="823"/>
      <c r="AK526" s="56">
        <v>12.1</v>
      </c>
      <c r="AL526" s="56">
        <v>0</v>
      </c>
    </row>
    <row r="527" spans="1:38" ht="23.25" thickBot="1" x14ac:dyDescent="0.3">
      <c r="A527" s="51" t="s">
        <v>1030</v>
      </c>
      <c r="B527" s="51" t="s">
        <v>1059</v>
      </c>
      <c r="C527" s="51" t="s">
        <v>1060</v>
      </c>
      <c r="D527" s="51" t="s">
        <v>320</v>
      </c>
      <c r="E527" s="51" t="s">
        <v>1045</v>
      </c>
      <c r="F527" s="51" t="s">
        <v>915</v>
      </c>
      <c r="G527" s="56">
        <v>-19.670000000000002</v>
      </c>
      <c r="H527" s="56">
        <v>0</v>
      </c>
      <c r="I527" s="823"/>
      <c r="J527" s="823"/>
      <c r="K527" s="823"/>
      <c r="L527" s="823"/>
      <c r="M527" s="823"/>
      <c r="N527" s="823"/>
      <c r="O527" s="823"/>
      <c r="P527" s="823"/>
      <c r="Q527" s="823"/>
      <c r="R527" s="823"/>
      <c r="S527" s="823"/>
      <c r="T527" s="823"/>
      <c r="U527" s="823"/>
      <c r="V527" s="823"/>
      <c r="W527" s="823"/>
      <c r="X527" s="823"/>
      <c r="Y527" s="823"/>
      <c r="Z527" s="823"/>
      <c r="AA527" s="823"/>
      <c r="AB527" s="823"/>
      <c r="AC527" s="823"/>
      <c r="AD527" s="823"/>
      <c r="AE527" s="823"/>
      <c r="AF527" s="823"/>
      <c r="AG527" s="823"/>
      <c r="AH527" s="56">
        <v>0</v>
      </c>
      <c r="AI527" s="823"/>
      <c r="AJ527" s="823"/>
      <c r="AK527" s="56">
        <v>-19.670000000000002</v>
      </c>
      <c r="AL527" s="56">
        <v>0</v>
      </c>
    </row>
    <row r="528" spans="1:38" ht="23.25" thickBot="1" x14ac:dyDescent="0.3">
      <c r="A528" s="51" t="s">
        <v>1030</v>
      </c>
      <c r="B528" s="51" t="s">
        <v>1059</v>
      </c>
      <c r="C528" s="51" t="s">
        <v>1060</v>
      </c>
      <c r="D528" s="51" t="s">
        <v>320</v>
      </c>
      <c r="E528" s="51" t="s">
        <v>1034</v>
      </c>
      <c r="F528" s="51" t="s">
        <v>915</v>
      </c>
      <c r="G528" s="56">
        <v>-1165.6400000000001</v>
      </c>
      <c r="H528" s="56">
        <v>0</v>
      </c>
      <c r="I528" s="823"/>
      <c r="J528" s="823"/>
      <c r="K528" s="823"/>
      <c r="L528" s="823"/>
      <c r="M528" s="823"/>
      <c r="N528" s="823"/>
      <c r="O528" s="823"/>
      <c r="P528" s="823"/>
      <c r="Q528" s="823"/>
      <c r="R528" s="823"/>
      <c r="S528" s="823"/>
      <c r="T528" s="823"/>
      <c r="U528" s="823"/>
      <c r="V528" s="823"/>
      <c r="W528" s="823"/>
      <c r="X528" s="823"/>
      <c r="Y528" s="823"/>
      <c r="Z528" s="823"/>
      <c r="AA528" s="823"/>
      <c r="AB528" s="823"/>
      <c r="AC528" s="823"/>
      <c r="AD528" s="823"/>
      <c r="AE528" s="823"/>
      <c r="AF528" s="823"/>
      <c r="AG528" s="823"/>
      <c r="AH528" s="56">
        <v>0</v>
      </c>
      <c r="AI528" s="823"/>
      <c r="AJ528" s="823"/>
      <c r="AK528" s="56">
        <v>-1165.6400000000001</v>
      </c>
      <c r="AL528" s="56">
        <v>0</v>
      </c>
    </row>
    <row r="529" spans="1:38" ht="23.25" thickBot="1" x14ac:dyDescent="0.3">
      <c r="A529" s="51" t="s">
        <v>1030</v>
      </c>
      <c r="B529" s="51" t="s">
        <v>1059</v>
      </c>
      <c r="C529" s="51" t="s">
        <v>1060</v>
      </c>
      <c r="D529" s="51" t="s">
        <v>320</v>
      </c>
      <c r="E529" s="51" t="s">
        <v>1046</v>
      </c>
      <c r="F529" s="51" t="s">
        <v>915</v>
      </c>
      <c r="G529" s="56">
        <v>13.89</v>
      </c>
      <c r="H529" s="56">
        <v>0</v>
      </c>
      <c r="I529" s="823"/>
      <c r="J529" s="823"/>
      <c r="K529" s="823"/>
      <c r="L529" s="823"/>
      <c r="M529" s="823"/>
      <c r="N529" s="823"/>
      <c r="O529" s="823"/>
      <c r="P529" s="823"/>
      <c r="Q529" s="823"/>
      <c r="R529" s="823"/>
      <c r="S529" s="823"/>
      <c r="T529" s="823"/>
      <c r="U529" s="823"/>
      <c r="V529" s="823"/>
      <c r="W529" s="823"/>
      <c r="X529" s="823"/>
      <c r="Y529" s="823"/>
      <c r="Z529" s="823"/>
      <c r="AA529" s="823"/>
      <c r="AB529" s="823"/>
      <c r="AC529" s="823"/>
      <c r="AD529" s="823"/>
      <c r="AE529" s="823"/>
      <c r="AF529" s="823"/>
      <c r="AG529" s="823"/>
      <c r="AH529" s="56">
        <v>0</v>
      </c>
      <c r="AI529" s="823"/>
      <c r="AJ529" s="823"/>
      <c r="AK529" s="56">
        <v>13.89</v>
      </c>
      <c r="AL529" s="56">
        <v>0</v>
      </c>
    </row>
    <row r="530" spans="1:38" ht="15.75" thickBot="1" x14ac:dyDescent="0.3">
      <c r="A530" s="51" t="s">
        <v>1030</v>
      </c>
      <c r="B530" s="868" t="s">
        <v>1059</v>
      </c>
      <c r="C530" s="51" t="s">
        <v>1060</v>
      </c>
      <c r="D530" s="51" t="s">
        <v>320</v>
      </c>
      <c r="E530" s="51" t="s">
        <v>268</v>
      </c>
      <c r="F530" s="51" t="s">
        <v>266</v>
      </c>
      <c r="G530" s="56">
        <v>675</v>
      </c>
      <c r="H530" s="56">
        <v>0</v>
      </c>
      <c r="I530" s="823"/>
      <c r="J530" s="823"/>
      <c r="K530" s="56">
        <v>675</v>
      </c>
      <c r="L530" s="823"/>
      <c r="M530" s="823"/>
      <c r="N530" s="823"/>
      <c r="O530" s="823"/>
      <c r="P530" s="823"/>
      <c r="Q530" s="823"/>
      <c r="R530" s="823"/>
      <c r="S530" s="823"/>
      <c r="T530" s="823"/>
      <c r="U530" s="823"/>
      <c r="V530" s="823"/>
      <c r="W530" s="823"/>
      <c r="X530" s="823"/>
      <c r="Y530" s="823"/>
      <c r="Z530" s="823"/>
      <c r="AA530" s="823"/>
      <c r="AB530" s="823"/>
      <c r="AC530" s="823"/>
      <c r="AD530" s="823"/>
      <c r="AE530" s="823"/>
      <c r="AF530" s="823"/>
      <c r="AG530" s="823"/>
      <c r="AH530" s="56">
        <v>0</v>
      </c>
      <c r="AI530" s="823"/>
      <c r="AJ530" s="823"/>
      <c r="AK530" s="56">
        <v>675</v>
      </c>
      <c r="AL530" s="56">
        <v>0</v>
      </c>
    </row>
    <row r="531" spans="1:38" ht="15.75" thickBot="1" x14ac:dyDescent="0.3">
      <c r="A531" s="51"/>
      <c r="B531" s="51"/>
      <c r="C531" s="51"/>
      <c r="D531" s="51"/>
      <c r="E531" s="51"/>
      <c r="F531" s="51"/>
      <c r="G531" s="56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6"/>
      <c r="AB531" s="55"/>
      <c r="AC531" s="55"/>
      <c r="AD531" s="55"/>
      <c r="AE531" s="55"/>
      <c r="AF531" s="55"/>
      <c r="AG531" s="55"/>
      <c r="AH531" s="56"/>
      <c r="AI531" s="55"/>
      <c r="AJ531" s="55"/>
      <c r="AK531" s="56"/>
      <c r="AL531" s="56"/>
    </row>
    <row r="532" spans="1:38" ht="15.75" thickBot="1" x14ac:dyDescent="0.3">
      <c r="A532" s="51"/>
      <c r="B532" s="51"/>
      <c r="C532" s="51"/>
      <c r="D532" s="51"/>
      <c r="E532" s="51"/>
      <c r="F532" s="51"/>
      <c r="G532" s="54">
        <f>SUM(G4:G440)</f>
        <v>3968641.5500000017</v>
      </c>
      <c r="H532" s="54">
        <f>SUM(H4:H440)/10</f>
        <v>6112154.7999999998</v>
      </c>
      <c r="I532" s="54">
        <f t="shared" ref="I532:AL532" si="0">SUM(I4:I440)</f>
        <v>0</v>
      </c>
      <c r="J532" s="54">
        <f t="shared" si="0"/>
        <v>0</v>
      </c>
      <c r="K532" s="54">
        <f t="shared" si="0"/>
        <v>682209.17</v>
      </c>
      <c r="L532" s="54">
        <f t="shared" si="0"/>
        <v>2267397.3500000006</v>
      </c>
      <c r="M532" s="54">
        <f t="shared" si="0"/>
        <v>585376.27999999991</v>
      </c>
      <c r="N532" s="54">
        <f t="shared" si="0"/>
        <v>1161.77</v>
      </c>
      <c r="O532" s="54">
        <f t="shared" si="0"/>
        <v>0</v>
      </c>
      <c r="P532" s="54">
        <f t="shared" si="0"/>
        <v>0</v>
      </c>
      <c r="Q532" s="54">
        <f t="shared" si="0"/>
        <v>3130.3699999999994</v>
      </c>
      <c r="R532" s="54">
        <f t="shared" si="0"/>
        <v>0</v>
      </c>
      <c r="S532" s="54">
        <f t="shared" si="0"/>
        <v>3271.2300000000005</v>
      </c>
      <c r="T532" s="54">
        <f t="shared" si="0"/>
        <v>-12809.389999999989</v>
      </c>
      <c r="U532" s="54">
        <f t="shared" si="0"/>
        <v>13649.49</v>
      </c>
      <c r="V532" s="54">
        <f t="shared" si="0"/>
        <v>8127.9299999999994</v>
      </c>
      <c r="W532" s="54">
        <f t="shared" si="0"/>
        <v>46749.93</v>
      </c>
      <c r="X532" s="54">
        <f t="shared" si="0"/>
        <v>109169.46000000002</v>
      </c>
      <c r="Y532" s="54">
        <f t="shared" si="0"/>
        <v>197826.80000000002</v>
      </c>
      <c r="Z532" s="54">
        <f t="shared" si="0"/>
        <v>4736.0700000000006</v>
      </c>
      <c r="AA532" s="54">
        <f t="shared" si="0"/>
        <v>58645.089999999989</v>
      </c>
      <c r="AB532" s="54">
        <f t="shared" si="0"/>
        <v>0</v>
      </c>
      <c r="AC532" s="54">
        <f t="shared" si="0"/>
        <v>0</v>
      </c>
      <c r="AD532" s="54">
        <f t="shared" si="0"/>
        <v>0</v>
      </c>
      <c r="AE532" s="54">
        <f t="shared" si="0"/>
        <v>0</v>
      </c>
      <c r="AF532" s="54">
        <f t="shared" si="0"/>
        <v>0</v>
      </c>
      <c r="AG532" s="54">
        <f t="shared" si="0"/>
        <v>7127.75</v>
      </c>
      <c r="AH532" s="54">
        <f t="shared" si="0"/>
        <v>150893.53999999995</v>
      </c>
      <c r="AI532" s="54">
        <f t="shared" si="0"/>
        <v>0</v>
      </c>
      <c r="AJ532" s="54">
        <f t="shared" si="0"/>
        <v>0</v>
      </c>
      <c r="AK532" s="54">
        <f t="shared" si="0"/>
        <v>4126662.8400000036</v>
      </c>
      <c r="AL532" s="54">
        <f t="shared" si="0"/>
        <v>0</v>
      </c>
    </row>
    <row r="533" spans="1:38" ht="15.75" thickBot="1" x14ac:dyDescent="0.3">
      <c r="A533" s="51"/>
      <c r="B533" s="51"/>
      <c r="C533" s="51"/>
      <c r="D533" s="51"/>
      <c r="E533" s="51"/>
      <c r="F533" s="51"/>
      <c r="G533" s="56"/>
      <c r="H533" s="55" t="s">
        <v>1066</v>
      </c>
      <c r="I533" s="55" t="s">
        <v>1067</v>
      </c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6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6"/>
      <c r="AI533" s="55"/>
      <c r="AJ533" s="55"/>
      <c r="AK533" s="56"/>
      <c r="AL533" s="56"/>
    </row>
    <row r="534" spans="1:38" ht="15.75" thickBot="1" x14ac:dyDescent="0.3">
      <c r="A534" s="51"/>
      <c r="B534" s="51"/>
      <c r="C534" s="51"/>
      <c r="D534" s="51"/>
      <c r="E534" s="51"/>
      <c r="F534" s="51"/>
      <c r="G534" s="54"/>
      <c r="H534" s="839">
        <f>H532-H533</f>
        <v>6090258.7999999998</v>
      </c>
      <c r="I534" s="53"/>
      <c r="J534" s="53"/>
      <c r="K534" s="53"/>
      <c r="L534" s="53"/>
      <c r="M534" s="53"/>
      <c r="N534" s="54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4"/>
      <c r="AI534" s="53"/>
      <c r="AJ534" s="53"/>
      <c r="AK534" s="54"/>
      <c r="AL534" s="54"/>
    </row>
    <row r="535" spans="1:38" ht="15.75" thickBot="1" x14ac:dyDescent="0.3">
      <c r="A535" s="51"/>
      <c r="B535" s="51"/>
      <c r="C535" s="51"/>
      <c r="D535" s="51"/>
      <c r="E535" s="51"/>
      <c r="F535" s="51"/>
      <c r="G535" s="56"/>
      <c r="H535" s="55"/>
      <c r="I535" s="55"/>
      <c r="J535" s="55"/>
      <c r="K535" s="55"/>
      <c r="L535" s="55"/>
      <c r="M535" s="55"/>
      <c r="N535" s="56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6"/>
      <c r="AI535" s="55"/>
      <c r="AJ535" s="55"/>
      <c r="AK535" s="56"/>
      <c r="AL535" s="56"/>
    </row>
    <row r="536" spans="1:38" ht="15.75" thickBot="1" x14ac:dyDescent="0.3">
      <c r="A536" s="51"/>
      <c r="B536" s="51"/>
      <c r="C536" s="51"/>
      <c r="D536" s="51"/>
      <c r="E536" s="51"/>
      <c r="F536" s="51"/>
      <c r="G536" s="54"/>
      <c r="H536" s="53"/>
      <c r="I536" s="53"/>
      <c r="J536" s="53"/>
      <c r="K536" s="54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4"/>
      <c r="AI536" s="53"/>
      <c r="AJ536" s="53"/>
      <c r="AK536" s="54"/>
      <c r="AL536" s="54"/>
    </row>
    <row r="537" spans="1:38" ht="15.75" thickBot="1" x14ac:dyDescent="0.3">
      <c r="A537" s="51"/>
      <c r="B537" s="51"/>
      <c r="C537" s="51"/>
      <c r="D537" s="51"/>
      <c r="E537" s="51"/>
      <c r="F537" s="51"/>
      <c r="G537" s="56"/>
      <c r="H537" s="55"/>
      <c r="I537" s="55"/>
      <c r="J537" s="55"/>
      <c r="K537" s="56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6"/>
      <c r="AI537" s="55"/>
      <c r="AJ537" s="55"/>
      <c r="AK537" s="56"/>
      <c r="AL537" s="56"/>
    </row>
    <row r="538" spans="1:38" ht="15.75" thickBot="1" x14ac:dyDescent="0.3">
      <c r="A538" s="51"/>
      <c r="B538" s="51"/>
      <c r="C538" s="51"/>
      <c r="D538" s="51"/>
      <c r="E538" s="51"/>
      <c r="F538" s="51"/>
      <c r="G538" s="54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4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4"/>
      <c r="AI538" s="53"/>
      <c r="AJ538" s="53"/>
      <c r="AK538" s="54"/>
      <c r="AL538" s="54"/>
    </row>
    <row r="539" spans="1:38" ht="15.75" thickBot="1" x14ac:dyDescent="0.3">
      <c r="A539" s="51"/>
      <c r="B539" s="51"/>
      <c r="C539" s="51"/>
      <c r="D539" s="51"/>
      <c r="E539" s="51"/>
      <c r="F539" s="51"/>
      <c r="G539" s="56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6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6"/>
      <c r="AI539" s="55"/>
      <c r="AJ539" s="55"/>
      <c r="AK539" s="56"/>
      <c r="AL539" s="56"/>
    </row>
    <row r="540" spans="1:38" ht="15.75" thickBot="1" x14ac:dyDescent="0.3">
      <c r="A540" s="51"/>
      <c r="B540" s="51"/>
      <c r="C540" s="51"/>
      <c r="D540" s="51"/>
      <c r="E540" s="51"/>
      <c r="F540" s="51"/>
      <c r="G540" s="54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4"/>
      <c r="Y540" s="53"/>
      <c r="Z540" s="53"/>
      <c r="AA540" s="53"/>
      <c r="AB540" s="53"/>
      <c r="AC540" s="53"/>
      <c r="AD540" s="53"/>
      <c r="AE540" s="53"/>
      <c r="AF540" s="53"/>
      <c r="AG540" s="53"/>
      <c r="AH540" s="54"/>
      <c r="AI540" s="53"/>
      <c r="AJ540" s="53"/>
      <c r="AK540" s="54"/>
      <c r="AL540" s="54"/>
    </row>
    <row r="541" spans="1:38" ht="15.75" thickBot="1" x14ac:dyDescent="0.3">
      <c r="A541" s="51"/>
      <c r="B541" s="51"/>
      <c r="C541" s="51"/>
      <c r="D541" s="51"/>
      <c r="E541" s="51"/>
      <c r="F541" s="51"/>
      <c r="G541" s="56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6"/>
      <c r="Y541" s="55"/>
      <c r="Z541" s="55"/>
      <c r="AA541" s="55"/>
      <c r="AB541" s="55"/>
      <c r="AC541" s="55"/>
      <c r="AD541" s="55"/>
      <c r="AE541" s="55"/>
      <c r="AF541" s="55"/>
      <c r="AG541" s="55"/>
      <c r="AH541" s="56"/>
      <c r="AI541" s="55"/>
      <c r="AJ541" s="55"/>
      <c r="AK541" s="56"/>
      <c r="AL541" s="56"/>
    </row>
    <row r="542" spans="1:38" ht="15.75" thickBot="1" x14ac:dyDescent="0.3">
      <c r="A542" s="51"/>
      <c r="B542" s="51"/>
      <c r="C542" s="51"/>
      <c r="D542" s="51"/>
      <c r="E542" s="51"/>
      <c r="F542" s="51"/>
      <c r="G542" s="54"/>
      <c r="H542" s="53"/>
      <c r="I542" s="53"/>
      <c r="J542" s="53"/>
      <c r="K542" s="54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4"/>
      <c r="AI542" s="53"/>
      <c r="AJ542" s="53"/>
      <c r="AK542" s="54"/>
      <c r="AL542" s="54"/>
    </row>
    <row r="543" spans="1:38" ht="15.75" thickBot="1" x14ac:dyDescent="0.3">
      <c r="A543" s="51"/>
      <c r="B543" s="51"/>
      <c r="C543" s="51"/>
      <c r="D543" s="51"/>
      <c r="E543" s="51"/>
      <c r="F543" s="51"/>
      <c r="G543" s="56"/>
      <c r="H543" s="55"/>
      <c r="I543" s="55"/>
      <c r="J543" s="55"/>
      <c r="K543" s="56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6"/>
      <c r="AI543" s="55"/>
      <c r="AJ543" s="55"/>
      <c r="AK543" s="56"/>
      <c r="AL543" s="56"/>
    </row>
    <row r="544" spans="1:38" ht="15.75" thickBot="1" x14ac:dyDescent="0.3">
      <c r="A544" s="51"/>
      <c r="B544" s="51"/>
      <c r="C544" s="51"/>
      <c r="D544" s="51"/>
      <c r="E544" s="51"/>
      <c r="F544" s="51"/>
      <c r="G544" s="54"/>
      <c r="H544" s="54"/>
      <c r="I544" s="53"/>
      <c r="J544" s="53"/>
      <c r="K544" s="53"/>
      <c r="L544" s="53"/>
      <c r="M544" s="54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4"/>
      <c r="AI544" s="53"/>
      <c r="AJ544" s="53"/>
      <c r="AK544" s="54"/>
      <c r="AL544" s="54"/>
    </row>
    <row r="545" spans="1:38" ht="15.75" thickBot="1" x14ac:dyDescent="0.3">
      <c r="A545" s="51"/>
      <c r="B545" s="51"/>
      <c r="C545" s="51"/>
      <c r="D545" s="51"/>
      <c r="E545" s="51"/>
      <c r="F545" s="51"/>
      <c r="G545" s="56"/>
      <c r="H545" s="148"/>
      <c r="I545" s="55"/>
      <c r="J545" s="55"/>
      <c r="K545" s="55"/>
      <c r="L545" s="55"/>
      <c r="M545" s="56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6"/>
      <c r="AI545" s="55"/>
      <c r="AJ545" s="55"/>
      <c r="AK545" s="56"/>
      <c r="AL545" s="56"/>
    </row>
    <row r="546" spans="1:38" ht="15.75" thickBot="1" x14ac:dyDescent="0.3">
      <c r="A546" s="51"/>
      <c r="B546" s="51"/>
      <c r="C546" s="51"/>
      <c r="D546" s="51"/>
      <c r="E546" s="51"/>
      <c r="F546" s="51"/>
      <c r="G546" s="54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4"/>
      <c r="AA546" s="53"/>
      <c r="AB546" s="53"/>
      <c r="AC546" s="53"/>
      <c r="AD546" s="53"/>
      <c r="AE546" s="53"/>
      <c r="AF546" s="53"/>
      <c r="AG546" s="53"/>
      <c r="AH546" s="54"/>
      <c r="AI546" s="53"/>
      <c r="AJ546" s="53"/>
      <c r="AK546" s="54"/>
      <c r="AL546" s="54"/>
    </row>
    <row r="547" spans="1:38" ht="15.75" thickBot="1" x14ac:dyDescent="0.3">
      <c r="A547" s="51"/>
      <c r="B547" s="51"/>
      <c r="C547" s="51"/>
      <c r="D547" s="51"/>
      <c r="E547" s="51"/>
      <c r="F547" s="51"/>
      <c r="G547" s="56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6"/>
      <c r="AA547" s="55"/>
      <c r="AB547" s="55"/>
      <c r="AC547" s="55"/>
      <c r="AD547" s="55"/>
      <c r="AE547" s="55"/>
      <c r="AF547" s="55"/>
      <c r="AG547" s="55"/>
      <c r="AH547" s="56"/>
      <c r="AI547" s="55"/>
      <c r="AJ547" s="55"/>
      <c r="AK547" s="56"/>
      <c r="AL547" s="56"/>
    </row>
    <row r="548" spans="1:38" ht="15.75" thickBot="1" x14ac:dyDescent="0.3">
      <c r="A548" s="51"/>
      <c r="B548" s="51"/>
      <c r="C548" s="51"/>
      <c r="D548" s="51"/>
      <c r="E548" s="51"/>
      <c r="F548" s="51"/>
      <c r="G548" s="54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4"/>
      <c r="AB548" s="53"/>
      <c r="AC548" s="53"/>
      <c r="AD548" s="53"/>
      <c r="AE548" s="53"/>
      <c r="AF548" s="53"/>
      <c r="AG548" s="53"/>
      <c r="AH548" s="54"/>
      <c r="AI548" s="53"/>
      <c r="AJ548" s="53"/>
      <c r="AK548" s="54"/>
      <c r="AL548" s="54"/>
    </row>
    <row r="549" spans="1:38" ht="15.75" thickBot="1" x14ac:dyDescent="0.3">
      <c r="A549" s="51"/>
      <c r="B549" s="51"/>
      <c r="C549" s="51"/>
      <c r="D549" s="51"/>
      <c r="E549" s="51"/>
      <c r="F549" s="51"/>
      <c r="G549" s="56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6"/>
      <c r="AB549" s="55"/>
      <c r="AC549" s="55"/>
      <c r="AD549" s="55"/>
      <c r="AE549" s="55"/>
      <c r="AF549" s="55"/>
      <c r="AG549" s="55"/>
      <c r="AH549" s="56"/>
      <c r="AI549" s="55"/>
      <c r="AJ549" s="55"/>
      <c r="AK549" s="56"/>
      <c r="AL549" s="56"/>
    </row>
    <row r="550" spans="1:38" ht="15.75" thickBot="1" x14ac:dyDescent="0.3">
      <c r="A550" s="51"/>
      <c r="B550" s="51"/>
      <c r="C550" s="51"/>
      <c r="D550" s="51"/>
      <c r="E550" s="51"/>
      <c r="F550" s="51"/>
      <c r="G550" s="54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4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4"/>
      <c r="AI550" s="53"/>
      <c r="AJ550" s="53"/>
      <c r="AK550" s="54"/>
      <c r="AL550" s="54"/>
    </row>
    <row r="551" spans="1:38" ht="15.75" thickBot="1" x14ac:dyDescent="0.3">
      <c r="A551" s="51"/>
      <c r="B551" s="51"/>
      <c r="C551" s="51"/>
      <c r="D551" s="51"/>
      <c r="E551" s="51"/>
      <c r="F551" s="51"/>
      <c r="G551" s="56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6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6"/>
      <c r="AI551" s="55"/>
      <c r="AJ551" s="55"/>
      <c r="AK551" s="56"/>
      <c r="AL551" s="56"/>
    </row>
    <row r="552" spans="1:38" ht="15.75" thickBot="1" x14ac:dyDescent="0.3">
      <c r="A552" s="51"/>
      <c r="B552" s="51"/>
      <c r="C552" s="51"/>
      <c r="D552" s="51"/>
      <c r="E552" s="51"/>
      <c r="F552" s="51"/>
      <c r="G552" s="54"/>
      <c r="H552" s="53"/>
      <c r="I552" s="53"/>
      <c r="J552" s="53"/>
      <c r="K552" s="54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4"/>
      <c r="AI552" s="53"/>
      <c r="AJ552" s="53"/>
      <c r="AK552" s="54"/>
      <c r="AL552" s="54"/>
    </row>
    <row r="553" spans="1:38" ht="15.75" thickBot="1" x14ac:dyDescent="0.3">
      <c r="A553" s="51"/>
      <c r="B553" s="51"/>
      <c r="C553" s="51"/>
      <c r="D553" s="51"/>
      <c r="E553" s="51"/>
      <c r="F553" s="51"/>
      <c r="G553" s="56"/>
      <c r="H553" s="55"/>
      <c r="I553" s="55"/>
      <c r="J553" s="55"/>
      <c r="K553" s="56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6"/>
      <c r="AI553" s="55"/>
      <c r="AJ553" s="55"/>
      <c r="AK553" s="56"/>
      <c r="AL553" s="56"/>
    </row>
    <row r="554" spans="1:38" ht="15.75" thickBot="1" x14ac:dyDescent="0.3">
      <c r="A554" s="51"/>
      <c r="B554" s="51"/>
      <c r="C554" s="51"/>
      <c r="D554" s="51"/>
      <c r="E554" s="51"/>
      <c r="F554" s="51"/>
      <c r="G554" s="54"/>
      <c r="H554" s="54"/>
      <c r="I554" s="53"/>
      <c r="J554" s="53"/>
      <c r="K554" s="53"/>
      <c r="L554" s="53"/>
      <c r="M554" s="54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4"/>
      <c r="AI554" s="53"/>
      <c r="AJ554" s="53"/>
      <c r="AK554" s="54"/>
      <c r="AL554" s="54"/>
    </row>
    <row r="555" spans="1:38" ht="15.75" thickBot="1" x14ac:dyDescent="0.3">
      <c r="A555" s="51"/>
      <c r="B555" s="51"/>
      <c r="C555" s="51"/>
      <c r="D555" s="51"/>
      <c r="E555" s="51"/>
      <c r="F555" s="51"/>
      <c r="G555" s="56"/>
      <c r="H555" s="148"/>
      <c r="I555" s="55"/>
      <c r="J555" s="55"/>
      <c r="K555" s="55"/>
      <c r="L555" s="55"/>
      <c r="M555" s="56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6"/>
      <c r="AI555" s="55"/>
      <c r="AJ555" s="55"/>
      <c r="AK555" s="56"/>
      <c r="AL555" s="56"/>
    </row>
    <row r="556" spans="1:38" ht="15.75" thickBot="1" x14ac:dyDescent="0.3">
      <c r="A556" s="51"/>
      <c r="B556" s="51"/>
      <c r="C556" s="51"/>
      <c r="D556" s="51"/>
      <c r="E556" s="51"/>
      <c r="F556" s="51"/>
      <c r="G556" s="54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4"/>
      <c r="AA556" s="53"/>
      <c r="AB556" s="53"/>
      <c r="AC556" s="53"/>
      <c r="AD556" s="53"/>
      <c r="AE556" s="53"/>
      <c r="AF556" s="53"/>
      <c r="AG556" s="53"/>
      <c r="AH556" s="54"/>
      <c r="AI556" s="53"/>
      <c r="AJ556" s="53"/>
      <c r="AK556" s="54"/>
      <c r="AL556" s="54"/>
    </row>
    <row r="557" spans="1:38" ht="15.75" thickBot="1" x14ac:dyDescent="0.3">
      <c r="A557" s="51"/>
      <c r="B557" s="51"/>
      <c r="C557" s="51"/>
      <c r="D557" s="51"/>
      <c r="E557" s="51"/>
      <c r="F557" s="51"/>
      <c r="G557" s="56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6"/>
      <c r="AA557" s="55"/>
      <c r="AB557" s="55"/>
      <c r="AC557" s="55"/>
      <c r="AD557" s="55"/>
      <c r="AE557" s="55"/>
      <c r="AF557" s="55"/>
      <c r="AG557" s="55"/>
      <c r="AH557" s="56"/>
      <c r="AI557" s="55"/>
      <c r="AJ557" s="55"/>
      <c r="AK557" s="56"/>
      <c r="AL557" s="56"/>
    </row>
    <row r="558" spans="1:38" ht="15.75" thickBot="1" x14ac:dyDescent="0.3">
      <c r="A558" s="51"/>
      <c r="B558" s="51"/>
      <c r="C558" s="51"/>
      <c r="D558" s="51"/>
      <c r="E558" s="51"/>
      <c r="F558" s="51"/>
      <c r="G558" s="54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4"/>
      <c r="AB558" s="53"/>
      <c r="AC558" s="53"/>
      <c r="AD558" s="53"/>
      <c r="AE558" s="53"/>
      <c r="AF558" s="53"/>
      <c r="AG558" s="53"/>
      <c r="AH558" s="54"/>
      <c r="AI558" s="53"/>
      <c r="AJ558" s="53"/>
      <c r="AK558" s="54"/>
      <c r="AL558" s="54"/>
    </row>
    <row r="559" spans="1:38" ht="15.75" thickBot="1" x14ac:dyDescent="0.3">
      <c r="A559" s="51"/>
      <c r="B559" s="51"/>
      <c r="C559" s="51"/>
      <c r="D559" s="51"/>
      <c r="E559" s="51"/>
      <c r="F559" s="51"/>
      <c r="G559" s="56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6"/>
      <c r="AB559" s="55"/>
      <c r="AC559" s="55"/>
      <c r="AD559" s="55"/>
      <c r="AE559" s="55"/>
      <c r="AF559" s="55"/>
      <c r="AG559" s="55"/>
      <c r="AH559" s="56"/>
      <c r="AI559" s="55"/>
      <c r="AJ559" s="55"/>
      <c r="AK559" s="56"/>
      <c r="AL559" s="56"/>
    </row>
    <row r="560" spans="1:38" ht="15.75" thickBot="1" x14ac:dyDescent="0.3">
      <c r="A560" s="51"/>
      <c r="B560" s="51"/>
      <c r="C560" s="51"/>
      <c r="D560" s="51"/>
      <c r="E560" s="51"/>
      <c r="F560" s="51"/>
      <c r="G560" s="54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4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4"/>
      <c r="AI560" s="53"/>
      <c r="AJ560" s="53"/>
      <c r="AK560" s="54"/>
      <c r="AL560" s="54"/>
    </row>
    <row r="561" spans="1:38" ht="15.75" thickBot="1" x14ac:dyDescent="0.3">
      <c r="A561" s="51"/>
      <c r="B561" s="51"/>
      <c r="C561" s="51"/>
      <c r="D561" s="51"/>
      <c r="E561" s="51"/>
      <c r="F561" s="51"/>
      <c r="G561" s="56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6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6"/>
      <c r="AI561" s="55"/>
      <c r="AJ561" s="55"/>
      <c r="AK561" s="56"/>
      <c r="AL561" s="56"/>
    </row>
    <row r="562" spans="1:38" ht="15.75" thickBot="1" x14ac:dyDescent="0.3">
      <c r="A562" s="51"/>
      <c r="B562" s="51"/>
      <c r="C562" s="51"/>
      <c r="D562" s="51"/>
      <c r="E562" s="51"/>
      <c r="F562" s="51"/>
      <c r="G562" s="54"/>
      <c r="H562" s="53"/>
      <c r="I562" s="53"/>
      <c r="J562" s="53"/>
      <c r="K562" s="54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4"/>
      <c r="AI562" s="53"/>
      <c r="AJ562" s="53"/>
      <c r="AK562" s="54"/>
      <c r="AL562" s="54"/>
    </row>
    <row r="563" spans="1:38" ht="15.75" thickBot="1" x14ac:dyDescent="0.3">
      <c r="A563" s="51"/>
      <c r="B563" s="51"/>
      <c r="C563" s="51"/>
      <c r="D563" s="51"/>
      <c r="E563" s="51"/>
      <c r="F563" s="51"/>
      <c r="G563" s="56"/>
      <c r="H563" s="55"/>
      <c r="I563" s="55"/>
      <c r="J563" s="55"/>
      <c r="K563" s="56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6"/>
      <c r="AI563" s="55"/>
      <c r="AJ563" s="55"/>
      <c r="AK563" s="56"/>
      <c r="AL563" s="56"/>
    </row>
    <row r="564" spans="1:38" ht="15.75" thickBot="1" x14ac:dyDescent="0.3">
      <c r="A564" s="51"/>
      <c r="B564" s="51"/>
      <c r="C564" s="51"/>
      <c r="D564" s="51"/>
      <c r="E564" s="51"/>
      <c r="F564" s="51"/>
      <c r="G564" s="54"/>
      <c r="H564" s="54"/>
      <c r="I564" s="53"/>
      <c r="J564" s="53"/>
      <c r="K564" s="53"/>
      <c r="L564" s="53"/>
      <c r="M564" s="54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4"/>
      <c r="AI564" s="53"/>
      <c r="AJ564" s="53"/>
      <c r="AK564" s="54"/>
      <c r="AL564" s="54"/>
    </row>
    <row r="565" spans="1:38" ht="15.75" thickBot="1" x14ac:dyDescent="0.3">
      <c r="A565" s="51"/>
      <c r="B565" s="51"/>
      <c r="C565" s="51"/>
      <c r="D565" s="51"/>
      <c r="E565" s="51"/>
      <c r="F565" s="51"/>
      <c r="G565" s="56"/>
      <c r="H565" s="148"/>
      <c r="I565" s="55"/>
      <c r="J565" s="55"/>
      <c r="K565" s="55"/>
      <c r="L565" s="55"/>
      <c r="M565" s="56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6"/>
      <c r="AI565" s="55"/>
      <c r="AJ565" s="55"/>
      <c r="AK565" s="56"/>
      <c r="AL565" s="56"/>
    </row>
    <row r="566" spans="1:38" ht="15.75" thickBot="1" x14ac:dyDescent="0.3">
      <c r="A566" s="51"/>
      <c r="B566" s="51"/>
      <c r="C566" s="51"/>
      <c r="D566" s="51"/>
      <c r="E566" s="51"/>
      <c r="F566" s="51"/>
      <c r="G566" s="54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4"/>
      <c r="AA566" s="53"/>
      <c r="AB566" s="53"/>
      <c r="AC566" s="53"/>
      <c r="AD566" s="53"/>
      <c r="AE566" s="53"/>
      <c r="AF566" s="53"/>
      <c r="AG566" s="53"/>
      <c r="AH566" s="54"/>
      <c r="AI566" s="53"/>
      <c r="AJ566" s="53"/>
      <c r="AK566" s="54"/>
      <c r="AL566" s="54"/>
    </row>
    <row r="567" spans="1:38" ht="15.75" thickBot="1" x14ac:dyDescent="0.3">
      <c r="A567" s="51"/>
      <c r="B567" s="51"/>
      <c r="C567" s="51"/>
      <c r="D567" s="51"/>
      <c r="E567" s="51"/>
      <c r="F567" s="51"/>
      <c r="G567" s="56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6"/>
      <c r="AA567" s="55"/>
      <c r="AB567" s="55"/>
      <c r="AC567" s="55"/>
      <c r="AD567" s="55"/>
      <c r="AE567" s="55"/>
      <c r="AF567" s="55"/>
      <c r="AG567" s="55"/>
      <c r="AH567" s="56"/>
      <c r="AI567" s="55"/>
      <c r="AJ567" s="55"/>
      <c r="AK567" s="56"/>
      <c r="AL567" s="56"/>
    </row>
    <row r="568" spans="1:38" ht="15.75" thickBot="1" x14ac:dyDescent="0.3">
      <c r="A568" s="51"/>
      <c r="B568" s="51"/>
      <c r="C568" s="51"/>
      <c r="D568" s="51"/>
      <c r="E568" s="51"/>
      <c r="F568" s="51"/>
      <c r="G568" s="54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4"/>
      <c r="AB568" s="53"/>
      <c r="AC568" s="53"/>
      <c r="AD568" s="53"/>
      <c r="AE568" s="53"/>
      <c r="AF568" s="53"/>
      <c r="AG568" s="53"/>
      <c r="AH568" s="54"/>
      <c r="AI568" s="53"/>
      <c r="AJ568" s="53"/>
      <c r="AK568" s="54"/>
      <c r="AL568" s="54"/>
    </row>
    <row r="569" spans="1:38" ht="15.75" thickBot="1" x14ac:dyDescent="0.3">
      <c r="A569" s="51"/>
      <c r="B569" s="51"/>
      <c r="C569" s="51"/>
      <c r="D569" s="51"/>
      <c r="E569" s="51"/>
      <c r="F569" s="51"/>
      <c r="G569" s="56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6"/>
      <c r="AB569" s="55"/>
      <c r="AC569" s="55"/>
      <c r="AD569" s="55"/>
      <c r="AE569" s="55"/>
      <c r="AF569" s="55"/>
      <c r="AG569" s="55"/>
      <c r="AH569" s="56"/>
      <c r="AI569" s="55"/>
      <c r="AJ569" s="55"/>
      <c r="AK569" s="56"/>
      <c r="AL569" s="56"/>
    </row>
    <row r="570" spans="1:38" ht="15.75" thickBot="1" x14ac:dyDescent="0.3">
      <c r="A570" s="51"/>
      <c r="B570" s="51"/>
      <c r="C570" s="51"/>
      <c r="D570" s="51"/>
      <c r="E570" s="51"/>
      <c r="F570" s="51"/>
      <c r="G570" s="54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4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4"/>
      <c r="AI570" s="53"/>
      <c r="AJ570" s="53"/>
      <c r="AK570" s="54"/>
      <c r="AL570" s="54"/>
    </row>
    <row r="571" spans="1:38" ht="15.75" thickBot="1" x14ac:dyDescent="0.3">
      <c r="A571" s="51"/>
      <c r="B571" s="51"/>
      <c r="C571" s="51"/>
      <c r="D571" s="51"/>
      <c r="E571" s="51"/>
      <c r="F571" s="51"/>
      <c r="G571" s="56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6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6"/>
      <c r="AI571" s="55"/>
      <c r="AJ571" s="55"/>
      <c r="AK571" s="56"/>
      <c r="AL571" s="56"/>
    </row>
    <row r="572" spans="1:38" ht="15.75" thickBot="1" x14ac:dyDescent="0.3">
      <c r="A572" s="51"/>
      <c r="B572" s="51"/>
      <c r="C572" s="51"/>
      <c r="D572" s="51"/>
      <c r="E572" s="51"/>
      <c r="F572" s="51"/>
      <c r="G572" s="54"/>
      <c r="H572" s="53"/>
      <c r="I572" s="53"/>
      <c r="J572" s="53"/>
      <c r="K572" s="54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4"/>
      <c r="AI572" s="53"/>
      <c r="AJ572" s="53"/>
      <c r="AK572" s="54"/>
      <c r="AL572" s="54"/>
    </row>
    <row r="573" spans="1:38" ht="15.75" thickBot="1" x14ac:dyDescent="0.3">
      <c r="A573" s="51"/>
      <c r="B573" s="51"/>
      <c r="C573" s="51"/>
      <c r="D573" s="51"/>
      <c r="E573" s="51"/>
      <c r="F573" s="51"/>
      <c r="G573" s="56"/>
      <c r="H573" s="55"/>
      <c r="I573" s="55"/>
      <c r="J573" s="55"/>
      <c r="K573" s="56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6"/>
      <c r="AI573" s="55"/>
      <c r="AJ573" s="55"/>
      <c r="AK573" s="56"/>
      <c r="AL573" s="56"/>
    </row>
    <row r="574" spans="1:38" ht="15.75" thickBot="1" x14ac:dyDescent="0.3">
      <c r="A574" s="51"/>
      <c r="B574" s="51"/>
      <c r="C574" s="51"/>
      <c r="D574" s="51"/>
      <c r="E574" s="51"/>
      <c r="F574" s="51"/>
      <c r="G574" s="54"/>
      <c r="H574" s="54"/>
      <c r="I574" s="53"/>
      <c r="J574" s="53"/>
      <c r="K574" s="53"/>
      <c r="L574" s="53"/>
      <c r="M574" s="54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4"/>
      <c r="AI574" s="53"/>
      <c r="AJ574" s="53"/>
      <c r="AK574" s="54"/>
      <c r="AL574" s="54"/>
    </row>
    <row r="575" spans="1:38" ht="15.75" thickBot="1" x14ac:dyDescent="0.3">
      <c r="A575" s="51"/>
      <c r="B575" s="51"/>
      <c r="C575" s="51"/>
      <c r="D575" s="51"/>
      <c r="E575" s="51"/>
      <c r="F575" s="51"/>
      <c r="G575" s="56"/>
      <c r="H575" s="148"/>
      <c r="I575" s="55"/>
      <c r="J575" s="55"/>
      <c r="K575" s="55"/>
      <c r="L575" s="55"/>
      <c r="M575" s="56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6"/>
      <c r="AI575" s="55"/>
      <c r="AJ575" s="55"/>
      <c r="AK575" s="56"/>
      <c r="AL575" s="56"/>
    </row>
    <row r="576" spans="1:38" ht="15.75" thickBot="1" x14ac:dyDescent="0.3">
      <c r="A576" s="51"/>
      <c r="B576" s="51"/>
      <c r="C576" s="51"/>
      <c r="D576" s="51"/>
      <c r="E576" s="51"/>
      <c r="F576" s="51"/>
      <c r="G576" s="54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4"/>
      <c r="AA576" s="53"/>
      <c r="AB576" s="53"/>
      <c r="AC576" s="53"/>
      <c r="AD576" s="53"/>
      <c r="AE576" s="53"/>
      <c r="AF576" s="53"/>
      <c r="AG576" s="53"/>
      <c r="AH576" s="54"/>
      <c r="AI576" s="53"/>
      <c r="AJ576" s="53"/>
      <c r="AK576" s="54"/>
      <c r="AL576" s="54"/>
    </row>
    <row r="577" spans="1:38" ht="15.75" thickBot="1" x14ac:dyDescent="0.3">
      <c r="A577" s="51"/>
      <c r="B577" s="51"/>
      <c r="C577" s="51"/>
      <c r="D577" s="51"/>
      <c r="E577" s="51"/>
      <c r="F577" s="51"/>
      <c r="G577" s="56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6"/>
      <c r="AA577" s="55"/>
      <c r="AB577" s="55"/>
      <c r="AC577" s="55"/>
      <c r="AD577" s="55"/>
      <c r="AE577" s="55"/>
      <c r="AF577" s="55"/>
      <c r="AG577" s="55"/>
      <c r="AH577" s="56"/>
      <c r="AI577" s="55"/>
      <c r="AJ577" s="55"/>
      <c r="AK577" s="56"/>
      <c r="AL577" s="56"/>
    </row>
    <row r="578" spans="1:38" ht="15.75" thickBot="1" x14ac:dyDescent="0.3">
      <c r="A578" s="51"/>
      <c r="B578" s="51"/>
      <c r="C578" s="51"/>
      <c r="D578" s="51"/>
      <c r="E578" s="51"/>
      <c r="F578" s="51"/>
      <c r="G578" s="54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4"/>
      <c r="AB578" s="53"/>
      <c r="AC578" s="53"/>
      <c r="AD578" s="53"/>
      <c r="AE578" s="53"/>
      <c r="AF578" s="53"/>
      <c r="AG578" s="53"/>
      <c r="AH578" s="54"/>
      <c r="AI578" s="53"/>
      <c r="AJ578" s="53"/>
      <c r="AK578" s="54"/>
      <c r="AL578" s="54"/>
    </row>
    <row r="579" spans="1:38" ht="15.75" thickBot="1" x14ac:dyDescent="0.3">
      <c r="A579" s="51"/>
      <c r="B579" s="51"/>
      <c r="C579" s="51"/>
      <c r="D579" s="51"/>
      <c r="E579" s="51"/>
      <c r="F579" s="51"/>
      <c r="G579" s="56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6"/>
      <c r="AB579" s="55"/>
      <c r="AC579" s="55"/>
      <c r="AD579" s="55"/>
      <c r="AE579" s="55"/>
      <c r="AF579" s="55"/>
      <c r="AG579" s="55"/>
      <c r="AH579" s="56"/>
      <c r="AI579" s="55"/>
      <c r="AJ579" s="55"/>
      <c r="AK579" s="56"/>
      <c r="AL579" s="56"/>
    </row>
    <row r="580" spans="1:38" ht="15.75" thickBot="1" x14ac:dyDescent="0.3">
      <c r="A580" s="51"/>
      <c r="B580" s="51"/>
      <c r="C580" s="51"/>
      <c r="D580" s="51"/>
      <c r="E580" s="51"/>
      <c r="F580" s="51"/>
      <c r="G580" s="54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4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4"/>
      <c r="AI580" s="53"/>
      <c r="AJ580" s="53"/>
      <c r="AK580" s="54"/>
      <c r="AL580" s="54"/>
    </row>
    <row r="581" spans="1:38" ht="15.75" thickBot="1" x14ac:dyDescent="0.3">
      <c r="A581" s="51"/>
      <c r="B581" s="51"/>
      <c r="C581" s="51"/>
      <c r="D581" s="51"/>
      <c r="E581" s="51"/>
      <c r="F581" s="51"/>
      <c r="G581" s="56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6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6"/>
      <c r="AI581" s="55"/>
      <c r="AJ581" s="55"/>
      <c r="AK581" s="56"/>
      <c r="AL581" s="56"/>
    </row>
    <row r="582" spans="1:38" ht="15.75" thickBot="1" x14ac:dyDescent="0.3">
      <c r="A582" s="51"/>
      <c r="B582" s="51"/>
      <c r="C582" s="51"/>
      <c r="D582" s="51"/>
      <c r="E582" s="51"/>
      <c r="F582" s="51"/>
      <c r="G582" s="54"/>
      <c r="H582" s="53"/>
      <c r="I582" s="53"/>
      <c r="J582" s="53"/>
      <c r="K582" s="54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4"/>
      <c r="AI582" s="53"/>
      <c r="AJ582" s="53"/>
      <c r="AK582" s="54"/>
      <c r="AL582" s="54"/>
    </row>
    <row r="583" spans="1:38" ht="15.75" thickBot="1" x14ac:dyDescent="0.3">
      <c r="A583" s="51"/>
      <c r="B583" s="51"/>
      <c r="C583" s="51"/>
      <c r="D583" s="51"/>
      <c r="E583" s="51"/>
      <c r="F583" s="51"/>
      <c r="G583" s="56"/>
      <c r="H583" s="55"/>
      <c r="I583" s="55"/>
      <c r="J583" s="55"/>
      <c r="K583" s="56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6"/>
      <c r="AI583" s="55"/>
      <c r="AJ583" s="55"/>
      <c r="AK583" s="56"/>
      <c r="AL583" s="56"/>
    </row>
    <row r="584" spans="1:38" ht="15.75" thickBot="1" x14ac:dyDescent="0.3">
      <c r="A584" s="51"/>
      <c r="B584" s="51"/>
      <c r="C584" s="51"/>
      <c r="D584" s="51"/>
      <c r="E584" s="51"/>
      <c r="F584" s="51"/>
      <c r="G584" s="54"/>
      <c r="H584" s="54"/>
      <c r="I584" s="53"/>
      <c r="J584" s="53"/>
      <c r="K584" s="53"/>
      <c r="L584" s="53"/>
      <c r="M584" s="54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4"/>
      <c r="AI584" s="53"/>
      <c r="AJ584" s="53"/>
      <c r="AK584" s="54"/>
      <c r="AL584" s="54"/>
    </row>
    <row r="585" spans="1:38" ht="15.75" thickBot="1" x14ac:dyDescent="0.3">
      <c r="A585" s="51"/>
      <c r="B585" s="51"/>
      <c r="C585" s="51"/>
      <c r="D585" s="51"/>
      <c r="E585" s="51"/>
      <c r="F585" s="51"/>
      <c r="G585" s="56"/>
      <c r="H585" s="148"/>
      <c r="I585" s="55"/>
      <c r="J585" s="55"/>
      <c r="K585" s="55"/>
      <c r="L585" s="55"/>
      <c r="M585" s="56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6"/>
      <c r="AI585" s="55"/>
      <c r="AJ585" s="55"/>
      <c r="AK585" s="56"/>
      <c r="AL585" s="56"/>
    </row>
    <row r="586" spans="1:38" ht="15.75" thickBot="1" x14ac:dyDescent="0.3">
      <c r="A586" s="51"/>
      <c r="B586" s="51"/>
      <c r="C586" s="51"/>
      <c r="D586" s="51"/>
      <c r="E586" s="51"/>
      <c r="F586" s="51"/>
      <c r="G586" s="54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4"/>
      <c r="AA586" s="53"/>
      <c r="AB586" s="53"/>
      <c r="AC586" s="53"/>
      <c r="AD586" s="53"/>
      <c r="AE586" s="53"/>
      <c r="AF586" s="53"/>
      <c r="AG586" s="53"/>
      <c r="AH586" s="54"/>
      <c r="AI586" s="53"/>
      <c r="AJ586" s="53"/>
      <c r="AK586" s="54"/>
      <c r="AL586" s="54"/>
    </row>
    <row r="587" spans="1:38" ht="15.75" thickBot="1" x14ac:dyDescent="0.3">
      <c r="A587" s="51"/>
      <c r="B587" s="51"/>
      <c r="C587" s="51"/>
      <c r="D587" s="51"/>
      <c r="E587" s="51"/>
      <c r="F587" s="51"/>
      <c r="G587" s="56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6"/>
      <c r="AA587" s="55"/>
      <c r="AB587" s="55"/>
      <c r="AC587" s="55"/>
      <c r="AD587" s="55"/>
      <c r="AE587" s="55"/>
      <c r="AF587" s="55"/>
      <c r="AG587" s="55"/>
      <c r="AH587" s="56"/>
      <c r="AI587" s="55"/>
      <c r="AJ587" s="55"/>
      <c r="AK587" s="56"/>
      <c r="AL587" s="56"/>
    </row>
    <row r="588" spans="1:38" ht="15.75" thickBot="1" x14ac:dyDescent="0.3">
      <c r="A588" s="51"/>
      <c r="B588" s="51"/>
      <c r="C588" s="51"/>
      <c r="D588" s="51"/>
      <c r="E588" s="51"/>
      <c r="F588" s="51"/>
      <c r="G588" s="54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4"/>
      <c r="AB588" s="53"/>
      <c r="AC588" s="53"/>
      <c r="AD588" s="53"/>
      <c r="AE588" s="53"/>
      <c r="AF588" s="53"/>
      <c r="AG588" s="53"/>
      <c r="AH588" s="54"/>
      <c r="AI588" s="53"/>
      <c r="AJ588" s="53"/>
      <c r="AK588" s="54"/>
      <c r="AL588" s="54"/>
    </row>
    <row r="589" spans="1:38" ht="15.75" thickBot="1" x14ac:dyDescent="0.3">
      <c r="A589" s="51"/>
      <c r="B589" s="51"/>
      <c r="C589" s="51"/>
      <c r="D589" s="51"/>
      <c r="E589" s="51"/>
      <c r="F589" s="51"/>
      <c r="G589" s="56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6"/>
      <c r="AB589" s="55"/>
      <c r="AC589" s="55"/>
      <c r="AD589" s="55"/>
      <c r="AE589" s="55"/>
      <c r="AF589" s="55"/>
      <c r="AG589" s="55"/>
      <c r="AH589" s="56"/>
      <c r="AI589" s="55"/>
      <c r="AJ589" s="55"/>
      <c r="AK589" s="56"/>
      <c r="AL589" s="56"/>
    </row>
    <row r="590" spans="1:38" ht="15.75" thickBot="1" x14ac:dyDescent="0.3">
      <c r="A590" s="51"/>
      <c r="B590" s="51"/>
      <c r="C590" s="51"/>
      <c r="D590" s="51"/>
      <c r="E590" s="51"/>
      <c r="F590" s="51"/>
      <c r="G590" s="54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4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4"/>
      <c r="AI590" s="53"/>
      <c r="AJ590" s="53"/>
      <c r="AK590" s="54"/>
      <c r="AL590" s="54"/>
    </row>
    <row r="591" spans="1:38" ht="15.75" thickBot="1" x14ac:dyDescent="0.3">
      <c r="A591" s="51"/>
      <c r="B591" s="51"/>
      <c r="C591" s="51"/>
      <c r="D591" s="51"/>
      <c r="E591" s="51"/>
      <c r="F591" s="51"/>
      <c r="G591" s="56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6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6"/>
      <c r="AI591" s="55"/>
      <c r="AJ591" s="55"/>
      <c r="AK591" s="56"/>
      <c r="AL591" s="56"/>
    </row>
    <row r="592" spans="1:38" ht="15.75" thickBot="1" x14ac:dyDescent="0.3">
      <c r="A592" s="51"/>
      <c r="B592" s="51"/>
      <c r="C592" s="51"/>
      <c r="D592" s="51"/>
      <c r="E592" s="51"/>
      <c r="F592" s="51"/>
      <c r="G592" s="54"/>
      <c r="H592" s="53"/>
      <c r="I592" s="53"/>
      <c r="J592" s="53"/>
      <c r="K592" s="54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4"/>
      <c r="AI592" s="53"/>
      <c r="AJ592" s="53"/>
      <c r="AK592" s="54"/>
      <c r="AL592" s="54"/>
    </row>
    <row r="593" spans="1:38" ht="15.75" thickBot="1" x14ac:dyDescent="0.3">
      <c r="A593" s="51"/>
      <c r="B593" s="51"/>
      <c r="C593" s="51"/>
      <c r="D593" s="51"/>
      <c r="E593" s="51"/>
      <c r="F593" s="51"/>
      <c r="G593" s="56"/>
      <c r="H593" s="55"/>
      <c r="I593" s="55"/>
      <c r="J593" s="55"/>
      <c r="K593" s="56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6"/>
      <c r="AI593" s="55"/>
      <c r="AJ593" s="55"/>
      <c r="AK593" s="56"/>
      <c r="AL593" s="56"/>
    </row>
    <row r="594" spans="1:38" ht="15.75" thickBot="1" x14ac:dyDescent="0.3">
      <c r="A594" s="51"/>
      <c r="B594" s="51"/>
      <c r="C594" s="51"/>
      <c r="D594" s="51"/>
      <c r="E594" s="51"/>
      <c r="F594" s="51"/>
      <c r="G594" s="54"/>
      <c r="H594" s="54"/>
      <c r="I594" s="53"/>
      <c r="J594" s="53"/>
      <c r="K594" s="53"/>
      <c r="L594" s="53"/>
      <c r="M594" s="54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4"/>
      <c r="AI594" s="53"/>
      <c r="AJ594" s="53"/>
      <c r="AK594" s="54"/>
      <c r="AL594" s="54"/>
    </row>
    <row r="595" spans="1:38" ht="15.75" thickBot="1" x14ac:dyDescent="0.3">
      <c r="A595" s="51"/>
      <c r="B595" s="51"/>
      <c r="C595" s="51"/>
      <c r="D595" s="51"/>
      <c r="E595" s="51"/>
      <c r="F595" s="51"/>
      <c r="G595" s="56"/>
      <c r="H595" s="148"/>
      <c r="I595" s="55"/>
      <c r="J595" s="55"/>
      <c r="K595" s="55"/>
      <c r="L595" s="55"/>
      <c r="M595" s="56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6"/>
      <c r="AI595" s="55"/>
      <c r="AJ595" s="55"/>
      <c r="AK595" s="56"/>
      <c r="AL595" s="56"/>
    </row>
    <row r="596" spans="1:38" ht="15.75" thickBot="1" x14ac:dyDescent="0.3">
      <c r="A596" s="51"/>
      <c r="B596" s="51"/>
      <c r="C596" s="51"/>
      <c r="D596" s="51"/>
      <c r="E596" s="51"/>
      <c r="F596" s="51"/>
      <c r="G596" s="54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4"/>
      <c r="AA596" s="53"/>
      <c r="AB596" s="53"/>
      <c r="AC596" s="53"/>
      <c r="AD596" s="53"/>
      <c r="AE596" s="53"/>
      <c r="AF596" s="53"/>
      <c r="AG596" s="53"/>
      <c r="AH596" s="54"/>
      <c r="AI596" s="53"/>
      <c r="AJ596" s="53"/>
      <c r="AK596" s="54"/>
      <c r="AL596" s="54"/>
    </row>
    <row r="597" spans="1:38" ht="15.75" thickBot="1" x14ac:dyDescent="0.3">
      <c r="A597" s="51"/>
      <c r="B597" s="51"/>
      <c r="C597" s="51"/>
      <c r="D597" s="51"/>
      <c r="E597" s="51"/>
      <c r="F597" s="51"/>
      <c r="G597" s="56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6"/>
      <c r="AA597" s="55"/>
      <c r="AB597" s="55"/>
      <c r="AC597" s="55"/>
      <c r="AD597" s="55"/>
      <c r="AE597" s="55"/>
      <c r="AF597" s="55"/>
      <c r="AG597" s="55"/>
      <c r="AH597" s="56"/>
      <c r="AI597" s="55"/>
      <c r="AJ597" s="55"/>
      <c r="AK597" s="56"/>
      <c r="AL597" s="56"/>
    </row>
    <row r="598" spans="1:38" ht="15.75" thickBot="1" x14ac:dyDescent="0.3">
      <c r="A598" s="51"/>
      <c r="B598" s="51"/>
      <c r="C598" s="51"/>
      <c r="D598" s="51"/>
      <c r="E598" s="51"/>
      <c r="F598" s="51"/>
      <c r="G598" s="54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4"/>
      <c r="AB598" s="53"/>
      <c r="AC598" s="53"/>
      <c r="AD598" s="53"/>
      <c r="AE598" s="53"/>
      <c r="AF598" s="53"/>
      <c r="AG598" s="53"/>
      <c r="AH598" s="54"/>
      <c r="AI598" s="53"/>
      <c r="AJ598" s="53"/>
      <c r="AK598" s="54"/>
      <c r="AL598" s="54"/>
    </row>
    <row r="599" spans="1:38" ht="15.75" thickBot="1" x14ac:dyDescent="0.3">
      <c r="A599" s="51"/>
      <c r="B599" s="51"/>
      <c r="C599" s="51"/>
      <c r="D599" s="51"/>
      <c r="E599" s="51"/>
      <c r="F599" s="51"/>
      <c r="G599" s="56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6"/>
      <c r="AB599" s="55"/>
      <c r="AC599" s="55"/>
      <c r="AD599" s="55"/>
      <c r="AE599" s="55"/>
      <c r="AF599" s="55"/>
      <c r="AG599" s="55"/>
      <c r="AH599" s="56"/>
      <c r="AI599" s="55"/>
      <c r="AJ599" s="55"/>
      <c r="AK599" s="56"/>
      <c r="AL599" s="56"/>
    </row>
    <row r="600" spans="1:38" ht="15.75" thickBot="1" x14ac:dyDescent="0.3">
      <c r="A600" s="51"/>
      <c r="B600" s="51"/>
      <c r="C600" s="51"/>
      <c r="D600" s="51"/>
      <c r="E600" s="51"/>
      <c r="F600" s="51"/>
      <c r="G600" s="54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4"/>
      <c r="Z600" s="53"/>
      <c r="AA600" s="53"/>
      <c r="AB600" s="53"/>
      <c r="AC600" s="53"/>
      <c r="AD600" s="53"/>
      <c r="AE600" s="53"/>
      <c r="AF600" s="53"/>
      <c r="AG600" s="53"/>
      <c r="AH600" s="54"/>
      <c r="AI600" s="53"/>
      <c r="AJ600" s="53"/>
      <c r="AK600" s="54"/>
      <c r="AL600" s="54"/>
    </row>
    <row r="601" spans="1:38" ht="15.75" thickBot="1" x14ac:dyDescent="0.3">
      <c r="A601" s="51"/>
      <c r="B601" s="51"/>
      <c r="C601" s="51"/>
      <c r="D601" s="51"/>
      <c r="E601" s="51"/>
      <c r="F601" s="51"/>
      <c r="G601" s="56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6"/>
      <c r="Z601" s="55"/>
      <c r="AA601" s="55"/>
      <c r="AB601" s="55"/>
      <c r="AC601" s="55"/>
      <c r="AD601" s="55"/>
      <c r="AE601" s="55"/>
      <c r="AF601" s="55"/>
      <c r="AG601" s="55"/>
      <c r="AH601" s="56"/>
      <c r="AI601" s="55"/>
      <c r="AJ601" s="55"/>
      <c r="AK601" s="56"/>
      <c r="AL601" s="56"/>
    </row>
    <row r="602" spans="1:38" ht="15.75" thickBot="1" x14ac:dyDescent="0.3">
      <c r="A602" s="51"/>
      <c r="B602" s="51"/>
      <c r="C602" s="51"/>
      <c r="D602" s="51"/>
      <c r="E602" s="51"/>
      <c r="F602" s="51"/>
      <c r="G602" s="54"/>
      <c r="H602" s="53"/>
      <c r="I602" s="53"/>
      <c r="J602" s="53"/>
      <c r="K602" s="54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4"/>
      <c r="AI602" s="53"/>
      <c r="AJ602" s="53"/>
      <c r="AK602" s="54"/>
      <c r="AL602" s="54"/>
    </row>
    <row r="603" spans="1:38" ht="15.75" thickBot="1" x14ac:dyDescent="0.3">
      <c r="A603" s="51"/>
      <c r="B603" s="51"/>
      <c r="C603" s="51"/>
      <c r="D603" s="51"/>
      <c r="E603" s="51"/>
      <c r="F603" s="51"/>
      <c r="G603" s="56"/>
      <c r="H603" s="55"/>
      <c r="I603" s="55"/>
      <c r="J603" s="55"/>
      <c r="K603" s="56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6"/>
      <c r="AI603" s="55"/>
      <c r="AJ603" s="55"/>
      <c r="AK603" s="56"/>
      <c r="AL603" s="56"/>
    </row>
    <row r="604" spans="1:38" ht="15.75" thickBot="1" x14ac:dyDescent="0.3">
      <c r="A604" s="51"/>
      <c r="B604" s="51"/>
      <c r="C604" s="51"/>
      <c r="D604" s="51"/>
      <c r="E604" s="51"/>
      <c r="F604" s="51"/>
      <c r="G604" s="54"/>
      <c r="H604" s="53"/>
      <c r="I604" s="53"/>
      <c r="J604" s="53"/>
      <c r="K604" s="54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4"/>
      <c r="AI604" s="53"/>
      <c r="AJ604" s="53"/>
      <c r="AK604" s="54"/>
      <c r="AL604" s="54"/>
    </row>
    <row r="605" spans="1:38" ht="15.75" thickBot="1" x14ac:dyDescent="0.3">
      <c r="A605" s="51"/>
      <c r="B605" s="51"/>
      <c r="C605" s="51"/>
      <c r="D605" s="51"/>
      <c r="E605" s="51"/>
      <c r="F605" s="51"/>
      <c r="G605" s="56"/>
      <c r="H605" s="55"/>
      <c r="I605" s="55"/>
      <c r="J605" s="55"/>
      <c r="K605" s="56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6"/>
      <c r="AI605" s="55"/>
      <c r="AJ605" s="55"/>
      <c r="AK605" s="56"/>
      <c r="AL605" s="56"/>
    </row>
    <row r="606" spans="1:38" ht="15.75" thickBot="1" x14ac:dyDescent="0.3">
      <c r="A606" s="51"/>
      <c r="B606" s="51"/>
      <c r="C606" s="51"/>
      <c r="D606" s="51"/>
      <c r="E606" s="51"/>
      <c r="F606" s="51"/>
      <c r="G606" s="54"/>
      <c r="H606" s="54"/>
      <c r="I606" s="53"/>
      <c r="J606" s="53"/>
      <c r="K606" s="53"/>
      <c r="L606" s="53"/>
      <c r="M606" s="54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4"/>
      <c r="AI606" s="53"/>
      <c r="AJ606" s="53"/>
      <c r="AK606" s="54"/>
      <c r="AL606" s="54"/>
    </row>
    <row r="607" spans="1:38" ht="15.75" thickBot="1" x14ac:dyDescent="0.3">
      <c r="A607" s="51"/>
      <c r="B607" s="51"/>
      <c r="C607" s="51"/>
      <c r="D607" s="51"/>
      <c r="E607" s="51"/>
      <c r="F607" s="51"/>
      <c r="G607" s="56"/>
      <c r="H607" s="148"/>
      <c r="I607" s="55"/>
      <c r="J607" s="55"/>
      <c r="K607" s="55"/>
      <c r="L607" s="55"/>
      <c r="M607" s="56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6"/>
      <c r="AI607" s="55"/>
      <c r="AJ607" s="55"/>
      <c r="AK607" s="56"/>
      <c r="AL607" s="56"/>
    </row>
    <row r="608" spans="1:38" ht="15.75" thickBot="1" x14ac:dyDescent="0.3">
      <c r="A608" s="51"/>
      <c r="B608" s="51"/>
      <c r="C608" s="51"/>
      <c r="D608" s="51"/>
      <c r="E608" s="51"/>
      <c r="F608" s="51"/>
      <c r="G608" s="54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4"/>
      <c r="AA608" s="53"/>
      <c r="AB608" s="53"/>
      <c r="AC608" s="53"/>
      <c r="AD608" s="53"/>
      <c r="AE608" s="53"/>
      <c r="AF608" s="53"/>
      <c r="AG608" s="53"/>
      <c r="AH608" s="54"/>
      <c r="AI608" s="53"/>
      <c r="AJ608" s="53"/>
      <c r="AK608" s="54"/>
      <c r="AL608" s="54"/>
    </row>
    <row r="609" spans="1:38" ht="15.75" thickBot="1" x14ac:dyDescent="0.3">
      <c r="A609" s="51"/>
      <c r="B609" s="51"/>
      <c r="C609" s="51"/>
      <c r="D609" s="51"/>
      <c r="E609" s="51"/>
      <c r="F609" s="51"/>
      <c r="G609" s="56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6"/>
      <c r="AA609" s="55"/>
      <c r="AB609" s="55"/>
      <c r="AC609" s="55"/>
      <c r="AD609" s="55"/>
      <c r="AE609" s="55"/>
      <c r="AF609" s="55"/>
      <c r="AG609" s="55"/>
      <c r="AH609" s="56"/>
      <c r="AI609" s="55"/>
      <c r="AJ609" s="55"/>
      <c r="AK609" s="56"/>
      <c r="AL609" s="56"/>
    </row>
    <row r="610" spans="1:38" ht="15.75" thickBot="1" x14ac:dyDescent="0.3">
      <c r="A610" s="51"/>
      <c r="B610" s="51"/>
      <c r="C610" s="51"/>
      <c r="D610" s="51"/>
      <c r="E610" s="51"/>
      <c r="F610" s="51"/>
      <c r="G610" s="54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4"/>
      <c r="AB610" s="53"/>
      <c r="AC610" s="53"/>
      <c r="AD610" s="53"/>
      <c r="AE610" s="53"/>
      <c r="AF610" s="53"/>
      <c r="AG610" s="53"/>
      <c r="AH610" s="54"/>
      <c r="AI610" s="53"/>
      <c r="AJ610" s="53"/>
      <c r="AK610" s="54"/>
      <c r="AL610" s="54"/>
    </row>
    <row r="611" spans="1:38" ht="15.75" thickBot="1" x14ac:dyDescent="0.3">
      <c r="A611" s="51"/>
      <c r="B611" s="51"/>
      <c r="C611" s="51"/>
      <c r="D611" s="51"/>
      <c r="E611" s="51"/>
      <c r="F611" s="51"/>
      <c r="G611" s="56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6"/>
      <c r="AB611" s="55"/>
      <c r="AC611" s="55"/>
      <c r="AD611" s="55"/>
      <c r="AE611" s="55"/>
      <c r="AF611" s="55"/>
      <c r="AG611" s="55"/>
      <c r="AH611" s="56"/>
      <c r="AI611" s="55"/>
      <c r="AJ611" s="55"/>
      <c r="AK611" s="56"/>
      <c r="AL611" s="56"/>
    </row>
    <row r="612" spans="1:38" ht="15.75" thickBot="1" x14ac:dyDescent="0.3">
      <c r="A612" s="51"/>
      <c r="B612" s="51"/>
      <c r="C612" s="51"/>
      <c r="D612" s="51"/>
      <c r="E612" s="51"/>
      <c r="F612" s="51"/>
      <c r="G612" s="54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4"/>
      <c r="Z612" s="53"/>
      <c r="AA612" s="53"/>
      <c r="AB612" s="53"/>
      <c r="AC612" s="53"/>
      <c r="AD612" s="53"/>
      <c r="AE612" s="53"/>
      <c r="AF612" s="53"/>
      <c r="AG612" s="53"/>
      <c r="AH612" s="54"/>
      <c r="AI612" s="53"/>
      <c r="AJ612" s="53"/>
      <c r="AK612" s="54"/>
      <c r="AL612" s="54"/>
    </row>
    <row r="613" spans="1:38" ht="15.75" thickBot="1" x14ac:dyDescent="0.3">
      <c r="A613" s="51"/>
      <c r="B613" s="51"/>
      <c r="C613" s="51"/>
      <c r="D613" s="51"/>
      <c r="E613" s="51"/>
      <c r="F613" s="51"/>
      <c r="G613" s="56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6"/>
      <c r="Z613" s="55"/>
      <c r="AA613" s="55"/>
      <c r="AB613" s="55"/>
      <c r="AC613" s="55"/>
      <c r="AD613" s="55"/>
      <c r="AE613" s="55"/>
      <c r="AF613" s="55"/>
      <c r="AG613" s="55"/>
      <c r="AH613" s="56"/>
      <c r="AI613" s="55"/>
      <c r="AJ613" s="55"/>
      <c r="AK613" s="56"/>
      <c r="AL613" s="56"/>
    </row>
    <row r="614" spans="1:38" ht="15.75" thickBot="1" x14ac:dyDescent="0.3">
      <c r="A614" s="51"/>
      <c r="B614" s="51"/>
      <c r="C614" s="51"/>
      <c r="D614" s="51"/>
      <c r="E614" s="51"/>
      <c r="F614" s="51"/>
      <c r="G614" s="54"/>
      <c r="H614" s="53"/>
      <c r="I614" s="53"/>
      <c r="J614" s="53"/>
      <c r="K614" s="54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4"/>
      <c r="AI614" s="53"/>
      <c r="AJ614" s="53"/>
      <c r="AK614" s="54"/>
      <c r="AL614" s="54"/>
    </row>
    <row r="615" spans="1:38" ht="15.75" thickBot="1" x14ac:dyDescent="0.3">
      <c r="A615" s="51"/>
      <c r="B615" s="51"/>
      <c r="C615" s="51"/>
      <c r="D615" s="51"/>
      <c r="E615" s="51"/>
      <c r="F615" s="51"/>
      <c r="G615" s="56"/>
      <c r="H615" s="55"/>
      <c r="I615" s="55"/>
      <c r="J615" s="55"/>
      <c r="K615" s="56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  <c r="AA615" s="55"/>
      <c r="AB615" s="55"/>
      <c r="AC615" s="55"/>
      <c r="AD615" s="55"/>
      <c r="AE615" s="55"/>
      <c r="AF615" s="55"/>
      <c r="AG615" s="55"/>
      <c r="AH615" s="56"/>
      <c r="AI615" s="55"/>
      <c r="AJ615" s="55"/>
      <c r="AK615" s="56"/>
      <c r="AL615" s="56"/>
    </row>
    <row r="616" spans="1:38" ht="15.75" thickBot="1" x14ac:dyDescent="0.3">
      <c r="A616" s="51"/>
      <c r="B616" s="51"/>
      <c r="C616" s="51"/>
      <c r="D616" s="51"/>
      <c r="E616" s="51"/>
      <c r="F616" s="51"/>
      <c r="G616" s="54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4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4"/>
      <c r="AI616" s="53"/>
      <c r="AJ616" s="53"/>
      <c r="AK616" s="54"/>
      <c r="AL616" s="54"/>
    </row>
    <row r="617" spans="1:38" ht="15.75" thickBot="1" x14ac:dyDescent="0.3">
      <c r="A617" s="51"/>
      <c r="B617" s="51"/>
      <c r="C617" s="51"/>
      <c r="D617" s="51"/>
      <c r="E617" s="51"/>
      <c r="F617" s="51"/>
      <c r="G617" s="56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6"/>
      <c r="U617" s="55"/>
      <c r="V617" s="55"/>
      <c r="W617" s="55"/>
      <c r="X617" s="55"/>
      <c r="Y617" s="55"/>
      <c r="Z617" s="55"/>
      <c r="AA617" s="55"/>
      <c r="AB617" s="55"/>
      <c r="AC617" s="55"/>
      <c r="AD617" s="55"/>
      <c r="AE617" s="55"/>
      <c r="AF617" s="55"/>
      <c r="AG617" s="55"/>
      <c r="AH617" s="56"/>
      <c r="AI617" s="55"/>
      <c r="AJ617" s="55"/>
      <c r="AK617" s="56"/>
      <c r="AL617" s="56"/>
    </row>
    <row r="618" spans="1:38" ht="15.75" thickBot="1" x14ac:dyDescent="0.3">
      <c r="A618" s="51"/>
      <c r="B618" s="51"/>
      <c r="C618" s="51"/>
      <c r="D618" s="51"/>
      <c r="E618" s="51"/>
      <c r="F618" s="51"/>
      <c r="G618" s="54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4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4"/>
      <c r="AI618" s="53"/>
      <c r="AJ618" s="53"/>
      <c r="AK618" s="54"/>
      <c r="AL618" s="54"/>
    </row>
    <row r="619" spans="1:38" ht="15.75" thickBot="1" x14ac:dyDescent="0.3">
      <c r="A619" s="51"/>
      <c r="B619" s="51"/>
      <c r="C619" s="51"/>
      <c r="D619" s="51"/>
      <c r="E619" s="51"/>
      <c r="F619" s="51"/>
      <c r="G619" s="56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6"/>
      <c r="V619" s="55"/>
      <c r="W619" s="55"/>
      <c r="X619" s="55"/>
      <c r="Y619" s="55"/>
      <c r="Z619" s="55"/>
      <c r="AA619" s="55"/>
      <c r="AB619" s="55"/>
      <c r="AC619" s="55"/>
      <c r="AD619" s="55"/>
      <c r="AE619" s="55"/>
      <c r="AF619" s="55"/>
      <c r="AG619" s="55"/>
      <c r="AH619" s="56"/>
      <c r="AI619" s="55"/>
      <c r="AJ619" s="55"/>
      <c r="AK619" s="56"/>
      <c r="AL619" s="56"/>
    </row>
    <row r="620" spans="1:38" ht="15.75" thickBot="1" x14ac:dyDescent="0.3">
      <c r="A620" s="51"/>
      <c r="B620" s="51"/>
      <c r="C620" s="51"/>
      <c r="D620" s="51"/>
      <c r="E620" s="51"/>
      <c r="F620" s="51"/>
      <c r="G620" s="54"/>
      <c r="H620" s="53"/>
      <c r="I620" s="53"/>
      <c r="J620" s="53"/>
      <c r="K620" s="54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4"/>
      <c r="AI620" s="53"/>
      <c r="AJ620" s="53"/>
      <c r="AK620" s="54"/>
      <c r="AL620" s="54"/>
    </row>
    <row r="621" spans="1:38" ht="15.75" thickBot="1" x14ac:dyDescent="0.3">
      <c r="A621" s="51"/>
      <c r="B621" s="51"/>
      <c r="C621" s="51"/>
      <c r="D621" s="51"/>
      <c r="E621" s="51"/>
      <c r="F621" s="51"/>
      <c r="G621" s="56"/>
      <c r="H621" s="55"/>
      <c r="I621" s="55"/>
      <c r="J621" s="55"/>
      <c r="K621" s="56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  <c r="AA621" s="55"/>
      <c r="AB621" s="55"/>
      <c r="AC621" s="55"/>
      <c r="AD621" s="55"/>
      <c r="AE621" s="55"/>
      <c r="AF621" s="55"/>
      <c r="AG621" s="55"/>
      <c r="AH621" s="56"/>
      <c r="AI621" s="55"/>
      <c r="AJ621" s="55"/>
      <c r="AK621" s="56"/>
      <c r="AL621" s="56"/>
    </row>
    <row r="622" spans="1:38" ht="15.75" thickBot="1" x14ac:dyDescent="0.3">
      <c r="A622" s="51"/>
      <c r="B622" s="51"/>
      <c r="C622" s="51"/>
      <c r="D622" s="51"/>
      <c r="E622" s="51"/>
      <c r="F622" s="51"/>
      <c r="G622" s="54"/>
      <c r="H622" s="53"/>
      <c r="I622" s="53"/>
      <c r="J622" s="53"/>
      <c r="K622" s="54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4"/>
      <c r="AI622" s="53"/>
      <c r="AJ622" s="53"/>
      <c r="AK622" s="54"/>
      <c r="AL622" s="54"/>
    </row>
    <row r="623" spans="1:38" ht="15.75" thickBot="1" x14ac:dyDescent="0.3">
      <c r="A623" s="51"/>
      <c r="B623" s="51"/>
      <c r="C623" s="51"/>
      <c r="D623" s="51"/>
      <c r="E623" s="51"/>
      <c r="F623" s="51"/>
      <c r="G623" s="56"/>
      <c r="H623" s="55"/>
      <c r="I623" s="55"/>
      <c r="J623" s="55"/>
      <c r="K623" s="56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  <c r="AA623" s="55"/>
      <c r="AB623" s="55"/>
      <c r="AC623" s="55"/>
      <c r="AD623" s="55"/>
      <c r="AE623" s="55"/>
      <c r="AF623" s="55"/>
      <c r="AG623" s="55"/>
      <c r="AH623" s="56"/>
      <c r="AI623" s="55"/>
      <c r="AJ623" s="55"/>
      <c r="AK623" s="56"/>
      <c r="AL623" s="56"/>
    </row>
    <row r="624" spans="1:38" ht="15.75" thickBot="1" x14ac:dyDescent="0.3">
      <c r="A624" s="51"/>
      <c r="B624" s="51"/>
      <c r="C624" s="51"/>
      <c r="D624" s="51"/>
      <c r="E624" s="51"/>
      <c r="F624" s="51"/>
      <c r="G624" s="54"/>
      <c r="H624" s="54"/>
      <c r="I624" s="53"/>
      <c r="J624" s="53"/>
      <c r="K624" s="53"/>
      <c r="L624" s="53"/>
      <c r="M624" s="54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4"/>
      <c r="AI624" s="53"/>
      <c r="AJ624" s="53"/>
      <c r="AK624" s="54"/>
      <c r="AL624" s="54"/>
    </row>
    <row r="625" spans="1:38" ht="15.75" thickBot="1" x14ac:dyDescent="0.3">
      <c r="A625" s="51"/>
      <c r="B625" s="51"/>
      <c r="C625" s="51"/>
      <c r="D625" s="51"/>
      <c r="E625" s="51"/>
      <c r="F625" s="51"/>
      <c r="G625" s="56"/>
      <c r="H625" s="148"/>
      <c r="I625" s="55"/>
      <c r="J625" s="55"/>
      <c r="K625" s="55"/>
      <c r="L625" s="55"/>
      <c r="M625" s="56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  <c r="AA625" s="55"/>
      <c r="AB625" s="55"/>
      <c r="AC625" s="55"/>
      <c r="AD625" s="55"/>
      <c r="AE625" s="55"/>
      <c r="AF625" s="55"/>
      <c r="AG625" s="55"/>
      <c r="AH625" s="56"/>
      <c r="AI625" s="55"/>
      <c r="AJ625" s="55"/>
      <c r="AK625" s="56"/>
      <c r="AL625" s="56"/>
    </row>
    <row r="626" spans="1:38" ht="15.75" thickBot="1" x14ac:dyDescent="0.3">
      <c r="A626" s="51"/>
      <c r="B626" s="51"/>
      <c r="C626" s="51"/>
      <c r="D626" s="51"/>
      <c r="E626" s="51"/>
      <c r="F626" s="51"/>
      <c r="G626" s="54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4"/>
      <c r="AA626" s="53"/>
      <c r="AB626" s="53"/>
      <c r="AC626" s="53"/>
      <c r="AD626" s="53"/>
      <c r="AE626" s="53"/>
      <c r="AF626" s="53"/>
      <c r="AG626" s="53"/>
      <c r="AH626" s="54"/>
      <c r="AI626" s="53"/>
      <c r="AJ626" s="53"/>
      <c r="AK626" s="54"/>
      <c r="AL626" s="54"/>
    </row>
    <row r="627" spans="1:38" ht="15.75" thickBot="1" x14ac:dyDescent="0.3">
      <c r="A627" s="51"/>
      <c r="B627" s="51"/>
      <c r="C627" s="51"/>
      <c r="D627" s="51"/>
      <c r="E627" s="51"/>
      <c r="F627" s="51"/>
      <c r="G627" s="56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6"/>
      <c r="AA627" s="55"/>
      <c r="AB627" s="55"/>
      <c r="AC627" s="55"/>
      <c r="AD627" s="55"/>
      <c r="AE627" s="55"/>
      <c r="AF627" s="55"/>
      <c r="AG627" s="55"/>
      <c r="AH627" s="56"/>
      <c r="AI627" s="55"/>
      <c r="AJ627" s="55"/>
      <c r="AK627" s="56"/>
      <c r="AL627" s="56"/>
    </row>
    <row r="628" spans="1:38" ht="15.75" thickBot="1" x14ac:dyDescent="0.3">
      <c r="A628" s="51"/>
      <c r="B628" s="51"/>
      <c r="C628" s="51"/>
      <c r="D628" s="51"/>
      <c r="E628" s="51"/>
      <c r="F628" s="51"/>
      <c r="G628" s="54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4"/>
      <c r="AB628" s="53"/>
      <c r="AC628" s="53"/>
      <c r="AD628" s="53"/>
      <c r="AE628" s="53"/>
      <c r="AF628" s="53"/>
      <c r="AG628" s="53"/>
      <c r="AH628" s="54"/>
      <c r="AI628" s="53"/>
      <c r="AJ628" s="53"/>
      <c r="AK628" s="54"/>
      <c r="AL628" s="54"/>
    </row>
    <row r="629" spans="1:38" ht="15.75" thickBot="1" x14ac:dyDescent="0.3">
      <c r="A629" s="51"/>
      <c r="B629" s="51"/>
      <c r="C629" s="51"/>
      <c r="D629" s="51"/>
      <c r="E629" s="51"/>
      <c r="F629" s="51"/>
      <c r="G629" s="56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6"/>
      <c r="AB629" s="55"/>
      <c r="AC629" s="55"/>
      <c r="AD629" s="55"/>
      <c r="AE629" s="55"/>
      <c r="AF629" s="55"/>
      <c r="AG629" s="55"/>
      <c r="AH629" s="56"/>
      <c r="AI629" s="55"/>
      <c r="AJ629" s="55"/>
      <c r="AK629" s="56"/>
      <c r="AL629" s="56"/>
    </row>
    <row r="630" spans="1:38" ht="15.75" thickBot="1" x14ac:dyDescent="0.3">
      <c r="A630" s="51"/>
      <c r="B630" s="51"/>
      <c r="C630" s="51"/>
      <c r="D630" s="51"/>
      <c r="E630" s="51"/>
      <c r="F630" s="51"/>
      <c r="G630" s="54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4"/>
      <c r="Z630" s="53"/>
      <c r="AA630" s="53"/>
      <c r="AB630" s="53"/>
      <c r="AC630" s="53"/>
      <c r="AD630" s="53"/>
      <c r="AE630" s="53"/>
      <c r="AF630" s="53"/>
      <c r="AG630" s="53"/>
      <c r="AH630" s="54"/>
      <c r="AI630" s="53"/>
      <c r="AJ630" s="53"/>
      <c r="AK630" s="54"/>
      <c r="AL630" s="54"/>
    </row>
    <row r="631" spans="1:38" ht="15.75" thickBot="1" x14ac:dyDescent="0.3">
      <c r="A631" s="51"/>
      <c r="B631" s="51"/>
      <c r="C631" s="51"/>
      <c r="D631" s="51"/>
      <c r="E631" s="51"/>
      <c r="F631" s="51"/>
      <c r="G631" s="56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6"/>
      <c r="Z631" s="55"/>
      <c r="AA631" s="55"/>
      <c r="AB631" s="55"/>
      <c r="AC631" s="55"/>
      <c r="AD631" s="55"/>
      <c r="AE631" s="55"/>
      <c r="AF631" s="55"/>
      <c r="AG631" s="55"/>
      <c r="AH631" s="56"/>
      <c r="AI631" s="55"/>
      <c r="AJ631" s="55"/>
      <c r="AK631" s="56"/>
      <c r="AL631" s="56"/>
    </row>
    <row r="632" spans="1:38" ht="15.75" thickBot="1" x14ac:dyDescent="0.3">
      <c r="A632" s="51"/>
      <c r="B632" s="51"/>
      <c r="C632" s="51"/>
      <c r="D632" s="51"/>
      <c r="E632" s="51"/>
      <c r="F632" s="51"/>
      <c r="G632" s="54"/>
      <c r="H632" s="53"/>
      <c r="I632" s="53"/>
      <c r="J632" s="53"/>
      <c r="K632" s="54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4"/>
      <c r="AI632" s="53"/>
      <c r="AJ632" s="53"/>
      <c r="AK632" s="54"/>
      <c r="AL632" s="54"/>
    </row>
    <row r="633" spans="1:38" ht="15.75" thickBot="1" x14ac:dyDescent="0.3">
      <c r="A633" s="51"/>
      <c r="B633" s="51"/>
      <c r="C633" s="51"/>
      <c r="D633" s="51"/>
      <c r="E633" s="51"/>
      <c r="F633" s="51"/>
      <c r="G633" s="56"/>
      <c r="H633" s="55"/>
      <c r="I633" s="55"/>
      <c r="J633" s="55"/>
      <c r="K633" s="56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6"/>
      <c r="AI633" s="55"/>
      <c r="AJ633" s="55"/>
      <c r="AK633" s="56"/>
      <c r="AL633" s="56"/>
    </row>
    <row r="634" spans="1:38" ht="15.75" thickBot="1" x14ac:dyDescent="0.3">
      <c r="A634" s="51"/>
      <c r="B634" s="51"/>
      <c r="C634" s="51"/>
      <c r="D634" s="51"/>
      <c r="E634" s="51"/>
      <c r="F634" s="51"/>
      <c r="G634" s="54"/>
      <c r="H634" s="53"/>
      <c r="I634" s="53"/>
      <c r="J634" s="53"/>
      <c r="K634" s="54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4"/>
      <c r="AI634" s="53"/>
      <c r="AJ634" s="53"/>
      <c r="AK634" s="54"/>
      <c r="AL634" s="54"/>
    </row>
    <row r="635" spans="1:38" ht="15.75" thickBot="1" x14ac:dyDescent="0.3">
      <c r="A635" s="51"/>
      <c r="B635" s="51"/>
      <c r="C635" s="51"/>
      <c r="D635" s="51"/>
      <c r="E635" s="51"/>
      <c r="F635" s="51"/>
      <c r="G635" s="56"/>
      <c r="H635" s="55"/>
      <c r="I635" s="55"/>
      <c r="J635" s="55"/>
      <c r="K635" s="56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6"/>
      <c r="AI635" s="55"/>
      <c r="AJ635" s="55"/>
      <c r="AK635" s="56"/>
      <c r="AL635" s="56"/>
    </row>
    <row r="636" spans="1:38" ht="15.75" thickBot="1" x14ac:dyDescent="0.3">
      <c r="A636" s="51"/>
      <c r="B636" s="51"/>
      <c r="C636" s="51"/>
      <c r="D636" s="51"/>
      <c r="E636" s="51"/>
      <c r="F636" s="51"/>
      <c r="G636" s="54"/>
      <c r="H636" s="54"/>
      <c r="I636" s="53"/>
      <c r="J636" s="53"/>
      <c r="K636" s="53"/>
      <c r="L636" s="53"/>
      <c r="M636" s="54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4"/>
      <c r="AI636" s="53"/>
      <c r="AJ636" s="53"/>
      <c r="AK636" s="54"/>
      <c r="AL636" s="54"/>
    </row>
    <row r="637" spans="1:38" ht="15.75" thickBot="1" x14ac:dyDescent="0.3">
      <c r="A637" s="51"/>
      <c r="B637" s="51"/>
      <c r="C637" s="51"/>
      <c r="D637" s="51"/>
      <c r="E637" s="51"/>
      <c r="F637" s="51"/>
      <c r="G637" s="56"/>
      <c r="H637" s="148"/>
      <c r="I637" s="55"/>
      <c r="J637" s="55"/>
      <c r="K637" s="55"/>
      <c r="L637" s="55"/>
      <c r="M637" s="56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6"/>
      <c r="AI637" s="55"/>
      <c r="AJ637" s="55"/>
      <c r="AK637" s="56"/>
      <c r="AL637" s="56"/>
    </row>
    <row r="638" spans="1:38" ht="15.75" thickBot="1" x14ac:dyDescent="0.3">
      <c r="A638" s="51"/>
      <c r="B638" s="51"/>
      <c r="C638" s="51"/>
      <c r="D638" s="51"/>
      <c r="E638" s="51"/>
      <c r="F638" s="51"/>
      <c r="G638" s="54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4"/>
      <c r="AA638" s="53"/>
      <c r="AB638" s="53"/>
      <c r="AC638" s="53"/>
      <c r="AD638" s="53"/>
      <c r="AE638" s="53"/>
      <c r="AF638" s="53"/>
      <c r="AG638" s="53"/>
      <c r="AH638" s="54"/>
      <c r="AI638" s="53"/>
      <c r="AJ638" s="53"/>
      <c r="AK638" s="54"/>
      <c r="AL638" s="54"/>
    </row>
    <row r="639" spans="1:38" ht="15.75" thickBot="1" x14ac:dyDescent="0.3">
      <c r="A639" s="51"/>
      <c r="B639" s="51"/>
      <c r="C639" s="51"/>
      <c r="D639" s="51"/>
      <c r="E639" s="51"/>
      <c r="F639" s="51"/>
      <c r="G639" s="56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6"/>
      <c r="AA639" s="55"/>
      <c r="AB639" s="55"/>
      <c r="AC639" s="55"/>
      <c r="AD639" s="55"/>
      <c r="AE639" s="55"/>
      <c r="AF639" s="55"/>
      <c r="AG639" s="55"/>
      <c r="AH639" s="56"/>
      <c r="AI639" s="55"/>
      <c r="AJ639" s="55"/>
      <c r="AK639" s="56"/>
      <c r="AL639" s="56"/>
    </row>
    <row r="640" spans="1:38" ht="15.75" thickBot="1" x14ac:dyDescent="0.3">
      <c r="A640" s="51"/>
      <c r="B640" s="51"/>
      <c r="C640" s="51"/>
      <c r="D640" s="51"/>
      <c r="E640" s="51"/>
      <c r="F640" s="51"/>
      <c r="G640" s="54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4"/>
      <c r="AB640" s="53"/>
      <c r="AC640" s="53"/>
      <c r="AD640" s="53"/>
      <c r="AE640" s="53"/>
      <c r="AF640" s="53"/>
      <c r="AG640" s="53"/>
      <c r="AH640" s="54"/>
      <c r="AI640" s="53"/>
      <c r="AJ640" s="53"/>
      <c r="AK640" s="54"/>
      <c r="AL640" s="54"/>
    </row>
    <row r="641" spans="1:38" ht="15.75" thickBot="1" x14ac:dyDescent="0.3">
      <c r="A641" s="51"/>
      <c r="B641" s="51"/>
      <c r="C641" s="51"/>
      <c r="D641" s="51"/>
      <c r="E641" s="51"/>
      <c r="F641" s="51"/>
      <c r="G641" s="56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6"/>
      <c r="AB641" s="55"/>
      <c r="AC641" s="55"/>
      <c r="AD641" s="55"/>
      <c r="AE641" s="55"/>
      <c r="AF641" s="55"/>
      <c r="AG641" s="55"/>
      <c r="AH641" s="56"/>
      <c r="AI641" s="55"/>
      <c r="AJ641" s="55"/>
      <c r="AK641" s="56"/>
      <c r="AL641" s="56"/>
    </row>
    <row r="642" spans="1:38" ht="15.75" thickBot="1" x14ac:dyDescent="0.3">
      <c r="A642" s="51"/>
      <c r="B642" s="51"/>
      <c r="C642" s="51"/>
      <c r="D642" s="51"/>
      <c r="E642" s="51"/>
      <c r="F642" s="51"/>
      <c r="G642" s="54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4"/>
      <c r="Z642" s="53"/>
      <c r="AA642" s="53"/>
      <c r="AB642" s="53"/>
      <c r="AC642" s="53"/>
      <c r="AD642" s="53"/>
      <c r="AE642" s="53"/>
      <c r="AF642" s="53"/>
      <c r="AG642" s="53"/>
      <c r="AH642" s="54"/>
      <c r="AI642" s="53"/>
      <c r="AJ642" s="53"/>
      <c r="AK642" s="54"/>
      <c r="AL642" s="54"/>
    </row>
    <row r="643" spans="1:38" ht="15.75" thickBot="1" x14ac:dyDescent="0.3">
      <c r="A643" s="51"/>
      <c r="B643" s="51"/>
      <c r="C643" s="51"/>
      <c r="D643" s="51"/>
      <c r="E643" s="51"/>
      <c r="F643" s="51"/>
      <c r="G643" s="56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6"/>
      <c r="Z643" s="55"/>
      <c r="AA643" s="55"/>
      <c r="AB643" s="55"/>
      <c r="AC643" s="55"/>
      <c r="AD643" s="55"/>
      <c r="AE643" s="55"/>
      <c r="AF643" s="55"/>
      <c r="AG643" s="55"/>
      <c r="AH643" s="56"/>
      <c r="AI643" s="55"/>
      <c r="AJ643" s="55"/>
      <c r="AK643" s="56"/>
      <c r="AL643" s="56"/>
    </row>
    <row r="644" spans="1:38" ht="15.75" thickBot="1" x14ac:dyDescent="0.3">
      <c r="A644" s="51"/>
      <c r="B644" s="51"/>
      <c r="C644" s="51"/>
      <c r="D644" s="51"/>
      <c r="E644" s="51"/>
      <c r="F644" s="51"/>
      <c r="G644" s="54"/>
      <c r="H644" s="53"/>
      <c r="I644" s="53"/>
      <c r="J644" s="53"/>
      <c r="K644" s="54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4"/>
      <c r="AI644" s="53"/>
      <c r="AJ644" s="53"/>
      <c r="AK644" s="54"/>
      <c r="AL644" s="54"/>
    </row>
    <row r="645" spans="1:38" ht="15.75" thickBot="1" x14ac:dyDescent="0.3">
      <c r="A645" s="51"/>
      <c r="B645" s="51"/>
      <c r="C645" s="51"/>
      <c r="D645" s="51"/>
      <c r="E645" s="51"/>
      <c r="F645" s="51"/>
      <c r="G645" s="56"/>
      <c r="H645" s="55"/>
      <c r="I645" s="55"/>
      <c r="J645" s="55"/>
      <c r="K645" s="56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  <c r="AA645" s="55"/>
      <c r="AB645" s="55"/>
      <c r="AC645" s="55"/>
      <c r="AD645" s="55"/>
      <c r="AE645" s="55"/>
      <c r="AF645" s="55"/>
      <c r="AG645" s="55"/>
      <c r="AH645" s="56"/>
      <c r="AI645" s="55"/>
      <c r="AJ645" s="55"/>
      <c r="AK645" s="56"/>
      <c r="AL645" s="56"/>
    </row>
    <row r="646" spans="1:38" ht="15.75" thickBot="1" x14ac:dyDescent="0.3">
      <c r="A646" s="51"/>
      <c r="B646" s="51"/>
      <c r="C646" s="51"/>
      <c r="D646" s="51"/>
      <c r="E646" s="51"/>
      <c r="F646" s="51"/>
      <c r="G646" s="54"/>
      <c r="H646" s="54"/>
      <c r="I646" s="53"/>
      <c r="J646" s="53"/>
      <c r="K646" s="53"/>
      <c r="L646" s="53"/>
      <c r="M646" s="54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4"/>
      <c r="AI646" s="53"/>
      <c r="AJ646" s="53"/>
      <c r="AK646" s="54"/>
      <c r="AL646" s="54"/>
    </row>
    <row r="647" spans="1:38" ht="15.75" thickBot="1" x14ac:dyDescent="0.3">
      <c r="A647" s="51"/>
      <c r="B647" s="51"/>
      <c r="C647" s="51"/>
      <c r="D647" s="51"/>
      <c r="E647" s="51"/>
      <c r="F647" s="51"/>
      <c r="G647" s="56"/>
      <c r="H647" s="148"/>
      <c r="I647" s="55"/>
      <c r="J647" s="55"/>
      <c r="K647" s="55"/>
      <c r="L647" s="55"/>
      <c r="M647" s="56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  <c r="AA647" s="55"/>
      <c r="AB647" s="55"/>
      <c r="AC647" s="55"/>
      <c r="AD647" s="55"/>
      <c r="AE647" s="55"/>
      <c r="AF647" s="55"/>
      <c r="AG647" s="55"/>
      <c r="AH647" s="56"/>
      <c r="AI647" s="55"/>
      <c r="AJ647" s="55"/>
      <c r="AK647" s="56"/>
      <c r="AL647" s="56"/>
    </row>
    <row r="648" spans="1:38" ht="15.75" thickBot="1" x14ac:dyDescent="0.3">
      <c r="A648" s="51"/>
      <c r="B648" s="51"/>
      <c r="C648" s="51"/>
      <c r="D648" s="51"/>
      <c r="E648" s="51"/>
      <c r="F648" s="51"/>
      <c r="G648" s="54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4"/>
      <c r="AB648" s="53"/>
      <c r="AC648" s="53"/>
      <c r="AD648" s="53"/>
      <c r="AE648" s="53"/>
      <c r="AF648" s="53"/>
      <c r="AG648" s="53"/>
      <c r="AH648" s="54"/>
      <c r="AI648" s="53"/>
      <c r="AJ648" s="53"/>
      <c r="AK648" s="54"/>
      <c r="AL648" s="54"/>
    </row>
    <row r="649" spans="1:38" ht="15.75" thickBot="1" x14ac:dyDescent="0.3">
      <c r="A649" s="51"/>
      <c r="B649" s="51"/>
      <c r="C649" s="51"/>
      <c r="D649" s="51"/>
      <c r="E649" s="51"/>
      <c r="F649" s="51"/>
      <c r="G649" s="56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  <c r="AA649" s="56"/>
      <c r="AB649" s="55"/>
      <c r="AC649" s="55"/>
      <c r="AD649" s="55"/>
      <c r="AE649" s="55"/>
      <c r="AF649" s="55"/>
      <c r="AG649" s="55"/>
      <c r="AH649" s="56"/>
      <c r="AI649" s="55"/>
      <c r="AJ649" s="55"/>
      <c r="AK649" s="56"/>
      <c r="AL649" s="56"/>
    </row>
    <row r="650" spans="1:38" ht="15.75" thickBot="1" x14ac:dyDescent="0.3">
      <c r="A650" s="51"/>
      <c r="B650" s="51"/>
      <c r="C650" s="51"/>
      <c r="D650" s="51"/>
      <c r="E650" s="51"/>
      <c r="F650" s="51"/>
      <c r="G650" s="54"/>
      <c r="H650" s="53"/>
      <c r="I650" s="53"/>
      <c r="J650" s="53"/>
      <c r="K650" s="53"/>
      <c r="L650" s="53"/>
      <c r="M650" s="53"/>
      <c r="N650" s="54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4"/>
      <c r="AI650" s="53"/>
      <c r="AJ650" s="53"/>
      <c r="AK650" s="54"/>
      <c r="AL650" s="54"/>
    </row>
    <row r="651" spans="1:38" ht="15.75" thickBot="1" x14ac:dyDescent="0.3">
      <c r="A651" s="51"/>
      <c r="B651" s="51"/>
      <c r="C651" s="51"/>
      <c r="D651" s="51"/>
      <c r="E651" s="51"/>
      <c r="F651" s="51"/>
      <c r="G651" s="56"/>
      <c r="H651" s="55"/>
      <c r="I651" s="55"/>
      <c r="J651" s="55"/>
      <c r="K651" s="55"/>
      <c r="L651" s="55"/>
      <c r="M651" s="55"/>
      <c r="N651" s="56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6"/>
      <c r="AI651" s="55"/>
      <c r="AJ651" s="55"/>
      <c r="AK651" s="56"/>
      <c r="AL651" s="56"/>
    </row>
    <row r="652" spans="1:38" ht="15.75" thickBot="1" x14ac:dyDescent="0.3">
      <c r="A652" s="51"/>
      <c r="B652" s="51"/>
      <c r="C652" s="51"/>
      <c r="D652" s="51"/>
      <c r="E652" s="51"/>
      <c r="F652" s="51"/>
      <c r="G652" s="54"/>
      <c r="H652" s="53"/>
      <c r="I652" s="53"/>
      <c r="J652" s="53"/>
      <c r="K652" s="54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4"/>
      <c r="AI652" s="53"/>
      <c r="AJ652" s="53"/>
      <c r="AK652" s="54"/>
      <c r="AL652" s="54"/>
    </row>
    <row r="653" spans="1:38" ht="15.75" thickBot="1" x14ac:dyDescent="0.3">
      <c r="A653" s="51"/>
      <c r="B653" s="51"/>
      <c r="C653" s="51"/>
      <c r="D653" s="51"/>
      <c r="E653" s="51"/>
      <c r="F653" s="51"/>
      <c r="G653" s="56"/>
      <c r="H653" s="55"/>
      <c r="I653" s="55"/>
      <c r="J653" s="55"/>
      <c r="K653" s="56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6"/>
      <c r="AI653" s="55"/>
      <c r="AJ653" s="55"/>
      <c r="AK653" s="56"/>
      <c r="AL653" s="56"/>
    </row>
    <row r="654" spans="1:38" ht="15.75" thickBot="1" x14ac:dyDescent="0.3">
      <c r="A654" s="51"/>
      <c r="B654" s="51"/>
      <c r="C654" s="51"/>
      <c r="D654" s="51"/>
      <c r="E654" s="51"/>
      <c r="F654" s="51"/>
      <c r="G654" s="54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4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4"/>
      <c r="AI654" s="53"/>
      <c r="AJ654" s="53"/>
      <c r="AK654" s="54"/>
      <c r="AL654" s="54"/>
    </row>
    <row r="655" spans="1:38" ht="15.75" thickBot="1" x14ac:dyDescent="0.3">
      <c r="A655" s="51"/>
      <c r="B655" s="51"/>
      <c r="C655" s="51"/>
      <c r="D655" s="51"/>
      <c r="E655" s="51"/>
      <c r="F655" s="51"/>
      <c r="G655" s="56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6"/>
      <c r="U655" s="55"/>
      <c r="V655" s="55"/>
      <c r="W655" s="55"/>
      <c r="X655" s="55"/>
      <c r="Y655" s="55"/>
      <c r="Z655" s="55"/>
      <c r="AA655" s="55"/>
      <c r="AB655" s="55"/>
      <c r="AC655" s="55"/>
      <c r="AD655" s="55"/>
      <c r="AE655" s="55"/>
      <c r="AF655" s="55"/>
      <c r="AG655" s="55"/>
      <c r="AH655" s="56"/>
      <c r="AI655" s="55"/>
      <c r="AJ655" s="55"/>
      <c r="AK655" s="56"/>
      <c r="AL655" s="56"/>
    </row>
    <row r="656" spans="1:38" ht="15.75" thickBot="1" x14ac:dyDescent="0.3">
      <c r="A656" s="51"/>
      <c r="B656" s="51"/>
      <c r="C656" s="51"/>
      <c r="D656" s="51"/>
      <c r="E656" s="51"/>
      <c r="F656" s="51"/>
      <c r="G656" s="54"/>
      <c r="H656" s="54"/>
      <c r="I656" s="53"/>
      <c r="J656" s="53"/>
      <c r="K656" s="53"/>
      <c r="L656" s="53"/>
      <c r="M656" s="54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4"/>
      <c r="AI656" s="53"/>
      <c r="AJ656" s="53"/>
      <c r="AK656" s="54"/>
      <c r="AL656" s="54"/>
    </row>
    <row r="657" spans="1:38" ht="15.75" thickBot="1" x14ac:dyDescent="0.3">
      <c r="A657" s="51"/>
      <c r="B657" s="51"/>
      <c r="C657" s="51"/>
      <c r="D657" s="51"/>
      <c r="E657" s="51"/>
      <c r="F657" s="51"/>
      <c r="G657" s="56"/>
      <c r="H657" s="56"/>
      <c r="I657" s="55"/>
      <c r="J657" s="55"/>
      <c r="K657" s="55"/>
      <c r="L657" s="55"/>
      <c r="M657" s="56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  <c r="AA657" s="55"/>
      <c r="AB657" s="55"/>
      <c r="AC657" s="55"/>
      <c r="AD657" s="55"/>
      <c r="AE657" s="55"/>
      <c r="AF657" s="55"/>
      <c r="AG657" s="55"/>
      <c r="AH657" s="56"/>
      <c r="AI657" s="55"/>
      <c r="AJ657" s="55"/>
      <c r="AK657" s="56"/>
      <c r="AL657" s="56"/>
    </row>
    <row r="658" spans="1:38" ht="15.75" thickBot="1" x14ac:dyDescent="0.3">
      <c r="A658" s="51"/>
      <c r="B658" s="51"/>
      <c r="C658" s="51"/>
      <c r="D658" s="51"/>
      <c r="E658" s="51"/>
      <c r="F658" s="51"/>
      <c r="G658" s="54"/>
      <c r="H658" s="147"/>
      <c r="I658" s="53"/>
      <c r="J658" s="53"/>
      <c r="K658" s="53"/>
      <c r="L658" s="53"/>
      <c r="M658" s="54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4"/>
      <c r="AI658" s="53"/>
      <c r="AJ658" s="53"/>
      <c r="AK658" s="54"/>
      <c r="AL658" s="54"/>
    </row>
    <row r="659" spans="1:38" ht="15.75" thickBot="1" x14ac:dyDescent="0.3">
      <c r="A659" s="51"/>
      <c r="B659" s="51"/>
      <c r="C659" s="51"/>
      <c r="D659" s="51"/>
      <c r="E659" s="51"/>
      <c r="F659" s="51"/>
      <c r="G659" s="56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  <c r="AA659" s="56"/>
      <c r="AB659" s="55"/>
      <c r="AC659" s="55"/>
      <c r="AD659" s="55"/>
      <c r="AE659" s="55"/>
      <c r="AF659" s="55"/>
      <c r="AG659" s="55"/>
      <c r="AH659" s="56"/>
      <c r="AI659" s="55"/>
      <c r="AJ659" s="55"/>
      <c r="AK659" s="56"/>
      <c r="AL659" s="56"/>
    </row>
    <row r="660" spans="1:38" ht="15.75" thickBot="1" x14ac:dyDescent="0.3">
      <c r="A660" s="51"/>
      <c r="B660" s="51"/>
      <c r="C660" s="51"/>
      <c r="D660" s="51"/>
      <c r="E660" s="51"/>
      <c r="F660" s="51"/>
      <c r="G660" s="54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4"/>
      <c r="AB660" s="53"/>
      <c r="AC660" s="53"/>
      <c r="AD660" s="53"/>
      <c r="AE660" s="53"/>
      <c r="AF660" s="53"/>
      <c r="AG660" s="53"/>
      <c r="AH660" s="54"/>
      <c r="AI660" s="53"/>
      <c r="AJ660" s="53"/>
      <c r="AK660" s="54"/>
      <c r="AL660" s="54"/>
    </row>
    <row r="661" spans="1:38" ht="15.75" thickBot="1" x14ac:dyDescent="0.3">
      <c r="A661" s="51"/>
      <c r="B661" s="51"/>
      <c r="C661" s="51"/>
      <c r="D661" s="51"/>
      <c r="E661" s="51"/>
      <c r="F661" s="51"/>
      <c r="G661" s="56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6"/>
      <c r="V661" s="55"/>
      <c r="W661" s="55"/>
      <c r="X661" s="55"/>
      <c r="Y661" s="55"/>
      <c r="Z661" s="55"/>
      <c r="AA661" s="55"/>
      <c r="AB661" s="55"/>
      <c r="AC661" s="55"/>
      <c r="AD661" s="55"/>
      <c r="AE661" s="55"/>
      <c r="AF661" s="55"/>
      <c r="AG661" s="55"/>
      <c r="AH661" s="56"/>
      <c r="AI661" s="55"/>
      <c r="AJ661" s="55"/>
      <c r="AK661" s="56"/>
      <c r="AL661" s="56"/>
    </row>
    <row r="662" spans="1:38" ht="15.75" thickBot="1" x14ac:dyDescent="0.3">
      <c r="A662" s="51"/>
      <c r="B662" s="51"/>
      <c r="C662" s="51"/>
      <c r="D662" s="51"/>
      <c r="E662" s="51"/>
      <c r="F662" s="51"/>
      <c r="G662" s="54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4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4"/>
      <c r="AI662" s="53"/>
      <c r="AJ662" s="53"/>
      <c r="AK662" s="54"/>
      <c r="AL662" s="54"/>
    </row>
    <row r="663" spans="1:38" ht="15.75" thickBot="1" x14ac:dyDescent="0.3">
      <c r="A663" s="51"/>
      <c r="B663" s="51"/>
      <c r="C663" s="51"/>
      <c r="D663" s="51"/>
      <c r="E663" s="51"/>
      <c r="F663" s="51"/>
      <c r="G663" s="56"/>
      <c r="H663" s="55"/>
      <c r="I663" s="55"/>
      <c r="J663" s="55"/>
      <c r="K663" s="55"/>
      <c r="L663" s="55"/>
      <c r="M663" s="55"/>
      <c r="N663" s="56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  <c r="AE663" s="55"/>
      <c r="AF663" s="55"/>
      <c r="AG663" s="55"/>
      <c r="AH663" s="56"/>
      <c r="AI663" s="55"/>
      <c r="AJ663" s="55"/>
      <c r="AK663" s="56"/>
      <c r="AL663" s="56"/>
    </row>
    <row r="664" spans="1:38" ht="15.75" thickBot="1" x14ac:dyDescent="0.3">
      <c r="A664" s="51"/>
      <c r="B664" s="51"/>
      <c r="C664" s="51"/>
      <c r="D664" s="51"/>
      <c r="E664" s="51"/>
      <c r="F664" s="51"/>
      <c r="G664" s="54"/>
      <c r="H664" s="53"/>
      <c r="I664" s="53"/>
      <c r="J664" s="53"/>
      <c r="K664" s="53"/>
      <c r="L664" s="53"/>
      <c r="M664" s="53"/>
      <c r="N664" s="54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4"/>
      <c r="AI664" s="53"/>
      <c r="AJ664" s="53"/>
      <c r="AK664" s="54"/>
      <c r="AL664" s="54"/>
    </row>
    <row r="665" spans="1:38" ht="15.75" thickBot="1" x14ac:dyDescent="0.3">
      <c r="A665" s="51"/>
      <c r="B665" s="51"/>
      <c r="C665" s="51"/>
      <c r="D665" s="51"/>
      <c r="E665" s="51"/>
      <c r="F665" s="51"/>
      <c r="G665" s="56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6"/>
      <c r="W665" s="55"/>
      <c r="X665" s="55"/>
      <c r="Y665" s="55"/>
      <c r="Z665" s="55"/>
      <c r="AA665" s="55"/>
      <c r="AB665" s="55"/>
      <c r="AC665" s="55"/>
      <c r="AD665" s="55"/>
      <c r="AE665" s="55"/>
      <c r="AF665" s="55"/>
      <c r="AG665" s="55"/>
      <c r="AH665" s="56"/>
      <c r="AI665" s="55"/>
      <c r="AJ665" s="55"/>
      <c r="AK665" s="56"/>
      <c r="AL665" s="56"/>
    </row>
    <row r="666" spans="1:38" ht="15.75" thickBot="1" x14ac:dyDescent="0.3">
      <c r="A666" s="51"/>
      <c r="B666" s="51"/>
      <c r="C666" s="51"/>
      <c r="D666" s="51"/>
      <c r="E666" s="51"/>
      <c r="F666" s="51"/>
      <c r="G666" s="54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4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4"/>
      <c r="AI666" s="53"/>
      <c r="AJ666" s="53"/>
      <c r="AK666" s="54"/>
      <c r="AL666" s="54"/>
    </row>
    <row r="667" spans="1:38" ht="15.75" thickBot="1" x14ac:dyDescent="0.3">
      <c r="A667" s="51"/>
      <c r="B667" s="51"/>
      <c r="C667" s="51"/>
      <c r="D667" s="51"/>
      <c r="E667" s="51"/>
      <c r="F667" s="51"/>
      <c r="G667" s="56"/>
      <c r="H667" s="55"/>
      <c r="I667" s="55"/>
      <c r="J667" s="55"/>
      <c r="K667" s="56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  <c r="AA667" s="55"/>
      <c r="AB667" s="55"/>
      <c r="AC667" s="55"/>
      <c r="AD667" s="55"/>
      <c r="AE667" s="55"/>
      <c r="AF667" s="55"/>
      <c r="AG667" s="55"/>
      <c r="AH667" s="56"/>
      <c r="AI667" s="55"/>
      <c r="AJ667" s="55"/>
      <c r="AK667" s="56"/>
      <c r="AL667" s="56"/>
    </row>
    <row r="668" spans="1:38" ht="15.75" thickBot="1" x14ac:dyDescent="0.3">
      <c r="A668" s="51"/>
      <c r="B668" s="51"/>
      <c r="C668" s="51"/>
      <c r="D668" s="51"/>
      <c r="E668" s="51"/>
      <c r="F668" s="51"/>
      <c r="G668" s="54"/>
      <c r="H668" s="53"/>
      <c r="I668" s="53"/>
      <c r="J668" s="53"/>
      <c r="K668" s="54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4"/>
      <c r="AI668" s="53"/>
      <c r="AJ668" s="53"/>
      <c r="AK668" s="54"/>
      <c r="AL668" s="54"/>
    </row>
    <row r="669" spans="1:38" ht="15.75" thickBot="1" x14ac:dyDescent="0.3">
      <c r="A669" s="51"/>
      <c r="B669" s="51"/>
      <c r="C669" s="51"/>
      <c r="D669" s="51"/>
      <c r="E669" s="51"/>
      <c r="F669" s="51"/>
      <c r="G669" s="56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6"/>
      <c r="X669" s="55"/>
      <c r="Y669" s="55"/>
      <c r="Z669" s="55"/>
      <c r="AA669" s="55"/>
      <c r="AB669" s="55"/>
      <c r="AC669" s="55"/>
      <c r="AD669" s="55"/>
      <c r="AE669" s="55"/>
      <c r="AF669" s="55"/>
      <c r="AG669" s="55"/>
      <c r="AH669" s="56"/>
      <c r="AI669" s="55"/>
      <c r="AJ669" s="55"/>
      <c r="AK669" s="56"/>
      <c r="AL669" s="56"/>
    </row>
    <row r="670" spans="1:38" ht="15.75" thickBot="1" x14ac:dyDescent="0.3">
      <c r="A670" s="51"/>
      <c r="B670" s="51"/>
      <c r="C670" s="51"/>
      <c r="D670" s="51"/>
      <c r="E670" s="51"/>
      <c r="F670" s="51"/>
      <c r="G670" s="54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4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4"/>
      <c r="AI670" s="53"/>
      <c r="AJ670" s="53"/>
      <c r="AK670" s="54"/>
      <c r="AL670" s="54"/>
    </row>
    <row r="671" spans="1:38" ht="15.75" thickBot="1" x14ac:dyDescent="0.3">
      <c r="A671" s="51"/>
      <c r="B671" s="51"/>
      <c r="C671" s="51"/>
      <c r="D671" s="51"/>
      <c r="E671" s="51"/>
      <c r="F671" s="51"/>
      <c r="G671" s="56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6"/>
      <c r="Y671" s="55"/>
      <c r="Z671" s="55"/>
      <c r="AA671" s="55"/>
      <c r="AB671" s="55"/>
      <c r="AC671" s="55"/>
      <c r="AD671" s="55"/>
      <c r="AE671" s="55"/>
      <c r="AF671" s="55"/>
      <c r="AG671" s="55"/>
      <c r="AH671" s="56"/>
      <c r="AI671" s="55"/>
      <c r="AJ671" s="55"/>
      <c r="AK671" s="56"/>
      <c r="AL671" s="56"/>
    </row>
    <row r="672" spans="1:38" ht="15.75" thickBot="1" x14ac:dyDescent="0.3">
      <c r="A672" s="51"/>
      <c r="B672" s="51"/>
      <c r="C672" s="51"/>
      <c r="D672" s="51"/>
      <c r="E672" s="51"/>
      <c r="F672" s="51"/>
      <c r="G672" s="54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4"/>
      <c r="Y672" s="53"/>
      <c r="Z672" s="53"/>
      <c r="AA672" s="53"/>
      <c r="AB672" s="53"/>
      <c r="AC672" s="53"/>
      <c r="AD672" s="53"/>
      <c r="AE672" s="53"/>
      <c r="AF672" s="53"/>
      <c r="AG672" s="53"/>
      <c r="AH672" s="54"/>
      <c r="AI672" s="53"/>
      <c r="AJ672" s="53"/>
      <c r="AK672" s="54"/>
      <c r="AL672" s="54"/>
    </row>
    <row r="673" spans="1:38" ht="15.75" thickBot="1" x14ac:dyDescent="0.3">
      <c r="A673" s="51"/>
      <c r="B673" s="51"/>
      <c r="C673" s="51"/>
      <c r="D673" s="51"/>
      <c r="E673" s="51"/>
      <c r="F673" s="51"/>
      <c r="G673" s="56"/>
      <c r="H673" s="56"/>
      <c r="I673" s="55"/>
      <c r="J673" s="55"/>
      <c r="K673" s="55"/>
      <c r="L673" s="55"/>
      <c r="M673" s="56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  <c r="AA673" s="55"/>
      <c r="AB673" s="55"/>
      <c r="AC673" s="55"/>
      <c r="AD673" s="55"/>
      <c r="AE673" s="55"/>
      <c r="AF673" s="55"/>
      <c r="AG673" s="55"/>
      <c r="AH673" s="56"/>
      <c r="AI673" s="55"/>
      <c r="AJ673" s="55"/>
      <c r="AK673" s="56"/>
      <c r="AL673" s="56"/>
    </row>
    <row r="674" spans="1:38" ht="15.75" thickBot="1" x14ac:dyDescent="0.3">
      <c r="A674" s="51"/>
      <c r="B674" s="51"/>
      <c r="C674" s="51"/>
      <c r="D674" s="51"/>
      <c r="E674" s="51"/>
      <c r="F674" s="51"/>
      <c r="G674" s="54"/>
      <c r="H674" s="147"/>
      <c r="I674" s="53"/>
      <c r="J674" s="53"/>
      <c r="K674" s="53"/>
      <c r="L674" s="53"/>
      <c r="M674" s="54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4"/>
      <c r="AI674" s="53"/>
      <c r="AJ674" s="53"/>
      <c r="AK674" s="54"/>
      <c r="AL674" s="54"/>
    </row>
    <row r="675" spans="1:38" ht="15.75" thickBot="1" x14ac:dyDescent="0.3">
      <c r="A675" s="51"/>
      <c r="B675" s="51"/>
      <c r="C675" s="51"/>
      <c r="D675" s="51"/>
      <c r="E675" s="51"/>
      <c r="F675" s="51"/>
      <c r="G675" s="56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6"/>
      <c r="AB675" s="55"/>
      <c r="AC675" s="55"/>
      <c r="AD675" s="55"/>
      <c r="AE675" s="55"/>
      <c r="AF675" s="55"/>
      <c r="AG675" s="55"/>
      <c r="AH675" s="56"/>
      <c r="AI675" s="55"/>
      <c r="AJ675" s="55"/>
      <c r="AK675" s="56"/>
      <c r="AL675" s="56"/>
    </row>
    <row r="676" spans="1:38" ht="15.75" thickBot="1" x14ac:dyDescent="0.3">
      <c r="A676" s="51"/>
      <c r="B676" s="51"/>
      <c r="C676" s="51"/>
      <c r="D676" s="51"/>
      <c r="E676" s="51"/>
      <c r="F676" s="51"/>
      <c r="G676" s="54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4"/>
      <c r="AB676" s="53"/>
      <c r="AC676" s="53"/>
      <c r="AD676" s="53"/>
      <c r="AE676" s="53"/>
      <c r="AF676" s="53"/>
      <c r="AG676" s="53"/>
      <c r="AH676" s="54"/>
      <c r="AI676" s="53"/>
      <c r="AJ676" s="53"/>
      <c r="AK676" s="54"/>
      <c r="AL676" s="54"/>
    </row>
    <row r="677" spans="1:38" ht="15.75" thickBot="1" x14ac:dyDescent="0.3">
      <c r="A677" s="51"/>
      <c r="B677" s="51"/>
      <c r="C677" s="51"/>
      <c r="D677" s="51"/>
      <c r="E677" s="51"/>
      <c r="F677" s="51"/>
      <c r="G677" s="56"/>
      <c r="H677" s="55"/>
      <c r="I677" s="55"/>
      <c r="J677" s="55"/>
      <c r="K677" s="56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6"/>
      <c r="AI677" s="55"/>
      <c r="AJ677" s="55"/>
      <c r="AK677" s="56"/>
      <c r="AL677" s="56"/>
    </row>
    <row r="678" spans="1:38" ht="15.75" thickBot="1" x14ac:dyDescent="0.3">
      <c r="A678" s="51"/>
      <c r="B678" s="51"/>
      <c r="C678" s="51"/>
      <c r="D678" s="51"/>
      <c r="E678" s="51"/>
      <c r="F678" s="51"/>
      <c r="G678" s="54"/>
      <c r="H678" s="53"/>
      <c r="I678" s="53"/>
      <c r="J678" s="53"/>
      <c r="K678" s="54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4"/>
      <c r="AI678" s="53"/>
      <c r="AJ678" s="53"/>
      <c r="AK678" s="54"/>
      <c r="AL678" s="54"/>
    </row>
    <row r="679" spans="1:38" ht="15.75" thickBot="1" x14ac:dyDescent="0.3">
      <c r="A679" s="51"/>
      <c r="B679" s="51"/>
      <c r="C679" s="51"/>
      <c r="D679" s="51"/>
      <c r="E679" s="51"/>
      <c r="F679" s="51"/>
      <c r="G679" s="56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6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6"/>
      <c r="AI679" s="55"/>
      <c r="AJ679" s="55"/>
      <c r="AK679" s="56"/>
      <c r="AL679" s="56"/>
    </row>
    <row r="680" spans="1:38" ht="15.75" thickBot="1" x14ac:dyDescent="0.3">
      <c r="A680" s="51"/>
      <c r="B680" s="51"/>
      <c r="C680" s="51"/>
      <c r="D680" s="51"/>
      <c r="E680" s="51"/>
      <c r="F680" s="51"/>
      <c r="G680" s="54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4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4"/>
      <c r="AI680" s="53"/>
      <c r="AJ680" s="53"/>
      <c r="AK680" s="54"/>
      <c r="AL680" s="54"/>
    </row>
    <row r="681" spans="1:38" ht="15.75" thickBot="1" x14ac:dyDescent="0.3">
      <c r="A681" s="51"/>
      <c r="B681" s="51"/>
      <c r="C681" s="51"/>
      <c r="D681" s="51"/>
      <c r="E681" s="51"/>
      <c r="F681" s="51"/>
      <c r="G681" s="56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6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6"/>
      <c r="AI681" s="55"/>
      <c r="AJ681" s="55"/>
      <c r="AK681" s="56"/>
      <c r="AL681" s="56"/>
    </row>
    <row r="682" spans="1:38" ht="15.75" thickBot="1" x14ac:dyDescent="0.3">
      <c r="A682" s="51"/>
      <c r="B682" s="51"/>
      <c r="C682" s="51"/>
      <c r="D682" s="51"/>
      <c r="E682" s="51"/>
      <c r="F682" s="51"/>
      <c r="G682" s="54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4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4"/>
      <c r="AI682" s="53"/>
      <c r="AJ682" s="53"/>
      <c r="AK682" s="54"/>
      <c r="AL682" s="54"/>
    </row>
    <row r="683" spans="1:38" ht="15.75" thickBot="1" x14ac:dyDescent="0.3">
      <c r="A683" s="51"/>
      <c r="B683" s="51"/>
      <c r="C683" s="51"/>
      <c r="D683" s="51"/>
      <c r="E683" s="51"/>
      <c r="F683" s="51"/>
      <c r="G683" s="56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6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6"/>
      <c r="AI683" s="55"/>
      <c r="AJ683" s="55"/>
      <c r="AK683" s="56"/>
      <c r="AL683" s="56"/>
    </row>
    <row r="684" spans="1:38" ht="15.75" thickBot="1" x14ac:dyDescent="0.3">
      <c r="A684" s="51"/>
      <c r="B684" s="51"/>
      <c r="C684" s="51"/>
      <c r="D684" s="51"/>
      <c r="E684" s="51"/>
      <c r="F684" s="51"/>
      <c r="G684" s="54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4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4"/>
      <c r="AI684" s="53"/>
      <c r="AJ684" s="53"/>
      <c r="AK684" s="54"/>
      <c r="AL684" s="54"/>
    </row>
    <row r="685" spans="1:38" ht="15.75" thickBot="1" x14ac:dyDescent="0.3">
      <c r="A685" s="51"/>
      <c r="B685" s="51"/>
      <c r="C685" s="51"/>
      <c r="D685" s="51"/>
      <c r="E685" s="51"/>
      <c r="F685" s="51"/>
      <c r="G685" s="56"/>
      <c r="H685" s="55"/>
      <c r="I685" s="55"/>
      <c r="J685" s="55"/>
      <c r="K685" s="56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6"/>
      <c r="AI685" s="55"/>
      <c r="AJ685" s="55"/>
      <c r="AK685" s="56"/>
      <c r="AL685" s="56"/>
    </row>
    <row r="686" spans="1:38" ht="15.75" thickBot="1" x14ac:dyDescent="0.3">
      <c r="A686" s="51"/>
      <c r="B686" s="51"/>
      <c r="C686" s="51"/>
      <c r="D686" s="51"/>
      <c r="E686" s="51"/>
      <c r="F686" s="51"/>
      <c r="G686" s="54"/>
      <c r="H686" s="53"/>
      <c r="I686" s="53"/>
      <c r="J686" s="53"/>
      <c r="K686" s="54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4"/>
      <c r="AI686" s="53"/>
      <c r="AJ686" s="53"/>
      <c r="AK686" s="54"/>
      <c r="AL686" s="54"/>
    </row>
    <row r="687" spans="1:38" ht="15.75" thickBot="1" x14ac:dyDescent="0.3">
      <c r="A687" s="51"/>
      <c r="B687" s="51"/>
      <c r="C687" s="51"/>
      <c r="D687" s="51"/>
      <c r="E687" s="51"/>
      <c r="F687" s="51"/>
      <c r="G687" s="56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6"/>
      <c r="X687" s="55"/>
      <c r="Y687" s="55"/>
      <c r="Z687" s="55"/>
      <c r="AA687" s="55"/>
      <c r="AB687" s="55"/>
      <c r="AC687" s="55"/>
      <c r="AD687" s="55"/>
      <c r="AE687" s="55"/>
      <c r="AF687" s="55"/>
      <c r="AG687" s="55"/>
      <c r="AH687" s="56"/>
      <c r="AI687" s="55"/>
      <c r="AJ687" s="55"/>
      <c r="AK687" s="56"/>
      <c r="AL687" s="56"/>
    </row>
    <row r="688" spans="1:38" ht="15.75" thickBot="1" x14ac:dyDescent="0.3">
      <c r="A688" s="51"/>
      <c r="B688" s="51"/>
      <c r="C688" s="51"/>
      <c r="D688" s="51"/>
      <c r="E688" s="51"/>
      <c r="F688" s="51"/>
      <c r="G688" s="54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4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4"/>
      <c r="AI688" s="53"/>
      <c r="AJ688" s="53"/>
      <c r="AK688" s="54"/>
      <c r="AL688" s="54"/>
    </row>
    <row r="689" spans="1:38" ht="15.75" thickBot="1" x14ac:dyDescent="0.3">
      <c r="A689" s="51"/>
      <c r="B689" s="51"/>
      <c r="C689" s="51"/>
      <c r="D689" s="51"/>
      <c r="E689" s="51"/>
      <c r="F689" s="51"/>
      <c r="G689" s="56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6"/>
      <c r="Y689" s="55"/>
      <c r="Z689" s="55"/>
      <c r="AA689" s="55"/>
      <c r="AB689" s="55"/>
      <c r="AC689" s="55"/>
      <c r="AD689" s="55"/>
      <c r="AE689" s="55"/>
      <c r="AF689" s="55"/>
      <c r="AG689" s="55"/>
      <c r="AH689" s="56"/>
      <c r="AI689" s="55"/>
      <c r="AJ689" s="55"/>
      <c r="AK689" s="56"/>
      <c r="AL689" s="56"/>
    </row>
    <row r="690" spans="1:38" ht="15.75" thickBot="1" x14ac:dyDescent="0.3">
      <c r="A690" s="51"/>
      <c r="B690" s="51"/>
      <c r="C690" s="51"/>
      <c r="D690" s="51"/>
      <c r="E690" s="51"/>
      <c r="F690" s="51"/>
      <c r="G690" s="54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4"/>
      <c r="Y690" s="53"/>
      <c r="Z690" s="53"/>
      <c r="AA690" s="53"/>
      <c r="AB690" s="53"/>
      <c r="AC690" s="53"/>
      <c r="AD690" s="53"/>
      <c r="AE690" s="53"/>
      <c r="AF690" s="53"/>
      <c r="AG690" s="53"/>
      <c r="AH690" s="54"/>
      <c r="AI690" s="53"/>
      <c r="AJ690" s="53"/>
      <c r="AK690" s="54"/>
      <c r="AL690" s="54"/>
    </row>
    <row r="691" spans="1:38" ht="15.75" thickBot="1" x14ac:dyDescent="0.3">
      <c r="A691" s="51"/>
      <c r="B691" s="51"/>
      <c r="C691" s="51"/>
      <c r="D691" s="51"/>
      <c r="E691" s="51"/>
      <c r="F691" s="51"/>
      <c r="G691" s="56"/>
      <c r="H691" s="55"/>
      <c r="I691" s="55"/>
      <c r="J691" s="55"/>
      <c r="K691" s="56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  <c r="AA691" s="55"/>
      <c r="AB691" s="55"/>
      <c r="AC691" s="55"/>
      <c r="AD691" s="55"/>
      <c r="AE691" s="55"/>
      <c r="AF691" s="55"/>
      <c r="AG691" s="55"/>
      <c r="AH691" s="56"/>
      <c r="AI691" s="55"/>
      <c r="AJ691" s="55"/>
      <c r="AK691" s="56"/>
      <c r="AL691" s="56"/>
    </row>
    <row r="692" spans="1:38" ht="15.75" thickBot="1" x14ac:dyDescent="0.3">
      <c r="A692" s="51"/>
      <c r="B692" s="51"/>
      <c r="C692" s="51"/>
      <c r="D692" s="51"/>
      <c r="E692" s="51"/>
      <c r="F692" s="51"/>
      <c r="G692" s="54"/>
      <c r="H692" s="53"/>
      <c r="I692" s="53"/>
      <c r="J692" s="53"/>
      <c r="K692" s="54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4"/>
      <c r="AI692" s="53"/>
      <c r="AJ692" s="53"/>
      <c r="AK692" s="54"/>
      <c r="AL692" s="54"/>
    </row>
    <row r="693" spans="1:38" ht="15.75" thickBot="1" x14ac:dyDescent="0.3">
      <c r="A693" s="51"/>
      <c r="B693" s="51"/>
      <c r="C693" s="51"/>
      <c r="D693" s="51"/>
      <c r="E693" s="51"/>
      <c r="F693" s="51"/>
      <c r="G693" s="56"/>
      <c r="H693" s="55"/>
      <c r="I693" s="55"/>
      <c r="J693" s="55"/>
      <c r="K693" s="55"/>
      <c r="L693" s="56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  <c r="AA693" s="55"/>
      <c r="AB693" s="55"/>
      <c r="AC693" s="55"/>
      <c r="AD693" s="55"/>
      <c r="AE693" s="55"/>
      <c r="AF693" s="55"/>
      <c r="AG693" s="55"/>
      <c r="AH693" s="56"/>
      <c r="AI693" s="55"/>
      <c r="AJ693" s="55"/>
      <c r="AK693" s="56"/>
      <c r="AL693" s="56"/>
    </row>
    <row r="694" spans="1:38" ht="15.75" thickBot="1" x14ac:dyDescent="0.3">
      <c r="A694" s="51"/>
      <c r="B694" s="51"/>
      <c r="C694" s="51"/>
      <c r="D694" s="51"/>
      <c r="E694" s="51"/>
      <c r="F694" s="51"/>
      <c r="G694" s="54"/>
      <c r="H694" s="53"/>
      <c r="I694" s="53"/>
      <c r="J694" s="53"/>
      <c r="K694" s="53"/>
      <c r="L694" s="54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4"/>
      <c r="AI694" s="53"/>
      <c r="AJ694" s="53"/>
      <c r="AK694" s="54"/>
      <c r="AL694" s="54"/>
    </row>
    <row r="695" spans="1:38" ht="15.75" thickBot="1" x14ac:dyDescent="0.3">
      <c r="A695" s="51"/>
      <c r="B695" s="51"/>
      <c r="C695" s="51"/>
      <c r="D695" s="51"/>
      <c r="E695" s="51"/>
      <c r="F695" s="51"/>
      <c r="G695" s="56"/>
      <c r="H695" s="56"/>
      <c r="I695" s="55"/>
      <c r="J695" s="55"/>
      <c r="K695" s="55"/>
      <c r="L695" s="55"/>
      <c r="M695" s="56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  <c r="AA695" s="55"/>
      <c r="AB695" s="55"/>
      <c r="AC695" s="55"/>
      <c r="AD695" s="55"/>
      <c r="AE695" s="55"/>
      <c r="AF695" s="55"/>
      <c r="AG695" s="55"/>
      <c r="AH695" s="56"/>
      <c r="AI695" s="55"/>
      <c r="AJ695" s="55"/>
      <c r="AK695" s="56"/>
      <c r="AL695" s="56"/>
    </row>
    <row r="696" spans="1:38" ht="15.75" thickBot="1" x14ac:dyDescent="0.3">
      <c r="A696" s="51"/>
      <c r="B696" s="51"/>
      <c r="C696" s="51"/>
      <c r="D696" s="51"/>
      <c r="E696" s="51"/>
      <c r="F696" s="51"/>
      <c r="G696" s="54"/>
      <c r="H696" s="147"/>
      <c r="I696" s="53"/>
      <c r="J696" s="53"/>
      <c r="K696" s="53"/>
      <c r="L696" s="53"/>
      <c r="M696" s="54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4"/>
      <c r="AI696" s="53"/>
      <c r="AJ696" s="53"/>
      <c r="AK696" s="54"/>
      <c r="AL696" s="54"/>
    </row>
    <row r="697" spans="1:38" ht="15.75" thickBot="1" x14ac:dyDescent="0.3">
      <c r="A697" s="51"/>
      <c r="B697" s="51"/>
      <c r="C697" s="51"/>
      <c r="D697" s="51"/>
      <c r="E697" s="51"/>
      <c r="F697" s="51"/>
      <c r="G697" s="56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6"/>
      <c r="AA697" s="55"/>
      <c r="AB697" s="55"/>
      <c r="AC697" s="55"/>
      <c r="AD697" s="55"/>
      <c r="AE697" s="55"/>
      <c r="AF697" s="55"/>
      <c r="AG697" s="55"/>
      <c r="AH697" s="56"/>
      <c r="AI697" s="55"/>
      <c r="AJ697" s="55"/>
      <c r="AK697" s="56"/>
      <c r="AL697" s="56"/>
    </row>
    <row r="698" spans="1:38" ht="15.75" thickBot="1" x14ac:dyDescent="0.3">
      <c r="A698" s="51"/>
      <c r="B698" s="51"/>
      <c r="C698" s="51"/>
      <c r="D698" s="51"/>
      <c r="E698" s="51"/>
      <c r="F698" s="51"/>
      <c r="G698" s="54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4"/>
      <c r="AA698" s="53"/>
      <c r="AB698" s="53"/>
      <c r="AC698" s="53"/>
      <c r="AD698" s="53"/>
      <c r="AE698" s="53"/>
      <c r="AF698" s="53"/>
      <c r="AG698" s="53"/>
      <c r="AH698" s="54"/>
      <c r="AI698" s="53"/>
      <c r="AJ698" s="53"/>
      <c r="AK698" s="54"/>
      <c r="AL698" s="54"/>
    </row>
    <row r="699" spans="1:38" ht="15.75" thickBot="1" x14ac:dyDescent="0.3">
      <c r="A699" s="51"/>
      <c r="B699" s="51"/>
      <c r="C699" s="51"/>
      <c r="D699" s="51"/>
      <c r="E699" s="51"/>
      <c r="F699" s="51"/>
      <c r="G699" s="56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  <c r="AA699" s="56"/>
      <c r="AB699" s="55"/>
      <c r="AC699" s="55"/>
      <c r="AD699" s="55"/>
      <c r="AE699" s="55"/>
      <c r="AF699" s="55"/>
      <c r="AG699" s="55"/>
      <c r="AH699" s="56"/>
      <c r="AI699" s="55"/>
      <c r="AJ699" s="55"/>
      <c r="AK699" s="56"/>
      <c r="AL699" s="56"/>
    </row>
    <row r="700" spans="1:38" ht="15.75" thickBot="1" x14ac:dyDescent="0.3">
      <c r="A700" s="51"/>
      <c r="B700" s="51"/>
      <c r="C700" s="51"/>
      <c r="D700" s="51"/>
      <c r="E700" s="51"/>
      <c r="F700" s="51"/>
      <c r="G700" s="54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4"/>
      <c r="AB700" s="53"/>
      <c r="AC700" s="53"/>
      <c r="AD700" s="53"/>
      <c r="AE700" s="53"/>
      <c r="AF700" s="53"/>
      <c r="AG700" s="53"/>
      <c r="AH700" s="54"/>
      <c r="AI700" s="53"/>
      <c r="AJ700" s="53"/>
      <c r="AK700" s="54"/>
      <c r="AL700" s="54"/>
    </row>
    <row r="701" spans="1:38" ht="15.75" thickBot="1" x14ac:dyDescent="0.3">
      <c r="A701" s="51"/>
      <c r="B701" s="51"/>
      <c r="C701" s="51"/>
      <c r="D701" s="51"/>
      <c r="E701" s="51"/>
      <c r="F701" s="51"/>
      <c r="G701" s="56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6"/>
      <c r="S701" s="55"/>
      <c r="T701" s="55"/>
      <c r="U701" s="55"/>
      <c r="V701" s="55"/>
      <c r="W701" s="55"/>
      <c r="X701" s="55"/>
      <c r="Y701" s="55"/>
      <c r="Z701" s="55"/>
      <c r="AA701" s="55"/>
      <c r="AB701" s="55"/>
      <c r="AC701" s="55"/>
      <c r="AD701" s="55"/>
      <c r="AE701" s="55"/>
      <c r="AF701" s="55"/>
      <c r="AG701" s="55"/>
      <c r="AH701" s="56"/>
      <c r="AI701" s="55"/>
      <c r="AJ701" s="55"/>
      <c r="AK701" s="56"/>
      <c r="AL701" s="56"/>
    </row>
    <row r="702" spans="1:38" ht="15.75" thickBot="1" x14ac:dyDescent="0.3">
      <c r="A702" s="51"/>
      <c r="B702" s="51"/>
      <c r="C702" s="51"/>
      <c r="D702" s="51"/>
      <c r="E702" s="51"/>
      <c r="F702" s="51"/>
      <c r="G702" s="54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4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4"/>
      <c r="AI702" s="53"/>
      <c r="AJ702" s="53"/>
      <c r="AK702" s="54"/>
      <c r="AL702" s="54"/>
    </row>
    <row r="703" spans="1:38" ht="15.75" thickBot="1" x14ac:dyDescent="0.3">
      <c r="A703" s="51"/>
      <c r="B703" s="51"/>
      <c r="C703" s="51"/>
      <c r="D703" s="51"/>
      <c r="E703" s="51"/>
      <c r="F703" s="51"/>
      <c r="G703" s="56"/>
      <c r="H703" s="55"/>
      <c r="I703" s="55"/>
      <c r="J703" s="55"/>
      <c r="K703" s="56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  <c r="AA703" s="55"/>
      <c r="AB703" s="55"/>
      <c r="AC703" s="55"/>
      <c r="AD703" s="55"/>
      <c r="AE703" s="55"/>
      <c r="AF703" s="55"/>
      <c r="AG703" s="55"/>
      <c r="AH703" s="56"/>
      <c r="AI703" s="55"/>
      <c r="AJ703" s="55"/>
      <c r="AK703" s="56"/>
      <c r="AL703" s="56"/>
    </row>
    <row r="704" spans="1:38" ht="15.75" thickBot="1" x14ac:dyDescent="0.3">
      <c r="A704" s="51"/>
      <c r="B704" s="51"/>
      <c r="C704" s="51"/>
      <c r="D704" s="51"/>
      <c r="E704" s="51"/>
      <c r="F704" s="51"/>
      <c r="G704" s="54"/>
      <c r="H704" s="53"/>
      <c r="I704" s="53"/>
      <c r="J704" s="53"/>
      <c r="K704" s="54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4"/>
      <c r="AI704" s="53"/>
      <c r="AJ704" s="53"/>
      <c r="AK704" s="54"/>
      <c r="AL704" s="54"/>
    </row>
    <row r="705" spans="1:38" ht="15.75" thickBot="1" x14ac:dyDescent="0.3">
      <c r="A705" s="51"/>
      <c r="B705" s="51"/>
      <c r="C705" s="51"/>
      <c r="D705" s="51"/>
      <c r="E705" s="51"/>
      <c r="F705" s="51"/>
      <c r="G705" s="56"/>
      <c r="H705" s="56"/>
      <c r="I705" s="55"/>
      <c r="J705" s="55"/>
      <c r="K705" s="55"/>
      <c r="L705" s="55"/>
      <c r="M705" s="56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  <c r="AA705" s="55"/>
      <c r="AB705" s="55"/>
      <c r="AC705" s="55"/>
      <c r="AD705" s="55"/>
      <c r="AE705" s="55"/>
      <c r="AF705" s="55"/>
      <c r="AG705" s="55"/>
      <c r="AH705" s="56"/>
      <c r="AI705" s="55"/>
      <c r="AJ705" s="55"/>
      <c r="AK705" s="56"/>
      <c r="AL705" s="56"/>
    </row>
    <row r="706" spans="1:38" ht="15.75" thickBot="1" x14ac:dyDescent="0.3">
      <c r="A706" s="51"/>
      <c r="B706" s="51"/>
      <c r="C706" s="51"/>
      <c r="D706" s="51"/>
      <c r="E706" s="51"/>
      <c r="F706" s="51"/>
      <c r="G706" s="54"/>
      <c r="H706" s="147"/>
      <c r="I706" s="53"/>
      <c r="J706" s="53"/>
      <c r="K706" s="53"/>
      <c r="L706" s="53"/>
      <c r="M706" s="54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4"/>
      <c r="AI706" s="53"/>
      <c r="AJ706" s="53"/>
      <c r="AK706" s="54"/>
      <c r="AL706" s="54"/>
    </row>
    <row r="707" spans="1:38" ht="15.75" thickBot="1" x14ac:dyDescent="0.3">
      <c r="A707" s="51"/>
      <c r="B707" s="51"/>
      <c r="C707" s="51"/>
      <c r="D707" s="51"/>
      <c r="E707" s="51"/>
      <c r="F707" s="51"/>
      <c r="G707" s="56"/>
      <c r="H707" s="55"/>
      <c r="I707" s="55"/>
      <c r="J707" s="55"/>
      <c r="K707" s="55"/>
      <c r="L707" s="55"/>
      <c r="M707" s="55"/>
      <c r="N707" s="55"/>
      <c r="O707" s="55"/>
      <c r="P707" s="55"/>
      <c r="Q707" s="56"/>
      <c r="R707" s="55"/>
      <c r="S707" s="55"/>
      <c r="T707" s="55"/>
      <c r="U707" s="55"/>
      <c r="V707" s="55"/>
      <c r="W707" s="55"/>
      <c r="X707" s="55"/>
      <c r="Y707" s="55"/>
      <c r="Z707" s="55"/>
      <c r="AA707" s="55"/>
      <c r="AB707" s="55"/>
      <c r="AC707" s="55"/>
      <c r="AD707" s="55"/>
      <c r="AE707" s="55"/>
      <c r="AF707" s="55"/>
      <c r="AG707" s="55"/>
      <c r="AH707" s="56"/>
      <c r="AI707" s="55"/>
      <c r="AJ707" s="55"/>
      <c r="AK707" s="56"/>
      <c r="AL707" s="56"/>
    </row>
    <row r="708" spans="1:38" ht="15.75" thickBot="1" x14ac:dyDescent="0.3">
      <c r="A708" s="51"/>
      <c r="B708" s="51"/>
      <c r="C708" s="51"/>
      <c r="D708" s="51"/>
      <c r="E708" s="51"/>
      <c r="F708" s="51"/>
      <c r="G708" s="54"/>
      <c r="H708" s="53"/>
      <c r="I708" s="53"/>
      <c r="J708" s="53"/>
      <c r="K708" s="53"/>
      <c r="L708" s="53"/>
      <c r="M708" s="53"/>
      <c r="N708" s="53"/>
      <c r="O708" s="53"/>
      <c r="P708" s="53"/>
      <c r="Q708" s="54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4"/>
      <c r="AI708" s="53"/>
      <c r="AJ708" s="53"/>
      <c r="AK708" s="54"/>
      <c r="AL708" s="54"/>
    </row>
    <row r="709" spans="1:38" ht="15.75" thickBot="1" x14ac:dyDescent="0.3">
      <c r="A709" s="51"/>
      <c r="B709" s="51"/>
      <c r="C709" s="51"/>
      <c r="D709" s="51"/>
      <c r="E709" s="51"/>
      <c r="F709" s="51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  <c r="AA709" s="55"/>
      <c r="AB709" s="55"/>
      <c r="AC709" s="55"/>
      <c r="AD709" s="55"/>
      <c r="AE709" s="55"/>
      <c r="AF709" s="56"/>
      <c r="AG709" s="55"/>
      <c r="AH709" s="56"/>
      <c r="AI709" s="55"/>
      <c r="AJ709" s="55"/>
      <c r="AK709" s="56"/>
      <c r="AL709" s="56"/>
    </row>
    <row r="710" spans="1:38" ht="15.75" thickBot="1" x14ac:dyDescent="0.3">
      <c r="A710" s="51"/>
      <c r="B710" s="51"/>
      <c r="C710" s="51"/>
      <c r="D710" s="51"/>
      <c r="E710" s="51"/>
      <c r="F710" s="51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4"/>
      <c r="AG710" s="53"/>
      <c r="AH710" s="54"/>
      <c r="AI710" s="53"/>
      <c r="AJ710" s="53"/>
      <c r="AK710" s="54"/>
      <c r="AL710" s="54"/>
    </row>
    <row r="711" spans="1:38" ht="15.75" thickBot="1" x14ac:dyDescent="0.3">
      <c r="A711" s="51"/>
      <c r="B711" s="51"/>
      <c r="C711" s="51"/>
      <c r="D711" s="51"/>
      <c r="E711" s="51"/>
      <c r="F711" s="51"/>
      <c r="G711" s="56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6"/>
      <c r="AA711" s="55"/>
      <c r="AB711" s="55"/>
      <c r="AC711" s="55"/>
      <c r="AD711" s="55"/>
      <c r="AE711" s="55"/>
      <c r="AF711" s="55"/>
      <c r="AG711" s="55"/>
      <c r="AH711" s="56"/>
      <c r="AI711" s="55"/>
      <c r="AJ711" s="55"/>
      <c r="AK711" s="56"/>
      <c r="AL711" s="56"/>
    </row>
    <row r="712" spans="1:38" ht="15.75" thickBot="1" x14ac:dyDescent="0.3">
      <c r="A712" s="51"/>
      <c r="B712" s="51"/>
      <c r="C712" s="51"/>
      <c r="D712" s="51"/>
      <c r="E712" s="51"/>
      <c r="F712" s="51"/>
      <c r="G712" s="54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4"/>
      <c r="AA712" s="53"/>
      <c r="AB712" s="53"/>
      <c r="AC712" s="53"/>
      <c r="AD712" s="53"/>
      <c r="AE712" s="53"/>
      <c r="AF712" s="53"/>
      <c r="AG712" s="53"/>
      <c r="AH712" s="54"/>
      <c r="AI712" s="53"/>
      <c r="AJ712" s="53"/>
      <c r="AK712" s="54"/>
      <c r="AL712" s="54"/>
    </row>
    <row r="713" spans="1:38" ht="15.75" thickBot="1" x14ac:dyDescent="0.3">
      <c r="A713" s="51"/>
      <c r="B713" s="51"/>
      <c r="C713" s="51"/>
      <c r="D713" s="51"/>
      <c r="E713" s="51"/>
      <c r="F713" s="51"/>
      <c r="G713" s="56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6"/>
      <c r="AB713" s="55"/>
      <c r="AC713" s="55"/>
      <c r="AD713" s="55"/>
      <c r="AE713" s="55"/>
      <c r="AF713" s="55"/>
      <c r="AG713" s="55"/>
      <c r="AH713" s="56"/>
      <c r="AI713" s="55"/>
      <c r="AJ713" s="55"/>
      <c r="AK713" s="56"/>
      <c r="AL713" s="56"/>
    </row>
    <row r="714" spans="1:38" ht="15.75" thickBot="1" x14ac:dyDescent="0.3">
      <c r="A714" s="51"/>
      <c r="B714" s="51"/>
      <c r="C714" s="51"/>
      <c r="D714" s="51"/>
      <c r="E714" s="51"/>
      <c r="F714" s="51"/>
      <c r="G714" s="54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4"/>
      <c r="AB714" s="53"/>
      <c r="AC714" s="53"/>
      <c r="AD714" s="53"/>
      <c r="AE714" s="53"/>
      <c r="AF714" s="53"/>
      <c r="AG714" s="53"/>
      <c r="AH714" s="54"/>
      <c r="AI714" s="53"/>
      <c r="AJ714" s="53"/>
      <c r="AK714" s="54"/>
      <c r="AL714" s="54"/>
    </row>
    <row r="715" spans="1:38" ht="15.75" thickBot="1" x14ac:dyDescent="0.3">
      <c r="A715" s="51"/>
      <c r="B715" s="51"/>
      <c r="C715" s="51"/>
      <c r="D715" s="51"/>
      <c r="E715" s="51"/>
      <c r="F715" s="51"/>
      <c r="G715" s="56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6"/>
      <c r="S715" s="55"/>
      <c r="T715" s="55"/>
      <c r="U715" s="55"/>
      <c r="V715" s="55"/>
      <c r="W715" s="55"/>
      <c r="X715" s="55"/>
      <c r="Y715" s="55"/>
      <c r="Z715" s="55"/>
      <c r="AA715" s="55"/>
      <c r="AB715" s="55"/>
      <c r="AC715" s="55"/>
      <c r="AD715" s="55"/>
      <c r="AE715" s="55"/>
      <c r="AF715" s="55"/>
      <c r="AG715" s="55"/>
      <c r="AH715" s="56"/>
      <c r="AI715" s="55"/>
      <c r="AJ715" s="55"/>
      <c r="AK715" s="56"/>
      <c r="AL715" s="56"/>
    </row>
    <row r="716" spans="1:38" ht="15.75" thickBot="1" x14ac:dyDescent="0.3">
      <c r="A716" s="51"/>
      <c r="B716" s="51"/>
      <c r="C716" s="51"/>
      <c r="D716" s="51"/>
      <c r="E716" s="51"/>
      <c r="F716" s="51"/>
      <c r="G716" s="54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4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4"/>
      <c r="AI716" s="53"/>
      <c r="AJ716" s="53"/>
      <c r="AK716" s="54"/>
      <c r="AL716" s="54"/>
    </row>
    <row r="717" spans="1:38" ht="15.75" thickBot="1" x14ac:dyDescent="0.3">
      <c r="A717" s="51"/>
      <c r="B717" s="51"/>
      <c r="C717" s="51"/>
      <c r="D717" s="51"/>
      <c r="E717" s="51"/>
      <c r="F717" s="51"/>
      <c r="G717" s="56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  <c r="AA717" s="55"/>
      <c r="AB717" s="56"/>
      <c r="AC717" s="56"/>
      <c r="AD717" s="55"/>
      <c r="AE717" s="55"/>
      <c r="AF717" s="55"/>
      <c r="AG717" s="55"/>
      <c r="AH717" s="56"/>
      <c r="AI717" s="55"/>
      <c r="AJ717" s="55"/>
      <c r="AK717" s="56"/>
      <c r="AL717" s="56"/>
    </row>
    <row r="718" spans="1:38" ht="15.75" thickBot="1" x14ac:dyDescent="0.3">
      <c r="A718" s="51"/>
      <c r="B718" s="51"/>
      <c r="C718" s="51"/>
      <c r="D718" s="51"/>
      <c r="E718" s="51"/>
      <c r="F718" s="51"/>
      <c r="G718" s="54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4"/>
      <c r="AC718" s="54"/>
      <c r="AD718" s="53"/>
      <c r="AE718" s="53"/>
      <c r="AF718" s="53"/>
      <c r="AG718" s="53"/>
      <c r="AH718" s="54"/>
      <c r="AI718" s="53"/>
      <c r="AJ718" s="53"/>
      <c r="AK718" s="54"/>
      <c r="AL718" s="54"/>
    </row>
    <row r="719" spans="1:38" ht="15.75" thickBot="1" x14ac:dyDescent="0.3">
      <c r="A719" s="51"/>
      <c r="B719" s="51"/>
      <c r="C719" s="51"/>
      <c r="D719" s="51"/>
      <c r="E719" s="51"/>
      <c r="F719" s="51"/>
      <c r="G719" s="56"/>
      <c r="H719" s="55"/>
      <c r="I719" s="55"/>
      <c r="J719" s="55"/>
      <c r="K719" s="56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6"/>
      <c r="AI719" s="55"/>
      <c r="AJ719" s="55"/>
      <c r="AK719" s="56"/>
      <c r="AL719" s="56"/>
    </row>
    <row r="720" spans="1:38" ht="15.75" thickBot="1" x14ac:dyDescent="0.3">
      <c r="A720" s="51"/>
      <c r="B720" s="51"/>
      <c r="C720" s="51"/>
      <c r="D720" s="51"/>
      <c r="E720" s="51"/>
      <c r="F720" s="51"/>
      <c r="G720" s="54"/>
      <c r="H720" s="53"/>
      <c r="I720" s="53"/>
      <c r="J720" s="53"/>
      <c r="K720" s="54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4"/>
      <c r="AI720" s="53"/>
      <c r="AJ720" s="53"/>
      <c r="AK720" s="54"/>
      <c r="AL720" s="54"/>
    </row>
    <row r="721" spans="1:38" ht="15.75" thickBot="1" x14ac:dyDescent="0.3">
      <c r="A721" s="51"/>
      <c r="B721" s="51"/>
      <c r="C721" s="51"/>
      <c r="D721" s="51"/>
      <c r="E721" s="51"/>
      <c r="F721" s="51"/>
      <c r="G721" s="56"/>
      <c r="H721" s="56"/>
      <c r="I721" s="55"/>
      <c r="J721" s="55"/>
      <c r="K721" s="55"/>
      <c r="L721" s="55"/>
      <c r="M721" s="56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  <c r="AA721" s="55"/>
      <c r="AB721" s="55"/>
      <c r="AC721" s="55"/>
      <c r="AD721" s="55"/>
      <c r="AE721" s="55"/>
      <c r="AF721" s="55"/>
      <c r="AG721" s="55"/>
      <c r="AH721" s="56"/>
      <c r="AI721" s="55"/>
      <c r="AJ721" s="55"/>
      <c r="AK721" s="56"/>
      <c r="AL721" s="56"/>
    </row>
    <row r="722" spans="1:38" ht="15.75" thickBot="1" x14ac:dyDescent="0.3">
      <c r="A722" s="51"/>
      <c r="B722" s="51"/>
      <c r="C722" s="51"/>
      <c r="D722" s="51"/>
      <c r="E722" s="51"/>
      <c r="F722" s="51"/>
      <c r="G722" s="54"/>
      <c r="H722" s="147"/>
      <c r="I722" s="53"/>
      <c r="J722" s="53"/>
      <c r="K722" s="53"/>
      <c r="L722" s="53"/>
      <c r="M722" s="54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4"/>
      <c r="AI722" s="53"/>
      <c r="AJ722" s="53"/>
      <c r="AK722" s="54"/>
      <c r="AL722" s="54"/>
    </row>
    <row r="723" spans="1:38" ht="15.75" thickBot="1" x14ac:dyDescent="0.3">
      <c r="A723" s="51"/>
      <c r="B723" s="51"/>
      <c r="C723" s="51"/>
      <c r="D723" s="51"/>
      <c r="E723" s="51"/>
      <c r="F723" s="51"/>
      <c r="G723" s="56"/>
      <c r="H723" s="55"/>
      <c r="I723" s="55"/>
      <c r="J723" s="55"/>
      <c r="K723" s="55"/>
      <c r="L723" s="55"/>
      <c r="M723" s="55"/>
      <c r="N723" s="55"/>
      <c r="O723" s="55"/>
      <c r="P723" s="55"/>
      <c r="Q723" s="56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6"/>
      <c r="AI723" s="55"/>
      <c r="AJ723" s="55"/>
      <c r="AK723" s="56"/>
      <c r="AL723" s="56"/>
    </row>
    <row r="724" spans="1:38" ht="15.75" thickBot="1" x14ac:dyDescent="0.3">
      <c r="A724" s="51"/>
      <c r="B724" s="51"/>
      <c r="C724" s="51"/>
      <c r="D724" s="51"/>
      <c r="E724" s="51"/>
      <c r="F724" s="51"/>
      <c r="G724" s="54"/>
      <c r="H724" s="53"/>
      <c r="I724" s="53"/>
      <c r="J724" s="53"/>
      <c r="K724" s="53"/>
      <c r="L724" s="53"/>
      <c r="M724" s="53"/>
      <c r="N724" s="53"/>
      <c r="O724" s="53"/>
      <c r="P724" s="53"/>
      <c r="Q724" s="54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4"/>
      <c r="AI724" s="53"/>
      <c r="AJ724" s="53"/>
      <c r="AK724" s="54"/>
      <c r="AL724" s="54"/>
    </row>
    <row r="725" spans="1:38" ht="15.75" thickBot="1" x14ac:dyDescent="0.3">
      <c r="A725" s="51"/>
      <c r="B725" s="51"/>
      <c r="C725" s="51"/>
      <c r="D725" s="51"/>
      <c r="E725" s="51"/>
      <c r="F725" s="51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6"/>
      <c r="AG725" s="55"/>
      <c r="AH725" s="56"/>
      <c r="AI725" s="55"/>
      <c r="AJ725" s="55"/>
      <c r="AK725" s="56"/>
      <c r="AL725" s="56"/>
    </row>
    <row r="726" spans="1:38" ht="15.75" thickBot="1" x14ac:dyDescent="0.3">
      <c r="A726" s="51"/>
      <c r="B726" s="51"/>
      <c r="C726" s="51"/>
      <c r="D726" s="51"/>
      <c r="E726" s="51"/>
      <c r="F726" s="51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4"/>
      <c r="AG726" s="53"/>
      <c r="AH726" s="54"/>
      <c r="AI726" s="53"/>
      <c r="AJ726" s="53"/>
      <c r="AK726" s="54"/>
      <c r="AL726" s="54"/>
    </row>
    <row r="727" spans="1:38" ht="15.75" thickBot="1" x14ac:dyDescent="0.3">
      <c r="A727" s="51"/>
      <c r="B727" s="51"/>
      <c r="C727" s="51"/>
      <c r="D727" s="51"/>
      <c r="E727" s="51"/>
      <c r="F727" s="51"/>
      <c r="G727" s="56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6"/>
      <c r="AA727" s="55"/>
      <c r="AB727" s="55"/>
      <c r="AC727" s="55"/>
      <c r="AD727" s="55"/>
      <c r="AE727" s="55"/>
      <c r="AF727" s="55"/>
      <c r="AG727" s="55"/>
      <c r="AH727" s="56"/>
      <c r="AI727" s="55"/>
      <c r="AJ727" s="55"/>
      <c r="AK727" s="56"/>
      <c r="AL727" s="56"/>
    </row>
    <row r="728" spans="1:38" ht="15.75" thickBot="1" x14ac:dyDescent="0.3">
      <c r="A728" s="51"/>
      <c r="B728" s="51"/>
      <c r="C728" s="51"/>
      <c r="D728" s="51"/>
      <c r="E728" s="51"/>
      <c r="F728" s="51"/>
      <c r="G728" s="54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4"/>
      <c r="AA728" s="53"/>
      <c r="AB728" s="53"/>
      <c r="AC728" s="53"/>
      <c r="AD728" s="53"/>
      <c r="AE728" s="53"/>
      <c r="AF728" s="53"/>
      <c r="AG728" s="53"/>
      <c r="AH728" s="54"/>
      <c r="AI728" s="53"/>
      <c r="AJ728" s="53"/>
      <c r="AK728" s="54"/>
      <c r="AL728" s="54"/>
    </row>
    <row r="729" spans="1:38" ht="15.75" thickBot="1" x14ac:dyDescent="0.3">
      <c r="A729" s="51"/>
      <c r="B729" s="51"/>
      <c r="C729" s="51"/>
      <c r="D729" s="51"/>
      <c r="E729" s="51"/>
      <c r="F729" s="51"/>
      <c r="G729" s="56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  <c r="AA729" s="56"/>
      <c r="AB729" s="55"/>
      <c r="AC729" s="55"/>
      <c r="AD729" s="55"/>
      <c r="AE729" s="55"/>
      <c r="AF729" s="55"/>
      <c r="AG729" s="55"/>
      <c r="AH729" s="56"/>
      <c r="AI729" s="55"/>
      <c r="AJ729" s="55"/>
      <c r="AK729" s="56"/>
      <c r="AL729" s="56"/>
    </row>
    <row r="730" spans="1:38" ht="15.75" thickBot="1" x14ac:dyDescent="0.3">
      <c r="A730" s="51"/>
      <c r="B730" s="51"/>
      <c r="C730" s="51"/>
      <c r="D730" s="51"/>
      <c r="E730" s="51"/>
      <c r="F730" s="51"/>
      <c r="G730" s="54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4"/>
      <c r="AB730" s="53"/>
      <c r="AC730" s="53"/>
      <c r="AD730" s="53"/>
      <c r="AE730" s="53"/>
      <c r="AF730" s="53"/>
      <c r="AG730" s="53"/>
      <c r="AH730" s="54"/>
      <c r="AI730" s="53"/>
      <c r="AJ730" s="53"/>
      <c r="AK730" s="54"/>
      <c r="AL730" s="54"/>
    </row>
    <row r="731" spans="1:38" ht="15.75" thickBot="1" x14ac:dyDescent="0.3">
      <c r="A731" s="51"/>
      <c r="B731" s="51"/>
      <c r="C731" s="51"/>
      <c r="D731" s="51"/>
      <c r="E731" s="51"/>
      <c r="F731" s="51"/>
      <c r="G731" s="56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6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6"/>
      <c r="AI731" s="55"/>
      <c r="AJ731" s="55"/>
      <c r="AK731" s="56"/>
      <c r="AL731" s="56"/>
    </row>
    <row r="732" spans="1:38" ht="15.75" thickBot="1" x14ac:dyDescent="0.3">
      <c r="A732" s="51"/>
      <c r="B732" s="51"/>
      <c r="C732" s="51"/>
      <c r="D732" s="51"/>
      <c r="E732" s="51"/>
      <c r="F732" s="51"/>
      <c r="G732" s="54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4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4"/>
      <c r="AI732" s="53"/>
      <c r="AJ732" s="53"/>
      <c r="AK732" s="54"/>
      <c r="AL732" s="54"/>
    </row>
    <row r="733" spans="1:38" ht="15.75" thickBot="1" x14ac:dyDescent="0.3">
      <c r="A733" s="51"/>
      <c r="B733" s="51"/>
      <c r="C733" s="51"/>
      <c r="D733" s="51"/>
      <c r="E733" s="51"/>
      <c r="F733" s="51"/>
      <c r="G733" s="56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  <c r="AA733" s="55"/>
      <c r="AB733" s="56"/>
      <c r="AC733" s="56"/>
      <c r="AD733" s="55"/>
      <c r="AE733" s="55"/>
      <c r="AF733" s="55"/>
      <c r="AG733" s="55"/>
      <c r="AH733" s="56"/>
      <c r="AI733" s="55"/>
      <c r="AJ733" s="55"/>
      <c r="AK733" s="56"/>
      <c r="AL733" s="56"/>
    </row>
    <row r="734" spans="1:38" ht="15.75" thickBot="1" x14ac:dyDescent="0.3">
      <c r="A734" s="51"/>
      <c r="B734" s="51"/>
      <c r="C734" s="51"/>
      <c r="D734" s="51"/>
      <c r="E734" s="51"/>
      <c r="F734" s="51"/>
      <c r="G734" s="54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4"/>
      <c r="AC734" s="54"/>
      <c r="AD734" s="53"/>
      <c r="AE734" s="53"/>
      <c r="AF734" s="53"/>
      <c r="AG734" s="53"/>
      <c r="AH734" s="54"/>
      <c r="AI734" s="53"/>
      <c r="AJ734" s="53"/>
      <c r="AK734" s="54"/>
      <c r="AL734" s="54"/>
    </row>
    <row r="735" spans="1:38" ht="15.75" thickBot="1" x14ac:dyDescent="0.3">
      <c r="A735" s="51"/>
      <c r="B735" s="51"/>
      <c r="C735" s="51"/>
      <c r="D735" s="51"/>
      <c r="E735" s="51"/>
      <c r="F735" s="51"/>
      <c r="G735" s="56"/>
      <c r="H735" s="55"/>
      <c r="I735" s="55"/>
      <c r="J735" s="55"/>
      <c r="K735" s="56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  <c r="AA735" s="55"/>
      <c r="AB735" s="55"/>
      <c r="AC735" s="55"/>
      <c r="AD735" s="55"/>
      <c r="AE735" s="55"/>
      <c r="AF735" s="55"/>
      <c r="AG735" s="55"/>
      <c r="AH735" s="56"/>
      <c r="AI735" s="55"/>
      <c r="AJ735" s="55"/>
      <c r="AK735" s="56"/>
      <c r="AL735" s="56"/>
    </row>
    <row r="736" spans="1:38" ht="15.75" thickBot="1" x14ac:dyDescent="0.3">
      <c r="A736" s="51"/>
      <c r="B736" s="51"/>
      <c r="C736" s="51"/>
      <c r="D736" s="51"/>
      <c r="E736" s="51"/>
      <c r="F736" s="51"/>
      <c r="G736" s="54"/>
      <c r="H736" s="53"/>
      <c r="I736" s="53"/>
      <c r="J736" s="53"/>
      <c r="K736" s="54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4"/>
      <c r="AI736" s="53"/>
      <c r="AJ736" s="53"/>
      <c r="AK736" s="54"/>
      <c r="AL736" s="54"/>
    </row>
    <row r="737" spans="1:38" ht="15.75" thickBot="1" x14ac:dyDescent="0.3">
      <c r="A737" s="51"/>
      <c r="B737" s="51"/>
      <c r="C737" s="51"/>
      <c r="D737" s="51"/>
      <c r="E737" s="51"/>
      <c r="F737" s="51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  <c r="AA737" s="55"/>
      <c r="AB737" s="55"/>
      <c r="AC737" s="55"/>
      <c r="AD737" s="55"/>
      <c r="AE737" s="55"/>
      <c r="AF737" s="55"/>
      <c r="AG737" s="56"/>
      <c r="AH737" s="56"/>
      <c r="AI737" s="55"/>
      <c r="AJ737" s="55"/>
      <c r="AK737" s="56"/>
      <c r="AL737" s="56"/>
    </row>
    <row r="738" spans="1:38" ht="15.75" thickBot="1" x14ac:dyDescent="0.3">
      <c r="A738" s="51"/>
      <c r="B738" s="51"/>
      <c r="C738" s="51"/>
      <c r="D738" s="51"/>
      <c r="E738" s="51"/>
      <c r="F738" s="51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4"/>
      <c r="AH738" s="54"/>
      <c r="AI738" s="53"/>
      <c r="AJ738" s="53"/>
      <c r="AK738" s="54"/>
      <c r="AL738" s="54"/>
    </row>
    <row r="739" spans="1:38" ht="15.75" thickBot="1" x14ac:dyDescent="0.3">
      <c r="A739" s="51"/>
      <c r="B739" s="51"/>
      <c r="C739" s="51"/>
      <c r="D739" s="51"/>
      <c r="E739" s="51"/>
      <c r="F739" s="51"/>
      <c r="G739" s="56"/>
      <c r="H739" s="55"/>
      <c r="I739" s="55"/>
      <c r="J739" s="55"/>
      <c r="K739" s="56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  <c r="AA739" s="55"/>
      <c r="AB739" s="55"/>
      <c r="AC739" s="55"/>
      <c r="AD739" s="55"/>
      <c r="AE739" s="55"/>
      <c r="AF739" s="55"/>
      <c r="AG739" s="55"/>
      <c r="AH739" s="56"/>
      <c r="AI739" s="55"/>
      <c r="AJ739" s="55"/>
      <c r="AK739" s="56"/>
      <c r="AL739" s="56"/>
    </row>
    <row r="740" spans="1:38" ht="15.75" thickBot="1" x14ac:dyDescent="0.3">
      <c r="A740" s="51"/>
      <c r="B740" s="51"/>
      <c r="C740" s="51"/>
      <c r="D740" s="51"/>
      <c r="E740" s="51"/>
      <c r="F740" s="51"/>
      <c r="G740" s="54"/>
      <c r="H740" s="53"/>
      <c r="I740" s="53"/>
      <c r="J740" s="53"/>
      <c r="K740" s="54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4"/>
      <c r="AI740" s="53"/>
      <c r="AJ740" s="53"/>
      <c r="AK740" s="54"/>
      <c r="AL740" s="54"/>
    </row>
    <row r="741" spans="1:38" ht="15.75" thickBot="1" x14ac:dyDescent="0.3">
      <c r="A741" s="51"/>
      <c r="B741" s="51"/>
      <c r="C741" s="51"/>
      <c r="D741" s="51"/>
      <c r="E741" s="51"/>
      <c r="F741" s="51"/>
      <c r="G741" s="56"/>
      <c r="H741" s="56"/>
      <c r="I741" s="55"/>
      <c r="J741" s="55"/>
      <c r="K741" s="55"/>
      <c r="L741" s="55"/>
      <c r="M741" s="56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  <c r="AA741" s="55"/>
      <c r="AB741" s="55"/>
      <c r="AC741" s="55"/>
      <c r="AD741" s="55"/>
      <c r="AE741" s="55"/>
      <c r="AF741" s="55"/>
      <c r="AG741" s="55"/>
      <c r="AH741" s="56"/>
      <c r="AI741" s="55"/>
      <c r="AJ741" s="55"/>
      <c r="AK741" s="56"/>
      <c r="AL741" s="56"/>
    </row>
    <row r="742" spans="1:38" ht="15.75" thickBot="1" x14ac:dyDescent="0.3">
      <c r="A742" s="51"/>
      <c r="B742" s="51"/>
      <c r="C742" s="51"/>
      <c r="D742" s="51"/>
      <c r="E742" s="51"/>
      <c r="F742" s="51"/>
      <c r="G742" s="54"/>
      <c r="H742" s="147"/>
      <c r="I742" s="53"/>
      <c r="J742" s="53"/>
      <c r="K742" s="53"/>
      <c r="L742" s="53"/>
      <c r="M742" s="54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4"/>
      <c r="AI742" s="53"/>
      <c r="AJ742" s="53"/>
      <c r="AK742" s="54"/>
      <c r="AL742" s="54"/>
    </row>
    <row r="743" spans="1:38" ht="15.75" thickBot="1" x14ac:dyDescent="0.3">
      <c r="A743" s="51"/>
      <c r="B743" s="51"/>
      <c r="C743" s="51"/>
      <c r="D743" s="51"/>
      <c r="E743" s="51"/>
      <c r="F743" s="51"/>
      <c r="G743" s="56"/>
      <c r="H743" s="55"/>
      <c r="I743" s="55"/>
      <c r="J743" s="55"/>
      <c r="K743" s="55"/>
      <c r="L743" s="55"/>
      <c r="M743" s="55"/>
      <c r="N743" s="55"/>
      <c r="O743" s="55"/>
      <c r="P743" s="55"/>
      <c r="Q743" s="56"/>
      <c r="R743" s="55"/>
      <c r="S743" s="55"/>
      <c r="T743" s="55"/>
      <c r="U743" s="55"/>
      <c r="V743" s="55"/>
      <c r="W743" s="55"/>
      <c r="X743" s="55"/>
      <c r="Y743" s="55"/>
      <c r="Z743" s="55"/>
      <c r="AA743" s="55"/>
      <c r="AB743" s="55"/>
      <c r="AC743" s="55"/>
      <c r="AD743" s="55"/>
      <c r="AE743" s="55"/>
      <c r="AF743" s="55"/>
      <c r="AG743" s="55"/>
      <c r="AH743" s="56"/>
      <c r="AI743" s="55"/>
      <c r="AJ743" s="55"/>
      <c r="AK743" s="56"/>
      <c r="AL743" s="56"/>
    </row>
    <row r="744" spans="1:38" ht="15.75" thickBot="1" x14ac:dyDescent="0.3">
      <c r="A744" s="51"/>
      <c r="B744" s="51"/>
      <c r="C744" s="51"/>
      <c r="D744" s="51"/>
      <c r="E744" s="51"/>
      <c r="F744" s="51"/>
      <c r="G744" s="54"/>
      <c r="H744" s="53"/>
      <c r="I744" s="53"/>
      <c r="J744" s="53"/>
      <c r="K744" s="53"/>
      <c r="L744" s="53"/>
      <c r="M744" s="53"/>
      <c r="N744" s="53"/>
      <c r="O744" s="53"/>
      <c r="P744" s="53"/>
      <c r="Q744" s="54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4"/>
      <c r="AI744" s="53"/>
      <c r="AJ744" s="53"/>
      <c r="AK744" s="54"/>
      <c r="AL744" s="54"/>
    </row>
    <row r="745" spans="1:38" ht="15.75" thickBot="1" x14ac:dyDescent="0.3">
      <c r="A745" s="51"/>
      <c r="B745" s="51"/>
      <c r="C745" s="51"/>
      <c r="D745" s="51"/>
      <c r="E745" s="51"/>
      <c r="F745" s="51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  <c r="AE745" s="55"/>
      <c r="AF745" s="56"/>
      <c r="AG745" s="55"/>
      <c r="AH745" s="56"/>
      <c r="AI745" s="55"/>
      <c r="AJ745" s="55"/>
      <c r="AK745" s="56"/>
      <c r="AL745" s="56"/>
    </row>
    <row r="746" spans="1:38" ht="15.75" thickBot="1" x14ac:dyDescent="0.3">
      <c r="A746" s="51"/>
      <c r="B746" s="51"/>
      <c r="C746" s="51"/>
      <c r="D746" s="51"/>
      <c r="E746" s="51"/>
      <c r="F746" s="51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4"/>
      <c r="AG746" s="53"/>
      <c r="AH746" s="54"/>
      <c r="AI746" s="53"/>
      <c r="AJ746" s="53"/>
      <c r="AK746" s="54"/>
      <c r="AL746" s="54"/>
    </row>
    <row r="747" spans="1:38" ht="15.75" thickBot="1" x14ac:dyDescent="0.3">
      <c r="A747" s="51"/>
      <c r="B747" s="51"/>
      <c r="C747" s="51"/>
      <c r="D747" s="51"/>
      <c r="E747" s="51"/>
      <c r="F747" s="51"/>
      <c r="G747" s="56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6"/>
      <c r="AA747" s="55"/>
      <c r="AB747" s="55"/>
      <c r="AC747" s="55"/>
      <c r="AD747" s="55"/>
      <c r="AE747" s="55"/>
      <c r="AF747" s="55"/>
      <c r="AG747" s="55"/>
      <c r="AH747" s="56"/>
      <c r="AI747" s="55"/>
      <c r="AJ747" s="55"/>
      <c r="AK747" s="56"/>
      <c r="AL747" s="56"/>
    </row>
    <row r="748" spans="1:38" ht="15.75" thickBot="1" x14ac:dyDescent="0.3">
      <c r="A748" s="51"/>
      <c r="B748" s="51"/>
      <c r="C748" s="51"/>
      <c r="D748" s="51"/>
      <c r="E748" s="51"/>
      <c r="F748" s="51"/>
      <c r="G748" s="54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4"/>
      <c r="AA748" s="53"/>
      <c r="AB748" s="53"/>
      <c r="AC748" s="53"/>
      <c r="AD748" s="53"/>
      <c r="AE748" s="53"/>
      <c r="AF748" s="53"/>
      <c r="AG748" s="53"/>
      <c r="AH748" s="54"/>
      <c r="AI748" s="53"/>
      <c r="AJ748" s="53"/>
      <c r="AK748" s="54"/>
      <c r="AL748" s="54"/>
    </row>
    <row r="749" spans="1:38" ht="15.75" thickBot="1" x14ac:dyDescent="0.3">
      <c r="A749" s="51"/>
      <c r="B749" s="51"/>
      <c r="C749" s="51"/>
      <c r="D749" s="51"/>
      <c r="E749" s="51"/>
      <c r="F749" s="51"/>
      <c r="G749" s="56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6"/>
      <c r="AA749" s="55"/>
      <c r="AB749" s="55"/>
      <c r="AC749" s="55"/>
      <c r="AD749" s="55"/>
      <c r="AE749" s="55"/>
      <c r="AF749" s="55"/>
      <c r="AG749" s="55"/>
      <c r="AH749" s="56"/>
      <c r="AI749" s="55"/>
      <c r="AJ749" s="55"/>
      <c r="AK749" s="56"/>
      <c r="AL749" s="56"/>
    </row>
    <row r="750" spans="1:38" ht="15.75" thickBot="1" x14ac:dyDescent="0.3">
      <c r="A750" s="51"/>
      <c r="B750" s="51"/>
      <c r="C750" s="51"/>
      <c r="D750" s="51"/>
      <c r="E750" s="51"/>
      <c r="F750" s="51"/>
      <c r="G750" s="54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4"/>
      <c r="AA750" s="53"/>
      <c r="AB750" s="53"/>
      <c r="AC750" s="53"/>
      <c r="AD750" s="53"/>
      <c r="AE750" s="53"/>
      <c r="AF750" s="53"/>
      <c r="AG750" s="53"/>
      <c r="AH750" s="54"/>
      <c r="AI750" s="53"/>
      <c r="AJ750" s="53"/>
      <c r="AK750" s="54"/>
      <c r="AL750" s="54"/>
    </row>
    <row r="751" spans="1:38" ht="15.75" thickBot="1" x14ac:dyDescent="0.3">
      <c r="A751" s="51"/>
      <c r="B751" s="51"/>
      <c r="C751" s="51"/>
      <c r="D751" s="51"/>
      <c r="E751" s="51"/>
      <c r="F751" s="51"/>
      <c r="G751" s="56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  <c r="AA751" s="56"/>
      <c r="AB751" s="55"/>
      <c r="AC751" s="55"/>
      <c r="AD751" s="55"/>
      <c r="AE751" s="55"/>
      <c r="AF751" s="55"/>
      <c r="AG751" s="55"/>
      <c r="AH751" s="56"/>
      <c r="AI751" s="55"/>
      <c r="AJ751" s="55"/>
      <c r="AK751" s="56"/>
      <c r="AL751" s="56"/>
    </row>
    <row r="752" spans="1:38" ht="15.75" thickBot="1" x14ac:dyDescent="0.3">
      <c r="A752" s="51"/>
      <c r="B752" s="51"/>
      <c r="C752" s="51"/>
      <c r="D752" s="51"/>
      <c r="E752" s="51"/>
      <c r="F752" s="51"/>
      <c r="G752" s="54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4"/>
      <c r="AB752" s="53"/>
      <c r="AC752" s="53"/>
      <c r="AD752" s="53"/>
      <c r="AE752" s="53"/>
      <c r="AF752" s="53"/>
      <c r="AG752" s="53"/>
      <c r="AH752" s="54"/>
      <c r="AI752" s="53"/>
      <c r="AJ752" s="53"/>
      <c r="AK752" s="54"/>
      <c r="AL752" s="54"/>
    </row>
    <row r="753" spans="1:38" ht="15.75" thickBot="1" x14ac:dyDescent="0.3">
      <c r="A753" s="51"/>
      <c r="B753" s="51"/>
      <c r="C753" s="51"/>
      <c r="D753" s="51"/>
      <c r="E753" s="51"/>
      <c r="F753" s="51"/>
      <c r="G753" s="56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6"/>
      <c r="S753" s="55"/>
      <c r="T753" s="55"/>
      <c r="U753" s="55"/>
      <c r="V753" s="55"/>
      <c r="W753" s="55"/>
      <c r="X753" s="55"/>
      <c r="Y753" s="55"/>
      <c r="Z753" s="55"/>
      <c r="AA753" s="55"/>
      <c r="AB753" s="55"/>
      <c r="AC753" s="55"/>
      <c r="AD753" s="55"/>
      <c r="AE753" s="55"/>
      <c r="AF753" s="55"/>
      <c r="AG753" s="55"/>
      <c r="AH753" s="56"/>
      <c r="AI753" s="55"/>
      <c r="AJ753" s="55"/>
      <c r="AK753" s="56"/>
      <c r="AL753" s="56"/>
    </row>
    <row r="754" spans="1:38" ht="15.75" thickBot="1" x14ac:dyDescent="0.3">
      <c r="A754" s="51"/>
      <c r="B754" s="51"/>
      <c r="C754" s="51"/>
      <c r="D754" s="51"/>
      <c r="E754" s="51"/>
      <c r="F754" s="51"/>
      <c r="G754" s="54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4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4"/>
      <c r="AI754" s="53"/>
      <c r="AJ754" s="53"/>
      <c r="AK754" s="54"/>
      <c r="AL754" s="54"/>
    </row>
    <row r="755" spans="1:38" ht="15.75" thickBot="1" x14ac:dyDescent="0.3">
      <c r="A755" s="51"/>
      <c r="B755" s="51"/>
      <c r="C755" s="51"/>
      <c r="D755" s="51"/>
      <c r="E755" s="51"/>
      <c r="F755" s="51"/>
      <c r="G755" s="56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6"/>
      <c r="AC755" s="56"/>
      <c r="AD755" s="55"/>
      <c r="AE755" s="55"/>
      <c r="AF755" s="55"/>
      <c r="AG755" s="55"/>
      <c r="AH755" s="56"/>
      <c r="AI755" s="55"/>
      <c r="AJ755" s="55"/>
      <c r="AK755" s="56"/>
      <c r="AL755" s="56"/>
    </row>
    <row r="756" spans="1:38" ht="15.75" thickBot="1" x14ac:dyDescent="0.3">
      <c r="A756" s="51"/>
      <c r="B756" s="51"/>
      <c r="C756" s="51"/>
      <c r="D756" s="51"/>
      <c r="E756" s="51"/>
      <c r="F756" s="51"/>
      <c r="G756" s="54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4"/>
      <c r="AC756" s="54"/>
      <c r="AD756" s="53"/>
      <c r="AE756" s="53"/>
      <c r="AF756" s="53"/>
      <c r="AG756" s="53"/>
      <c r="AH756" s="54"/>
      <c r="AI756" s="53"/>
      <c r="AJ756" s="53"/>
      <c r="AK756" s="54"/>
      <c r="AL756" s="54"/>
    </row>
    <row r="757" spans="1:38" ht="15.75" thickBot="1" x14ac:dyDescent="0.3">
      <c r="A757" s="51"/>
      <c r="B757" s="51"/>
      <c r="C757" s="51"/>
      <c r="D757" s="51"/>
      <c r="E757" s="51"/>
      <c r="F757" s="51"/>
      <c r="G757" s="56"/>
      <c r="H757" s="55"/>
      <c r="I757" s="55"/>
      <c r="J757" s="55"/>
      <c r="K757" s="56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6"/>
      <c r="AI757" s="55"/>
      <c r="AJ757" s="55"/>
      <c r="AK757" s="56"/>
      <c r="AL757" s="56"/>
    </row>
    <row r="758" spans="1:38" ht="15.75" thickBot="1" x14ac:dyDescent="0.3">
      <c r="A758" s="51"/>
      <c r="B758" s="51"/>
      <c r="C758" s="51"/>
      <c r="D758" s="51"/>
      <c r="E758" s="51"/>
      <c r="F758" s="51"/>
      <c r="G758" s="54"/>
      <c r="H758" s="53"/>
      <c r="I758" s="53"/>
      <c r="J758" s="53"/>
      <c r="K758" s="54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4"/>
      <c r="AI758" s="53"/>
      <c r="AJ758" s="53"/>
      <c r="AK758" s="54"/>
      <c r="AL758" s="54"/>
    </row>
    <row r="759" spans="1:38" ht="15.75" thickBot="1" x14ac:dyDescent="0.3">
      <c r="A759" s="51"/>
      <c r="B759" s="51"/>
      <c r="C759" s="51"/>
      <c r="D759" s="51"/>
      <c r="E759" s="51"/>
      <c r="F759" s="51"/>
      <c r="G759" s="56"/>
      <c r="H759" s="56"/>
      <c r="I759" s="55"/>
      <c r="J759" s="55"/>
      <c r="K759" s="55"/>
      <c r="L759" s="55"/>
      <c r="M759" s="56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  <c r="AA759" s="55"/>
      <c r="AB759" s="55"/>
      <c r="AC759" s="55"/>
      <c r="AD759" s="55"/>
      <c r="AE759" s="55"/>
      <c r="AF759" s="55"/>
      <c r="AG759" s="55"/>
      <c r="AH759" s="56"/>
      <c r="AI759" s="55"/>
      <c r="AJ759" s="55"/>
      <c r="AK759" s="56"/>
      <c r="AL759" s="56"/>
    </row>
    <row r="760" spans="1:38" ht="15.75" thickBot="1" x14ac:dyDescent="0.3">
      <c r="A760" s="51"/>
      <c r="B760" s="51"/>
      <c r="C760" s="51"/>
      <c r="D760" s="51"/>
      <c r="E760" s="51"/>
      <c r="F760" s="51"/>
      <c r="G760" s="54"/>
      <c r="H760" s="147"/>
      <c r="I760" s="53"/>
      <c r="J760" s="53"/>
      <c r="K760" s="53"/>
      <c r="L760" s="53"/>
      <c r="M760" s="54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4"/>
      <c r="AI760" s="53"/>
      <c r="AJ760" s="53"/>
      <c r="AK760" s="54"/>
      <c r="AL760" s="54"/>
    </row>
    <row r="761" spans="1:38" ht="15.75" thickBot="1" x14ac:dyDescent="0.3">
      <c r="A761" s="51"/>
      <c r="B761" s="51"/>
      <c r="C761" s="51"/>
      <c r="D761" s="51"/>
      <c r="E761" s="51"/>
      <c r="F761" s="51"/>
      <c r="G761" s="56"/>
      <c r="H761" s="55"/>
      <c r="I761" s="55"/>
      <c r="J761" s="55"/>
      <c r="K761" s="55"/>
      <c r="L761" s="55"/>
      <c r="M761" s="55"/>
      <c r="N761" s="55"/>
      <c r="O761" s="55"/>
      <c r="P761" s="55"/>
      <c r="Q761" s="56"/>
      <c r="R761" s="55"/>
      <c r="S761" s="55"/>
      <c r="T761" s="55"/>
      <c r="U761" s="55"/>
      <c r="V761" s="55"/>
      <c r="W761" s="55"/>
      <c r="X761" s="55"/>
      <c r="Y761" s="55"/>
      <c r="Z761" s="55"/>
      <c r="AA761" s="55"/>
      <c r="AB761" s="55"/>
      <c r="AC761" s="55"/>
      <c r="AD761" s="55"/>
      <c r="AE761" s="55"/>
      <c r="AF761" s="55"/>
      <c r="AG761" s="55"/>
      <c r="AH761" s="56"/>
      <c r="AI761" s="55"/>
      <c r="AJ761" s="55"/>
      <c r="AK761" s="56"/>
      <c r="AL761" s="56"/>
    </row>
    <row r="762" spans="1:38" ht="15.75" thickBot="1" x14ac:dyDescent="0.3">
      <c r="A762" s="51"/>
      <c r="B762" s="51"/>
      <c r="C762" s="51"/>
      <c r="D762" s="51"/>
      <c r="E762" s="51"/>
      <c r="F762" s="51"/>
      <c r="G762" s="54"/>
      <c r="H762" s="53"/>
      <c r="I762" s="53"/>
      <c r="J762" s="53"/>
      <c r="K762" s="53"/>
      <c r="L762" s="53"/>
      <c r="M762" s="53"/>
      <c r="N762" s="53"/>
      <c r="O762" s="53"/>
      <c r="P762" s="53"/>
      <c r="Q762" s="54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4"/>
      <c r="AI762" s="53"/>
      <c r="AJ762" s="53"/>
      <c r="AK762" s="54"/>
      <c r="AL762" s="54"/>
    </row>
    <row r="763" spans="1:38" ht="15.75" thickBot="1" x14ac:dyDescent="0.3">
      <c r="A763" s="51"/>
      <c r="B763" s="51"/>
      <c r="C763" s="51"/>
      <c r="D763" s="51"/>
      <c r="E763" s="51"/>
      <c r="F763" s="51"/>
      <c r="G763" s="56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6"/>
      <c r="AA763" s="55"/>
      <c r="AB763" s="55"/>
      <c r="AC763" s="55"/>
      <c r="AD763" s="55"/>
      <c r="AE763" s="55"/>
      <c r="AF763" s="55"/>
      <c r="AG763" s="55"/>
      <c r="AH763" s="56"/>
      <c r="AI763" s="55"/>
      <c r="AJ763" s="55"/>
      <c r="AK763" s="56"/>
      <c r="AL763" s="56"/>
    </row>
    <row r="764" spans="1:38" ht="15.75" thickBot="1" x14ac:dyDescent="0.3">
      <c r="A764" s="51"/>
      <c r="B764" s="51"/>
      <c r="C764" s="51"/>
      <c r="D764" s="51"/>
      <c r="E764" s="51"/>
      <c r="F764" s="51"/>
      <c r="G764" s="54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4"/>
      <c r="AA764" s="53"/>
      <c r="AB764" s="53"/>
      <c r="AC764" s="53"/>
      <c r="AD764" s="53"/>
      <c r="AE764" s="53"/>
      <c r="AF764" s="53"/>
      <c r="AG764" s="53"/>
      <c r="AH764" s="54"/>
      <c r="AI764" s="53"/>
      <c r="AJ764" s="53"/>
      <c r="AK764" s="54"/>
      <c r="AL764" s="54"/>
    </row>
    <row r="765" spans="1:38" ht="15.75" thickBot="1" x14ac:dyDescent="0.3">
      <c r="A765" s="51"/>
      <c r="B765" s="51"/>
      <c r="C765" s="51"/>
      <c r="D765" s="51"/>
      <c r="E765" s="51"/>
      <c r="F765" s="51"/>
      <c r="G765" s="56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  <c r="AA765" s="56"/>
      <c r="AB765" s="55"/>
      <c r="AC765" s="55"/>
      <c r="AD765" s="55"/>
      <c r="AE765" s="55"/>
      <c r="AF765" s="55"/>
      <c r="AG765" s="55"/>
      <c r="AH765" s="56"/>
      <c r="AI765" s="55"/>
      <c r="AJ765" s="55"/>
      <c r="AK765" s="56"/>
      <c r="AL765" s="56"/>
    </row>
    <row r="766" spans="1:38" ht="15.75" thickBot="1" x14ac:dyDescent="0.3">
      <c r="A766" s="51"/>
      <c r="B766" s="51"/>
      <c r="C766" s="51"/>
      <c r="D766" s="51"/>
      <c r="E766" s="51"/>
      <c r="F766" s="51"/>
      <c r="G766" s="54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4"/>
      <c r="AB766" s="53"/>
      <c r="AC766" s="53"/>
      <c r="AD766" s="53"/>
      <c r="AE766" s="53"/>
      <c r="AF766" s="53"/>
      <c r="AG766" s="53"/>
      <c r="AH766" s="54"/>
      <c r="AI766" s="53"/>
      <c r="AJ766" s="53"/>
      <c r="AK766" s="54"/>
      <c r="AL766" s="54"/>
    </row>
    <row r="767" spans="1:38" ht="15.75" thickBot="1" x14ac:dyDescent="0.3">
      <c r="A767" s="51"/>
      <c r="B767" s="51"/>
      <c r="C767" s="51"/>
      <c r="D767" s="51"/>
      <c r="E767" s="51"/>
      <c r="F767" s="51"/>
      <c r="G767" s="56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6"/>
      <c r="S767" s="55"/>
      <c r="T767" s="55"/>
      <c r="U767" s="55"/>
      <c r="V767" s="55"/>
      <c r="W767" s="55"/>
      <c r="X767" s="55"/>
      <c r="Y767" s="55"/>
      <c r="Z767" s="55"/>
      <c r="AA767" s="55"/>
      <c r="AB767" s="55"/>
      <c r="AC767" s="55"/>
      <c r="AD767" s="55"/>
      <c r="AE767" s="55"/>
      <c r="AF767" s="55"/>
      <c r="AG767" s="55"/>
      <c r="AH767" s="56"/>
      <c r="AI767" s="55"/>
      <c r="AJ767" s="55"/>
      <c r="AK767" s="56"/>
      <c r="AL767" s="56"/>
    </row>
    <row r="768" spans="1:38" ht="15.75" thickBot="1" x14ac:dyDescent="0.3">
      <c r="A768" s="51"/>
      <c r="B768" s="51"/>
      <c r="C768" s="51"/>
      <c r="D768" s="51"/>
      <c r="E768" s="51"/>
      <c r="F768" s="51"/>
      <c r="G768" s="54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4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4"/>
      <c r="AI768" s="53"/>
      <c r="AJ768" s="53"/>
      <c r="AK768" s="54"/>
      <c r="AL768" s="54"/>
    </row>
    <row r="769" spans="1:38" ht="15.75" thickBot="1" x14ac:dyDescent="0.3">
      <c r="A769" s="51"/>
      <c r="B769" s="51"/>
      <c r="C769" s="51"/>
      <c r="D769" s="51"/>
      <c r="E769" s="51"/>
      <c r="F769" s="51"/>
      <c r="G769" s="56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  <c r="AA769" s="55"/>
      <c r="AB769" s="56"/>
      <c r="AC769" s="56"/>
      <c r="AD769" s="55"/>
      <c r="AE769" s="55"/>
      <c r="AF769" s="55"/>
      <c r="AG769" s="55"/>
      <c r="AH769" s="56"/>
      <c r="AI769" s="55"/>
      <c r="AJ769" s="55"/>
      <c r="AK769" s="56"/>
      <c r="AL769" s="56"/>
    </row>
    <row r="770" spans="1:38" ht="15.75" thickBot="1" x14ac:dyDescent="0.3">
      <c r="A770" s="51"/>
      <c r="B770" s="51"/>
      <c r="C770" s="51"/>
      <c r="D770" s="51"/>
      <c r="E770" s="51"/>
      <c r="F770" s="51"/>
      <c r="G770" s="54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4"/>
      <c r="AC770" s="54"/>
      <c r="AD770" s="53"/>
      <c r="AE770" s="53"/>
      <c r="AF770" s="53"/>
      <c r="AG770" s="53"/>
      <c r="AH770" s="54"/>
      <c r="AI770" s="53"/>
      <c r="AJ770" s="53"/>
      <c r="AK770" s="54"/>
      <c r="AL770" s="54"/>
    </row>
    <row r="771" spans="1:38" ht="15.75" thickBot="1" x14ac:dyDescent="0.3">
      <c r="A771" s="51"/>
      <c r="B771" s="51"/>
      <c r="C771" s="51"/>
      <c r="D771" s="51"/>
      <c r="E771" s="51"/>
      <c r="F771" s="51"/>
      <c r="G771" s="56"/>
      <c r="H771" s="55"/>
      <c r="I771" s="55"/>
      <c r="J771" s="55"/>
      <c r="K771" s="56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  <c r="AA771" s="55"/>
      <c r="AB771" s="55"/>
      <c r="AC771" s="55"/>
      <c r="AD771" s="55"/>
      <c r="AE771" s="55"/>
      <c r="AF771" s="55"/>
      <c r="AG771" s="55"/>
      <c r="AH771" s="56"/>
      <c r="AI771" s="55"/>
      <c r="AJ771" s="55"/>
      <c r="AK771" s="56"/>
      <c r="AL771" s="56"/>
    </row>
    <row r="772" spans="1:38" ht="15.75" thickBot="1" x14ac:dyDescent="0.3">
      <c r="A772" s="51"/>
      <c r="B772" s="51"/>
      <c r="C772" s="51"/>
      <c r="D772" s="51"/>
      <c r="E772" s="51"/>
      <c r="F772" s="51"/>
      <c r="G772" s="54"/>
      <c r="H772" s="53"/>
      <c r="I772" s="53"/>
      <c r="J772" s="53"/>
      <c r="K772" s="54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4"/>
      <c r="AI772" s="53"/>
      <c r="AJ772" s="53"/>
      <c r="AK772" s="54"/>
      <c r="AL772" s="54"/>
    </row>
    <row r="773" spans="1:38" ht="15.75" thickBot="1" x14ac:dyDescent="0.3">
      <c r="A773" s="51"/>
      <c r="B773" s="51"/>
      <c r="C773" s="51"/>
      <c r="D773" s="51"/>
      <c r="E773" s="51"/>
      <c r="F773" s="51"/>
      <c r="G773" s="56"/>
      <c r="H773" s="56"/>
      <c r="I773" s="55"/>
      <c r="J773" s="55"/>
      <c r="K773" s="55"/>
      <c r="L773" s="55"/>
      <c r="M773" s="56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  <c r="AA773" s="55"/>
      <c r="AB773" s="55"/>
      <c r="AC773" s="55"/>
      <c r="AD773" s="55"/>
      <c r="AE773" s="55"/>
      <c r="AF773" s="55"/>
      <c r="AG773" s="55"/>
      <c r="AH773" s="56"/>
      <c r="AI773" s="55"/>
      <c r="AJ773" s="55"/>
      <c r="AK773" s="56"/>
      <c r="AL773" s="56"/>
    </row>
    <row r="774" spans="1:38" ht="15.75" thickBot="1" x14ac:dyDescent="0.3">
      <c r="A774" s="51"/>
      <c r="B774" s="51"/>
      <c r="C774" s="51"/>
      <c r="D774" s="51"/>
      <c r="E774" s="51"/>
      <c r="F774" s="51"/>
      <c r="G774" s="54"/>
      <c r="H774" s="147"/>
      <c r="I774" s="53"/>
      <c r="J774" s="53"/>
      <c r="K774" s="53"/>
      <c r="L774" s="53"/>
      <c r="M774" s="54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4"/>
      <c r="AI774" s="53"/>
      <c r="AJ774" s="53"/>
      <c r="AK774" s="54"/>
      <c r="AL774" s="54"/>
    </row>
    <row r="775" spans="1:38" ht="15.75" thickBot="1" x14ac:dyDescent="0.3">
      <c r="A775" s="51"/>
      <c r="B775" s="51"/>
      <c r="C775" s="51"/>
      <c r="D775" s="51"/>
      <c r="E775" s="51"/>
      <c r="F775" s="51"/>
      <c r="G775" s="56"/>
      <c r="H775" s="55"/>
      <c r="I775" s="55"/>
      <c r="J775" s="55"/>
      <c r="K775" s="55"/>
      <c r="L775" s="55"/>
      <c r="M775" s="55"/>
      <c r="N775" s="55"/>
      <c r="O775" s="55"/>
      <c r="P775" s="55"/>
      <c r="Q775" s="56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6"/>
      <c r="AI775" s="55"/>
      <c r="AJ775" s="55"/>
      <c r="AK775" s="56"/>
      <c r="AL775" s="56"/>
    </row>
    <row r="776" spans="1:38" ht="15.75" thickBot="1" x14ac:dyDescent="0.3">
      <c r="A776" s="51"/>
      <c r="B776" s="51"/>
      <c r="C776" s="51"/>
      <c r="D776" s="51"/>
      <c r="E776" s="51"/>
      <c r="F776" s="51"/>
      <c r="G776" s="54"/>
      <c r="H776" s="53"/>
      <c r="I776" s="53"/>
      <c r="J776" s="53"/>
      <c r="K776" s="53"/>
      <c r="L776" s="53"/>
      <c r="M776" s="53"/>
      <c r="N776" s="53"/>
      <c r="O776" s="53"/>
      <c r="P776" s="53"/>
      <c r="Q776" s="54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4"/>
      <c r="AI776" s="53"/>
      <c r="AJ776" s="53"/>
      <c r="AK776" s="54"/>
      <c r="AL776" s="54"/>
    </row>
    <row r="777" spans="1:38" ht="15.75" thickBot="1" x14ac:dyDescent="0.3">
      <c r="A777" s="51"/>
      <c r="B777" s="51"/>
      <c r="C777" s="51"/>
      <c r="D777" s="51"/>
      <c r="E777" s="51"/>
      <c r="F777" s="51"/>
      <c r="G777" s="56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6"/>
      <c r="AA777" s="55"/>
      <c r="AB777" s="55"/>
      <c r="AC777" s="55"/>
      <c r="AD777" s="55"/>
      <c r="AE777" s="55"/>
      <c r="AF777" s="55"/>
      <c r="AG777" s="55"/>
      <c r="AH777" s="56"/>
      <c r="AI777" s="55"/>
      <c r="AJ777" s="55"/>
      <c r="AK777" s="56"/>
      <c r="AL777" s="56"/>
    </row>
    <row r="778" spans="1:38" ht="15.75" thickBot="1" x14ac:dyDescent="0.3">
      <c r="A778" s="51"/>
      <c r="B778" s="51"/>
      <c r="C778" s="51"/>
      <c r="D778" s="51"/>
      <c r="E778" s="51"/>
      <c r="F778" s="51"/>
      <c r="G778" s="54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4"/>
      <c r="AA778" s="53"/>
      <c r="AB778" s="53"/>
      <c r="AC778" s="53"/>
      <c r="AD778" s="53"/>
      <c r="AE778" s="53"/>
      <c r="AF778" s="53"/>
      <c r="AG778" s="53"/>
      <c r="AH778" s="54"/>
      <c r="AI778" s="53"/>
      <c r="AJ778" s="53"/>
      <c r="AK778" s="54"/>
      <c r="AL778" s="54"/>
    </row>
    <row r="779" spans="1:38" ht="15.75" thickBot="1" x14ac:dyDescent="0.3">
      <c r="A779" s="51"/>
      <c r="B779" s="51"/>
      <c r="C779" s="51"/>
      <c r="D779" s="51"/>
      <c r="E779" s="51"/>
      <c r="F779" s="51"/>
      <c r="G779" s="56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  <c r="AA779" s="56"/>
      <c r="AB779" s="55"/>
      <c r="AC779" s="55"/>
      <c r="AD779" s="55"/>
      <c r="AE779" s="55"/>
      <c r="AF779" s="55"/>
      <c r="AG779" s="55"/>
      <c r="AH779" s="56"/>
      <c r="AI779" s="55"/>
      <c r="AJ779" s="55"/>
      <c r="AK779" s="56"/>
      <c r="AL779" s="56"/>
    </row>
    <row r="780" spans="1:38" ht="15.75" thickBot="1" x14ac:dyDescent="0.3">
      <c r="A780" s="51"/>
      <c r="B780" s="51"/>
      <c r="C780" s="51"/>
      <c r="D780" s="51"/>
      <c r="E780" s="51"/>
      <c r="F780" s="51"/>
      <c r="G780" s="54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4"/>
      <c r="AB780" s="53"/>
      <c r="AC780" s="53"/>
      <c r="AD780" s="53"/>
      <c r="AE780" s="53"/>
      <c r="AF780" s="53"/>
      <c r="AG780" s="53"/>
      <c r="AH780" s="54"/>
      <c r="AI780" s="53"/>
      <c r="AJ780" s="53"/>
      <c r="AK780" s="54"/>
      <c r="AL780" s="54"/>
    </row>
    <row r="781" spans="1:38" ht="15.75" thickBot="1" x14ac:dyDescent="0.3">
      <c r="A781" s="51"/>
      <c r="B781" s="51"/>
      <c r="C781" s="51"/>
      <c r="D781" s="51"/>
      <c r="E781" s="51"/>
      <c r="F781" s="51"/>
      <c r="G781" s="56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6"/>
      <c r="S781" s="55"/>
      <c r="T781" s="55"/>
      <c r="U781" s="55"/>
      <c r="V781" s="55"/>
      <c r="W781" s="55"/>
      <c r="X781" s="55"/>
      <c r="Y781" s="55"/>
      <c r="Z781" s="55"/>
      <c r="AA781" s="55"/>
      <c r="AB781" s="55"/>
      <c r="AC781" s="55"/>
      <c r="AD781" s="55"/>
      <c r="AE781" s="55"/>
      <c r="AF781" s="55"/>
      <c r="AG781" s="55"/>
      <c r="AH781" s="56"/>
      <c r="AI781" s="55"/>
      <c r="AJ781" s="55"/>
      <c r="AK781" s="56"/>
      <c r="AL781" s="56"/>
    </row>
    <row r="782" spans="1:38" ht="15.75" thickBot="1" x14ac:dyDescent="0.3">
      <c r="A782" s="51"/>
      <c r="B782" s="51"/>
      <c r="C782" s="51"/>
      <c r="D782" s="51"/>
      <c r="E782" s="51"/>
      <c r="F782" s="51"/>
      <c r="G782" s="54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4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4"/>
      <c r="AI782" s="53"/>
      <c r="AJ782" s="53"/>
      <c r="AK782" s="54"/>
      <c r="AL782" s="54"/>
    </row>
    <row r="783" spans="1:38" ht="15.75" thickBot="1" x14ac:dyDescent="0.3">
      <c r="A783" s="51"/>
      <c r="B783" s="51"/>
      <c r="C783" s="51"/>
      <c r="D783" s="51"/>
      <c r="E783" s="51"/>
      <c r="F783" s="51"/>
      <c r="G783" s="56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  <c r="AA783" s="55"/>
      <c r="AB783" s="56"/>
      <c r="AC783" s="56"/>
      <c r="AD783" s="55"/>
      <c r="AE783" s="55"/>
      <c r="AF783" s="55"/>
      <c r="AG783" s="55"/>
      <c r="AH783" s="56"/>
      <c r="AI783" s="55"/>
      <c r="AJ783" s="55"/>
      <c r="AK783" s="56"/>
      <c r="AL783" s="56"/>
    </row>
    <row r="784" spans="1:38" ht="15.75" thickBot="1" x14ac:dyDescent="0.3">
      <c r="A784" s="51"/>
      <c r="B784" s="51"/>
      <c r="C784" s="51"/>
      <c r="D784" s="51"/>
      <c r="E784" s="51"/>
      <c r="F784" s="51"/>
      <c r="G784" s="54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4"/>
      <c r="AC784" s="54"/>
      <c r="AD784" s="53"/>
      <c r="AE784" s="53"/>
      <c r="AF784" s="53"/>
      <c r="AG784" s="53"/>
      <c r="AH784" s="54"/>
      <c r="AI784" s="53"/>
      <c r="AJ784" s="53"/>
      <c r="AK784" s="54"/>
      <c r="AL784" s="54"/>
    </row>
    <row r="785" spans="1:38" ht="15.75" thickBot="1" x14ac:dyDescent="0.3">
      <c r="A785" s="51"/>
      <c r="B785" s="51"/>
      <c r="C785" s="51"/>
      <c r="D785" s="51"/>
      <c r="E785" s="51"/>
      <c r="F785" s="51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4"/>
      <c r="AH785" s="54"/>
      <c r="AI785" s="53"/>
      <c r="AJ785" s="53"/>
      <c r="AK785" s="54"/>
      <c r="AL785" s="54"/>
    </row>
    <row r="786" spans="1:38" ht="15.75" thickBot="1" x14ac:dyDescent="0.3">
      <c r="A786" s="51"/>
      <c r="B786" s="51"/>
      <c r="C786" s="51"/>
      <c r="D786" s="51"/>
      <c r="E786" s="51"/>
      <c r="F786" s="51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6"/>
      <c r="AH786" s="56"/>
      <c r="AI786" s="55"/>
      <c r="AJ786" s="55"/>
      <c r="AK786" s="56"/>
      <c r="AL786" s="56"/>
    </row>
    <row r="787" spans="1:38" ht="15.75" thickBot="1" x14ac:dyDescent="0.3">
      <c r="A787" s="51"/>
      <c r="B787" s="51"/>
      <c r="C787" s="51"/>
      <c r="D787" s="51"/>
      <c r="E787" s="51"/>
      <c r="F787" s="51"/>
      <c r="G787" s="54"/>
      <c r="H787" s="53"/>
      <c r="I787" s="53"/>
      <c r="J787" s="53"/>
      <c r="K787" s="54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4"/>
      <c r="AI787" s="53"/>
      <c r="AJ787" s="53"/>
      <c r="AK787" s="54"/>
      <c r="AL787" s="54"/>
    </row>
    <row r="788" spans="1:38" ht="15.75" thickBot="1" x14ac:dyDescent="0.3">
      <c r="A788" s="51"/>
      <c r="B788" s="51"/>
      <c r="C788" s="51"/>
      <c r="D788" s="51"/>
      <c r="E788" s="51"/>
      <c r="F788" s="51"/>
      <c r="G788" s="56"/>
      <c r="H788" s="55"/>
      <c r="I788" s="55"/>
      <c r="J788" s="55"/>
      <c r="K788" s="56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6"/>
      <c r="AI788" s="55"/>
      <c r="AJ788" s="55"/>
      <c r="AK788" s="56"/>
      <c r="AL788" s="56"/>
    </row>
    <row r="789" spans="1:38" ht="15.75" thickBot="1" x14ac:dyDescent="0.3">
      <c r="A789" s="51"/>
      <c r="B789" s="51"/>
      <c r="C789" s="51"/>
      <c r="D789" s="51"/>
      <c r="E789" s="51"/>
      <c r="F789" s="51"/>
      <c r="G789" s="54"/>
      <c r="H789" s="54"/>
      <c r="I789" s="53"/>
      <c r="J789" s="53"/>
      <c r="K789" s="53"/>
      <c r="L789" s="53"/>
      <c r="M789" s="54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4"/>
      <c r="AI789" s="53"/>
      <c r="AJ789" s="53"/>
      <c r="AK789" s="54"/>
      <c r="AL789" s="54"/>
    </row>
    <row r="790" spans="1:38" ht="15.75" thickBot="1" x14ac:dyDescent="0.3">
      <c r="A790" s="51"/>
      <c r="B790" s="51"/>
      <c r="C790" s="51"/>
      <c r="D790" s="51"/>
      <c r="E790" s="51"/>
      <c r="F790" s="51"/>
      <c r="G790" s="56"/>
      <c r="H790" s="148"/>
      <c r="I790" s="55"/>
      <c r="J790" s="55"/>
      <c r="K790" s="55"/>
      <c r="L790" s="55"/>
      <c r="M790" s="56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6"/>
      <c r="AI790" s="55"/>
      <c r="AJ790" s="55"/>
      <c r="AK790" s="56"/>
      <c r="AL790" s="56"/>
    </row>
    <row r="791" spans="1:38" ht="15.75" thickBot="1" x14ac:dyDescent="0.3">
      <c r="A791" s="51"/>
      <c r="B791" s="51"/>
      <c r="C791" s="51"/>
      <c r="D791" s="51"/>
      <c r="E791" s="51"/>
      <c r="F791" s="51"/>
      <c r="G791" s="54"/>
      <c r="H791" s="53"/>
      <c r="I791" s="53"/>
      <c r="J791" s="53"/>
      <c r="K791" s="53"/>
      <c r="L791" s="53"/>
      <c r="M791" s="53"/>
      <c r="N791" s="53"/>
      <c r="O791" s="53"/>
      <c r="P791" s="53"/>
      <c r="Q791" s="54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4"/>
      <c r="AI791" s="53"/>
      <c r="AJ791" s="53"/>
      <c r="AK791" s="54"/>
      <c r="AL791" s="54"/>
    </row>
    <row r="792" spans="1:38" ht="15.75" thickBot="1" x14ac:dyDescent="0.3">
      <c r="A792" s="51"/>
      <c r="B792" s="51"/>
      <c r="C792" s="51"/>
      <c r="D792" s="51"/>
      <c r="E792" s="51"/>
      <c r="F792" s="51"/>
      <c r="G792" s="56"/>
      <c r="H792" s="55"/>
      <c r="I792" s="55"/>
      <c r="J792" s="55"/>
      <c r="K792" s="55"/>
      <c r="L792" s="55"/>
      <c r="M792" s="55"/>
      <c r="N792" s="55"/>
      <c r="O792" s="55"/>
      <c r="P792" s="55"/>
      <c r="Q792" s="56"/>
      <c r="R792" s="55"/>
      <c r="S792" s="55"/>
      <c r="T792" s="55"/>
      <c r="U792" s="55"/>
      <c r="V792" s="55"/>
      <c r="W792" s="55"/>
      <c r="X792" s="55"/>
      <c r="Y792" s="55"/>
      <c r="Z792" s="55"/>
      <c r="AA792" s="55"/>
      <c r="AB792" s="55"/>
      <c r="AC792" s="55"/>
      <c r="AD792" s="55"/>
      <c r="AE792" s="55"/>
      <c r="AF792" s="55"/>
      <c r="AG792" s="55"/>
      <c r="AH792" s="56"/>
      <c r="AI792" s="55"/>
      <c r="AJ792" s="55"/>
      <c r="AK792" s="56"/>
      <c r="AL792" s="56"/>
    </row>
    <row r="793" spans="1:38" ht="15.75" thickBot="1" x14ac:dyDescent="0.3">
      <c r="A793" s="51"/>
      <c r="B793" s="51"/>
      <c r="C793" s="51"/>
      <c r="D793" s="51"/>
      <c r="E793" s="51"/>
      <c r="F793" s="51"/>
      <c r="G793" s="54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4"/>
      <c r="AA793" s="53"/>
      <c r="AB793" s="53"/>
      <c r="AC793" s="53"/>
      <c r="AD793" s="53"/>
      <c r="AE793" s="53"/>
      <c r="AF793" s="53"/>
      <c r="AG793" s="53"/>
      <c r="AH793" s="54"/>
      <c r="AI793" s="53"/>
      <c r="AJ793" s="53"/>
      <c r="AK793" s="54"/>
      <c r="AL793" s="54"/>
    </row>
    <row r="794" spans="1:38" ht="15.75" thickBot="1" x14ac:dyDescent="0.3">
      <c r="A794" s="51"/>
      <c r="B794" s="51"/>
      <c r="C794" s="51"/>
      <c r="D794" s="51"/>
      <c r="E794" s="51"/>
      <c r="F794" s="51"/>
      <c r="G794" s="56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6"/>
      <c r="AA794" s="55"/>
      <c r="AB794" s="55"/>
      <c r="AC794" s="55"/>
      <c r="AD794" s="55"/>
      <c r="AE794" s="55"/>
      <c r="AF794" s="55"/>
      <c r="AG794" s="55"/>
      <c r="AH794" s="56"/>
      <c r="AI794" s="55"/>
      <c r="AJ794" s="55"/>
      <c r="AK794" s="56"/>
      <c r="AL794" s="56"/>
    </row>
    <row r="795" spans="1:38" ht="15.75" thickBot="1" x14ac:dyDescent="0.3">
      <c r="A795" s="51"/>
      <c r="B795" s="51"/>
      <c r="C795" s="51"/>
      <c r="D795" s="51"/>
      <c r="E795" s="51"/>
      <c r="F795" s="51"/>
      <c r="G795" s="54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4"/>
      <c r="AA795" s="53"/>
      <c r="AB795" s="53"/>
      <c r="AC795" s="53"/>
      <c r="AD795" s="53"/>
      <c r="AE795" s="53"/>
      <c r="AF795" s="53"/>
      <c r="AG795" s="53"/>
      <c r="AH795" s="54"/>
      <c r="AI795" s="53"/>
      <c r="AJ795" s="53"/>
      <c r="AK795" s="54"/>
      <c r="AL795" s="54"/>
    </row>
    <row r="796" spans="1:38" ht="15.75" thickBot="1" x14ac:dyDescent="0.3">
      <c r="A796" s="51"/>
      <c r="B796" s="51"/>
      <c r="C796" s="51"/>
      <c r="D796" s="51"/>
      <c r="E796" s="51"/>
      <c r="F796" s="51"/>
      <c r="G796" s="56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6"/>
      <c r="AA796" s="55"/>
      <c r="AB796" s="55"/>
      <c r="AC796" s="55"/>
      <c r="AD796" s="55"/>
      <c r="AE796" s="55"/>
      <c r="AF796" s="55"/>
      <c r="AG796" s="55"/>
      <c r="AH796" s="56"/>
      <c r="AI796" s="55"/>
      <c r="AJ796" s="55"/>
      <c r="AK796" s="56"/>
      <c r="AL796" s="56"/>
    </row>
    <row r="797" spans="1:38" ht="15.75" thickBot="1" x14ac:dyDescent="0.3">
      <c r="A797" s="51"/>
      <c r="B797" s="51"/>
      <c r="C797" s="51"/>
      <c r="D797" s="51"/>
      <c r="E797" s="51"/>
      <c r="F797" s="51"/>
      <c r="G797" s="54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4"/>
      <c r="AB797" s="53"/>
      <c r="AC797" s="53"/>
      <c r="AD797" s="53"/>
      <c r="AE797" s="53"/>
      <c r="AF797" s="53"/>
      <c r="AG797" s="53"/>
      <c r="AH797" s="54"/>
      <c r="AI797" s="53"/>
      <c r="AJ797" s="53"/>
      <c r="AK797" s="54"/>
      <c r="AL797" s="54"/>
    </row>
    <row r="798" spans="1:38" ht="15.75" thickBot="1" x14ac:dyDescent="0.3">
      <c r="A798" s="51"/>
      <c r="B798" s="51"/>
      <c r="C798" s="51"/>
      <c r="D798" s="51"/>
      <c r="E798" s="51"/>
      <c r="F798" s="51"/>
      <c r="G798" s="56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  <c r="AA798" s="56"/>
      <c r="AB798" s="55"/>
      <c r="AC798" s="55"/>
      <c r="AD798" s="55"/>
      <c r="AE798" s="55"/>
      <c r="AF798" s="55"/>
      <c r="AG798" s="55"/>
      <c r="AH798" s="56"/>
      <c r="AI798" s="55"/>
      <c r="AJ798" s="55"/>
      <c r="AK798" s="56"/>
      <c r="AL798" s="56"/>
    </row>
    <row r="799" spans="1:38" ht="15.75" thickBot="1" x14ac:dyDescent="0.3">
      <c r="A799" s="51"/>
      <c r="B799" s="51"/>
      <c r="C799" s="51"/>
      <c r="D799" s="51"/>
      <c r="E799" s="51"/>
      <c r="F799" s="51"/>
      <c r="G799" s="54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4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4"/>
      <c r="AI799" s="53"/>
      <c r="AJ799" s="53"/>
      <c r="AK799" s="54"/>
      <c r="AL799" s="54"/>
    </row>
    <row r="800" spans="1:38" ht="15.75" thickBot="1" x14ac:dyDescent="0.3">
      <c r="A800" s="51"/>
      <c r="B800" s="51"/>
      <c r="C800" s="51"/>
      <c r="D800" s="51"/>
      <c r="E800" s="51"/>
      <c r="F800" s="51"/>
      <c r="G800" s="56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6"/>
      <c r="S800" s="55"/>
      <c r="T800" s="55"/>
      <c r="U800" s="55"/>
      <c r="V800" s="55"/>
      <c r="W800" s="55"/>
      <c r="X800" s="55"/>
      <c r="Y800" s="55"/>
      <c r="Z800" s="55"/>
      <c r="AA800" s="55"/>
      <c r="AB800" s="55"/>
      <c r="AC800" s="55"/>
      <c r="AD800" s="55"/>
      <c r="AE800" s="55"/>
      <c r="AF800" s="55"/>
      <c r="AG800" s="55"/>
      <c r="AH800" s="56"/>
      <c r="AI800" s="55"/>
      <c r="AJ800" s="55"/>
      <c r="AK800" s="56"/>
      <c r="AL800" s="56"/>
    </row>
    <row r="801" spans="1:38" ht="15.75" thickBot="1" x14ac:dyDescent="0.3">
      <c r="A801" s="51"/>
      <c r="B801" s="51"/>
      <c r="C801" s="51"/>
      <c r="D801" s="51"/>
      <c r="E801" s="51"/>
      <c r="F801" s="51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4"/>
      <c r="AI801" s="53"/>
      <c r="AJ801" s="53"/>
      <c r="AK801" s="54"/>
      <c r="AL801" s="54"/>
    </row>
    <row r="802" spans="1:38" ht="15.75" thickBot="1" x14ac:dyDescent="0.3">
      <c r="A802" s="51"/>
      <c r="B802" s="51"/>
      <c r="C802" s="51"/>
      <c r="D802" s="51"/>
      <c r="E802" s="51"/>
      <c r="F802" s="51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  <c r="AA802" s="55"/>
      <c r="AB802" s="55"/>
      <c r="AC802" s="55"/>
      <c r="AD802" s="55"/>
      <c r="AE802" s="55"/>
      <c r="AF802" s="55"/>
      <c r="AG802" s="55"/>
      <c r="AH802" s="56"/>
      <c r="AI802" s="55"/>
      <c r="AJ802" s="55"/>
      <c r="AK802" s="56"/>
      <c r="AL802" s="56"/>
    </row>
    <row r="803" spans="1:38" ht="15.75" thickBot="1" x14ac:dyDescent="0.3">
      <c r="A803" s="51"/>
      <c r="B803" s="51"/>
      <c r="C803" s="51"/>
      <c r="D803" s="51"/>
      <c r="E803" s="51"/>
      <c r="F803" s="51"/>
      <c r="G803" s="54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4"/>
      <c r="AC803" s="54"/>
      <c r="AD803" s="53"/>
      <c r="AE803" s="53"/>
      <c r="AF803" s="53"/>
      <c r="AG803" s="53"/>
      <c r="AH803" s="54"/>
      <c r="AI803" s="53"/>
      <c r="AJ803" s="53"/>
      <c r="AK803" s="54"/>
      <c r="AL803" s="54"/>
    </row>
    <row r="804" spans="1:38" ht="15.75" thickBot="1" x14ac:dyDescent="0.3">
      <c r="A804" s="51"/>
      <c r="B804" s="51"/>
      <c r="C804" s="51"/>
      <c r="D804" s="51"/>
      <c r="E804" s="51"/>
      <c r="F804" s="51"/>
      <c r="G804" s="56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  <c r="AA804" s="55"/>
      <c r="AB804" s="56"/>
      <c r="AC804" s="56"/>
      <c r="AD804" s="55"/>
      <c r="AE804" s="55"/>
      <c r="AF804" s="55"/>
      <c r="AG804" s="55"/>
      <c r="AH804" s="56"/>
      <c r="AI804" s="55"/>
      <c r="AJ804" s="55"/>
      <c r="AK804" s="56"/>
      <c r="AL804" s="56"/>
    </row>
    <row r="805" spans="1:38" ht="15.75" thickBot="1" x14ac:dyDescent="0.3">
      <c r="A805" s="51"/>
      <c r="B805" s="51"/>
      <c r="C805" s="51"/>
      <c r="D805" s="51"/>
      <c r="E805" s="51"/>
      <c r="F805" s="51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4"/>
      <c r="AH805" s="54"/>
      <c r="AI805" s="53"/>
      <c r="AJ805" s="53"/>
      <c r="AK805" s="54"/>
      <c r="AL805" s="54"/>
    </row>
    <row r="806" spans="1:38" ht="15.75" thickBot="1" x14ac:dyDescent="0.3">
      <c r="A806" s="51"/>
      <c r="B806" s="51"/>
      <c r="C806" s="51"/>
      <c r="D806" s="51"/>
      <c r="E806" s="51"/>
      <c r="F806" s="51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  <c r="AA806" s="55"/>
      <c r="AB806" s="55"/>
      <c r="AC806" s="55"/>
      <c r="AD806" s="55"/>
      <c r="AE806" s="55"/>
      <c r="AF806" s="55"/>
      <c r="AG806" s="56"/>
      <c r="AH806" s="56"/>
      <c r="AI806" s="55"/>
      <c r="AJ806" s="55"/>
      <c r="AK806" s="56"/>
      <c r="AL806" s="56"/>
    </row>
    <row r="807" spans="1:38" ht="15.75" thickBot="1" x14ac:dyDescent="0.3">
      <c r="A807" s="51"/>
      <c r="B807" s="51"/>
      <c r="C807" s="51"/>
      <c r="D807" s="51"/>
      <c r="E807" s="51"/>
      <c r="F807" s="51"/>
      <c r="G807" s="54"/>
      <c r="H807" s="53"/>
      <c r="I807" s="53"/>
      <c r="J807" s="53"/>
      <c r="K807" s="54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4"/>
      <c r="AI807" s="53"/>
      <c r="AJ807" s="53"/>
      <c r="AK807" s="54"/>
      <c r="AL807" s="54"/>
    </row>
    <row r="808" spans="1:38" ht="15.75" thickBot="1" x14ac:dyDescent="0.3">
      <c r="A808" s="51"/>
      <c r="B808" s="51"/>
      <c r="C808" s="51"/>
      <c r="D808" s="51"/>
      <c r="E808" s="51"/>
      <c r="F808" s="51"/>
      <c r="G808" s="56"/>
      <c r="H808" s="55"/>
      <c r="I808" s="55"/>
      <c r="J808" s="55"/>
      <c r="K808" s="56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  <c r="AA808" s="55"/>
      <c r="AB808" s="55"/>
      <c r="AC808" s="55"/>
      <c r="AD808" s="55"/>
      <c r="AE808" s="55"/>
      <c r="AF808" s="55"/>
      <c r="AG808" s="55"/>
      <c r="AH808" s="56"/>
      <c r="AI808" s="55"/>
      <c r="AJ808" s="55"/>
      <c r="AK808" s="56"/>
      <c r="AL808" s="56"/>
    </row>
    <row r="809" spans="1:38" ht="15.75" thickBot="1" x14ac:dyDescent="0.3">
      <c r="A809" s="51"/>
      <c r="B809" s="51"/>
      <c r="C809" s="51"/>
      <c r="D809" s="51"/>
      <c r="E809" s="51"/>
      <c r="F809" s="51"/>
      <c r="G809" s="54"/>
      <c r="H809" s="54"/>
      <c r="I809" s="53"/>
      <c r="J809" s="53"/>
      <c r="K809" s="53"/>
      <c r="L809" s="53"/>
      <c r="M809" s="54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4"/>
      <c r="AI809" s="53"/>
      <c r="AJ809" s="53"/>
      <c r="AK809" s="54"/>
      <c r="AL809" s="54"/>
    </row>
    <row r="810" spans="1:38" ht="15.75" thickBot="1" x14ac:dyDescent="0.3">
      <c r="A810" s="51"/>
      <c r="B810" s="51"/>
      <c r="C810" s="51"/>
      <c r="D810" s="51"/>
      <c r="E810" s="51"/>
      <c r="F810" s="51"/>
      <c r="G810" s="56"/>
      <c r="H810" s="148"/>
      <c r="I810" s="55"/>
      <c r="J810" s="55"/>
      <c r="K810" s="55"/>
      <c r="L810" s="55"/>
      <c r="M810" s="56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  <c r="AA810" s="55"/>
      <c r="AB810" s="55"/>
      <c r="AC810" s="55"/>
      <c r="AD810" s="55"/>
      <c r="AE810" s="55"/>
      <c r="AF810" s="55"/>
      <c r="AG810" s="55"/>
      <c r="AH810" s="56"/>
      <c r="AI810" s="55"/>
      <c r="AJ810" s="55"/>
      <c r="AK810" s="56"/>
      <c r="AL810" s="56"/>
    </row>
    <row r="811" spans="1:38" ht="15.75" thickBot="1" x14ac:dyDescent="0.3">
      <c r="A811" s="51"/>
      <c r="B811" s="51"/>
      <c r="C811" s="51"/>
      <c r="D811" s="51"/>
      <c r="E811" s="51"/>
      <c r="F811" s="51"/>
      <c r="G811" s="54"/>
      <c r="H811" s="53"/>
      <c r="I811" s="53"/>
      <c r="J811" s="53"/>
      <c r="K811" s="53"/>
      <c r="L811" s="53"/>
      <c r="M811" s="53"/>
      <c r="N811" s="53"/>
      <c r="O811" s="53"/>
      <c r="P811" s="53"/>
      <c r="Q811" s="54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4"/>
      <c r="AI811" s="53"/>
      <c r="AJ811" s="53"/>
      <c r="AK811" s="54"/>
      <c r="AL811" s="54"/>
    </row>
    <row r="812" spans="1:38" ht="15.75" thickBot="1" x14ac:dyDescent="0.3">
      <c r="A812" s="51"/>
      <c r="B812" s="51"/>
      <c r="C812" s="51"/>
      <c r="D812" s="51"/>
      <c r="E812" s="51"/>
      <c r="F812" s="51"/>
      <c r="G812" s="56"/>
      <c r="H812" s="55"/>
      <c r="I812" s="55"/>
      <c r="J812" s="55"/>
      <c r="K812" s="55"/>
      <c r="L812" s="55"/>
      <c r="M812" s="55"/>
      <c r="N812" s="55"/>
      <c r="O812" s="55"/>
      <c r="P812" s="55"/>
      <c r="Q812" s="56"/>
      <c r="R812" s="55"/>
      <c r="S812" s="55"/>
      <c r="T812" s="55"/>
      <c r="U812" s="55"/>
      <c r="V812" s="55"/>
      <c r="W812" s="55"/>
      <c r="X812" s="55"/>
      <c r="Y812" s="55"/>
      <c r="Z812" s="55"/>
      <c r="AA812" s="55"/>
      <c r="AB812" s="55"/>
      <c r="AC812" s="55"/>
      <c r="AD812" s="55"/>
      <c r="AE812" s="55"/>
      <c r="AF812" s="55"/>
      <c r="AG812" s="55"/>
      <c r="AH812" s="56"/>
      <c r="AI812" s="55"/>
      <c r="AJ812" s="55"/>
      <c r="AK812" s="56"/>
      <c r="AL812" s="56"/>
    </row>
    <row r="813" spans="1:38" ht="15.75" thickBot="1" x14ac:dyDescent="0.3">
      <c r="A813" s="51"/>
      <c r="B813" s="51"/>
      <c r="C813" s="51"/>
      <c r="D813" s="51"/>
      <c r="E813" s="51"/>
      <c r="F813" s="51"/>
      <c r="G813" s="54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4"/>
      <c r="AA813" s="53"/>
      <c r="AB813" s="53"/>
      <c r="AC813" s="53"/>
      <c r="AD813" s="53"/>
      <c r="AE813" s="53"/>
      <c r="AF813" s="53"/>
      <c r="AG813" s="53"/>
      <c r="AH813" s="54"/>
      <c r="AI813" s="53"/>
      <c r="AJ813" s="53"/>
      <c r="AK813" s="54"/>
      <c r="AL813" s="54"/>
    </row>
    <row r="814" spans="1:38" ht="15.75" thickBot="1" x14ac:dyDescent="0.3">
      <c r="A814" s="51"/>
      <c r="B814" s="51"/>
      <c r="C814" s="51"/>
      <c r="D814" s="51"/>
      <c r="E814" s="51"/>
      <c r="F814" s="51"/>
      <c r="G814" s="56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6"/>
      <c r="AA814" s="55"/>
      <c r="AB814" s="55"/>
      <c r="AC814" s="55"/>
      <c r="AD814" s="55"/>
      <c r="AE814" s="55"/>
      <c r="AF814" s="55"/>
      <c r="AG814" s="55"/>
      <c r="AH814" s="56"/>
      <c r="AI814" s="55"/>
      <c r="AJ814" s="55"/>
      <c r="AK814" s="56"/>
      <c r="AL814" s="56"/>
    </row>
    <row r="815" spans="1:38" ht="15.75" thickBot="1" x14ac:dyDescent="0.3">
      <c r="A815" s="51"/>
      <c r="B815" s="51"/>
      <c r="C815" s="51"/>
      <c r="D815" s="51"/>
      <c r="E815" s="51"/>
      <c r="F815" s="51"/>
      <c r="G815" s="54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4"/>
      <c r="AA815" s="53"/>
      <c r="AB815" s="53"/>
      <c r="AC815" s="53"/>
      <c r="AD815" s="53"/>
      <c r="AE815" s="53"/>
      <c r="AF815" s="53"/>
      <c r="AG815" s="53"/>
      <c r="AH815" s="54"/>
      <c r="AI815" s="53"/>
      <c r="AJ815" s="53"/>
      <c r="AK815" s="54"/>
      <c r="AL815" s="54"/>
    </row>
    <row r="816" spans="1:38" ht="15.75" thickBot="1" x14ac:dyDescent="0.3">
      <c r="A816" s="51"/>
      <c r="B816" s="51"/>
      <c r="C816" s="51"/>
      <c r="D816" s="51"/>
      <c r="E816" s="51"/>
      <c r="F816" s="51"/>
      <c r="G816" s="56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6"/>
      <c r="AA816" s="55"/>
      <c r="AB816" s="55"/>
      <c r="AC816" s="55"/>
      <c r="AD816" s="55"/>
      <c r="AE816" s="55"/>
      <c r="AF816" s="55"/>
      <c r="AG816" s="55"/>
      <c r="AH816" s="56"/>
      <c r="AI816" s="55"/>
      <c r="AJ816" s="55"/>
      <c r="AK816" s="56"/>
      <c r="AL816" s="56"/>
    </row>
    <row r="817" spans="1:38" ht="15.75" thickBot="1" x14ac:dyDescent="0.3">
      <c r="A817" s="51"/>
      <c r="B817" s="51"/>
      <c r="C817" s="51"/>
      <c r="D817" s="51"/>
      <c r="E817" s="51"/>
      <c r="F817" s="51"/>
      <c r="G817" s="54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4"/>
      <c r="AB817" s="53"/>
      <c r="AC817" s="53"/>
      <c r="AD817" s="53"/>
      <c r="AE817" s="53"/>
      <c r="AF817" s="53"/>
      <c r="AG817" s="53"/>
      <c r="AH817" s="54"/>
      <c r="AI817" s="53"/>
      <c r="AJ817" s="53"/>
      <c r="AK817" s="54"/>
      <c r="AL817" s="54"/>
    </row>
    <row r="818" spans="1:38" ht="15.75" thickBot="1" x14ac:dyDescent="0.3">
      <c r="A818" s="51"/>
      <c r="B818" s="51"/>
      <c r="C818" s="51"/>
      <c r="D818" s="51"/>
      <c r="E818" s="51"/>
      <c r="F818" s="51"/>
      <c r="G818" s="56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  <c r="AA818" s="56"/>
      <c r="AB818" s="55"/>
      <c r="AC818" s="55"/>
      <c r="AD818" s="55"/>
      <c r="AE818" s="55"/>
      <c r="AF818" s="55"/>
      <c r="AG818" s="55"/>
      <c r="AH818" s="56"/>
      <c r="AI818" s="55"/>
      <c r="AJ818" s="55"/>
      <c r="AK818" s="56"/>
      <c r="AL818" s="56"/>
    </row>
    <row r="819" spans="1:38" ht="15.75" thickBot="1" x14ac:dyDescent="0.3">
      <c r="A819" s="51"/>
      <c r="B819" s="51"/>
      <c r="C819" s="51"/>
      <c r="D819" s="51"/>
      <c r="E819" s="51"/>
      <c r="F819" s="51"/>
      <c r="G819" s="54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4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4"/>
      <c r="AI819" s="53"/>
      <c r="AJ819" s="53"/>
      <c r="AK819" s="54"/>
      <c r="AL819" s="54"/>
    </row>
    <row r="820" spans="1:38" ht="15.75" thickBot="1" x14ac:dyDescent="0.3">
      <c r="A820" s="51"/>
      <c r="B820" s="51"/>
      <c r="C820" s="51"/>
      <c r="D820" s="51"/>
      <c r="E820" s="51"/>
      <c r="F820" s="51"/>
      <c r="G820" s="56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6"/>
      <c r="S820" s="55"/>
      <c r="T820" s="55"/>
      <c r="U820" s="55"/>
      <c r="V820" s="55"/>
      <c r="W820" s="55"/>
      <c r="X820" s="55"/>
      <c r="Y820" s="55"/>
      <c r="Z820" s="55"/>
      <c r="AA820" s="55"/>
      <c r="AB820" s="55"/>
      <c r="AC820" s="55"/>
      <c r="AD820" s="55"/>
      <c r="AE820" s="55"/>
      <c r="AF820" s="55"/>
      <c r="AG820" s="55"/>
      <c r="AH820" s="56"/>
      <c r="AI820" s="55"/>
      <c r="AJ820" s="55"/>
      <c r="AK820" s="56"/>
      <c r="AL820" s="56"/>
    </row>
    <row r="821" spans="1:38" ht="15.75" thickBot="1" x14ac:dyDescent="0.3">
      <c r="A821" s="51"/>
      <c r="B821" s="51"/>
      <c r="C821" s="51"/>
      <c r="D821" s="51"/>
      <c r="E821" s="51"/>
      <c r="F821" s="51"/>
      <c r="G821" s="54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4"/>
      <c r="AC821" s="54"/>
      <c r="AD821" s="53"/>
      <c r="AE821" s="53"/>
      <c r="AF821" s="53"/>
      <c r="AG821" s="53"/>
      <c r="AH821" s="54"/>
      <c r="AI821" s="53"/>
      <c r="AJ821" s="53"/>
      <c r="AK821" s="54"/>
      <c r="AL821" s="54"/>
    </row>
    <row r="822" spans="1:38" ht="15.75" thickBot="1" x14ac:dyDescent="0.3">
      <c r="A822" s="51"/>
      <c r="B822" s="51"/>
      <c r="C822" s="51"/>
      <c r="D822" s="51"/>
      <c r="E822" s="51"/>
      <c r="F822" s="51"/>
      <c r="G822" s="56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  <c r="AA822" s="55"/>
      <c r="AB822" s="56"/>
      <c r="AC822" s="56"/>
      <c r="AD822" s="55"/>
      <c r="AE822" s="55"/>
      <c r="AF822" s="55"/>
      <c r="AG822" s="55"/>
      <c r="AH822" s="56"/>
      <c r="AI822" s="55"/>
      <c r="AJ822" s="55"/>
      <c r="AK822" s="56"/>
      <c r="AL822" s="56"/>
    </row>
    <row r="823" spans="1:38" ht="15.75" thickBot="1" x14ac:dyDescent="0.3">
      <c r="A823" s="51"/>
      <c r="B823" s="51"/>
      <c r="C823" s="51"/>
      <c r="D823" s="51"/>
      <c r="E823" s="51"/>
      <c r="F823" s="51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4"/>
      <c r="AH823" s="54"/>
      <c r="AI823" s="53"/>
      <c r="AJ823" s="53"/>
      <c r="AK823" s="54"/>
      <c r="AL823" s="54"/>
    </row>
    <row r="824" spans="1:38" ht="15.75" thickBot="1" x14ac:dyDescent="0.3">
      <c r="A824" s="51"/>
      <c r="B824" s="51"/>
      <c r="C824" s="51"/>
      <c r="D824" s="51"/>
      <c r="E824" s="51"/>
      <c r="F824" s="51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  <c r="AA824" s="55"/>
      <c r="AB824" s="55"/>
      <c r="AC824" s="55"/>
      <c r="AD824" s="55"/>
      <c r="AE824" s="55"/>
      <c r="AF824" s="55"/>
      <c r="AG824" s="56"/>
      <c r="AH824" s="56"/>
      <c r="AI824" s="55"/>
      <c r="AJ824" s="55"/>
      <c r="AK824" s="56"/>
      <c r="AL824" s="56"/>
    </row>
    <row r="825" spans="1:38" ht="15.75" thickBot="1" x14ac:dyDescent="0.3">
      <c r="A825" s="51"/>
      <c r="B825" s="51"/>
      <c r="C825" s="51"/>
      <c r="D825" s="51"/>
      <c r="E825" s="51"/>
      <c r="F825" s="51"/>
      <c r="G825" s="54"/>
      <c r="H825" s="53"/>
      <c r="I825" s="53"/>
      <c r="J825" s="53"/>
      <c r="K825" s="54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4"/>
      <c r="AI825" s="53"/>
      <c r="AJ825" s="53"/>
      <c r="AK825" s="54"/>
      <c r="AL825" s="54"/>
    </row>
    <row r="826" spans="1:38" ht="15.75" thickBot="1" x14ac:dyDescent="0.3">
      <c r="A826" s="51"/>
      <c r="B826" s="51"/>
      <c r="C826" s="51"/>
      <c r="D826" s="51"/>
      <c r="E826" s="51"/>
      <c r="F826" s="51"/>
      <c r="G826" s="56"/>
      <c r="H826" s="55"/>
      <c r="I826" s="55"/>
      <c r="J826" s="55"/>
      <c r="K826" s="56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  <c r="AA826" s="55"/>
      <c r="AB826" s="55"/>
      <c r="AC826" s="55"/>
      <c r="AD826" s="55"/>
      <c r="AE826" s="55"/>
      <c r="AF826" s="55"/>
      <c r="AG826" s="55"/>
      <c r="AH826" s="56"/>
      <c r="AI826" s="55"/>
      <c r="AJ826" s="55"/>
      <c r="AK826" s="56"/>
      <c r="AL826" s="56"/>
    </row>
    <row r="827" spans="1:38" ht="15.75" thickBot="1" x14ac:dyDescent="0.3">
      <c r="A827" s="51"/>
      <c r="B827" s="51"/>
      <c r="C827" s="51"/>
      <c r="D827" s="51"/>
      <c r="E827" s="51"/>
      <c r="F827" s="51"/>
      <c r="G827" s="54"/>
      <c r="H827" s="54"/>
      <c r="I827" s="53"/>
      <c r="J827" s="53"/>
      <c r="K827" s="53"/>
      <c r="L827" s="53"/>
      <c r="M827" s="54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4"/>
      <c r="AI827" s="53"/>
      <c r="AJ827" s="53"/>
      <c r="AK827" s="54"/>
      <c r="AL827" s="54"/>
    </row>
    <row r="828" spans="1:38" ht="15.75" thickBot="1" x14ac:dyDescent="0.3">
      <c r="A828" s="51"/>
      <c r="B828" s="51"/>
      <c r="C828" s="51"/>
      <c r="D828" s="51"/>
      <c r="E828" s="51"/>
      <c r="F828" s="51"/>
      <c r="G828" s="56"/>
      <c r="H828" s="148"/>
      <c r="I828" s="55"/>
      <c r="J828" s="55"/>
      <c r="K828" s="55"/>
      <c r="L828" s="55"/>
      <c r="M828" s="56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  <c r="AA828" s="55"/>
      <c r="AB828" s="55"/>
      <c r="AC828" s="55"/>
      <c r="AD828" s="55"/>
      <c r="AE828" s="55"/>
      <c r="AF828" s="55"/>
      <c r="AG828" s="55"/>
      <c r="AH828" s="56"/>
      <c r="AI828" s="55"/>
      <c r="AJ828" s="55"/>
      <c r="AK828" s="56"/>
      <c r="AL828" s="56"/>
    </row>
    <row r="829" spans="1:38" ht="15.75" thickBot="1" x14ac:dyDescent="0.3">
      <c r="A829" s="51"/>
      <c r="B829" s="51"/>
      <c r="C829" s="51"/>
      <c r="D829" s="51"/>
      <c r="E829" s="51"/>
      <c r="F829" s="51"/>
      <c r="G829" s="54"/>
      <c r="H829" s="53"/>
      <c r="I829" s="53"/>
      <c r="J829" s="53"/>
      <c r="K829" s="53"/>
      <c r="L829" s="53"/>
      <c r="M829" s="53"/>
      <c r="N829" s="53"/>
      <c r="O829" s="53"/>
      <c r="P829" s="53"/>
      <c r="Q829" s="54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4"/>
      <c r="AI829" s="53"/>
      <c r="AJ829" s="53"/>
      <c r="AK829" s="54"/>
      <c r="AL829" s="54"/>
    </row>
    <row r="830" spans="1:38" ht="15.75" thickBot="1" x14ac:dyDescent="0.3">
      <c r="A830" s="51"/>
      <c r="B830" s="51"/>
      <c r="C830" s="51"/>
      <c r="D830" s="51"/>
      <c r="E830" s="51"/>
      <c r="F830" s="51"/>
      <c r="G830" s="56"/>
      <c r="H830" s="55"/>
      <c r="I830" s="55"/>
      <c r="J830" s="55"/>
      <c r="K830" s="55"/>
      <c r="L830" s="55"/>
      <c r="M830" s="55"/>
      <c r="N830" s="55"/>
      <c r="O830" s="55"/>
      <c r="P830" s="55"/>
      <c r="Q830" s="56"/>
      <c r="R830" s="55"/>
      <c r="S830" s="55"/>
      <c r="T830" s="55"/>
      <c r="U830" s="55"/>
      <c r="V830" s="55"/>
      <c r="W830" s="55"/>
      <c r="X830" s="55"/>
      <c r="Y830" s="55"/>
      <c r="Z830" s="55"/>
      <c r="AA830" s="55"/>
      <c r="AB830" s="55"/>
      <c r="AC830" s="55"/>
      <c r="AD830" s="55"/>
      <c r="AE830" s="55"/>
      <c r="AF830" s="55"/>
      <c r="AG830" s="55"/>
      <c r="AH830" s="56"/>
      <c r="AI830" s="55"/>
      <c r="AJ830" s="55"/>
      <c r="AK830" s="56"/>
      <c r="AL830" s="56"/>
    </row>
    <row r="831" spans="1:38" ht="15.75" thickBot="1" x14ac:dyDescent="0.3">
      <c r="A831" s="51"/>
      <c r="B831" s="51"/>
      <c r="C831" s="51"/>
      <c r="D831" s="51"/>
      <c r="E831" s="51"/>
      <c r="F831" s="51"/>
      <c r="G831" s="54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4"/>
      <c r="AA831" s="53"/>
      <c r="AB831" s="53"/>
      <c r="AC831" s="53"/>
      <c r="AD831" s="53"/>
      <c r="AE831" s="53"/>
      <c r="AF831" s="53"/>
      <c r="AG831" s="53"/>
      <c r="AH831" s="54"/>
      <c r="AI831" s="53"/>
      <c r="AJ831" s="53"/>
      <c r="AK831" s="54"/>
      <c r="AL831" s="54"/>
    </row>
    <row r="832" spans="1:38" ht="15.75" thickBot="1" x14ac:dyDescent="0.3">
      <c r="A832" s="51"/>
      <c r="B832" s="51"/>
      <c r="C832" s="51"/>
      <c r="D832" s="51"/>
      <c r="E832" s="51"/>
      <c r="F832" s="51"/>
      <c r="G832" s="56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6"/>
      <c r="AA832" s="55"/>
      <c r="AB832" s="55"/>
      <c r="AC832" s="55"/>
      <c r="AD832" s="55"/>
      <c r="AE832" s="55"/>
      <c r="AF832" s="55"/>
      <c r="AG832" s="55"/>
      <c r="AH832" s="56"/>
      <c r="AI832" s="55"/>
      <c r="AJ832" s="55"/>
      <c r="AK832" s="56"/>
      <c r="AL832" s="56"/>
    </row>
    <row r="833" spans="1:38" ht="15.75" thickBot="1" x14ac:dyDescent="0.3">
      <c r="A833" s="51"/>
      <c r="B833" s="51"/>
      <c r="C833" s="51"/>
      <c r="D833" s="51"/>
      <c r="E833" s="51"/>
      <c r="F833" s="51"/>
      <c r="G833" s="54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4"/>
      <c r="AB833" s="53"/>
      <c r="AC833" s="53"/>
      <c r="AD833" s="53"/>
      <c r="AE833" s="53"/>
      <c r="AF833" s="53"/>
      <c r="AG833" s="53"/>
      <c r="AH833" s="54"/>
      <c r="AI833" s="53"/>
      <c r="AJ833" s="53"/>
      <c r="AK833" s="54"/>
      <c r="AL833" s="54"/>
    </row>
    <row r="834" spans="1:38" ht="15.75" thickBot="1" x14ac:dyDescent="0.3">
      <c r="A834" s="51"/>
      <c r="B834" s="51"/>
      <c r="C834" s="51"/>
      <c r="D834" s="51"/>
      <c r="E834" s="51"/>
      <c r="F834" s="51"/>
      <c r="G834" s="56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  <c r="AA834" s="56"/>
      <c r="AB834" s="55"/>
      <c r="AC834" s="55"/>
      <c r="AD834" s="55"/>
      <c r="AE834" s="55"/>
      <c r="AF834" s="55"/>
      <c r="AG834" s="55"/>
      <c r="AH834" s="56"/>
      <c r="AI834" s="55"/>
      <c r="AJ834" s="55"/>
      <c r="AK834" s="56"/>
      <c r="AL834" s="56"/>
    </row>
    <row r="835" spans="1:38" ht="15.75" thickBot="1" x14ac:dyDescent="0.3">
      <c r="A835" s="51"/>
      <c r="B835" s="51"/>
      <c r="C835" s="51"/>
      <c r="D835" s="51"/>
      <c r="E835" s="51"/>
      <c r="F835" s="51"/>
      <c r="G835" s="54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4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4"/>
      <c r="AI835" s="53"/>
      <c r="AJ835" s="53"/>
      <c r="AK835" s="54"/>
      <c r="AL835" s="54"/>
    </row>
    <row r="836" spans="1:38" ht="15.75" thickBot="1" x14ac:dyDescent="0.3">
      <c r="A836" s="51"/>
      <c r="B836" s="51"/>
      <c r="C836" s="51"/>
      <c r="D836" s="51"/>
      <c r="E836" s="51"/>
      <c r="F836" s="51"/>
      <c r="G836" s="56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6"/>
      <c r="S836" s="55"/>
      <c r="T836" s="55"/>
      <c r="U836" s="55"/>
      <c r="V836" s="55"/>
      <c r="W836" s="55"/>
      <c r="X836" s="55"/>
      <c r="Y836" s="55"/>
      <c r="Z836" s="55"/>
      <c r="AA836" s="55"/>
      <c r="AB836" s="55"/>
      <c r="AC836" s="55"/>
      <c r="AD836" s="55"/>
      <c r="AE836" s="55"/>
      <c r="AF836" s="55"/>
      <c r="AG836" s="55"/>
      <c r="AH836" s="56"/>
      <c r="AI836" s="55"/>
      <c r="AJ836" s="55"/>
      <c r="AK836" s="56"/>
      <c r="AL836" s="56"/>
    </row>
    <row r="837" spans="1:38" ht="15.75" thickBot="1" x14ac:dyDescent="0.3">
      <c r="A837" s="51"/>
      <c r="B837" s="51"/>
      <c r="C837" s="51"/>
      <c r="D837" s="51"/>
      <c r="E837" s="51"/>
      <c r="F837" s="51"/>
      <c r="G837" s="54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4"/>
      <c r="AC837" s="54"/>
      <c r="AD837" s="53"/>
      <c r="AE837" s="53"/>
      <c r="AF837" s="53"/>
      <c r="AG837" s="53"/>
      <c r="AH837" s="54"/>
      <c r="AI837" s="53"/>
      <c r="AJ837" s="53"/>
      <c r="AK837" s="54"/>
      <c r="AL837" s="54"/>
    </row>
    <row r="838" spans="1:38" ht="15.75" thickBot="1" x14ac:dyDescent="0.3">
      <c r="A838" s="51"/>
      <c r="B838" s="51"/>
      <c r="C838" s="51"/>
      <c r="D838" s="51"/>
      <c r="E838" s="51"/>
      <c r="F838" s="51"/>
      <c r="G838" s="56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  <c r="AA838" s="55"/>
      <c r="AB838" s="56"/>
      <c r="AC838" s="56"/>
      <c r="AD838" s="55"/>
      <c r="AE838" s="55"/>
      <c r="AF838" s="55"/>
      <c r="AG838" s="55"/>
      <c r="AH838" s="56"/>
      <c r="AI838" s="55"/>
      <c r="AJ838" s="55"/>
      <c r="AK838" s="56"/>
      <c r="AL838" s="56"/>
    </row>
    <row r="839" spans="1:38" ht="15.75" thickBot="1" x14ac:dyDescent="0.3">
      <c r="A839" s="51"/>
      <c r="B839" s="51"/>
      <c r="C839" s="51"/>
      <c r="D839" s="51"/>
      <c r="E839" s="51"/>
      <c r="F839" s="51"/>
      <c r="G839" s="54"/>
      <c r="H839" s="53"/>
      <c r="I839" s="53"/>
      <c r="J839" s="53"/>
      <c r="K839" s="54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4"/>
      <c r="AI839" s="53"/>
      <c r="AJ839" s="53"/>
      <c r="AK839" s="54"/>
      <c r="AL839" s="54"/>
    </row>
    <row r="840" spans="1:38" ht="15.75" thickBot="1" x14ac:dyDescent="0.3">
      <c r="A840" s="51"/>
      <c r="B840" s="51"/>
      <c r="C840" s="51"/>
      <c r="D840" s="51"/>
      <c r="E840" s="51"/>
      <c r="F840" s="51"/>
      <c r="G840" s="56"/>
      <c r="H840" s="55"/>
      <c r="I840" s="55"/>
      <c r="J840" s="55"/>
      <c r="K840" s="56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  <c r="AA840" s="55"/>
      <c r="AB840" s="55"/>
      <c r="AC840" s="55"/>
      <c r="AD840" s="55"/>
      <c r="AE840" s="55"/>
      <c r="AF840" s="55"/>
      <c r="AG840" s="55"/>
      <c r="AH840" s="56"/>
      <c r="AI840" s="55"/>
      <c r="AJ840" s="55"/>
      <c r="AK840" s="56"/>
      <c r="AL840" s="56"/>
    </row>
    <row r="841" spans="1:38" ht="15.75" thickBot="1" x14ac:dyDescent="0.3">
      <c r="A841" s="51"/>
      <c r="B841" s="51"/>
      <c r="C841" s="51"/>
      <c r="D841" s="51"/>
      <c r="E841" s="51"/>
      <c r="F841" s="51"/>
      <c r="G841" s="54"/>
      <c r="H841" s="54"/>
      <c r="I841" s="53"/>
      <c r="J841" s="53"/>
      <c r="K841" s="53"/>
      <c r="L841" s="53"/>
      <c r="M841" s="54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4"/>
      <c r="AI841" s="53"/>
      <c r="AJ841" s="53"/>
      <c r="AK841" s="54"/>
      <c r="AL841" s="54"/>
    </row>
    <row r="842" spans="1:38" ht="15.75" thickBot="1" x14ac:dyDescent="0.3">
      <c r="A842" s="51"/>
      <c r="B842" s="51"/>
      <c r="C842" s="51"/>
      <c r="D842" s="51"/>
      <c r="E842" s="51"/>
      <c r="F842" s="51"/>
      <c r="G842" s="56"/>
      <c r="H842" s="148"/>
      <c r="I842" s="55"/>
      <c r="J842" s="55"/>
      <c r="K842" s="55"/>
      <c r="L842" s="55"/>
      <c r="M842" s="56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  <c r="AA842" s="55"/>
      <c r="AB842" s="55"/>
      <c r="AC842" s="55"/>
      <c r="AD842" s="55"/>
      <c r="AE842" s="55"/>
      <c r="AF842" s="55"/>
      <c r="AG842" s="55"/>
      <c r="AH842" s="56"/>
      <c r="AI842" s="55"/>
      <c r="AJ842" s="55"/>
      <c r="AK842" s="56"/>
      <c r="AL842" s="56"/>
    </row>
    <row r="843" spans="1:38" ht="15.75" thickBot="1" x14ac:dyDescent="0.3">
      <c r="A843" s="51"/>
      <c r="B843" s="51"/>
      <c r="C843" s="51"/>
      <c r="D843" s="51"/>
      <c r="E843" s="51"/>
      <c r="F843" s="51"/>
      <c r="G843" s="54"/>
      <c r="H843" s="53"/>
      <c r="I843" s="53"/>
      <c r="J843" s="53"/>
      <c r="K843" s="53"/>
      <c r="L843" s="53"/>
      <c r="M843" s="53"/>
      <c r="N843" s="53"/>
      <c r="O843" s="53"/>
      <c r="P843" s="53"/>
      <c r="Q843" s="54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4"/>
      <c r="AI843" s="53"/>
      <c r="AJ843" s="53"/>
      <c r="AK843" s="54"/>
      <c r="AL843" s="54"/>
    </row>
    <row r="844" spans="1:38" ht="15.75" thickBot="1" x14ac:dyDescent="0.3">
      <c r="A844" s="51"/>
      <c r="B844" s="51"/>
      <c r="C844" s="51"/>
      <c r="D844" s="51"/>
      <c r="E844" s="51"/>
      <c r="F844" s="51"/>
      <c r="G844" s="56"/>
      <c r="H844" s="55"/>
      <c r="I844" s="55"/>
      <c r="J844" s="55"/>
      <c r="K844" s="55"/>
      <c r="L844" s="55"/>
      <c r="M844" s="55"/>
      <c r="N844" s="55"/>
      <c r="O844" s="55"/>
      <c r="P844" s="55"/>
      <c r="Q844" s="56"/>
      <c r="R844" s="55"/>
      <c r="S844" s="55"/>
      <c r="T844" s="55"/>
      <c r="U844" s="55"/>
      <c r="V844" s="55"/>
      <c r="W844" s="55"/>
      <c r="X844" s="55"/>
      <c r="Y844" s="55"/>
      <c r="Z844" s="55"/>
      <c r="AA844" s="55"/>
      <c r="AB844" s="55"/>
      <c r="AC844" s="55"/>
      <c r="AD844" s="55"/>
      <c r="AE844" s="55"/>
      <c r="AF844" s="55"/>
      <c r="AG844" s="55"/>
      <c r="AH844" s="56"/>
      <c r="AI844" s="55"/>
      <c r="AJ844" s="55"/>
      <c r="AK844" s="56"/>
      <c r="AL844" s="56"/>
    </row>
    <row r="845" spans="1:38" ht="15.75" thickBot="1" x14ac:dyDescent="0.3">
      <c r="A845" s="51"/>
      <c r="B845" s="51"/>
      <c r="C845" s="51"/>
      <c r="D845" s="51"/>
      <c r="E845" s="51"/>
      <c r="F845" s="51"/>
      <c r="G845" s="54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4"/>
      <c r="AA845" s="53"/>
      <c r="AB845" s="53"/>
      <c r="AC845" s="53"/>
      <c r="AD845" s="53"/>
      <c r="AE845" s="53"/>
      <c r="AF845" s="53"/>
      <c r="AG845" s="53"/>
      <c r="AH845" s="54"/>
      <c r="AI845" s="53"/>
      <c r="AJ845" s="53"/>
      <c r="AK845" s="54"/>
      <c r="AL845" s="54"/>
    </row>
    <row r="846" spans="1:38" ht="15.75" thickBot="1" x14ac:dyDescent="0.3">
      <c r="A846" s="51"/>
      <c r="B846" s="51"/>
      <c r="C846" s="51"/>
      <c r="D846" s="51"/>
      <c r="E846" s="51"/>
      <c r="F846" s="51"/>
      <c r="G846" s="56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6"/>
      <c r="AA846" s="55"/>
      <c r="AB846" s="55"/>
      <c r="AC846" s="55"/>
      <c r="AD846" s="55"/>
      <c r="AE846" s="55"/>
      <c r="AF846" s="55"/>
      <c r="AG846" s="55"/>
      <c r="AH846" s="56"/>
      <c r="AI846" s="55"/>
      <c r="AJ846" s="55"/>
      <c r="AK846" s="56"/>
      <c r="AL846" s="56"/>
    </row>
    <row r="847" spans="1:38" ht="15.75" thickBot="1" x14ac:dyDescent="0.3">
      <c r="A847" s="51"/>
      <c r="B847" s="51"/>
      <c r="C847" s="51"/>
      <c r="D847" s="51"/>
      <c r="E847" s="51"/>
      <c r="F847" s="51"/>
      <c r="G847" s="54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4"/>
      <c r="AB847" s="53"/>
      <c r="AC847" s="53"/>
      <c r="AD847" s="53"/>
      <c r="AE847" s="53"/>
      <c r="AF847" s="53"/>
      <c r="AG847" s="53"/>
      <c r="AH847" s="54"/>
      <c r="AI847" s="53"/>
      <c r="AJ847" s="53"/>
      <c r="AK847" s="54"/>
      <c r="AL847" s="54"/>
    </row>
    <row r="848" spans="1:38" ht="15.75" thickBot="1" x14ac:dyDescent="0.3">
      <c r="A848" s="51"/>
      <c r="B848" s="51"/>
      <c r="C848" s="51"/>
      <c r="D848" s="51"/>
      <c r="E848" s="51"/>
      <c r="F848" s="51"/>
      <c r="G848" s="56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6"/>
      <c r="AB848" s="55"/>
      <c r="AC848" s="55"/>
      <c r="AD848" s="55"/>
      <c r="AE848" s="55"/>
      <c r="AF848" s="55"/>
      <c r="AG848" s="55"/>
      <c r="AH848" s="56"/>
      <c r="AI848" s="55"/>
      <c r="AJ848" s="55"/>
      <c r="AK848" s="56"/>
      <c r="AL848" s="56"/>
    </row>
    <row r="849" spans="1:38" ht="15.75" thickBot="1" x14ac:dyDescent="0.3">
      <c r="A849" s="51"/>
      <c r="B849" s="51"/>
      <c r="C849" s="51"/>
      <c r="D849" s="51"/>
      <c r="E849" s="51"/>
      <c r="F849" s="51"/>
      <c r="G849" s="54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4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4"/>
      <c r="AI849" s="53"/>
      <c r="AJ849" s="53"/>
      <c r="AK849" s="54"/>
      <c r="AL849" s="54"/>
    </row>
    <row r="850" spans="1:38" ht="15.75" thickBot="1" x14ac:dyDescent="0.3">
      <c r="A850" s="51"/>
      <c r="B850" s="51"/>
      <c r="C850" s="51"/>
      <c r="D850" s="51"/>
      <c r="E850" s="51"/>
      <c r="F850" s="51"/>
      <c r="G850" s="56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6"/>
      <c r="S850" s="55"/>
      <c r="T850" s="55"/>
      <c r="U850" s="55"/>
      <c r="V850" s="55"/>
      <c r="W850" s="55"/>
      <c r="X850" s="55"/>
      <c r="Y850" s="55"/>
      <c r="Z850" s="55"/>
      <c r="AA850" s="55"/>
      <c r="AB850" s="55"/>
      <c r="AC850" s="55"/>
      <c r="AD850" s="55"/>
      <c r="AE850" s="55"/>
      <c r="AF850" s="55"/>
      <c r="AG850" s="55"/>
      <c r="AH850" s="56"/>
      <c r="AI850" s="55"/>
      <c r="AJ850" s="55"/>
      <c r="AK850" s="56"/>
      <c r="AL850" s="56"/>
    </row>
    <row r="851" spans="1:38" ht="15.75" thickBot="1" x14ac:dyDescent="0.3">
      <c r="A851" s="51"/>
      <c r="B851" s="51"/>
      <c r="C851" s="51"/>
      <c r="D851" s="51"/>
      <c r="E851" s="51"/>
      <c r="F851" s="51"/>
      <c r="G851" s="54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4"/>
      <c r="AC851" s="54"/>
      <c r="AD851" s="53"/>
      <c r="AE851" s="53"/>
      <c r="AF851" s="53"/>
      <c r="AG851" s="53"/>
      <c r="AH851" s="54"/>
      <c r="AI851" s="53"/>
      <c r="AJ851" s="53"/>
      <c r="AK851" s="54"/>
      <c r="AL851" s="54"/>
    </row>
    <row r="852" spans="1:38" ht="15.75" thickBot="1" x14ac:dyDescent="0.3">
      <c r="A852" s="51"/>
      <c r="B852" s="51"/>
      <c r="C852" s="51"/>
      <c r="D852" s="51"/>
      <c r="E852" s="51"/>
      <c r="F852" s="51"/>
      <c r="G852" s="56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  <c r="AA852" s="55"/>
      <c r="AB852" s="56"/>
      <c r="AC852" s="56"/>
      <c r="AD852" s="55"/>
      <c r="AE852" s="55"/>
      <c r="AF852" s="55"/>
      <c r="AG852" s="55"/>
      <c r="AH852" s="56"/>
      <c r="AI852" s="55"/>
      <c r="AJ852" s="55"/>
      <c r="AK852" s="56"/>
      <c r="AL852" s="56"/>
    </row>
    <row r="853" spans="1:38" ht="15.75" thickBot="1" x14ac:dyDescent="0.3">
      <c r="A853" s="51"/>
      <c r="B853" s="51"/>
      <c r="C853" s="51"/>
      <c r="D853" s="51"/>
      <c r="E853" s="51"/>
      <c r="F853" s="51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4"/>
      <c r="AH853" s="54"/>
      <c r="AI853" s="53"/>
      <c r="AJ853" s="53"/>
      <c r="AK853" s="54"/>
      <c r="AL853" s="54"/>
    </row>
    <row r="854" spans="1:38" ht="15.75" thickBot="1" x14ac:dyDescent="0.3">
      <c r="A854" s="51"/>
      <c r="B854" s="51"/>
      <c r="C854" s="51"/>
      <c r="D854" s="51"/>
      <c r="E854" s="51"/>
      <c r="F854" s="51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  <c r="AA854" s="55"/>
      <c r="AB854" s="55"/>
      <c r="AC854" s="55"/>
      <c r="AD854" s="55"/>
      <c r="AE854" s="55"/>
      <c r="AF854" s="55"/>
      <c r="AG854" s="56"/>
      <c r="AH854" s="56"/>
      <c r="AI854" s="55"/>
      <c r="AJ854" s="55"/>
      <c r="AK854" s="56"/>
      <c r="AL854" s="56"/>
    </row>
    <row r="855" spans="1:38" ht="15.75" thickBot="1" x14ac:dyDescent="0.3">
      <c r="A855" s="51"/>
      <c r="B855" s="51"/>
      <c r="C855" s="51"/>
      <c r="D855" s="51"/>
      <c r="E855" s="51"/>
      <c r="F855" s="51"/>
      <c r="G855" s="54"/>
      <c r="H855" s="53"/>
      <c r="I855" s="53"/>
      <c r="J855" s="53"/>
      <c r="K855" s="54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4"/>
      <c r="AI855" s="53"/>
      <c r="AJ855" s="53"/>
      <c r="AK855" s="54"/>
      <c r="AL855" s="54"/>
    </row>
    <row r="856" spans="1:38" ht="15.75" thickBot="1" x14ac:dyDescent="0.3">
      <c r="A856" s="51"/>
      <c r="B856" s="51"/>
      <c r="C856" s="51"/>
      <c r="D856" s="51"/>
      <c r="E856" s="51"/>
      <c r="F856" s="51"/>
      <c r="G856" s="56"/>
      <c r="H856" s="55"/>
      <c r="I856" s="55"/>
      <c r="J856" s="55"/>
      <c r="K856" s="56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  <c r="AA856" s="55"/>
      <c r="AB856" s="55"/>
      <c r="AC856" s="55"/>
      <c r="AD856" s="55"/>
      <c r="AE856" s="55"/>
      <c r="AF856" s="55"/>
      <c r="AG856" s="55"/>
      <c r="AH856" s="56"/>
      <c r="AI856" s="55"/>
      <c r="AJ856" s="55"/>
      <c r="AK856" s="56"/>
      <c r="AL856" s="56"/>
    </row>
    <row r="857" spans="1:38" ht="15.75" thickBot="1" x14ac:dyDescent="0.3">
      <c r="A857" s="51"/>
      <c r="B857" s="51"/>
      <c r="C857" s="51"/>
      <c r="D857" s="51"/>
      <c r="E857" s="51"/>
      <c r="F857" s="51"/>
      <c r="G857" s="54"/>
      <c r="H857" s="54"/>
      <c r="I857" s="53"/>
      <c r="J857" s="53"/>
      <c r="K857" s="53"/>
      <c r="L857" s="53"/>
      <c r="M857" s="54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4"/>
      <c r="AI857" s="53"/>
      <c r="AJ857" s="53"/>
      <c r="AK857" s="54"/>
      <c r="AL857" s="54"/>
    </row>
    <row r="858" spans="1:38" ht="15.75" thickBot="1" x14ac:dyDescent="0.3">
      <c r="A858" s="51"/>
      <c r="B858" s="51"/>
      <c r="C858" s="51"/>
      <c r="D858" s="51"/>
      <c r="E858" s="51"/>
      <c r="F858" s="51"/>
      <c r="G858" s="56"/>
      <c r="H858" s="148"/>
      <c r="I858" s="55"/>
      <c r="J858" s="55"/>
      <c r="K858" s="55"/>
      <c r="L858" s="55"/>
      <c r="M858" s="56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  <c r="AA858" s="55"/>
      <c r="AB858" s="55"/>
      <c r="AC858" s="55"/>
      <c r="AD858" s="55"/>
      <c r="AE858" s="55"/>
      <c r="AF858" s="55"/>
      <c r="AG858" s="55"/>
      <c r="AH858" s="56"/>
      <c r="AI858" s="55"/>
      <c r="AJ858" s="55"/>
      <c r="AK858" s="56"/>
      <c r="AL858" s="56"/>
    </row>
    <row r="859" spans="1:38" ht="15.75" thickBot="1" x14ac:dyDescent="0.3">
      <c r="A859" s="51"/>
      <c r="B859" s="51"/>
      <c r="C859" s="51"/>
      <c r="D859" s="51"/>
      <c r="E859" s="51"/>
      <c r="F859" s="51"/>
      <c r="G859" s="54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4"/>
      <c r="AA859" s="53"/>
      <c r="AB859" s="53"/>
      <c r="AC859" s="53"/>
      <c r="AD859" s="53"/>
      <c r="AE859" s="53"/>
      <c r="AF859" s="53"/>
      <c r="AG859" s="53"/>
      <c r="AH859" s="54"/>
      <c r="AI859" s="53"/>
      <c r="AJ859" s="53"/>
      <c r="AK859" s="54"/>
      <c r="AL859" s="54"/>
    </row>
    <row r="860" spans="1:38" ht="15.75" thickBot="1" x14ac:dyDescent="0.3">
      <c r="A860" s="51"/>
      <c r="B860" s="51"/>
      <c r="C860" s="51"/>
      <c r="D860" s="51"/>
      <c r="E860" s="51"/>
      <c r="F860" s="51"/>
      <c r="G860" s="56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6"/>
      <c r="AA860" s="55"/>
      <c r="AB860" s="55"/>
      <c r="AC860" s="55"/>
      <c r="AD860" s="55"/>
      <c r="AE860" s="55"/>
      <c r="AF860" s="55"/>
      <c r="AG860" s="55"/>
      <c r="AH860" s="56"/>
      <c r="AI860" s="55"/>
      <c r="AJ860" s="55"/>
      <c r="AK860" s="56"/>
      <c r="AL860" s="56"/>
    </row>
    <row r="861" spans="1:38" ht="15.75" thickBot="1" x14ac:dyDescent="0.3">
      <c r="A861" s="51"/>
      <c r="B861" s="51"/>
      <c r="C861" s="51"/>
      <c r="D861" s="51"/>
      <c r="E861" s="51"/>
      <c r="F861" s="51"/>
      <c r="G861" s="54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4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4"/>
      <c r="AI861" s="53"/>
      <c r="AJ861" s="53"/>
      <c r="AK861" s="54"/>
      <c r="AL861" s="54"/>
    </row>
    <row r="862" spans="1:38" ht="15.75" thickBot="1" x14ac:dyDescent="0.3">
      <c r="A862" s="51"/>
      <c r="B862" s="51"/>
      <c r="C862" s="51"/>
      <c r="D862" s="51"/>
      <c r="E862" s="51"/>
      <c r="F862" s="51"/>
      <c r="G862" s="56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6"/>
      <c r="S862" s="55"/>
      <c r="T862" s="55"/>
      <c r="U862" s="55"/>
      <c r="V862" s="55"/>
      <c r="W862" s="55"/>
      <c r="X862" s="55"/>
      <c r="Y862" s="55"/>
      <c r="Z862" s="55"/>
      <c r="AA862" s="55"/>
      <c r="AB862" s="55"/>
      <c r="AC862" s="55"/>
      <c r="AD862" s="55"/>
      <c r="AE862" s="55"/>
      <c r="AF862" s="55"/>
      <c r="AG862" s="55"/>
      <c r="AH862" s="56"/>
      <c r="AI862" s="55"/>
      <c r="AJ862" s="55"/>
      <c r="AK862" s="56"/>
      <c r="AL862" s="56"/>
    </row>
    <row r="863" spans="1:38" ht="15.75" thickBot="1" x14ac:dyDescent="0.3">
      <c r="A863" s="51"/>
      <c r="B863" s="51"/>
      <c r="C863" s="51"/>
      <c r="D863" s="51"/>
      <c r="E863" s="51"/>
      <c r="F863" s="51"/>
      <c r="G863" s="54"/>
      <c r="H863" s="53"/>
      <c r="I863" s="53"/>
      <c r="J863" s="53"/>
      <c r="K863" s="54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4"/>
      <c r="AI863" s="53"/>
      <c r="AJ863" s="53"/>
      <c r="AK863" s="54"/>
      <c r="AL863" s="54"/>
    </row>
    <row r="864" spans="1:38" ht="15.75" thickBot="1" x14ac:dyDescent="0.3">
      <c r="A864" s="51"/>
      <c r="B864" s="51"/>
      <c r="C864" s="51"/>
      <c r="D864" s="51"/>
      <c r="E864" s="51"/>
      <c r="F864" s="51"/>
      <c r="G864" s="56"/>
      <c r="H864" s="55"/>
      <c r="I864" s="55"/>
      <c r="J864" s="55"/>
      <c r="K864" s="56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  <c r="AA864" s="55"/>
      <c r="AB864" s="55"/>
      <c r="AC864" s="55"/>
      <c r="AD864" s="55"/>
      <c r="AE864" s="55"/>
      <c r="AF864" s="55"/>
      <c r="AG864" s="55"/>
      <c r="AH864" s="56"/>
      <c r="AI864" s="55"/>
      <c r="AJ864" s="55"/>
      <c r="AK864" s="56"/>
      <c r="AL864" s="56"/>
    </row>
    <row r="865" spans="1:38" ht="15.75" thickBot="1" x14ac:dyDescent="0.3">
      <c r="A865" s="51"/>
      <c r="B865" s="51"/>
      <c r="C865" s="51"/>
      <c r="D865" s="51"/>
      <c r="E865" s="51"/>
      <c r="F865" s="51"/>
      <c r="G865" s="54"/>
      <c r="H865" s="54"/>
      <c r="I865" s="53"/>
      <c r="J865" s="53"/>
      <c r="K865" s="53"/>
      <c r="L865" s="53"/>
      <c r="M865" s="54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4"/>
      <c r="AI865" s="53"/>
      <c r="AJ865" s="53"/>
      <c r="AK865" s="54"/>
      <c r="AL865" s="54"/>
    </row>
    <row r="866" spans="1:38" ht="15.75" thickBot="1" x14ac:dyDescent="0.3">
      <c r="A866" s="51"/>
      <c r="B866" s="51"/>
      <c r="C866" s="51"/>
      <c r="D866" s="51"/>
      <c r="E866" s="51"/>
      <c r="F866" s="51"/>
      <c r="G866" s="56"/>
      <c r="H866" s="148"/>
      <c r="I866" s="55"/>
      <c r="J866" s="55"/>
      <c r="K866" s="55"/>
      <c r="L866" s="55"/>
      <c r="M866" s="56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  <c r="AA866" s="55"/>
      <c r="AB866" s="55"/>
      <c r="AC866" s="55"/>
      <c r="AD866" s="55"/>
      <c r="AE866" s="55"/>
      <c r="AF866" s="55"/>
      <c r="AG866" s="55"/>
      <c r="AH866" s="56"/>
      <c r="AI866" s="55"/>
      <c r="AJ866" s="55"/>
      <c r="AK866" s="56"/>
      <c r="AL866" s="56"/>
    </row>
    <row r="867" spans="1:38" ht="15.75" thickBot="1" x14ac:dyDescent="0.3">
      <c r="A867" s="51"/>
      <c r="B867" s="51"/>
      <c r="C867" s="51"/>
      <c r="D867" s="51"/>
      <c r="E867" s="51"/>
      <c r="F867" s="51"/>
      <c r="G867" s="54"/>
      <c r="H867" s="53"/>
      <c r="I867" s="53"/>
      <c r="J867" s="53"/>
      <c r="K867" s="53"/>
      <c r="L867" s="53"/>
      <c r="M867" s="53"/>
      <c r="N867" s="53"/>
      <c r="O867" s="53"/>
      <c r="P867" s="53"/>
      <c r="Q867" s="54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4"/>
      <c r="AI867" s="53"/>
      <c r="AJ867" s="53"/>
      <c r="AK867" s="54"/>
      <c r="AL867" s="54"/>
    </row>
    <row r="868" spans="1:38" ht="15.75" thickBot="1" x14ac:dyDescent="0.3">
      <c r="A868" s="51"/>
      <c r="B868" s="51"/>
      <c r="C868" s="51"/>
      <c r="D868" s="51"/>
      <c r="E868" s="51"/>
      <c r="F868" s="51"/>
      <c r="G868" s="56"/>
      <c r="H868" s="55"/>
      <c r="I868" s="55"/>
      <c r="J868" s="55"/>
      <c r="K868" s="55"/>
      <c r="L868" s="55"/>
      <c r="M868" s="55"/>
      <c r="N868" s="55"/>
      <c r="O868" s="55"/>
      <c r="P868" s="55"/>
      <c r="Q868" s="56"/>
      <c r="R868" s="55"/>
      <c r="S868" s="55"/>
      <c r="T868" s="55"/>
      <c r="U868" s="55"/>
      <c r="V868" s="55"/>
      <c r="W868" s="55"/>
      <c r="X868" s="55"/>
      <c r="Y868" s="55"/>
      <c r="Z868" s="55"/>
      <c r="AA868" s="55"/>
      <c r="AB868" s="55"/>
      <c r="AC868" s="55"/>
      <c r="AD868" s="55"/>
      <c r="AE868" s="55"/>
      <c r="AF868" s="55"/>
      <c r="AG868" s="55"/>
      <c r="AH868" s="56"/>
      <c r="AI868" s="55"/>
      <c r="AJ868" s="55"/>
      <c r="AK868" s="56"/>
      <c r="AL868" s="56"/>
    </row>
    <row r="869" spans="1:38" ht="15.75" thickBot="1" x14ac:dyDescent="0.3">
      <c r="A869" s="51"/>
      <c r="B869" s="51"/>
      <c r="C869" s="51"/>
      <c r="D869" s="51"/>
      <c r="E869" s="51"/>
      <c r="F869" s="51"/>
      <c r="G869" s="54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4"/>
      <c r="AA869" s="53"/>
      <c r="AB869" s="53"/>
      <c r="AC869" s="53"/>
      <c r="AD869" s="53"/>
      <c r="AE869" s="53"/>
      <c r="AF869" s="53"/>
      <c r="AG869" s="53"/>
      <c r="AH869" s="54"/>
      <c r="AI869" s="53"/>
      <c r="AJ869" s="53"/>
      <c r="AK869" s="54"/>
      <c r="AL869" s="54"/>
    </row>
    <row r="870" spans="1:38" ht="15.75" thickBot="1" x14ac:dyDescent="0.3">
      <c r="A870" s="51"/>
      <c r="B870" s="51"/>
      <c r="C870" s="51"/>
      <c r="D870" s="51"/>
      <c r="E870" s="51"/>
      <c r="F870" s="51"/>
      <c r="G870" s="56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6"/>
      <c r="AA870" s="55"/>
      <c r="AB870" s="55"/>
      <c r="AC870" s="55"/>
      <c r="AD870" s="55"/>
      <c r="AE870" s="55"/>
      <c r="AF870" s="55"/>
      <c r="AG870" s="55"/>
      <c r="AH870" s="56"/>
      <c r="AI870" s="55"/>
      <c r="AJ870" s="55"/>
      <c r="AK870" s="56"/>
      <c r="AL870" s="56"/>
    </row>
    <row r="871" spans="1:38" ht="15.75" thickBot="1" x14ac:dyDescent="0.3">
      <c r="A871" s="51"/>
      <c r="B871" s="51"/>
      <c r="C871" s="51"/>
      <c r="D871" s="51"/>
      <c r="E871" s="51"/>
      <c r="F871" s="51"/>
      <c r="G871" s="54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4"/>
      <c r="AB871" s="53"/>
      <c r="AC871" s="53"/>
      <c r="AD871" s="53"/>
      <c r="AE871" s="53"/>
      <c r="AF871" s="53"/>
      <c r="AG871" s="53"/>
      <c r="AH871" s="54"/>
      <c r="AI871" s="53"/>
      <c r="AJ871" s="53"/>
      <c r="AK871" s="54"/>
      <c r="AL871" s="54"/>
    </row>
    <row r="872" spans="1:38" ht="15.75" thickBot="1" x14ac:dyDescent="0.3">
      <c r="A872" s="51"/>
      <c r="B872" s="51"/>
      <c r="C872" s="51"/>
      <c r="D872" s="51"/>
      <c r="E872" s="51"/>
      <c r="F872" s="51"/>
      <c r="G872" s="56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  <c r="AA872" s="56"/>
      <c r="AB872" s="55"/>
      <c r="AC872" s="55"/>
      <c r="AD872" s="55"/>
      <c r="AE872" s="55"/>
      <c r="AF872" s="55"/>
      <c r="AG872" s="55"/>
      <c r="AH872" s="56"/>
      <c r="AI872" s="55"/>
      <c r="AJ872" s="55"/>
      <c r="AK872" s="56"/>
      <c r="AL872" s="56"/>
    </row>
    <row r="873" spans="1:38" ht="15.75" thickBot="1" x14ac:dyDescent="0.3">
      <c r="A873" s="51"/>
      <c r="B873" s="51"/>
      <c r="C873" s="51"/>
      <c r="D873" s="51"/>
      <c r="E873" s="51"/>
      <c r="F873" s="51"/>
      <c r="G873" s="54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4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4"/>
      <c r="AI873" s="53"/>
      <c r="AJ873" s="53"/>
      <c r="AK873" s="54"/>
      <c r="AL873" s="54"/>
    </row>
    <row r="874" spans="1:38" ht="15.75" thickBot="1" x14ac:dyDescent="0.3">
      <c r="A874" s="51"/>
      <c r="B874" s="51"/>
      <c r="C874" s="51"/>
      <c r="D874" s="51"/>
      <c r="E874" s="51"/>
      <c r="F874" s="51"/>
      <c r="G874" s="56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6"/>
      <c r="S874" s="55"/>
      <c r="T874" s="55"/>
      <c r="U874" s="55"/>
      <c r="V874" s="55"/>
      <c r="W874" s="55"/>
      <c r="X874" s="55"/>
      <c r="Y874" s="55"/>
      <c r="Z874" s="55"/>
      <c r="AA874" s="55"/>
      <c r="AB874" s="55"/>
      <c r="AC874" s="55"/>
      <c r="AD874" s="55"/>
      <c r="AE874" s="55"/>
      <c r="AF874" s="55"/>
      <c r="AG874" s="55"/>
      <c r="AH874" s="56"/>
      <c r="AI874" s="55"/>
      <c r="AJ874" s="55"/>
      <c r="AK874" s="56"/>
      <c r="AL874" s="56"/>
    </row>
    <row r="875" spans="1:38" ht="15.75" thickBot="1" x14ac:dyDescent="0.3">
      <c r="A875" s="51"/>
      <c r="B875" s="51"/>
      <c r="C875" s="51"/>
      <c r="D875" s="51"/>
      <c r="E875" s="51"/>
      <c r="F875" s="51"/>
      <c r="G875" s="54"/>
      <c r="H875" s="53"/>
      <c r="I875" s="53"/>
      <c r="J875" s="53"/>
      <c r="K875" s="54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4"/>
      <c r="AI875" s="53"/>
      <c r="AJ875" s="53"/>
      <c r="AK875" s="54"/>
      <c r="AL875" s="54"/>
    </row>
    <row r="876" spans="1:38" ht="15.75" thickBot="1" x14ac:dyDescent="0.3">
      <c r="A876" s="51"/>
      <c r="B876" s="51"/>
      <c r="C876" s="51"/>
      <c r="D876" s="51"/>
      <c r="E876" s="51"/>
      <c r="F876" s="51"/>
      <c r="G876" s="56"/>
      <c r="H876" s="55"/>
      <c r="I876" s="55"/>
      <c r="J876" s="55"/>
      <c r="K876" s="56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  <c r="AA876" s="55"/>
      <c r="AB876" s="55"/>
      <c r="AC876" s="55"/>
      <c r="AD876" s="55"/>
      <c r="AE876" s="55"/>
      <c r="AF876" s="55"/>
      <c r="AG876" s="55"/>
      <c r="AH876" s="56"/>
      <c r="AI876" s="55"/>
      <c r="AJ876" s="55"/>
      <c r="AK876" s="56"/>
      <c r="AL876" s="56"/>
    </row>
    <row r="877" spans="1:38" ht="15.75" thickBot="1" x14ac:dyDescent="0.3">
      <c r="A877" s="51"/>
      <c r="B877" s="51"/>
      <c r="C877" s="51"/>
      <c r="D877" s="51"/>
      <c r="E877" s="51"/>
      <c r="F877" s="51"/>
      <c r="G877" s="54"/>
      <c r="H877" s="54"/>
      <c r="I877" s="53"/>
      <c r="J877" s="53"/>
      <c r="K877" s="53"/>
      <c r="L877" s="53"/>
      <c r="M877" s="54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4"/>
      <c r="AI877" s="53"/>
      <c r="AJ877" s="53"/>
      <c r="AK877" s="54"/>
      <c r="AL877" s="54"/>
    </row>
    <row r="878" spans="1:38" ht="15.75" thickBot="1" x14ac:dyDescent="0.3">
      <c r="A878" s="51"/>
      <c r="B878" s="51"/>
      <c r="C878" s="51"/>
      <c r="D878" s="51"/>
      <c r="E878" s="51"/>
      <c r="F878" s="51"/>
      <c r="G878" s="56"/>
      <c r="H878" s="148"/>
      <c r="I878" s="55"/>
      <c r="J878" s="55"/>
      <c r="K878" s="55"/>
      <c r="L878" s="55"/>
      <c r="M878" s="56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  <c r="AA878" s="55"/>
      <c r="AB878" s="55"/>
      <c r="AC878" s="55"/>
      <c r="AD878" s="55"/>
      <c r="AE878" s="55"/>
      <c r="AF878" s="55"/>
      <c r="AG878" s="55"/>
      <c r="AH878" s="56"/>
      <c r="AI878" s="55"/>
      <c r="AJ878" s="55"/>
      <c r="AK878" s="56"/>
      <c r="AL878" s="56"/>
    </row>
    <row r="879" spans="1:38" ht="15.75" thickBot="1" x14ac:dyDescent="0.3">
      <c r="A879" s="51"/>
      <c r="B879" s="51"/>
      <c r="C879" s="51"/>
      <c r="D879" s="51"/>
      <c r="E879" s="51"/>
      <c r="F879" s="51"/>
      <c r="G879" s="54"/>
      <c r="H879" s="53"/>
      <c r="I879" s="53"/>
      <c r="J879" s="53"/>
      <c r="K879" s="53"/>
      <c r="L879" s="53"/>
      <c r="M879" s="53"/>
      <c r="N879" s="53"/>
      <c r="O879" s="53"/>
      <c r="P879" s="53"/>
      <c r="Q879" s="54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4"/>
      <c r="AI879" s="53"/>
      <c r="AJ879" s="53"/>
      <c r="AK879" s="54"/>
      <c r="AL879" s="54"/>
    </row>
    <row r="880" spans="1:38" ht="15.75" thickBot="1" x14ac:dyDescent="0.3">
      <c r="A880" s="51"/>
      <c r="B880" s="51"/>
      <c r="C880" s="51"/>
      <c r="D880" s="51"/>
      <c r="E880" s="51"/>
      <c r="F880" s="51"/>
      <c r="G880" s="56"/>
      <c r="H880" s="55"/>
      <c r="I880" s="55"/>
      <c r="J880" s="55"/>
      <c r="K880" s="55"/>
      <c r="L880" s="55"/>
      <c r="M880" s="55"/>
      <c r="N880" s="55"/>
      <c r="O880" s="55"/>
      <c r="P880" s="55"/>
      <c r="Q880" s="56"/>
      <c r="R880" s="55"/>
      <c r="S880" s="55"/>
      <c r="T880" s="55"/>
      <c r="U880" s="55"/>
      <c r="V880" s="55"/>
      <c r="W880" s="55"/>
      <c r="X880" s="55"/>
      <c r="Y880" s="55"/>
      <c r="Z880" s="55"/>
      <c r="AA880" s="55"/>
      <c r="AB880" s="55"/>
      <c r="AC880" s="55"/>
      <c r="AD880" s="55"/>
      <c r="AE880" s="55"/>
      <c r="AF880" s="55"/>
      <c r="AG880" s="55"/>
      <c r="AH880" s="56"/>
      <c r="AI880" s="55"/>
      <c r="AJ880" s="55"/>
      <c r="AK880" s="56"/>
      <c r="AL880" s="56"/>
    </row>
    <row r="881" spans="1:38" ht="15.75" thickBot="1" x14ac:dyDescent="0.3">
      <c r="A881" s="51"/>
      <c r="B881" s="51"/>
      <c r="C881" s="51"/>
      <c r="D881" s="51"/>
      <c r="E881" s="51"/>
      <c r="F881" s="51"/>
      <c r="G881" s="54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4"/>
      <c r="AA881" s="53"/>
      <c r="AB881" s="53"/>
      <c r="AC881" s="53"/>
      <c r="AD881" s="53"/>
      <c r="AE881" s="53"/>
      <c r="AF881" s="53"/>
      <c r="AG881" s="53"/>
      <c r="AH881" s="54"/>
      <c r="AI881" s="53"/>
      <c r="AJ881" s="53"/>
      <c r="AK881" s="54"/>
      <c r="AL881" s="54"/>
    </row>
    <row r="882" spans="1:38" ht="15.75" thickBot="1" x14ac:dyDescent="0.3">
      <c r="A882" s="51"/>
      <c r="B882" s="51"/>
      <c r="C882" s="51"/>
      <c r="D882" s="51"/>
      <c r="E882" s="51"/>
      <c r="F882" s="51"/>
      <c r="G882" s="56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6"/>
      <c r="AA882" s="55"/>
      <c r="AB882" s="55"/>
      <c r="AC882" s="55"/>
      <c r="AD882" s="55"/>
      <c r="AE882" s="55"/>
      <c r="AF882" s="55"/>
      <c r="AG882" s="55"/>
      <c r="AH882" s="56"/>
      <c r="AI882" s="55"/>
      <c r="AJ882" s="55"/>
      <c r="AK882" s="56"/>
      <c r="AL882" s="56"/>
    </row>
    <row r="883" spans="1:38" ht="15.75" thickBot="1" x14ac:dyDescent="0.3">
      <c r="A883" s="51"/>
      <c r="B883" s="51"/>
      <c r="C883" s="51"/>
      <c r="D883" s="51"/>
      <c r="E883" s="51"/>
      <c r="F883" s="51"/>
      <c r="G883" s="54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4"/>
      <c r="AB883" s="53"/>
      <c r="AC883" s="53"/>
      <c r="AD883" s="53"/>
      <c r="AE883" s="53"/>
      <c r="AF883" s="53"/>
      <c r="AG883" s="53"/>
      <c r="AH883" s="54"/>
      <c r="AI883" s="53"/>
      <c r="AJ883" s="53"/>
      <c r="AK883" s="54"/>
      <c r="AL883" s="54"/>
    </row>
    <row r="884" spans="1:38" ht="15.75" thickBot="1" x14ac:dyDescent="0.3">
      <c r="A884" s="51"/>
      <c r="B884" s="51"/>
      <c r="C884" s="51"/>
      <c r="D884" s="51"/>
      <c r="E884" s="51"/>
      <c r="F884" s="51"/>
      <c r="G884" s="56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  <c r="AA884" s="56"/>
      <c r="AB884" s="55"/>
      <c r="AC884" s="55"/>
      <c r="AD884" s="55"/>
      <c r="AE884" s="55"/>
      <c r="AF884" s="55"/>
      <c r="AG884" s="55"/>
      <c r="AH884" s="56"/>
      <c r="AI884" s="55"/>
      <c r="AJ884" s="55"/>
      <c r="AK884" s="56"/>
      <c r="AL884" s="56"/>
    </row>
    <row r="885" spans="1:38" ht="15.75" thickBot="1" x14ac:dyDescent="0.3">
      <c r="A885" s="51"/>
      <c r="B885" s="51"/>
      <c r="C885" s="51"/>
      <c r="D885" s="51"/>
      <c r="E885" s="51"/>
      <c r="F885" s="51"/>
      <c r="G885" s="54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4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4"/>
      <c r="AI885" s="53"/>
      <c r="AJ885" s="53"/>
      <c r="AK885" s="54"/>
      <c r="AL885" s="54"/>
    </row>
    <row r="886" spans="1:38" ht="15.75" thickBot="1" x14ac:dyDescent="0.3">
      <c r="A886" s="51"/>
      <c r="B886" s="51"/>
      <c r="C886" s="51"/>
      <c r="D886" s="51"/>
      <c r="E886" s="51"/>
      <c r="F886" s="51"/>
      <c r="G886" s="56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6"/>
      <c r="S886" s="55"/>
      <c r="T886" s="55"/>
      <c r="U886" s="55"/>
      <c r="V886" s="55"/>
      <c r="W886" s="55"/>
      <c r="X886" s="55"/>
      <c r="Y886" s="55"/>
      <c r="Z886" s="55"/>
      <c r="AA886" s="55"/>
      <c r="AB886" s="55"/>
      <c r="AC886" s="55"/>
      <c r="AD886" s="55"/>
      <c r="AE886" s="55"/>
      <c r="AF886" s="55"/>
      <c r="AG886" s="55"/>
      <c r="AH886" s="56"/>
      <c r="AI886" s="55"/>
      <c r="AJ886" s="55"/>
      <c r="AK886" s="56"/>
      <c r="AL886" s="56"/>
    </row>
    <row r="887" spans="1:38" ht="15.75" thickBot="1" x14ac:dyDescent="0.3">
      <c r="A887" s="51"/>
      <c r="B887" s="51"/>
      <c r="C887" s="51"/>
      <c r="D887" s="51"/>
      <c r="E887" s="51"/>
      <c r="F887" s="51"/>
      <c r="G887" s="54"/>
      <c r="H887" s="53"/>
      <c r="I887" s="53"/>
      <c r="J887" s="53"/>
      <c r="K887" s="54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4"/>
      <c r="AI887" s="53"/>
      <c r="AJ887" s="53"/>
      <c r="AK887" s="54"/>
      <c r="AL887" s="54"/>
    </row>
    <row r="888" spans="1:38" ht="15.75" thickBot="1" x14ac:dyDescent="0.3">
      <c r="A888" s="51"/>
      <c r="B888" s="51"/>
      <c r="C888" s="51"/>
      <c r="D888" s="51"/>
      <c r="E888" s="51"/>
      <c r="F888" s="51"/>
      <c r="G888" s="56"/>
      <c r="H888" s="55"/>
      <c r="I888" s="55"/>
      <c r="J888" s="55"/>
      <c r="K888" s="56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6"/>
      <c r="AI888" s="55"/>
      <c r="AJ888" s="55"/>
      <c r="AK888" s="56"/>
      <c r="AL888" s="56"/>
    </row>
    <row r="889" spans="1:38" ht="15.75" thickBot="1" x14ac:dyDescent="0.3">
      <c r="A889" s="51"/>
      <c r="B889" s="51"/>
      <c r="C889" s="51"/>
      <c r="D889" s="51"/>
      <c r="E889" s="51"/>
      <c r="F889" s="51"/>
      <c r="G889" s="54"/>
      <c r="H889" s="53"/>
      <c r="I889" s="53"/>
      <c r="J889" s="54"/>
      <c r="K889" s="53"/>
      <c r="L889" s="54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4"/>
      <c r="AI889" s="53"/>
      <c r="AJ889" s="53"/>
      <c r="AK889" s="54"/>
      <c r="AL889" s="54"/>
    </row>
    <row r="890" spans="1:38" ht="15.75" thickBot="1" x14ac:dyDescent="0.3">
      <c r="A890" s="51"/>
      <c r="B890" s="51"/>
      <c r="C890" s="51"/>
      <c r="D890" s="51"/>
      <c r="E890" s="51"/>
      <c r="F890" s="51"/>
      <c r="G890" s="56"/>
      <c r="H890" s="55"/>
      <c r="I890" s="55"/>
      <c r="J890" s="148"/>
      <c r="K890" s="55"/>
      <c r="L890" s="56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  <c r="AA890" s="55"/>
      <c r="AB890" s="55"/>
      <c r="AC890" s="55"/>
      <c r="AD890" s="55"/>
      <c r="AE890" s="55"/>
      <c r="AF890" s="55"/>
      <c r="AG890" s="55"/>
      <c r="AH890" s="56"/>
      <c r="AI890" s="55"/>
      <c r="AJ890" s="55"/>
      <c r="AK890" s="56"/>
      <c r="AL890" s="56"/>
    </row>
    <row r="891" spans="1:38" ht="15.75" thickBot="1" x14ac:dyDescent="0.3">
      <c r="A891" s="51"/>
      <c r="B891" s="51"/>
      <c r="C891" s="51"/>
      <c r="D891" s="51"/>
      <c r="E891" s="51"/>
      <c r="F891" s="51"/>
      <c r="G891" s="54"/>
      <c r="H891" s="53"/>
      <c r="I891" s="54"/>
      <c r="J891" s="53"/>
      <c r="K891" s="53"/>
      <c r="L891" s="53"/>
      <c r="M891" s="54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4"/>
      <c r="AI891" s="53"/>
      <c r="AJ891" s="53"/>
      <c r="AK891" s="54"/>
      <c r="AL891" s="54"/>
    </row>
    <row r="892" spans="1:38" ht="15.75" thickBot="1" x14ac:dyDescent="0.3">
      <c r="A892" s="51"/>
      <c r="B892" s="51"/>
      <c r="C892" s="51"/>
      <c r="D892" s="51"/>
      <c r="E892" s="51"/>
      <c r="F892" s="51"/>
      <c r="G892" s="56"/>
      <c r="H892" s="55"/>
      <c r="I892" s="148"/>
      <c r="J892" s="55"/>
      <c r="K892" s="55"/>
      <c r="L892" s="55"/>
      <c r="M892" s="56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  <c r="AA892" s="55"/>
      <c r="AB892" s="55"/>
      <c r="AC892" s="55"/>
      <c r="AD892" s="55"/>
      <c r="AE892" s="55"/>
      <c r="AF892" s="55"/>
      <c r="AG892" s="55"/>
      <c r="AH892" s="56"/>
      <c r="AI892" s="55"/>
      <c r="AJ892" s="55"/>
      <c r="AK892" s="56"/>
      <c r="AL892" s="56"/>
    </row>
    <row r="893" spans="1:38" ht="15.75" thickBot="1" x14ac:dyDescent="0.3">
      <c r="A893" s="51"/>
      <c r="B893" s="51"/>
      <c r="C893" s="51"/>
      <c r="D893" s="51"/>
      <c r="E893" s="51"/>
      <c r="F893" s="51"/>
      <c r="G893" s="54"/>
      <c r="H893" s="53"/>
      <c r="I893" s="53"/>
      <c r="J893" s="53"/>
      <c r="K893" s="53"/>
      <c r="L893" s="53"/>
      <c r="M893" s="53"/>
      <c r="N893" s="53"/>
      <c r="O893" s="53"/>
      <c r="P893" s="53"/>
      <c r="Q893" s="54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4"/>
      <c r="AI893" s="53"/>
      <c r="AJ893" s="53"/>
      <c r="AK893" s="54"/>
      <c r="AL893" s="54"/>
    </row>
    <row r="894" spans="1:38" ht="15.75" thickBot="1" x14ac:dyDescent="0.3">
      <c r="A894" s="51"/>
      <c r="B894" s="51"/>
      <c r="C894" s="51"/>
      <c r="D894" s="51"/>
      <c r="E894" s="51"/>
      <c r="F894" s="51"/>
      <c r="G894" s="56"/>
      <c r="H894" s="55"/>
      <c r="I894" s="55"/>
      <c r="J894" s="55"/>
      <c r="K894" s="55"/>
      <c r="L894" s="55"/>
      <c r="M894" s="55"/>
      <c r="N894" s="55"/>
      <c r="O894" s="55"/>
      <c r="P894" s="55"/>
      <c r="Q894" s="56"/>
      <c r="R894" s="55"/>
      <c r="S894" s="55"/>
      <c r="T894" s="55"/>
      <c r="U894" s="55"/>
      <c r="V894" s="55"/>
      <c r="W894" s="55"/>
      <c r="X894" s="55"/>
      <c r="Y894" s="55"/>
      <c r="Z894" s="55"/>
      <c r="AA894" s="55"/>
      <c r="AB894" s="55"/>
      <c r="AC894" s="55"/>
      <c r="AD894" s="55"/>
      <c r="AE894" s="55"/>
      <c r="AF894" s="55"/>
      <c r="AG894" s="55"/>
      <c r="AH894" s="56"/>
      <c r="AI894" s="55"/>
      <c r="AJ894" s="55"/>
      <c r="AK894" s="56"/>
      <c r="AL894" s="56"/>
    </row>
    <row r="895" spans="1:38" ht="15.75" thickBot="1" x14ac:dyDescent="0.3">
      <c r="A895" s="51"/>
      <c r="B895" s="51"/>
      <c r="C895" s="51"/>
      <c r="D895" s="51"/>
      <c r="E895" s="51"/>
      <c r="F895" s="51"/>
      <c r="G895" s="54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4"/>
      <c r="AA895" s="53"/>
      <c r="AB895" s="53"/>
      <c r="AC895" s="53"/>
      <c r="AD895" s="53"/>
      <c r="AE895" s="53"/>
      <c r="AF895" s="53"/>
      <c r="AG895" s="53"/>
      <c r="AH895" s="54"/>
      <c r="AI895" s="53"/>
      <c r="AJ895" s="53"/>
      <c r="AK895" s="54"/>
      <c r="AL895" s="54"/>
    </row>
    <row r="896" spans="1:38" ht="15.75" thickBot="1" x14ac:dyDescent="0.3">
      <c r="A896" s="51"/>
      <c r="B896" s="51"/>
      <c r="C896" s="51"/>
      <c r="D896" s="51"/>
      <c r="E896" s="51"/>
      <c r="F896" s="51"/>
      <c r="G896" s="56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6"/>
      <c r="AA896" s="55"/>
      <c r="AB896" s="55"/>
      <c r="AC896" s="55"/>
      <c r="AD896" s="55"/>
      <c r="AE896" s="55"/>
      <c r="AF896" s="55"/>
      <c r="AG896" s="55"/>
      <c r="AH896" s="56"/>
      <c r="AI896" s="55"/>
      <c r="AJ896" s="55"/>
      <c r="AK896" s="56"/>
      <c r="AL896" s="56"/>
    </row>
    <row r="897" spans="1:38" ht="15.75" thickBot="1" x14ac:dyDescent="0.3">
      <c r="A897" s="51"/>
      <c r="B897" s="51"/>
      <c r="C897" s="51"/>
      <c r="D897" s="51"/>
      <c r="E897" s="51"/>
      <c r="F897" s="51"/>
      <c r="G897" s="54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4"/>
      <c r="AB897" s="53"/>
      <c r="AC897" s="53"/>
      <c r="AD897" s="53"/>
      <c r="AE897" s="53"/>
      <c r="AF897" s="53"/>
      <c r="AG897" s="53"/>
      <c r="AH897" s="54"/>
      <c r="AI897" s="53"/>
      <c r="AJ897" s="53"/>
      <c r="AK897" s="54"/>
      <c r="AL897" s="54"/>
    </row>
    <row r="898" spans="1:38" ht="15.75" thickBot="1" x14ac:dyDescent="0.3">
      <c r="A898" s="51"/>
      <c r="B898" s="51"/>
      <c r="C898" s="51"/>
      <c r="D898" s="51"/>
      <c r="E898" s="51"/>
      <c r="F898" s="51"/>
      <c r="G898" s="56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  <c r="AA898" s="56"/>
      <c r="AB898" s="55"/>
      <c r="AC898" s="55"/>
      <c r="AD898" s="55"/>
      <c r="AE898" s="55"/>
      <c r="AF898" s="55"/>
      <c r="AG898" s="55"/>
      <c r="AH898" s="56"/>
      <c r="AI898" s="55"/>
      <c r="AJ898" s="55"/>
      <c r="AK898" s="56"/>
      <c r="AL898" s="56"/>
    </row>
    <row r="899" spans="1:38" ht="15.75" thickBot="1" x14ac:dyDescent="0.3">
      <c r="A899" s="51"/>
      <c r="B899" s="51"/>
      <c r="C899" s="51"/>
      <c r="D899" s="51"/>
      <c r="E899" s="51"/>
      <c r="F899" s="51"/>
      <c r="G899" s="54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4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4"/>
      <c r="AI899" s="53"/>
      <c r="AJ899" s="53"/>
      <c r="AK899" s="54"/>
      <c r="AL899" s="54"/>
    </row>
    <row r="900" spans="1:38" ht="15.75" thickBot="1" x14ac:dyDescent="0.3">
      <c r="A900" s="51"/>
      <c r="B900" s="51"/>
      <c r="C900" s="51"/>
      <c r="D900" s="51"/>
      <c r="E900" s="51"/>
      <c r="F900" s="51"/>
      <c r="G900" s="56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6"/>
      <c r="S900" s="55"/>
      <c r="T900" s="55"/>
      <c r="U900" s="55"/>
      <c r="V900" s="55"/>
      <c r="W900" s="55"/>
      <c r="X900" s="55"/>
      <c r="Y900" s="55"/>
      <c r="Z900" s="55"/>
      <c r="AA900" s="55"/>
      <c r="AB900" s="55"/>
      <c r="AC900" s="55"/>
      <c r="AD900" s="55"/>
      <c r="AE900" s="55"/>
      <c r="AF900" s="55"/>
      <c r="AG900" s="55"/>
      <c r="AH900" s="56"/>
      <c r="AI900" s="55"/>
      <c r="AJ900" s="55"/>
      <c r="AK900" s="56"/>
      <c r="AL900" s="56"/>
    </row>
    <row r="901" spans="1:38" ht="15.75" thickBot="1" x14ac:dyDescent="0.3">
      <c r="A901" s="51"/>
      <c r="B901" s="51"/>
      <c r="C901" s="51"/>
      <c r="D901" s="51"/>
      <c r="E901" s="51"/>
      <c r="F901" s="51"/>
      <c r="G901" s="54"/>
      <c r="H901" s="53"/>
      <c r="I901" s="53"/>
      <c r="J901" s="53"/>
      <c r="K901" s="54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4"/>
      <c r="AI901" s="53"/>
      <c r="AJ901" s="53"/>
      <c r="AK901" s="54"/>
      <c r="AL901" s="54"/>
    </row>
    <row r="902" spans="1:38" ht="15.75" thickBot="1" x14ac:dyDescent="0.3">
      <c r="A902" s="51"/>
      <c r="B902" s="51"/>
      <c r="C902" s="51"/>
      <c r="D902" s="51"/>
      <c r="E902" s="51"/>
      <c r="F902" s="51"/>
      <c r="G902" s="56"/>
      <c r="H902" s="55"/>
      <c r="I902" s="55"/>
      <c r="J902" s="55"/>
      <c r="K902" s="56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  <c r="AA902" s="55"/>
      <c r="AB902" s="55"/>
      <c r="AC902" s="55"/>
      <c r="AD902" s="55"/>
      <c r="AE902" s="55"/>
      <c r="AF902" s="55"/>
      <c r="AG902" s="55"/>
      <c r="AH902" s="56"/>
      <c r="AI902" s="55"/>
      <c r="AJ902" s="55"/>
      <c r="AK902" s="56"/>
      <c r="AL902" s="56"/>
    </row>
    <row r="903" spans="1:38" ht="15.75" thickBot="1" x14ac:dyDescent="0.3">
      <c r="A903" s="51"/>
      <c r="B903" s="51"/>
      <c r="C903" s="51"/>
      <c r="D903" s="51"/>
      <c r="E903" s="51"/>
      <c r="F903" s="51"/>
      <c r="G903" s="54"/>
      <c r="H903" s="53"/>
      <c r="I903" s="53"/>
      <c r="J903" s="53"/>
      <c r="K903" s="53"/>
      <c r="L903" s="54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4"/>
      <c r="AI903" s="53"/>
      <c r="AJ903" s="53"/>
      <c r="AK903" s="54"/>
      <c r="AL903" s="54"/>
    </row>
    <row r="904" spans="1:38" ht="15.75" thickBot="1" x14ac:dyDescent="0.3">
      <c r="A904" s="51"/>
      <c r="B904" s="51"/>
      <c r="C904" s="51"/>
      <c r="D904" s="51"/>
      <c r="E904" s="51"/>
      <c r="F904" s="51"/>
      <c r="G904" s="56"/>
      <c r="H904" s="55"/>
      <c r="I904" s="55"/>
      <c r="J904" s="55"/>
      <c r="K904" s="55"/>
      <c r="L904" s="56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  <c r="AA904" s="55"/>
      <c r="AB904" s="55"/>
      <c r="AC904" s="55"/>
      <c r="AD904" s="55"/>
      <c r="AE904" s="55"/>
      <c r="AF904" s="55"/>
      <c r="AG904" s="55"/>
      <c r="AH904" s="56"/>
      <c r="AI904" s="55"/>
      <c r="AJ904" s="55"/>
      <c r="AK904" s="56"/>
      <c r="AL904" s="56"/>
    </row>
    <row r="905" spans="1:38" ht="15.75" thickBot="1" x14ac:dyDescent="0.3">
      <c r="A905" s="51"/>
      <c r="B905" s="51"/>
      <c r="C905" s="51"/>
      <c r="D905" s="51"/>
      <c r="E905" s="51"/>
      <c r="F905" s="51"/>
      <c r="G905" s="54"/>
      <c r="H905" s="54"/>
      <c r="I905" s="53"/>
      <c r="J905" s="53"/>
      <c r="K905" s="53"/>
      <c r="L905" s="53"/>
      <c r="M905" s="54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4"/>
      <c r="AI905" s="53"/>
      <c r="AJ905" s="53"/>
      <c r="AK905" s="54"/>
      <c r="AL905" s="54"/>
    </row>
    <row r="906" spans="1:38" ht="15.75" thickBot="1" x14ac:dyDescent="0.3">
      <c r="A906" s="51"/>
      <c r="B906" s="51"/>
      <c r="C906" s="51"/>
      <c r="D906" s="51"/>
      <c r="E906" s="51"/>
      <c r="F906" s="51"/>
      <c r="G906" s="56"/>
      <c r="H906" s="148"/>
      <c r="I906" s="55"/>
      <c r="J906" s="55"/>
      <c r="K906" s="55"/>
      <c r="L906" s="55"/>
      <c r="M906" s="56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  <c r="AA906" s="55"/>
      <c r="AB906" s="55"/>
      <c r="AC906" s="55"/>
      <c r="AD906" s="55"/>
      <c r="AE906" s="55"/>
      <c r="AF906" s="55"/>
      <c r="AG906" s="55"/>
      <c r="AH906" s="56"/>
      <c r="AI906" s="55"/>
      <c r="AJ906" s="55"/>
      <c r="AK906" s="56"/>
      <c r="AL906" s="56"/>
    </row>
    <row r="907" spans="1:38" ht="15.75" thickBot="1" x14ac:dyDescent="0.3">
      <c r="A907" s="51"/>
      <c r="B907" s="51"/>
      <c r="C907" s="51"/>
      <c r="D907" s="51"/>
      <c r="E907" s="51"/>
      <c r="F907" s="51"/>
      <c r="G907" s="54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4"/>
      <c r="AA907" s="53"/>
      <c r="AB907" s="53"/>
      <c r="AC907" s="53"/>
      <c r="AD907" s="53"/>
      <c r="AE907" s="53"/>
      <c r="AF907" s="53"/>
      <c r="AG907" s="53"/>
      <c r="AH907" s="54"/>
      <c r="AI907" s="53"/>
      <c r="AJ907" s="53"/>
      <c r="AK907" s="54"/>
      <c r="AL907" s="54"/>
    </row>
    <row r="908" spans="1:38" ht="15.75" thickBot="1" x14ac:dyDescent="0.3">
      <c r="A908" s="51"/>
      <c r="B908" s="51"/>
      <c r="C908" s="51"/>
      <c r="D908" s="51"/>
      <c r="E908" s="51"/>
      <c r="F908" s="51"/>
      <c r="G908" s="56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6"/>
      <c r="AA908" s="55"/>
      <c r="AB908" s="55"/>
      <c r="AC908" s="55"/>
      <c r="AD908" s="55"/>
      <c r="AE908" s="55"/>
      <c r="AF908" s="55"/>
      <c r="AG908" s="55"/>
      <c r="AH908" s="56"/>
      <c r="AI908" s="55"/>
      <c r="AJ908" s="55"/>
      <c r="AK908" s="56"/>
      <c r="AL908" s="56"/>
    </row>
    <row r="909" spans="1:38" ht="15.75" thickBot="1" x14ac:dyDescent="0.3">
      <c r="A909" s="51"/>
      <c r="B909" s="51"/>
      <c r="C909" s="51"/>
      <c r="D909" s="51"/>
      <c r="E909" s="51"/>
      <c r="F909" s="51"/>
      <c r="G909" s="54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4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4"/>
      <c r="AI909" s="53"/>
      <c r="AJ909" s="53"/>
      <c r="AK909" s="54"/>
      <c r="AL909" s="54"/>
    </row>
    <row r="910" spans="1:38" ht="15.75" thickBot="1" x14ac:dyDescent="0.3">
      <c r="A910" s="51"/>
      <c r="B910" s="51"/>
      <c r="C910" s="51"/>
      <c r="D910" s="51"/>
      <c r="E910" s="51"/>
      <c r="F910" s="51"/>
      <c r="G910" s="56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6"/>
      <c r="S910" s="55"/>
      <c r="T910" s="55"/>
      <c r="U910" s="55"/>
      <c r="V910" s="55"/>
      <c r="W910" s="55"/>
      <c r="X910" s="55"/>
      <c r="Y910" s="55"/>
      <c r="Z910" s="55"/>
      <c r="AA910" s="55"/>
      <c r="AB910" s="55"/>
      <c r="AC910" s="55"/>
      <c r="AD910" s="55"/>
      <c r="AE910" s="55"/>
      <c r="AF910" s="55"/>
      <c r="AG910" s="55"/>
      <c r="AH910" s="56"/>
      <c r="AI910" s="55"/>
      <c r="AJ910" s="55"/>
      <c r="AK910" s="56"/>
      <c r="AL910" s="56"/>
    </row>
    <row r="911" spans="1:38" ht="15.75" thickBot="1" x14ac:dyDescent="0.3">
      <c r="A911" s="51"/>
      <c r="B911" s="51"/>
      <c r="C911" s="51"/>
      <c r="D911" s="51"/>
      <c r="E911" s="51"/>
      <c r="F911" s="51"/>
      <c r="G911" s="54"/>
      <c r="H911" s="53"/>
      <c r="I911" s="53"/>
      <c r="J911" s="53"/>
      <c r="K911" s="53"/>
      <c r="L911" s="53"/>
      <c r="M911" s="53"/>
      <c r="N911" s="53"/>
      <c r="O911" s="53"/>
      <c r="P911" s="53"/>
      <c r="Q911" s="54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4"/>
      <c r="AI911" s="53"/>
      <c r="AJ911" s="53"/>
      <c r="AK911" s="54"/>
      <c r="AL911" s="54"/>
    </row>
    <row r="912" spans="1:38" ht="15.75" thickBot="1" x14ac:dyDescent="0.3">
      <c r="A912" s="51"/>
      <c r="B912" s="51"/>
      <c r="C912" s="51"/>
      <c r="D912" s="51"/>
      <c r="E912" s="51"/>
      <c r="F912" s="51"/>
      <c r="G912" s="56"/>
      <c r="H912" s="55"/>
      <c r="I912" s="55"/>
      <c r="J912" s="55"/>
      <c r="K912" s="55"/>
      <c r="L912" s="55"/>
      <c r="M912" s="55"/>
      <c r="N912" s="55"/>
      <c r="O912" s="55"/>
      <c r="P912" s="55"/>
      <c r="Q912" s="56"/>
      <c r="R912" s="55"/>
      <c r="S912" s="55"/>
      <c r="T912" s="55"/>
      <c r="U912" s="55"/>
      <c r="V912" s="55"/>
      <c r="W912" s="55"/>
      <c r="X912" s="55"/>
      <c r="Y912" s="55"/>
      <c r="Z912" s="55"/>
      <c r="AA912" s="55"/>
      <c r="AB912" s="55"/>
      <c r="AC912" s="55"/>
      <c r="AD912" s="55"/>
      <c r="AE912" s="55"/>
      <c r="AF912" s="55"/>
      <c r="AG912" s="55"/>
      <c r="AH912" s="56"/>
      <c r="AI912" s="55"/>
      <c r="AJ912" s="55"/>
      <c r="AK912" s="56"/>
      <c r="AL912" s="56"/>
    </row>
    <row r="913" spans="1:38" ht="15.75" thickBot="1" x14ac:dyDescent="0.3">
      <c r="A913" s="51"/>
      <c r="B913" s="51"/>
      <c r="C913" s="51"/>
      <c r="D913" s="51"/>
      <c r="E913" s="51"/>
      <c r="F913" s="51"/>
      <c r="G913" s="54"/>
      <c r="H913" s="54"/>
      <c r="I913" s="53"/>
      <c r="J913" s="53"/>
      <c r="K913" s="53"/>
      <c r="L913" s="53"/>
      <c r="M913" s="54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4"/>
      <c r="AI913" s="53"/>
      <c r="AJ913" s="53"/>
      <c r="AK913" s="54"/>
      <c r="AL913" s="54"/>
    </row>
    <row r="914" spans="1:38" ht="15.75" thickBot="1" x14ac:dyDescent="0.3">
      <c r="A914" s="51"/>
      <c r="B914" s="51"/>
      <c r="C914" s="51"/>
      <c r="D914" s="51"/>
      <c r="E914" s="51"/>
      <c r="F914" s="51"/>
      <c r="G914" s="56"/>
      <c r="H914" s="148"/>
      <c r="I914" s="55"/>
      <c r="J914" s="55"/>
      <c r="K914" s="55"/>
      <c r="L914" s="55"/>
      <c r="M914" s="56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  <c r="AA914" s="55"/>
      <c r="AB914" s="55"/>
      <c r="AC914" s="55"/>
      <c r="AD914" s="55"/>
      <c r="AE914" s="55"/>
      <c r="AF914" s="55"/>
      <c r="AG914" s="55"/>
      <c r="AH914" s="56"/>
      <c r="AI914" s="55"/>
      <c r="AJ914" s="55"/>
      <c r="AK914" s="56"/>
      <c r="AL914" s="56"/>
    </row>
    <row r="915" spans="1:38" ht="15.75" thickBot="1" x14ac:dyDescent="0.3">
      <c r="A915" s="51"/>
      <c r="B915" s="51"/>
      <c r="C915" s="51"/>
      <c r="D915" s="51"/>
      <c r="E915" s="51"/>
      <c r="F915" s="51"/>
      <c r="G915" s="54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4"/>
      <c r="AB915" s="53"/>
      <c r="AC915" s="53"/>
      <c r="AD915" s="53"/>
      <c r="AE915" s="53"/>
      <c r="AF915" s="53"/>
      <c r="AG915" s="53"/>
      <c r="AH915" s="54"/>
      <c r="AI915" s="53"/>
      <c r="AJ915" s="53"/>
      <c r="AK915" s="54"/>
      <c r="AL915" s="54"/>
    </row>
    <row r="916" spans="1:38" ht="15.75" thickBot="1" x14ac:dyDescent="0.3">
      <c r="A916" s="51"/>
      <c r="B916" s="51"/>
      <c r="C916" s="51"/>
      <c r="D916" s="51"/>
      <c r="E916" s="51"/>
      <c r="F916" s="51"/>
      <c r="G916" s="56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  <c r="AA916" s="56"/>
      <c r="AB916" s="55"/>
      <c r="AC916" s="55"/>
      <c r="AD916" s="55"/>
      <c r="AE916" s="55"/>
      <c r="AF916" s="55"/>
      <c r="AG916" s="55"/>
      <c r="AH916" s="56"/>
      <c r="AI916" s="55"/>
      <c r="AJ916" s="55"/>
      <c r="AK916" s="56"/>
      <c r="AL916" s="56"/>
    </row>
    <row r="917" spans="1:38" ht="15.75" thickBot="1" x14ac:dyDescent="0.3">
      <c r="A917" s="51"/>
      <c r="B917" s="51"/>
      <c r="C917" s="51"/>
      <c r="D917" s="51"/>
      <c r="E917" s="51"/>
      <c r="F917" s="51"/>
      <c r="G917" s="54"/>
      <c r="H917" s="53"/>
      <c r="I917" s="53"/>
      <c r="J917" s="53"/>
      <c r="K917" s="54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4"/>
      <c r="AI917" s="53"/>
      <c r="AJ917" s="53"/>
      <c r="AK917" s="54"/>
      <c r="AL917" s="54"/>
    </row>
    <row r="918" spans="1:38" ht="15.75" thickBot="1" x14ac:dyDescent="0.3">
      <c r="A918" s="51"/>
      <c r="B918" s="51"/>
      <c r="C918" s="51"/>
      <c r="D918" s="51"/>
      <c r="E918" s="51"/>
      <c r="F918" s="51"/>
      <c r="G918" s="56"/>
      <c r="H918" s="55"/>
      <c r="I918" s="55"/>
      <c r="J918" s="55"/>
      <c r="K918" s="56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  <c r="AA918" s="55"/>
      <c r="AB918" s="55"/>
      <c r="AC918" s="55"/>
      <c r="AD918" s="55"/>
      <c r="AE918" s="55"/>
      <c r="AF918" s="55"/>
      <c r="AG918" s="55"/>
      <c r="AH918" s="56"/>
      <c r="AI918" s="55"/>
      <c r="AJ918" s="55"/>
      <c r="AK918" s="56"/>
      <c r="AL918" s="56"/>
    </row>
    <row r="919" spans="1:38" ht="15.75" thickBot="1" x14ac:dyDescent="0.3">
      <c r="A919" s="51"/>
      <c r="B919" s="51"/>
      <c r="C919" s="51"/>
      <c r="D919" s="51"/>
      <c r="E919" s="51"/>
      <c r="F919" s="51"/>
      <c r="G919" s="54"/>
      <c r="H919" s="53"/>
      <c r="I919" s="53"/>
      <c r="J919" s="53"/>
      <c r="K919" s="53"/>
      <c r="L919" s="53"/>
      <c r="M919" s="53"/>
      <c r="N919" s="53"/>
      <c r="O919" s="53"/>
      <c r="P919" s="53"/>
      <c r="Q919" s="54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4"/>
      <c r="AI919" s="53"/>
      <c r="AJ919" s="53"/>
      <c r="AK919" s="54"/>
      <c r="AL919" s="54"/>
    </row>
    <row r="920" spans="1:38" ht="15.75" thickBot="1" x14ac:dyDescent="0.3">
      <c r="A920" s="51"/>
      <c r="B920" s="51"/>
      <c r="C920" s="51"/>
      <c r="D920" s="51"/>
      <c r="E920" s="51"/>
      <c r="F920" s="51"/>
      <c r="G920" s="56"/>
      <c r="H920" s="55"/>
      <c r="I920" s="55"/>
      <c r="J920" s="55"/>
      <c r="K920" s="55"/>
      <c r="L920" s="55"/>
      <c r="M920" s="55"/>
      <c r="N920" s="55"/>
      <c r="O920" s="55"/>
      <c r="P920" s="55"/>
      <c r="Q920" s="56"/>
      <c r="R920" s="55"/>
      <c r="S920" s="55"/>
      <c r="T920" s="55"/>
      <c r="U920" s="55"/>
      <c r="V920" s="55"/>
      <c r="W920" s="55"/>
      <c r="X920" s="55"/>
      <c r="Y920" s="55"/>
      <c r="Z920" s="55"/>
      <c r="AA920" s="55"/>
      <c r="AB920" s="55"/>
      <c r="AC920" s="55"/>
      <c r="AD920" s="55"/>
      <c r="AE920" s="55"/>
      <c r="AF920" s="55"/>
      <c r="AG920" s="55"/>
      <c r="AH920" s="56"/>
      <c r="AI920" s="55"/>
      <c r="AJ920" s="55"/>
      <c r="AK920" s="56"/>
      <c r="AL920" s="56"/>
    </row>
    <row r="921" spans="1:38" ht="15.75" thickBot="1" x14ac:dyDescent="0.3">
      <c r="A921" s="51"/>
      <c r="B921" s="51"/>
      <c r="C921" s="51"/>
      <c r="D921" s="51"/>
      <c r="E921" s="51"/>
      <c r="F921" s="51"/>
      <c r="G921" s="54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4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4"/>
      <c r="AI921" s="53"/>
      <c r="AJ921" s="53"/>
      <c r="AK921" s="54"/>
      <c r="AL921" s="54"/>
    </row>
    <row r="922" spans="1:38" ht="15.75" thickBot="1" x14ac:dyDescent="0.3">
      <c r="A922" s="51"/>
      <c r="B922" s="51"/>
      <c r="C922" s="51"/>
      <c r="D922" s="51"/>
      <c r="E922" s="51"/>
      <c r="F922" s="51"/>
      <c r="G922" s="56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6"/>
      <c r="U922" s="55"/>
      <c r="V922" s="55"/>
      <c r="W922" s="55"/>
      <c r="X922" s="55"/>
      <c r="Y922" s="55"/>
      <c r="Z922" s="55"/>
      <c r="AA922" s="55"/>
      <c r="AB922" s="55"/>
      <c r="AC922" s="55"/>
      <c r="AD922" s="55"/>
      <c r="AE922" s="55"/>
      <c r="AF922" s="55"/>
      <c r="AG922" s="55"/>
      <c r="AH922" s="56"/>
      <c r="AI922" s="55"/>
      <c r="AJ922" s="55"/>
      <c r="AK922" s="56"/>
      <c r="AL922" s="56"/>
    </row>
    <row r="923" spans="1:38" ht="15.75" thickBot="1" x14ac:dyDescent="0.3">
      <c r="A923" s="51"/>
      <c r="B923" s="51"/>
      <c r="C923" s="51"/>
      <c r="D923" s="51"/>
      <c r="E923" s="51"/>
      <c r="F923" s="51"/>
      <c r="G923" s="54"/>
      <c r="H923" s="54"/>
      <c r="I923" s="53"/>
      <c r="J923" s="53"/>
      <c r="K923" s="53"/>
      <c r="L923" s="53"/>
      <c r="M923" s="54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4"/>
      <c r="AI923" s="53"/>
      <c r="AJ923" s="53"/>
      <c r="AK923" s="54"/>
      <c r="AL923" s="54"/>
    </row>
    <row r="924" spans="1:38" ht="15.75" thickBot="1" x14ac:dyDescent="0.3">
      <c r="A924" s="51"/>
      <c r="B924" s="51"/>
      <c r="C924" s="51"/>
      <c r="D924" s="51"/>
      <c r="E924" s="51"/>
      <c r="F924" s="51"/>
      <c r="G924" s="56"/>
      <c r="H924" s="148"/>
      <c r="I924" s="55"/>
      <c r="J924" s="55"/>
      <c r="K924" s="55"/>
      <c r="L924" s="55"/>
      <c r="M924" s="56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  <c r="AA924" s="55"/>
      <c r="AB924" s="55"/>
      <c r="AC924" s="55"/>
      <c r="AD924" s="55"/>
      <c r="AE924" s="55"/>
      <c r="AF924" s="55"/>
      <c r="AG924" s="55"/>
      <c r="AH924" s="56"/>
      <c r="AI924" s="55"/>
      <c r="AJ924" s="55"/>
      <c r="AK924" s="56"/>
      <c r="AL924" s="56"/>
    </row>
    <row r="925" spans="1:38" ht="15.75" thickBot="1" x14ac:dyDescent="0.3">
      <c r="A925" s="51"/>
      <c r="B925" s="51"/>
      <c r="C925" s="51"/>
      <c r="D925" s="51"/>
      <c r="E925" s="51"/>
      <c r="F925" s="51"/>
      <c r="G925" s="54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4"/>
      <c r="AB925" s="53"/>
      <c r="AC925" s="53"/>
      <c r="AD925" s="53"/>
      <c r="AE925" s="53"/>
      <c r="AF925" s="53"/>
      <c r="AG925" s="53"/>
      <c r="AH925" s="54"/>
      <c r="AI925" s="53"/>
      <c r="AJ925" s="53"/>
      <c r="AK925" s="54"/>
      <c r="AL925" s="54"/>
    </row>
    <row r="926" spans="1:38" ht="15.75" thickBot="1" x14ac:dyDescent="0.3">
      <c r="A926" s="51"/>
      <c r="B926" s="51"/>
      <c r="C926" s="51"/>
      <c r="D926" s="51"/>
      <c r="E926" s="51"/>
      <c r="F926" s="51"/>
      <c r="G926" s="56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  <c r="AA926" s="56"/>
      <c r="AB926" s="55"/>
      <c r="AC926" s="55"/>
      <c r="AD926" s="55"/>
      <c r="AE926" s="55"/>
      <c r="AF926" s="55"/>
      <c r="AG926" s="55"/>
      <c r="AH926" s="56"/>
      <c r="AI926" s="55"/>
      <c r="AJ926" s="55"/>
      <c r="AK926" s="56"/>
      <c r="AL926" s="56"/>
    </row>
    <row r="927" spans="1:38" ht="15.75" thickBot="1" x14ac:dyDescent="0.3">
      <c r="A927" s="51"/>
      <c r="B927" s="51"/>
      <c r="C927" s="51"/>
      <c r="D927" s="51"/>
      <c r="E927" s="51"/>
      <c r="F927" s="51"/>
      <c r="G927" s="54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4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4"/>
      <c r="AI927" s="53"/>
      <c r="AJ927" s="53"/>
      <c r="AK927" s="54"/>
      <c r="AL927" s="54"/>
    </row>
    <row r="928" spans="1:38" ht="15.75" thickBot="1" x14ac:dyDescent="0.3">
      <c r="A928" s="51"/>
      <c r="B928" s="51"/>
      <c r="C928" s="51"/>
      <c r="D928" s="51"/>
      <c r="E928" s="51"/>
      <c r="F928" s="51"/>
      <c r="G928" s="56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6"/>
      <c r="V928" s="55"/>
      <c r="W928" s="55"/>
      <c r="X928" s="55"/>
      <c r="Y928" s="55"/>
      <c r="Z928" s="55"/>
      <c r="AA928" s="55"/>
      <c r="AB928" s="55"/>
      <c r="AC928" s="55"/>
      <c r="AD928" s="55"/>
      <c r="AE928" s="55"/>
      <c r="AF928" s="55"/>
      <c r="AG928" s="55"/>
      <c r="AH928" s="56"/>
      <c r="AI928" s="55"/>
      <c r="AJ928" s="55"/>
      <c r="AK928" s="56"/>
      <c r="AL928" s="56"/>
    </row>
    <row r="929" spans="1:38" ht="15.75" thickBot="1" x14ac:dyDescent="0.3">
      <c r="A929" s="51"/>
      <c r="B929" s="51"/>
      <c r="C929" s="51"/>
      <c r="D929" s="51"/>
      <c r="E929" s="51"/>
      <c r="F929" s="51"/>
      <c r="G929" s="54"/>
      <c r="H929" s="53"/>
      <c r="I929" s="53"/>
      <c r="J929" s="53"/>
      <c r="K929" s="53"/>
      <c r="L929" s="53"/>
      <c r="M929" s="53"/>
      <c r="N929" s="54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4"/>
      <c r="AI929" s="53"/>
      <c r="AJ929" s="53"/>
      <c r="AK929" s="54"/>
      <c r="AL929" s="54"/>
    </row>
    <row r="930" spans="1:38" ht="15.75" thickBot="1" x14ac:dyDescent="0.3">
      <c r="A930" s="51"/>
      <c r="B930" s="51"/>
      <c r="C930" s="51"/>
      <c r="D930" s="51"/>
      <c r="E930" s="51"/>
      <c r="F930" s="51"/>
      <c r="G930" s="56"/>
      <c r="H930" s="55"/>
      <c r="I930" s="55"/>
      <c r="J930" s="55"/>
      <c r="K930" s="55"/>
      <c r="L930" s="55"/>
      <c r="M930" s="55"/>
      <c r="N930" s="56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  <c r="AA930" s="55"/>
      <c r="AB930" s="55"/>
      <c r="AC930" s="55"/>
      <c r="AD930" s="55"/>
      <c r="AE930" s="55"/>
      <c r="AF930" s="55"/>
      <c r="AG930" s="55"/>
      <c r="AH930" s="56"/>
      <c r="AI930" s="55"/>
      <c r="AJ930" s="55"/>
      <c r="AK930" s="56"/>
      <c r="AL930" s="56"/>
    </row>
    <row r="931" spans="1:38" ht="15.75" thickBot="1" x14ac:dyDescent="0.3">
      <c r="A931" s="51"/>
      <c r="B931" s="51"/>
      <c r="C931" s="51"/>
      <c r="D931" s="51"/>
      <c r="E931" s="51"/>
      <c r="F931" s="51"/>
      <c r="G931" s="54"/>
      <c r="H931" s="53"/>
      <c r="I931" s="53"/>
      <c r="J931" s="53"/>
      <c r="K931" s="54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4"/>
      <c r="AI931" s="53"/>
      <c r="AJ931" s="53"/>
      <c r="AK931" s="54"/>
      <c r="AL931" s="54"/>
    </row>
    <row r="932" spans="1:38" ht="15.75" thickBot="1" x14ac:dyDescent="0.3">
      <c r="A932" s="51"/>
      <c r="B932" s="51"/>
      <c r="C932" s="51"/>
      <c r="D932" s="51"/>
      <c r="E932" s="51"/>
      <c r="F932" s="51"/>
      <c r="G932" s="56"/>
      <c r="H932" s="55"/>
      <c r="I932" s="55"/>
      <c r="J932" s="55"/>
      <c r="K932" s="56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  <c r="AA932" s="55"/>
      <c r="AB932" s="55"/>
      <c r="AC932" s="55"/>
      <c r="AD932" s="55"/>
      <c r="AE932" s="55"/>
      <c r="AF932" s="55"/>
      <c r="AG932" s="55"/>
      <c r="AH932" s="56"/>
      <c r="AI932" s="55"/>
      <c r="AJ932" s="55"/>
      <c r="AK932" s="56"/>
      <c r="AL932" s="56"/>
    </row>
    <row r="933" spans="1:38" ht="15.75" thickBot="1" x14ac:dyDescent="0.3">
      <c r="A933" s="51"/>
      <c r="B933" s="51"/>
      <c r="C933" s="51"/>
      <c r="D933" s="51"/>
      <c r="E933" s="51"/>
      <c r="F933" s="51"/>
      <c r="G933" s="54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4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4"/>
      <c r="AI933" s="53"/>
      <c r="AJ933" s="53"/>
      <c r="AK933" s="54"/>
      <c r="AL933" s="54"/>
    </row>
    <row r="934" spans="1:38" ht="15.75" thickBot="1" x14ac:dyDescent="0.3">
      <c r="A934" s="51"/>
      <c r="B934" s="51"/>
      <c r="C934" s="51"/>
      <c r="D934" s="51"/>
      <c r="E934" s="51"/>
      <c r="F934" s="51"/>
      <c r="G934" s="56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6"/>
      <c r="X934" s="55"/>
      <c r="Y934" s="55"/>
      <c r="Z934" s="55"/>
      <c r="AA934" s="55"/>
      <c r="AB934" s="55"/>
      <c r="AC934" s="55"/>
      <c r="AD934" s="55"/>
      <c r="AE934" s="55"/>
      <c r="AF934" s="55"/>
      <c r="AG934" s="55"/>
      <c r="AH934" s="56"/>
      <c r="AI934" s="55"/>
      <c r="AJ934" s="55"/>
      <c r="AK934" s="56"/>
      <c r="AL934" s="56"/>
    </row>
    <row r="935" spans="1:38" ht="15.75" thickBot="1" x14ac:dyDescent="0.3">
      <c r="A935" s="51"/>
      <c r="B935" s="51"/>
      <c r="C935" s="51"/>
      <c r="D935" s="51"/>
      <c r="E935" s="51"/>
      <c r="F935" s="51"/>
      <c r="G935" s="54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4"/>
      <c r="Y935" s="53"/>
      <c r="Z935" s="53"/>
      <c r="AA935" s="53"/>
      <c r="AB935" s="53"/>
      <c r="AC935" s="53"/>
      <c r="AD935" s="53"/>
      <c r="AE935" s="53"/>
      <c r="AF935" s="53"/>
      <c r="AG935" s="53"/>
      <c r="AH935" s="54"/>
      <c r="AI935" s="53"/>
      <c r="AJ935" s="53"/>
      <c r="AK935" s="54"/>
      <c r="AL935" s="54"/>
    </row>
    <row r="936" spans="1:38" ht="15.75" thickBot="1" x14ac:dyDescent="0.3">
      <c r="A936" s="51"/>
      <c r="B936" s="51"/>
      <c r="C936" s="51"/>
      <c r="D936" s="51"/>
      <c r="E936" s="51"/>
      <c r="F936" s="51"/>
      <c r="G936" s="56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6"/>
      <c r="Y936" s="55"/>
      <c r="Z936" s="55"/>
      <c r="AA936" s="55"/>
      <c r="AB936" s="55"/>
      <c r="AC936" s="55"/>
      <c r="AD936" s="55"/>
      <c r="AE936" s="55"/>
      <c r="AF936" s="55"/>
      <c r="AG936" s="55"/>
      <c r="AH936" s="56"/>
      <c r="AI936" s="55"/>
      <c r="AJ936" s="55"/>
      <c r="AK936" s="56"/>
      <c r="AL936" s="56"/>
    </row>
    <row r="937" spans="1:38" ht="15.75" thickBot="1" x14ac:dyDescent="0.3">
      <c r="A937" s="51"/>
      <c r="B937" s="51"/>
      <c r="C937" s="51"/>
      <c r="D937" s="51"/>
      <c r="E937" s="51"/>
      <c r="F937" s="51"/>
      <c r="G937" s="54"/>
      <c r="H937" s="53"/>
      <c r="I937" s="53"/>
      <c r="J937" s="53"/>
      <c r="K937" s="54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4"/>
      <c r="AI937" s="53"/>
      <c r="AJ937" s="53"/>
      <c r="AK937" s="54"/>
      <c r="AL937" s="54"/>
    </row>
    <row r="938" spans="1:38" ht="15.75" thickBot="1" x14ac:dyDescent="0.3">
      <c r="A938" s="51"/>
      <c r="B938" s="51"/>
      <c r="C938" s="51"/>
      <c r="D938" s="51"/>
      <c r="E938" s="51"/>
      <c r="F938" s="51"/>
      <c r="G938" s="56"/>
      <c r="H938" s="55"/>
      <c r="I938" s="55"/>
      <c r="J938" s="55"/>
      <c r="K938" s="56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  <c r="AA938" s="55"/>
      <c r="AB938" s="55"/>
      <c r="AC938" s="55"/>
      <c r="AD938" s="55"/>
      <c r="AE938" s="55"/>
      <c r="AF938" s="55"/>
      <c r="AG938" s="55"/>
      <c r="AH938" s="56"/>
      <c r="AI938" s="55"/>
      <c r="AJ938" s="55"/>
      <c r="AK938" s="56"/>
      <c r="AL938" s="56"/>
    </row>
    <row r="939" spans="1:38" ht="15.75" thickBot="1" x14ac:dyDescent="0.3">
      <c r="A939" s="51"/>
      <c r="B939" s="51"/>
      <c r="C939" s="51"/>
      <c r="D939" s="51"/>
      <c r="E939" s="51"/>
      <c r="F939" s="51"/>
      <c r="G939" s="54"/>
      <c r="H939" s="54"/>
      <c r="I939" s="53"/>
      <c r="J939" s="53"/>
      <c r="K939" s="53"/>
      <c r="L939" s="53"/>
      <c r="M939" s="54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4"/>
      <c r="AI939" s="53"/>
      <c r="AJ939" s="53"/>
      <c r="AK939" s="54"/>
      <c r="AL939" s="54"/>
    </row>
    <row r="940" spans="1:38" ht="15.75" thickBot="1" x14ac:dyDescent="0.3">
      <c r="A940" s="51"/>
      <c r="B940" s="51"/>
      <c r="C940" s="51"/>
      <c r="D940" s="51"/>
      <c r="E940" s="51"/>
      <c r="F940" s="51"/>
      <c r="G940" s="56"/>
      <c r="H940" s="148"/>
      <c r="I940" s="55"/>
      <c r="J940" s="55"/>
      <c r="K940" s="55"/>
      <c r="L940" s="55"/>
      <c r="M940" s="56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  <c r="AE940" s="55"/>
      <c r="AF940" s="55"/>
      <c r="AG940" s="55"/>
      <c r="AH940" s="56"/>
      <c r="AI940" s="55"/>
      <c r="AJ940" s="55"/>
      <c r="AK940" s="56"/>
      <c r="AL940" s="56"/>
    </row>
    <row r="941" spans="1:38" ht="15.75" thickBot="1" x14ac:dyDescent="0.3">
      <c r="A941" s="51"/>
      <c r="B941" s="51"/>
      <c r="C941" s="51"/>
      <c r="D941" s="51"/>
      <c r="E941" s="51"/>
      <c r="F941" s="51"/>
      <c r="G941" s="54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4"/>
      <c r="AA941" s="53"/>
      <c r="AB941" s="53"/>
      <c r="AC941" s="53"/>
      <c r="AD941" s="53"/>
      <c r="AE941" s="53"/>
      <c r="AF941" s="53"/>
      <c r="AG941" s="53"/>
      <c r="AH941" s="54"/>
      <c r="AI941" s="53"/>
      <c r="AJ941" s="53"/>
      <c r="AK941" s="54"/>
      <c r="AL941" s="54"/>
    </row>
    <row r="942" spans="1:38" ht="15.75" thickBot="1" x14ac:dyDescent="0.3">
      <c r="A942" s="51"/>
      <c r="B942" s="51"/>
      <c r="C942" s="51"/>
      <c r="D942" s="51"/>
      <c r="E942" s="51"/>
      <c r="F942" s="51"/>
      <c r="G942" s="56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6"/>
      <c r="AA942" s="55"/>
      <c r="AB942" s="55"/>
      <c r="AC942" s="55"/>
      <c r="AD942" s="55"/>
      <c r="AE942" s="55"/>
      <c r="AF942" s="55"/>
      <c r="AG942" s="55"/>
      <c r="AH942" s="56"/>
      <c r="AI942" s="55"/>
      <c r="AJ942" s="55"/>
      <c r="AK942" s="56"/>
      <c r="AL942" s="56"/>
    </row>
    <row r="943" spans="1:38" ht="15.75" thickBot="1" x14ac:dyDescent="0.3">
      <c r="A943" s="51"/>
      <c r="B943" s="51"/>
      <c r="C943" s="51"/>
      <c r="D943" s="51"/>
      <c r="E943" s="51"/>
      <c r="F943" s="51"/>
      <c r="G943" s="54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4"/>
      <c r="AB943" s="53"/>
      <c r="AC943" s="53"/>
      <c r="AD943" s="53"/>
      <c r="AE943" s="53"/>
      <c r="AF943" s="53"/>
      <c r="AG943" s="53"/>
      <c r="AH943" s="54"/>
      <c r="AI943" s="53"/>
      <c r="AJ943" s="53"/>
      <c r="AK943" s="54"/>
      <c r="AL943" s="54"/>
    </row>
    <row r="944" spans="1:38" ht="15.75" thickBot="1" x14ac:dyDescent="0.3">
      <c r="A944" s="51"/>
      <c r="B944" s="51"/>
      <c r="C944" s="51"/>
      <c r="D944" s="51"/>
      <c r="E944" s="51"/>
      <c r="F944" s="51"/>
      <c r="G944" s="56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  <c r="AA944" s="56"/>
      <c r="AB944" s="55"/>
      <c r="AC944" s="55"/>
      <c r="AD944" s="55"/>
      <c r="AE944" s="55"/>
      <c r="AF944" s="55"/>
      <c r="AG944" s="55"/>
      <c r="AH944" s="56"/>
      <c r="AI944" s="55"/>
      <c r="AJ944" s="55"/>
      <c r="AK944" s="56"/>
      <c r="AL944" s="56"/>
    </row>
    <row r="945" spans="1:38" ht="15.75" thickBot="1" x14ac:dyDescent="0.3">
      <c r="A945" s="51"/>
      <c r="B945" s="51"/>
      <c r="C945" s="51"/>
      <c r="D945" s="51"/>
      <c r="E945" s="51"/>
      <c r="F945" s="51"/>
      <c r="G945" s="54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4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4"/>
      <c r="AI945" s="53"/>
      <c r="AJ945" s="53"/>
      <c r="AK945" s="54"/>
      <c r="AL945" s="54"/>
    </row>
    <row r="946" spans="1:38" ht="15.75" thickBot="1" x14ac:dyDescent="0.3">
      <c r="A946" s="51"/>
      <c r="B946" s="51"/>
      <c r="C946" s="51"/>
      <c r="D946" s="51"/>
      <c r="E946" s="51"/>
      <c r="F946" s="51"/>
      <c r="G946" s="56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6"/>
      <c r="S946" s="55"/>
      <c r="T946" s="55"/>
      <c r="U946" s="55"/>
      <c r="V946" s="55"/>
      <c r="W946" s="55"/>
      <c r="X946" s="55"/>
      <c r="Y946" s="55"/>
      <c r="Z946" s="55"/>
      <c r="AA946" s="55"/>
      <c r="AB946" s="55"/>
      <c r="AC946" s="55"/>
      <c r="AD946" s="55"/>
      <c r="AE946" s="55"/>
      <c r="AF946" s="55"/>
      <c r="AG946" s="55"/>
      <c r="AH946" s="56"/>
      <c r="AI946" s="55"/>
      <c r="AJ946" s="55"/>
      <c r="AK946" s="56"/>
      <c r="AL946" s="56"/>
    </row>
    <row r="947" spans="1:38" ht="15.75" thickBot="1" x14ac:dyDescent="0.3">
      <c r="A947" s="51"/>
      <c r="B947" s="51"/>
      <c r="C947" s="51"/>
      <c r="D947" s="51"/>
      <c r="E947" s="51"/>
      <c r="F947" s="51"/>
      <c r="G947" s="54"/>
      <c r="H947" s="53"/>
      <c r="I947" s="53"/>
      <c r="J947" s="53"/>
      <c r="K947" s="54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4"/>
      <c r="AI947" s="53"/>
      <c r="AJ947" s="53"/>
      <c r="AK947" s="54"/>
      <c r="AL947" s="54"/>
    </row>
    <row r="948" spans="1:38" ht="15.75" thickBot="1" x14ac:dyDescent="0.3">
      <c r="A948" s="51"/>
      <c r="B948" s="51"/>
      <c r="C948" s="51"/>
      <c r="D948" s="51"/>
      <c r="E948" s="51"/>
      <c r="F948" s="51"/>
      <c r="G948" s="56"/>
      <c r="H948" s="55"/>
      <c r="I948" s="55"/>
      <c r="J948" s="55"/>
      <c r="K948" s="56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  <c r="AA948" s="55"/>
      <c r="AB948" s="55"/>
      <c r="AC948" s="55"/>
      <c r="AD948" s="55"/>
      <c r="AE948" s="55"/>
      <c r="AF948" s="55"/>
      <c r="AG948" s="55"/>
      <c r="AH948" s="56"/>
      <c r="AI948" s="55"/>
      <c r="AJ948" s="55"/>
      <c r="AK948" s="56"/>
      <c r="AL948" s="56"/>
    </row>
    <row r="949" spans="1:38" ht="15.75" thickBot="1" x14ac:dyDescent="0.3">
      <c r="A949" s="51"/>
      <c r="B949" s="51"/>
      <c r="C949" s="51"/>
      <c r="D949" s="51"/>
      <c r="E949" s="51"/>
      <c r="F949" s="51"/>
      <c r="G949" s="54"/>
      <c r="H949" s="54"/>
      <c r="I949" s="53"/>
      <c r="J949" s="53"/>
      <c r="K949" s="53"/>
      <c r="L949" s="53"/>
      <c r="M949" s="54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4"/>
      <c r="AI949" s="53"/>
      <c r="AJ949" s="53"/>
      <c r="AK949" s="54"/>
      <c r="AL949" s="54"/>
    </row>
    <row r="950" spans="1:38" ht="15.75" thickBot="1" x14ac:dyDescent="0.3">
      <c r="A950" s="51"/>
      <c r="B950" s="51"/>
      <c r="C950" s="51"/>
      <c r="D950" s="51"/>
      <c r="E950" s="51"/>
      <c r="F950" s="51"/>
      <c r="G950" s="56"/>
      <c r="H950" s="148"/>
      <c r="I950" s="55"/>
      <c r="J950" s="55"/>
      <c r="K950" s="55"/>
      <c r="L950" s="55"/>
      <c r="M950" s="56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  <c r="AA950" s="55"/>
      <c r="AB950" s="55"/>
      <c r="AC950" s="55"/>
      <c r="AD950" s="55"/>
      <c r="AE950" s="55"/>
      <c r="AF950" s="55"/>
      <c r="AG950" s="55"/>
      <c r="AH950" s="56"/>
      <c r="AI950" s="55"/>
      <c r="AJ950" s="55"/>
      <c r="AK950" s="56"/>
      <c r="AL950" s="56"/>
    </row>
    <row r="951" spans="1:38" ht="15.75" thickBot="1" x14ac:dyDescent="0.3">
      <c r="A951" s="51"/>
      <c r="B951" s="51"/>
      <c r="C951" s="51"/>
      <c r="D951" s="51"/>
      <c r="E951" s="51"/>
      <c r="F951" s="51"/>
      <c r="G951" s="54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4"/>
      <c r="AA951" s="53"/>
      <c r="AB951" s="53"/>
      <c r="AC951" s="53"/>
      <c r="AD951" s="53"/>
      <c r="AE951" s="53"/>
      <c r="AF951" s="53"/>
      <c r="AG951" s="53"/>
      <c r="AH951" s="54"/>
      <c r="AI951" s="53"/>
      <c r="AJ951" s="53"/>
      <c r="AK951" s="54"/>
      <c r="AL951" s="54"/>
    </row>
    <row r="952" spans="1:38" ht="15.75" thickBot="1" x14ac:dyDescent="0.3">
      <c r="A952" s="51"/>
      <c r="B952" s="51"/>
      <c r="C952" s="51"/>
      <c r="D952" s="51"/>
      <c r="E952" s="51"/>
      <c r="F952" s="51"/>
      <c r="G952" s="56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6"/>
      <c r="AA952" s="55"/>
      <c r="AB952" s="55"/>
      <c r="AC952" s="55"/>
      <c r="AD952" s="55"/>
      <c r="AE952" s="55"/>
      <c r="AF952" s="55"/>
      <c r="AG952" s="55"/>
      <c r="AH952" s="56"/>
      <c r="AI952" s="55"/>
      <c r="AJ952" s="55"/>
      <c r="AK952" s="56"/>
      <c r="AL952" s="56"/>
    </row>
    <row r="953" spans="1:38" ht="15.75" thickBot="1" x14ac:dyDescent="0.3">
      <c r="A953" s="51"/>
      <c r="B953" s="51"/>
      <c r="C953" s="51"/>
      <c r="D953" s="51"/>
      <c r="E953" s="51"/>
      <c r="F953" s="51"/>
      <c r="G953" s="54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4"/>
      <c r="AA953" s="53"/>
      <c r="AB953" s="53"/>
      <c r="AC953" s="53"/>
      <c r="AD953" s="53"/>
      <c r="AE953" s="53"/>
      <c r="AF953" s="53"/>
      <c r="AG953" s="53"/>
      <c r="AH953" s="54"/>
      <c r="AI953" s="53"/>
      <c r="AJ953" s="53"/>
      <c r="AK953" s="54"/>
      <c r="AL953" s="54"/>
    </row>
    <row r="954" spans="1:38" ht="15.75" thickBot="1" x14ac:dyDescent="0.3">
      <c r="A954" s="51"/>
      <c r="B954" s="51"/>
      <c r="C954" s="51"/>
      <c r="D954" s="51"/>
      <c r="E954" s="51"/>
      <c r="F954" s="51"/>
      <c r="G954" s="56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6"/>
      <c r="AA954" s="55"/>
      <c r="AB954" s="55"/>
      <c r="AC954" s="55"/>
      <c r="AD954" s="55"/>
      <c r="AE954" s="55"/>
      <c r="AF954" s="55"/>
      <c r="AG954" s="55"/>
      <c r="AH954" s="56"/>
      <c r="AI954" s="55"/>
      <c r="AJ954" s="55"/>
      <c r="AK954" s="56"/>
      <c r="AL954" s="56"/>
    </row>
    <row r="955" spans="1:38" ht="15.75" thickBot="1" x14ac:dyDescent="0.3">
      <c r="A955" s="51"/>
      <c r="B955" s="51"/>
      <c r="C955" s="51"/>
      <c r="D955" s="51"/>
      <c r="E955" s="51"/>
      <c r="F955" s="51"/>
      <c r="G955" s="54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4"/>
      <c r="AB955" s="53"/>
      <c r="AC955" s="53"/>
      <c r="AD955" s="53"/>
      <c r="AE955" s="53"/>
      <c r="AF955" s="53"/>
      <c r="AG955" s="53"/>
      <c r="AH955" s="54"/>
      <c r="AI955" s="53"/>
      <c r="AJ955" s="53"/>
      <c r="AK955" s="54"/>
      <c r="AL955" s="54"/>
    </row>
    <row r="956" spans="1:38" ht="15.75" thickBot="1" x14ac:dyDescent="0.3">
      <c r="A956" s="51"/>
      <c r="B956" s="51"/>
      <c r="C956" s="51"/>
      <c r="D956" s="51"/>
      <c r="E956" s="51"/>
      <c r="F956" s="51"/>
      <c r="G956" s="56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  <c r="AA956" s="56"/>
      <c r="AB956" s="55"/>
      <c r="AC956" s="55"/>
      <c r="AD956" s="55"/>
      <c r="AE956" s="55"/>
      <c r="AF956" s="55"/>
      <c r="AG956" s="55"/>
      <c r="AH956" s="56"/>
      <c r="AI956" s="55"/>
      <c r="AJ956" s="55"/>
      <c r="AK956" s="56"/>
      <c r="AL956" s="56"/>
    </row>
    <row r="957" spans="1:38" ht="15.75" thickBot="1" x14ac:dyDescent="0.3">
      <c r="A957" s="51"/>
      <c r="B957" s="51"/>
      <c r="C957" s="51"/>
      <c r="D957" s="51"/>
      <c r="E957" s="51"/>
      <c r="F957" s="51"/>
      <c r="G957" s="54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4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4"/>
      <c r="AI957" s="53"/>
      <c r="AJ957" s="53"/>
      <c r="AK957" s="54"/>
      <c r="AL957" s="54"/>
    </row>
    <row r="958" spans="1:38" ht="15.75" thickBot="1" x14ac:dyDescent="0.3">
      <c r="A958" s="51"/>
      <c r="B958" s="51"/>
      <c r="C958" s="51"/>
      <c r="D958" s="51"/>
      <c r="E958" s="51"/>
      <c r="F958" s="51"/>
      <c r="G958" s="56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6"/>
      <c r="S958" s="55"/>
      <c r="T958" s="55"/>
      <c r="U958" s="55"/>
      <c r="V958" s="55"/>
      <c r="W958" s="55"/>
      <c r="X958" s="55"/>
      <c r="Y958" s="55"/>
      <c r="Z958" s="55"/>
      <c r="AA958" s="55"/>
      <c r="AB958" s="55"/>
      <c r="AC958" s="55"/>
      <c r="AD958" s="55"/>
      <c r="AE958" s="55"/>
      <c r="AF958" s="55"/>
      <c r="AG958" s="55"/>
      <c r="AH958" s="56"/>
      <c r="AI958" s="55"/>
      <c r="AJ958" s="55"/>
      <c r="AK958" s="56"/>
      <c r="AL958" s="56"/>
    </row>
    <row r="959" spans="1:38" ht="15.75" thickBot="1" x14ac:dyDescent="0.3">
      <c r="A959" s="51"/>
      <c r="B959" s="51"/>
      <c r="C959" s="51"/>
      <c r="D959" s="51"/>
      <c r="E959" s="51"/>
      <c r="F959" s="51"/>
      <c r="G959" s="54"/>
      <c r="H959" s="53"/>
      <c r="I959" s="53"/>
      <c r="J959" s="53"/>
      <c r="K959" s="54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4"/>
      <c r="AI959" s="53"/>
      <c r="AJ959" s="53"/>
      <c r="AK959" s="54"/>
      <c r="AL959" s="54"/>
    </row>
    <row r="960" spans="1:38" ht="15.75" thickBot="1" x14ac:dyDescent="0.3">
      <c r="A960" s="51"/>
      <c r="B960" s="51"/>
      <c r="C960" s="51"/>
      <c r="D960" s="51"/>
      <c r="E960" s="51"/>
      <c r="F960" s="51"/>
      <c r="G960" s="56"/>
      <c r="H960" s="55"/>
      <c r="I960" s="55"/>
      <c r="J960" s="55"/>
      <c r="K960" s="56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  <c r="AA960" s="55"/>
      <c r="AB960" s="55"/>
      <c r="AC960" s="55"/>
      <c r="AD960" s="55"/>
      <c r="AE960" s="55"/>
      <c r="AF960" s="55"/>
      <c r="AG960" s="55"/>
      <c r="AH960" s="56"/>
      <c r="AI960" s="55"/>
      <c r="AJ960" s="55"/>
      <c r="AK960" s="56"/>
      <c r="AL960" s="56"/>
    </row>
    <row r="961" spans="1:38" ht="15.75" thickBot="1" x14ac:dyDescent="0.3">
      <c r="A961" s="51"/>
      <c r="B961" s="51"/>
      <c r="C961" s="51"/>
      <c r="D961" s="51"/>
      <c r="E961" s="51"/>
      <c r="F961" s="51"/>
      <c r="G961" s="54"/>
      <c r="H961" s="54"/>
      <c r="I961" s="53"/>
      <c r="J961" s="53"/>
      <c r="K961" s="53"/>
      <c r="L961" s="53"/>
      <c r="M961" s="54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4"/>
      <c r="AI961" s="53"/>
      <c r="AJ961" s="53"/>
      <c r="AK961" s="54"/>
      <c r="AL961" s="54"/>
    </row>
    <row r="962" spans="1:38" ht="15.75" thickBot="1" x14ac:dyDescent="0.3">
      <c r="A962" s="51"/>
      <c r="B962" s="51"/>
      <c r="C962" s="51"/>
      <c r="D962" s="51"/>
      <c r="E962" s="51"/>
      <c r="F962" s="51"/>
      <c r="G962" s="56"/>
      <c r="H962" s="148"/>
      <c r="I962" s="55"/>
      <c r="J962" s="55"/>
      <c r="K962" s="55"/>
      <c r="L962" s="55"/>
      <c r="M962" s="56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  <c r="AA962" s="55"/>
      <c r="AB962" s="55"/>
      <c r="AC962" s="55"/>
      <c r="AD962" s="55"/>
      <c r="AE962" s="55"/>
      <c r="AF962" s="55"/>
      <c r="AG962" s="55"/>
      <c r="AH962" s="56"/>
      <c r="AI962" s="55"/>
      <c r="AJ962" s="55"/>
      <c r="AK962" s="56"/>
      <c r="AL962" s="56"/>
    </row>
    <row r="963" spans="1:38" ht="15.75" thickBot="1" x14ac:dyDescent="0.3">
      <c r="A963" s="51"/>
      <c r="B963" s="51"/>
      <c r="C963" s="51"/>
      <c r="D963" s="51"/>
      <c r="E963" s="51"/>
      <c r="F963" s="51"/>
      <c r="G963" s="54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4"/>
      <c r="AA963" s="53"/>
      <c r="AB963" s="53"/>
      <c r="AC963" s="53"/>
      <c r="AD963" s="53"/>
      <c r="AE963" s="53"/>
      <c r="AF963" s="53"/>
      <c r="AG963" s="53"/>
      <c r="AH963" s="54"/>
      <c r="AI963" s="53"/>
      <c r="AJ963" s="53"/>
      <c r="AK963" s="54"/>
      <c r="AL963" s="54"/>
    </row>
    <row r="964" spans="1:38" ht="15.75" thickBot="1" x14ac:dyDescent="0.3">
      <c r="A964" s="51"/>
      <c r="B964" s="51"/>
      <c r="C964" s="51"/>
      <c r="D964" s="51"/>
      <c r="E964" s="51"/>
      <c r="F964" s="51"/>
      <c r="G964" s="56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6"/>
      <c r="AA964" s="55"/>
      <c r="AB964" s="55"/>
      <c r="AC964" s="55"/>
      <c r="AD964" s="55"/>
      <c r="AE964" s="55"/>
      <c r="AF964" s="55"/>
      <c r="AG964" s="55"/>
      <c r="AH964" s="56"/>
      <c r="AI964" s="55"/>
      <c r="AJ964" s="55"/>
      <c r="AK964" s="56"/>
      <c r="AL964" s="56"/>
    </row>
    <row r="965" spans="1:38" ht="15.75" thickBot="1" x14ac:dyDescent="0.3">
      <c r="A965" s="51"/>
      <c r="B965" s="51"/>
      <c r="C965" s="51"/>
      <c r="D965" s="51"/>
      <c r="E965" s="51"/>
      <c r="F965" s="51"/>
      <c r="G965" s="54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4"/>
      <c r="AB965" s="53"/>
      <c r="AC965" s="53"/>
      <c r="AD965" s="53"/>
      <c r="AE965" s="53"/>
      <c r="AF965" s="53"/>
      <c r="AG965" s="53"/>
      <c r="AH965" s="54"/>
      <c r="AI965" s="53"/>
      <c r="AJ965" s="53"/>
      <c r="AK965" s="54"/>
      <c r="AL965" s="54"/>
    </row>
    <row r="966" spans="1:38" ht="15.75" thickBot="1" x14ac:dyDescent="0.3">
      <c r="A966" s="51"/>
      <c r="B966" s="51"/>
      <c r="C966" s="51"/>
      <c r="D966" s="51"/>
      <c r="E966" s="51"/>
      <c r="F966" s="51"/>
      <c r="G966" s="56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  <c r="AA966" s="56"/>
      <c r="AB966" s="55"/>
      <c r="AC966" s="55"/>
      <c r="AD966" s="55"/>
      <c r="AE966" s="55"/>
      <c r="AF966" s="55"/>
      <c r="AG966" s="55"/>
      <c r="AH966" s="56"/>
      <c r="AI966" s="55"/>
      <c r="AJ966" s="55"/>
      <c r="AK966" s="56"/>
      <c r="AL966" s="56"/>
    </row>
    <row r="967" spans="1:38" ht="15.75" thickBot="1" x14ac:dyDescent="0.3">
      <c r="A967" s="51"/>
      <c r="B967" s="51"/>
      <c r="C967" s="51"/>
      <c r="D967" s="51"/>
      <c r="E967" s="51"/>
      <c r="F967" s="51"/>
      <c r="G967" s="54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4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4"/>
      <c r="AI967" s="53"/>
      <c r="AJ967" s="53"/>
      <c r="AK967" s="54"/>
      <c r="AL967" s="54"/>
    </row>
    <row r="968" spans="1:38" ht="15.75" thickBot="1" x14ac:dyDescent="0.3">
      <c r="A968" s="51"/>
      <c r="B968" s="51"/>
      <c r="C968" s="51"/>
      <c r="D968" s="51"/>
      <c r="E968" s="51"/>
      <c r="F968" s="51"/>
      <c r="G968" s="56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6"/>
      <c r="S968" s="55"/>
      <c r="T968" s="55"/>
      <c r="U968" s="55"/>
      <c r="V968" s="55"/>
      <c r="W968" s="55"/>
      <c r="X968" s="55"/>
      <c r="Y968" s="55"/>
      <c r="Z968" s="55"/>
      <c r="AA968" s="55"/>
      <c r="AB968" s="55"/>
      <c r="AC968" s="55"/>
      <c r="AD968" s="55"/>
      <c r="AE968" s="55"/>
      <c r="AF968" s="55"/>
      <c r="AG968" s="55"/>
      <c r="AH968" s="56"/>
      <c r="AI968" s="55"/>
      <c r="AJ968" s="55"/>
      <c r="AK968" s="56"/>
      <c r="AL968" s="56"/>
    </row>
    <row r="969" spans="1:38" ht="15.75" thickBot="1" x14ac:dyDescent="0.3">
      <c r="A969" s="51"/>
      <c r="B969" s="51"/>
      <c r="C969" s="51"/>
      <c r="D969" s="51"/>
      <c r="E969" s="51"/>
      <c r="F969" s="51"/>
      <c r="G969" s="54"/>
      <c r="H969" s="53"/>
      <c r="I969" s="53"/>
      <c r="J969" s="53"/>
      <c r="K969" s="54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4"/>
      <c r="AI969" s="53"/>
      <c r="AJ969" s="53"/>
      <c r="AK969" s="54"/>
      <c r="AL969" s="54"/>
    </row>
    <row r="970" spans="1:38" ht="15.75" thickBot="1" x14ac:dyDescent="0.3">
      <c r="A970" s="51"/>
      <c r="B970" s="51"/>
      <c r="C970" s="51"/>
      <c r="D970" s="51"/>
      <c r="E970" s="51"/>
      <c r="F970" s="51"/>
      <c r="G970" s="56"/>
      <c r="H970" s="55"/>
      <c r="I970" s="55"/>
      <c r="J970" s="55"/>
      <c r="K970" s="56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  <c r="AA970" s="55"/>
      <c r="AB970" s="55"/>
      <c r="AC970" s="55"/>
      <c r="AD970" s="55"/>
      <c r="AE970" s="55"/>
      <c r="AF970" s="55"/>
      <c r="AG970" s="55"/>
      <c r="AH970" s="56"/>
      <c r="AI970" s="55"/>
      <c r="AJ970" s="55"/>
      <c r="AK970" s="56"/>
      <c r="AL970" s="56"/>
    </row>
    <row r="971" spans="1:38" ht="15.75" thickBot="1" x14ac:dyDescent="0.3">
      <c r="A971" s="51"/>
      <c r="B971" s="51"/>
      <c r="C971" s="51"/>
      <c r="D971" s="51"/>
      <c r="E971" s="51"/>
      <c r="F971" s="51"/>
      <c r="G971" s="54"/>
      <c r="H971" s="54"/>
      <c r="I971" s="53"/>
      <c r="J971" s="53"/>
      <c r="K971" s="53"/>
      <c r="L971" s="53"/>
      <c r="M971" s="54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4"/>
      <c r="AI971" s="53"/>
      <c r="AJ971" s="53"/>
      <c r="AK971" s="54"/>
      <c r="AL971" s="54"/>
    </row>
    <row r="972" spans="1:38" ht="15.75" thickBot="1" x14ac:dyDescent="0.3">
      <c r="A972" s="51"/>
      <c r="B972" s="51"/>
      <c r="C972" s="51"/>
      <c r="D972" s="51"/>
      <c r="E972" s="51"/>
      <c r="F972" s="51"/>
      <c r="G972" s="56"/>
      <c r="H972" s="148"/>
      <c r="I972" s="55"/>
      <c r="J972" s="55"/>
      <c r="K972" s="55"/>
      <c r="L972" s="55"/>
      <c r="M972" s="56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  <c r="AE972" s="55"/>
      <c r="AF972" s="55"/>
      <c r="AG972" s="55"/>
      <c r="AH972" s="56"/>
      <c r="AI972" s="55"/>
      <c r="AJ972" s="55"/>
      <c r="AK972" s="56"/>
      <c r="AL972" s="56"/>
    </row>
    <row r="973" spans="1:38" ht="15.75" thickBot="1" x14ac:dyDescent="0.3">
      <c r="A973" s="51"/>
      <c r="B973" s="51"/>
      <c r="C973" s="51"/>
      <c r="D973" s="51"/>
      <c r="E973" s="51"/>
      <c r="F973" s="51"/>
      <c r="G973" s="54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4"/>
      <c r="AA973" s="53"/>
      <c r="AB973" s="53"/>
      <c r="AC973" s="53"/>
      <c r="AD973" s="53"/>
      <c r="AE973" s="53"/>
      <c r="AF973" s="53"/>
      <c r="AG973" s="53"/>
      <c r="AH973" s="54"/>
      <c r="AI973" s="53"/>
      <c r="AJ973" s="53"/>
      <c r="AK973" s="54"/>
      <c r="AL973" s="54"/>
    </row>
    <row r="974" spans="1:38" ht="15.75" thickBot="1" x14ac:dyDescent="0.3">
      <c r="A974" s="51"/>
      <c r="B974" s="51"/>
      <c r="C974" s="51"/>
      <c r="D974" s="51"/>
      <c r="E974" s="51"/>
      <c r="F974" s="51"/>
      <c r="G974" s="56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6"/>
      <c r="AA974" s="55"/>
      <c r="AB974" s="55"/>
      <c r="AC974" s="55"/>
      <c r="AD974" s="55"/>
      <c r="AE974" s="55"/>
      <c r="AF974" s="55"/>
      <c r="AG974" s="55"/>
      <c r="AH974" s="56"/>
      <c r="AI974" s="55"/>
      <c r="AJ974" s="55"/>
      <c r="AK974" s="56"/>
      <c r="AL974" s="56"/>
    </row>
    <row r="975" spans="1:38" ht="15.75" thickBot="1" x14ac:dyDescent="0.3">
      <c r="A975" s="51"/>
      <c r="B975" s="51"/>
      <c r="C975" s="51"/>
      <c r="D975" s="51"/>
      <c r="E975" s="51"/>
      <c r="F975" s="51"/>
      <c r="G975" s="54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4"/>
      <c r="AB975" s="53"/>
      <c r="AC975" s="53"/>
      <c r="AD975" s="53"/>
      <c r="AE975" s="53"/>
      <c r="AF975" s="53"/>
      <c r="AG975" s="53"/>
      <c r="AH975" s="54"/>
      <c r="AI975" s="53"/>
      <c r="AJ975" s="53"/>
      <c r="AK975" s="54"/>
      <c r="AL975" s="54"/>
    </row>
    <row r="976" spans="1:38" ht="15.75" thickBot="1" x14ac:dyDescent="0.3">
      <c r="A976" s="51"/>
      <c r="B976" s="51"/>
      <c r="C976" s="51"/>
      <c r="D976" s="51"/>
      <c r="E976" s="51"/>
      <c r="F976" s="51"/>
      <c r="G976" s="56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  <c r="AA976" s="56"/>
      <c r="AB976" s="55"/>
      <c r="AC976" s="55"/>
      <c r="AD976" s="55"/>
      <c r="AE976" s="55"/>
      <c r="AF976" s="55"/>
      <c r="AG976" s="55"/>
      <c r="AH976" s="56"/>
      <c r="AI976" s="55"/>
      <c r="AJ976" s="55"/>
      <c r="AK976" s="56"/>
      <c r="AL976" s="56"/>
    </row>
    <row r="977" spans="1:38" ht="15.75" thickBot="1" x14ac:dyDescent="0.3">
      <c r="A977" s="51"/>
      <c r="B977" s="51"/>
      <c r="C977" s="51"/>
      <c r="D977" s="51"/>
      <c r="E977" s="51"/>
      <c r="F977" s="51"/>
      <c r="G977" s="54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4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4"/>
      <c r="AI977" s="53"/>
      <c r="AJ977" s="53"/>
      <c r="AK977" s="54"/>
      <c r="AL977" s="54"/>
    </row>
    <row r="978" spans="1:38" ht="15.75" thickBot="1" x14ac:dyDescent="0.3">
      <c r="A978" s="51"/>
      <c r="B978" s="51"/>
      <c r="C978" s="51"/>
      <c r="D978" s="51"/>
      <c r="E978" s="51"/>
      <c r="F978" s="51"/>
      <c r="G978" s="56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6"/>
      <c r="S978" s="55"/>
      <c r="T978" s="55"/>
      <c r="U978" s="55"/>
      <c r="V978" s="55"/>
      <c r="W978" s="55"/>
      <c r="X978" s="55"/>
      <c r="Y978" s="55"/>
      <c r="Z978" s="55"/>
      <c r="AA978" s="55"/>
      <c r="AB978" s="55"/>
      <c r="AC978" s="55"/>
      <c r="AD978" s="55"/>
      <c r="AE978" s="55"/>
      <c r="AF978" s="55"/>
      <c r="AG978" s="55"/>
      <c r="AH978" s="56"/>
      <c r="AI978" s="55"/>
      <c r="AJ978" s="55"/>
      <c r="AK978" s="56"/>
      <c r="AL978" s="56"/>
    </row>
    <row r="979" spans="1:38" ht="15.75" thickBot="1" x14ac:dyDescent="0.3">
      <c r="A979" s="51"/>
      <c r="B979" s="51"/>
      <c r="C979" s="51"/>
      <c r="D979" s="51"/>
      <c r="E979" s="51"/>
      <c r="F979" s="51"/>
      <c r="G979" s="54"/>
      <c r="H979" s="53"/>
      <c r="I979" s="53"/>
      <c r="J979" s="53"/>
      <c r="K979" s="54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4"/>
      <c r="AI979" s="53"/>
      <c r="AJ979" s="53"/>
      <c r="AK979" s="54"/>
      <c r="AL979" s="54"/>
    </row>
    <row r="980" spans="1:38" ht="15.75" thickBot="1" x14ac:dyDescent="0.3">
      <c r="A980" s="51"/>
      <c r="B980" s="51"/>
      <c r="C980" s="51"/>
      <c r="D980" s="51"/>
      <c r="E980" s="51"/>
      <c r="F980" s="51"/>
      <c r="G980" s="56"/>
      <c r="H980" s="55"/>
      <c r="I980" s="55"/>
      <c r="J980" s="55"/>
      <c r="K980" s="56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  <c r="AA980" s="55"/>
      <c r="AB980" s="55"/>
      <c r="AC980" s="55"/>
      <c r="AD980" s="55"/>
      <c r="AE980" s="55"/>
      <c r="AF980" s="55"/>
      <c r="AG980" s="55"/>
      <c r="AH980" s="56"/>
      <c r="AI980" s="55"/>
      <c r="AJ980" s="55"/>
      <c r="AK980" s="56"/>
      <c r="AL980" s="56"/>
    </row>
    <row r="981" spans="1:38" ht="15.75" thickBot="1" x14ac:dyDescent="0.3">
      <c r="A981" s="51"/>
      <c r="B981" s="51"/>
      <c r="C981" s="51"/>
      <c r="D981" s="51"/>
      <c r="E981" s="51"/>
      <c r="F981" s="51"/>
      <c r="G981" s="54"/>
      <c r="H981" s="54"/>
      <c r="I981" s="53"/>
      <c r="J981" s="53"/>
      <c r="K981" s="53"/>
      <c r="L981" s="53"/>
      <c r="M981" s="54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4"/>
      <c r="AI981" s="53"/>
      <c r="AJ981" s="53"/>
      <c r="AK981" s="54"/>
      <c r="AL981" s="54"/>
    </row>
    <row r="982" spans="1:38" ht="15.75" thickBot="1" x14ac:dyDescent="0.3">
      <c r="A982" s="51"/>
      <c r="B982" s="51"/>
      <c r="C982" s="51"/>
      <c r="D982" s="51"/>
      <c r="E982" s="51"/>
      <c r="F982" s="51"/>
      <c r="G982" s="56"/>
      <c r="H982" s="148"/>
      <c r="I982" s="55"/>
      <c r="J982" s="55"/>
      <c r="K982" s="55"/>
      <c r="L982" s="55"/>
      <c r="M982" s="56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  <c r="AA982" s="55"/>
      <c r="AB982" s="55"/>
      <c r="AC982" s="55"/>
      <c r="AD982" s="55"/>
      <c r="AE982" s="55"/>
      <c r="AF982" s="55"/>
      <c r="AG982" s="55"/>
      <c r="AH982" s="56"/>
      <c r="AI982" s="55"/>
      <c r="AJ982" s="55"/>
      <c r="AK982" s="56"/>
      <c r="AL982" s="56"/>
    </row>
    <row r="983" spans="1:38" ht="15.75" thickBot="1" x14ac:dyDescent="0.3">
      <c r="A983" s="51"/>
      <c r="B983" s="51"/>
      <c r="C983" s="51"/>
      <c r="D983" s="51"/>
      <c r="E983" s="51"/>
      <c r="F983" s="51"/>
      <c r="G983" s="54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4"/>
      <c r="AA983" s="53"/>
      <c r="AB983" s="53"/>
      <c r="AC983" s="53"/>
      <c r="AD983" s="53"/>
      <c r="AE983" s="53"/>
      <c r="AF983" s="53"/>
      <c r="AG983" s="53"/>
      <c r="AH983" s="54"/>
      <c r="AI983" s="53"/>
      <c r="AJ983" s="53"/>
      <c r="AK983" s="54"/>
      <c r="AL983" s="54"/>
    </row>
    <row r="984" spans="1:38" ht="15.75" thickBot="1" x14ac:dyDescent="0.3">
      <c r="A984" s="51"/>
      <c r="B984" s="51"/>
      <c r="C984" s="51"/>
      <c r="D984" s="51"/>
      <c r="E984" s="51"/>
      <c r="F984" s="51"/>
      <c r="G984" s="56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6"/>
      <c r="AA984" s="55"/>
      <c r="AB984" s="55"/>
      <c r="AC984" s="55"/>
      <c r="AD984" s="55"/>
      <c r="AE984" s="55"/>
      <c r="AF984" s="55"/>
      <c r="AG984" s="55"/>
      <c r="AH984" s="56"/>
      <c r="AI984" s="55"/>
      <c r="AJ984" s="55"/>
      <c r="AK984" s="56"/>
      <c r="AL984" s="56"/>
    </row>
    <row r="985" spans="1:38" ht="15.75" thickBot="1" x14ac:dyDescent="0.3">
      <c r="A985" s="51"/>
      <c r="B985" s="51"/>
      <c r="C985" s="51"/>
      <c r="D985" s="51"/>
      <c r="E985" s="51"/>
      <c r="F985" s="51"/>
      <c r="G985" s="54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4"/>
      <c r="AB985" s="53"/>
      <c r="AC985" s="53"/>
      <c r="AD985" s="53"/>
      <c r="AE985" s="53"/>
      <c r="AF985" s="53"/>
      <c r="AG985" s="53"/>
      <c r="AH985" s="54"/>
      <c r="AI985" s="53"/>
      <c r="AJ985" s="53"/>
      <c r="AK985" s="54"/>
      <c r="AL985" s="54"/>
    </row>
    <row r="986" spans="1:38" ht="15.75" thickBot="1" x14ac:dyDescent="0.3">
      <c r="A986" s="51"/>
      <c r="B986" s="51"/>
      <c r="C986" s="51"/>
      <c r="D986" s="51"/>
      <c r="E986" s="51"/>
      <c r="F986" s="51"/>
      <c r="G986" s="56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  <c r="AA986" s="56"/>
      <c r="AB986" s="55"/>
      <c r="AC986" s="55"/>
      <c r="AD986" s="55"/>
      <c r="AE986" s="55"/>
      <c r="AF986" s="55"/>
      <c r="AG986" s="55"/>
      <c r="AH986" s="56"/>
      <c r="AI986" s="55"/>
      <c r="AJ986" s="55"/>
      <c r="AK986" s="56"/>
      <c r="AL986" s="56"/>
    </row>
    <row r="987" spans="1:38" ht="15.75" thickBot="1" x14ac:dyDescent="0.3">
      <c r="A987" s="51"/>
      <c r="B987" s="51"/>
      <c r="C987" s="51"/>
      <c r="D987" s="51"/>
      <c r="E987" s="51"/>
      <c r="F987" s="51"/>
      <c r="G987" s="54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4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4"/>
      <c r="AI987" s="53"/>
      <c r="AJ987" s="53"/>
      <c r="AK987" s="54"/>
      <c r="AL987" s="54"/>
    </row>
    <row r="988" spans="1:38" ht="15.75" thickBot="1" x14ac:dyDescent="0.3">
      <c r="A988" s="51"/>
      <c r="B988" s="51"/>
      <c r="C988" s="51"/>
      <c r="D988" s="51"/>
      <c r="E988" s="51"/>
      <c r="F988" s="51"/>
      <c r="G988" s="56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6"/>
      <c r="S988" s="55"/>
      <c r="T988" s="55"/>
      <c r="U988" s="55"/>
      <c r="V988" s="55"/>
      <c r="W988" s="55"/>
      <c r="X988" s="55"/>
      <c r="Y988" s="55"/>
      <c r="Z988" s="55"/>
      <c r="AA988" s="55"/>
      <c r="AB988" s="55"/>
      <c r="AC988" s="55"/>
      <c r="AD988" s="55"/>
      <c r="AE988" s="55"/>
      <c r="AF988" s="55"/>
      <c r="AG988" s="55"/>
      <c r="AH988" s="56"/>
      <c r="AI988" s="55"/>
      <c r="AJ988" s="55"/>
      <c r="AK988" s="56"/>
      <c r="AL988" s="56"/>
    </row>
    <row r="989" spans="1:38" ht="15.75" thickBot="1" x14ac:dyDescent="0.3">
      <c r="A989" s="51"/>
      <c r="B989" s="51"/>
      <c r="C989" s="51"/>
      <c r="D989" s="51"/>
      <c r="E989" s="51"/>
      <c r="F989" s="51"/>
      <c r="G989" s="54"/>
      <c r="H989" s="53"/>
      <c r="I989" s="53"/>
      <c r="J989" s="53"/>
      <c r="K989" s="54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4"/>
      <c r="AI989" s="53"/>
      <c r="AJ989" s="53"/>
      <c r="AK989" s="54"/>
      <c r="AL989" s="54"/>
    </row>
    <row r="990" spans="1:38" ht="15.75" thickBot="1" x14ac:dyDescent="0.3">
      <c r="A990" s="51"/>
      <c r="B990" s="51"/>
      <c r="C990" s="51"/>
      <c r="D990" s="51"/>
      <c r="E990" s="51"/>
      <c r="F990" s="51"/>
      <c r="G990" s="56"/>
      <c r="H990" s="55"/>
      <c r="I990" s="55"/>
      <c r="J990" s="55"/>
      <c r="K990" s="56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  <c r="AA990" s="55"/>
      <c r="AB990" s="55"/>
      <c r="AC990" s="55"/>
      <c r="AD990" s="55"/>
      <c r="AE990" s="55"/>
      <c r="AF990" s="55"/>
      <c r="AG990" s="55"/>
      <c r="AH990" s="56"/>
      <c r="AI990" s="55"/>
      <c r="AJ990" s="55"/>
      <c r="AK990" s="56"/>
      <c r="AL990" s="56"/>
    </row>
    <row r="991" spans="1:38" ht="15.75" thickBot="1" x14ac:dyDescent="0.3">
      <c r="A991" s="51"/>
      <c r="B991" s="51"/>
      <c r="C991" s="51"/>
      <c r="D991" s="51"/>
      <c r="E991" s="51"/>
      <c r="F991" s="51"/>
      <c r="G991" s="54"/>
      <c r="H991" s="54"/>
      <c r="I991" s="53"/>
      <c r="J991" s="53"/>
      <c r="K991" s="53"/>
      <c r="L991" s="53"/>
      <c r="M991" s="54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4"/>
      <c r="AI991" s="53"/>
      <c r="AJ991" s="53"/>
      <c r="AK991" s="54"/>
      <c r="AL991" s="54"/>
    </row>
    <row r="992" spans="1:38" ht="15.75" thickBot="1" x14ac:dyDescent="0.3">
      <c r="A992" s="51"/>
      <c r="B992" s="51"/>
      <c r="C992" s="51"/>
      <c r="D992" s="51"/>
      <c r="E992" s="51"/>
      <c r="F992" s="51"/>
      <c r="G992" s="56"/>
      <c r="H992" s="148"/>
      <c r="I992" s="55"/>
      <c r="J992" s="55"/>
      <c r="K992" s="55"/>
      <c r="L992" s="55"/>
      <c r="M992" s="56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  <c r="AA992" s="55"/>
      <c r="AB992" s="55"/>
      <c r="AC992" s="55"/>
      <c r="AD992" s="55"/>
      <c r="AE992" s="55"/>
      <c r="AF992" s="55"/>
      <c r="AG992" s="55"/>
      <c r="AH992" s="56"/>
      <c r="AI992" s="55"/>
      <c r="AJ992" s="55"/>
      <c r="AK992" s="56"/>
      <c r="AL992" s="56"/>
    </row>
    <row r="993" spans="1:38" ht="15.75" thickBot="1" x14ac:dyDescent="0.3">
      <c r="A993" s="51"/>
      <c r="B993" s="51"/>
      <c r="C993" s="51"/>
      <c r="D993" s="51"/>
      <c r="E993" s="51"/>
      <c r="F993" s="51"/>
      <c r="G993" s="54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4"/>
      <c r="AA993" s="53"/>
      <c r="AB993" s="53"/>
      <c r="AC993" s="53"/>
      <c r="AD993" s="53"/>
      <c r="AE993" s="53"/>
      <c r="AF993" s="53"/>
      <c r="AG993" s="53"/>
      <c r="AH993" s="54"/>
      <c r="AI993" s="53"/>
      <c r="AJ993" s="53"/>
      <c r="AK993" s="54"/>
      <c r="AL993" s="54"/>
    </row>
    <row r="994" spans="1:38" ht="15.75" thickBot="1" x14ac:dyDescent="0.3">
      <c r="A994" s="51"/>
      <c r="B994" s="51"/>
      <c r="C994" s="51"/>
      <c r="D994" s="51"/>
      <c r="E994" s="51"/>
      <c r="F994" s="51"/>
      <c r="G994" s="56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6"/>
      <c r="AA994" s="55"/>
      <c r="AB994" s="55"/>
      <c r="AC994" s="55"/>
      <c r="AD994" s="55"/>
      <c r="AE994" s="55"/>
      <c r="AF994" s="55"/>
      <c r="AG994" s="55"/>
      <c r="AH994" s="56"/>
      <c r="AI994" s="55"/>
      <c r="AJ994" s="55"/>
      <c r="AK994" s="56"/>
      <c r="AL994" s="56"/>
    </row>
    <row r="995" spans="1:38" ht="15.75" thickBot="1" x14ac:dyDescent="0.3">
      <c r="A995" s="51"/>
      <c r="B995" s="51"/>
      <c r="C995" s="51"/>
      <c r="D995" s="51"/>
      <c r="E995" s="51"/>
      <c r="F995" s="51"/>
      <c r="G995" s="54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4"/>
      <c r="AB995" s="53"/>
      <c r="AC995" s="53"/>
      <c r="AD995" s="53"/>
      <c r="AE995" s="53"/>
      <c r="AF995" s="53"/>
      <c r="AG995" s="53"/>
      <c r="AH995" s="54"/>
      <c r="AI995" s="53"/>
      <c r="AJ995" s="53"/>
      <c r="AK995" s="54"/>
      <c r="AL995" s="54"/>
    </row>
    <row r="996" spans="1:38" ht="15.75" thickBot="1" x14ac:dyDescent="0.3">
      <c r="A996" s="51"/>
      <c r="B996" s="51"/>
      <c r="C996" s="51"/>
      <c r="D996" s="51"/>
      <c r="E996" s="51"/>
      <c r="F996" s="51"/>
      <c r="G996" s="56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  <c r="AA996" s="56"/>
      <c r="AB996" s="55"/>
      <c r="AC996" s="55"/>
      <c r="AD996" s="55"/>
      <c r="AE996" s="55"/>
      <c r="AF996" s="55"/>
      <c r="AG996" s="55"/>
      <c r="AH996" s="56"/>
      <c r="AI996" s="55"/>
      <c r="AJ996" s="55"/>
      <c r="AK996" s="56"/>
      <c r="AL996" s="56"/>
    </row>
    <row r="997" spans="1:38" ht="15.75" thickBot="1" x14ac:dyDescent="0.3">
      <c r="A997" s="51"/>
      <c r="B997" s="51"/>
      <c r="C997" s="51"/>
      <c r="D997" s="51"/>
      <c r="E997" s="51"/>
      <c r="F997" s="51"/>
      <c r="G997" s="54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4"/>
      <c r="Z997" s="53"/>
      <c r="AA997" s="53"/>
      <c r="AB997" s="53"/>
      <c r="AC997" s="53"/>
      <c r="AD997" s="53"/>
      <c r="AE997" s="53"/>
      <c r="AF997" s="53"/>
      <c r="AG997" s="53"/>
      <c r="AH997" s="54"/>
      <c r="AI997" s="53"/>
      <c r="AJ997" s="53"/>
      <c r="AK997" s="54"/>
      <c r="AL997" s="54"/>
    </row>
    <row r="998" spans="1:38" ht="15.75" thickBot="1" x14ac:dyDescent="0.3">
      <c r="A998" s="51"/>
      <c r="B998" s="51"/>
      <c r="C998" s="51"/>
      <c r="D998" s="51"/>
      <c r="E998" s="51"/>
      <c r="F998" s="51"/>
      <c r="G998" s="56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6"/>
      <c r="Z998" s="55"/>
      <c r="AA998" s="55"/>
      <c r="AB998" s="55"/>
      <c r="AC998" s="55"/>
      <c r="AD998" s="55"/>
      <c r="AE998" s="55"/>
      <c r="AF998" s="55"/>
      <c r="AG998" s="55"/>
      <c r="AH998" s="56"/>
      <c r="AI998" s="55"/>
      <c r="AJ998" s="55"/>
      <c r="AK998" s="56"/>
      <c r="AL998" s="56"/>
    </row>
    <row r="999" spans="1:38" ht="15.75" thickBot="1" x14ac:dyDescent="0.3">
      <c r="A999" s="51"/>
      <c r="B999" s="51"/>
      <c r="C999" s="51"/>
      <c r="D999" s="51"/>
      <c r="E999" s="51"/>
      <c r="F999" s="51"/>
      <c r="G999" s="54"/>
      <c r="H999" s="53"/>
      <c r="I999" s="53"/>
      <c r="J999" s="53"/>
      <c r="K999" s="54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4"/>
      <c r="AI999" s="53"/>
      <c r="AJ999" s="53"/>
      <c r="AK999" s="54"/>
      <c r="AL999" s="54"/>
    </row>
    <row r="1000" spans="1:38" ht="15.75" thickBot="1" x14ac:dyDescent="0.3">
      <c r="A1000" s="51"/>
      <c r="B1000" s="51"/>
      <c r="C1000" s="51"/>
      <c r="D1000" s="51"/>
      <c r="E1000" s="51"/>
      <c r="F1000" s="51"/>
      <c r="G1000" s="56"/>
      <c r="H1000" s="55"/>
      <c r="I1000" s="55"/>
      <c r="J1000" s="55"/>
      <c r="K1000" s="56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  <c r="AA1000" s="55"/>
      <c r="AB1000" s="55"/>
      <c r="AC1000" s="55"/>
      <c r="AD1000" s="55"/>
      <c r="AE1000" s="55"/>
      <c r="AF1000" s="55"/>
      <c r="AG1000" s="55"/>
      <c r="AH1000" s="56"/>
      <c r="AI1000" s="55"/>
      <c r="AJ1000" s="55"/>
      <c r="AK1000" s="56"/>
      <c r="AL1000" s="56"/>
    </row>
    <row r="1001" spans="1:38" ht="15.75" thickBot="1" x14ac:dyDescent="0.3">
      <c r="A1001" s="51"/>
      <c r="B1001" s="51"/>
      <c r="C1001" s="51"/>
      <c r="D1001" s="51"/>
      <c r="E1001" s="51"/>
      <c r="F1001" s="51"/>
      <c r="G1001" s="54"/>
      <c r="H1001" s="53"/>
      <c r="I1001" s="53"/>
      <c r="J1001" s="53"/>
      <c r="K1001" s="54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3"/>
      <c r="AF1001" s="53"/>
      <c r="AG1001" s="53"/>
      <c r="AH1001" s="54"/>
      <c r="AI1001" s="53"/>
      <c r="AJ1001" s="53"/>
      <c r="AK1001" s="54"/>
      <c r="AL1001" s="54"/>
    </row>
    <row r="1002" spans="1:38" ht="15.75" thickBot="1" x14ac:dyDescent="0.3">
      <c r="A1002" s="51"/>
      <c r="B1002" s="51"/>
      <c r="C1002" s="51"/>
      <c r="D1002" s="51"/>
      <c r="E1002" s="51"/>
      <c r="F1002" s="51"/>
      <c r="G1002" s="56"/>
      <c r="H1002" s="55"/>
      <c r="I1002" s="55"/>
      <c r="J1002" s="55"/>
      <c r="K1002" s="56"/>
      <c r="L1002" s="55"/>
      <c r="M1002" s="55"/>
      <c r="N1002" s="55"/>
      <c r="O1002" s="55"/>
      <c r="P1002" s="55"/>
      <c r="Q1002" s="55"/>
      <c r="R1002" s="55"/>
      <c r="S1002" s="55"/>
      <c r="T1002" s="55"/>
      <c r="U1002" s="55"/>
      <c r="V1002" s="55"/>
      <c r="W1002" s="55"/>
      <c r="X1002" s="55"/>
      <c r="Y1002" s="55"/>
      <c r="Z1002" s="55"/>
      <c r="AA1002" s="55"/>
      <c r="AB1002" s="55"/>
      <c r="AC1002" s="55"/>
      <c r="AD1002" s="55"/>
      <c r="AE1002" s="55"/>
      <c r="AF1002" s="55"/>
      <c r="AG1002" s="55"/>
      <c r="AH1002" s="56"/>
      <c r="AI1002" s="55"/>
      <c r="AJ1002" s="55"/>
      <c r="AK1002" s="56"/>
      <c r="AL1002" s="56"/>
    </row>
    <row r="1003" spans="1:38" ht="15.75" thickBot="1" x14ac:dyDescent="0.3">
      <c r="A1003" s="51"/>
      <c r="B1003" s="51"/>
      <c r="C1003" s="51"/>
      <c r="D1003" s="51"/>
      <c r="E1003" s="51"/>
      <c r="F1003" s="51"/>
      <c r="G1003" s="54"/>
      <c r="H1003" s="54"/>
      <c r="I1003" s="53"/>
      <c r="J1003" s="53"/>
      <c r="K1003" s="53"/>
      <c r="L1003" s="53"/>
      <c r="M1003" s="54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3"/>
      <c r="AH1003" s="54"/>
      <c r="AI1003" s="53"/>
      <c r="AJ1003" s="53"/>
      <c r="AK1003" s="54"/>
      <c r="AL1003" s="54"/>
    </row>
    <row r="1004" spans="1:38" ht="15.75" thickBot="1" x14ac:dyDescent="0.3">
      <c r="A1004" s="51"/>
      <c r="B1004" s="51"/>
      <c r="C1004" s="51"/>
      <c r="D1004" s="51"/>
      <c r="E1004" s="51"/>
      <c r="F1004" s="51"/>
      <c r="G1004" s="56"/>
      <c r="H1004" s="148"/>
      <c r="I1004" s="55"/>
      <c r="J1004" s="55"/>
      <c r="K1004" s="55"/>
      <c r="L1004" s="55"/>
      <c r="M1004" s="56"/>
      <c r="N1004" s="55"/>
      <c r="O1004" s="55"/>
      <c r="P1004" s="55"/>
      <c r="Q1004" s="55"/>
      <c r="R1004" s="55"/>
      <c r="S1004" s="55"/>
      <c r="T1004" s="55"/>
      <c r="U1004" s="55"/>
      <c r="V1004" s="55"/>
      <c r="W1004" s="55"/>
      <c r="X1004" s="55"/>
      <c r="Y1004" s="55"/>
      <c r="Z1004" s="55"/>
      <c r="AA1004" s="55"/>
      <c r="AB1004" s="55"/>
      <c r="AC1004" s="55"/>
      <c r="AD1004" s="55"/>
      <c r="AE1004" s="55"/>
      <c r="AF1004" s="55"/>
      <c r="AG1004" s="55"/>
      <c r="AH1004" s="56"/>
      <c r="AI1004" s="55"/>
      <c r="AJ1004" s="55"/>
      <c r="AK1004" s="56"/>
      <c r="AL1004" s="56"/>
    </row>
    <row r="1005" spans="1:38" ht="15.75" thickBot="1" x14ac:dyDescent="0.3">
      <c r="A1005" s="51"/>
      <c r="B1005" s="51"/>
      <c r="C1005" s="51"/>
      <c r="D1005" s="51"/>
      <c r="E1005" s="51"/>
      <c r="F1005" s="51"/>
      <c r="G1005" s="54"/>
      <c r="H1005" s="53"/>
      <c r="I1005" s="53"/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4"/>
      <c r="AA1005" s="53"/>
      <c r="AB1005" s="53"/>
      <c r="AC1005" s="53"/>
      <c r="AD1005" s="53"/>
      <c r="AE1005" s="53"/>
      <c r="AF1005" s="53"/>
      <c r="AG1005" s="53"/>
      <c r="AH1005" s="54"/>
      <c r="AI1005" s="53"/>
      <c r="AJ1005" s="53"/>
      <c r="AK1005" s="54"/>
      <c r="AL1005" s="54"/>
    </row>
    <row r="1006" spans="1:38" ht="15.75" thickBot="1" x14ac:dyDescent="0.3">
      <c r="A1006" s="51"/>
      <c r="B1006" s="51"/>
      <c r="C1006" s="51"/>
      <c r="D1006" s="51"/>
      <c r="E1006" s="51"/>
      <c r="F1006" s="51"/>
      <c r="G1006" s="56"/>
      <c r="H1006" s="55"/>
      <c r="I1006" s="55"/>
      <c r="J1006" s="55"/>
      <c r="K1006" s="55"/>
      <c r="L1006" s="55"/>
      <c r="M1006" s="55"/>
      <c r="N1006" s="55"/>
      <c r="O1006" s="55"/>
      <c r="P1006" s="55"/>
      <c r="Q1006" s="55"/>
      <c r="R1006" s="55"/>
      <c r="S1006" s="55"/>
      <c r="T1006" s="55"/>
      <c r="U1006" s="55"/>
      <c r="V1006" s="55"/>
      <c r="W1006" s="55"/>
      <c r="X1006" s="55"/>
      <c r="Y1006" s="55"/>
      <c r="Z1006" s="56"/>
      <c r="AA1006" s="55"/>
      <c r="AB1006" s="55"/>
      <c r="AC1006" s="55"/>
      <c r="AD1006" s="55"/>
      <c r="AE1006" s="55"/>
      <c r="AF1006" s="55"/>
      <c r="AG1006" s="55"/>
      <c r="AH1006" s="56"/>
      <c r="AI1006" s="55"/>
      <c r="AJ1006" s="55"/>
      <c r="AK1006" s="56"/>
      <c r="AL1006" s="56"/>
    </row>
    <row r="1007" spans="1:38" ht="15.75" thickBot="1" x14ac:dyDescent="0.3">
      <c r="A1007" s="51"/>
      <c r="B1007" s="51"/>
      <c r="C1007" s="51"/>
      <c r="D1007" s="51"/>
      <c r="E1007" s="51"/>
      <c r="F1007" s="51"/>
      <c r="G1007" s="54"/>
      <c r="H1007" s="53"/>
      <c r="I1007" s="53"/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4"/>
      <c r="AB1007" s="53"/>
      <c r="AC1007" s="53"/>
      <c r="AD1007" s="53"/>
      <c r="AE1007" s="53"/>
      <c r="AF1007" s="53"/>
      <c r="AG1007" s="53"/>
      <c r="AH1007" s="54"/>
      <c r="AI1007" s="53"/>
      <c r="AJ1007" s="53"/>
      <c r="AK1007" s="54"/>
      <c r="AL1007" s="54"/>
    </row>
    <row r="1008" spans="1:38" ht="15.75" thickBot="1" x14ac:dyDescent="0.3">
      <c r="A1008" s="51"/>
      <c r="B1008" s="51"/>
      <c r="C1008" s="51"/>
      <c r="D1008" s="51"/>
      <c r="E1008" s="51"/>
      <c r="F1008" s="51"/>
      <c r="G1008" s="56"/>
      <c r="H1008" s="55"/>
      <c r="I1008" s="55"/>
      <c r="J1008" s="55"/>
      <c r="K1008" s="55"/>
      <c r="L1008" s="55"/>
      <c r="M1008" s="55"/>
      <c r="N1008" s="55"/>
      <c r="O1008" s="55"/>
      <c r="P1008" s="55"/>
      <c r="Q1008" s="55"/>
      <c r="R1008" s="55"/>
      <c r="S1008" s="55"/>
      <c r="T1008" s="55"/>
      <c r="U1008" s="55"/>
      <c r="V1008" s="55"/>
      <c r="W1008" s="55"/>
      <c r="X1008" s="55"/>
      <c r="Y1008" s="55"/>
      <c r="Z1008" s="55"/>
      <c r="AA1008" s="56"/>
      <c r="AB1008" s="55"/>
      <c r="AC1008" s="55"/>
      <c r="AD1008" s="55"/>
      <c r="AE1008" s="55"/>
      <c r="AF1008" s="55"/>
      <c r="AG1008" s="55"/>
      <c r="AH1008" s="56"/>
      <c r="AI1008" s="55"/>
      <c r="AJ1008" s="55"/>
      <c r="AK1008" s="56"/>
      <c r="AL1008" s="56"/>
    </row>
    <row r="1009" spans="1:38" ht="15.75" thickBot="1" x14ac:dyDescent="0.3">
      <c r="A1009" s="51"/>
      <c r="B1009" s="51"/>
      <c r="C1009" s="51"/>
      <c r="D1009" s="51"/>
      <c r="E1009" s="51"/>
      <c r="F1009" s="51"/>
      <c r="G1009" s="54"/>
      <c r="H1009" s="53"/>
      <c r="I1009" s="53"/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4"/>
      <c r="Z1009" s="53"/>
      <c r="AA1009" s="53"/>
      <c r="AB1009" s="53"/>
      <c r="AC1009" s="53"/>
      <c r="AD1009" s="53"/>
      <c r="AE1009" s="53"/>
      <c r="AF1009" s="53"/>
      <c r="AG1009" s="53"/>
      <c r="AH1009" s="54"/>
      <c r="AI1009" s="53"/>
      <c r="AJ1009" s="53"/>
      <c r="AK1009" s="54"/>
      <c r="AL1009" s="54"/>
    </row>
    <row r="1010" spans="1:38" ht="15.75" thickBot="1" x14ac:dyDescent="0.3">
      <c r="A1010" s="51"/>
      <c r="B1010" s="51"/>
      <c r="C1010" s="51"/>
      <c r="D1010" s="51"/>
      <c r="E1010" s="51"/>
      <c r="F1010" s="51"/>
      <c r="G1010" s="56"/>
      <c r="H1010" s="55"/>
      <c r="I1010" s="55"/>
      <c r="J1010" s="55"/>
      <c r="K1010" s="55"/>
      <c r="L1010" s="55"/>
      <c r="M1010" s="55"/>
      <c r="N1010" s="55"/>
      <c r="O1010" s="55"/>
      <c r="P1010" s="55"/>
      <c r="Q1010" s="55"/>
      <c r="R1010" s="55"/>
      <c r="S1010" s="55"/>
      <c r="T1010" s="55"/>
      <c r="U1010" s="55"/>
      <c r="V1010" s="55"/>
      <c r="W1010" s="55"/>
      <c r="X1010" s="55"/>
      <c r="Y1010" s="56"/>
      <c r="Z1010" s="55"/>
      <c r="AA1010" s="55"/>
      <c r="AB1010" s="55"/>
      <c r="AC1010" s="55"/>
      <c r="AD1010" s="55"/>
      <c r="AE1010" s="55"/>
      <c r="AF1010" s="55"/>
      <c r="AG1010" s="55"/>
      <c r="AH1010" s="56"/>
      <c r="AI1010" s="55"/>
      <c r="AJ1010" s="55"/>
      <c r="AK1010" s="56"/>
      <c r="AL1010" s="56"/>
    </row>
    <row r="1011" spans="1:38" ht="15.75" thickBot="1" x14ac:dyDescent="0.3">
      <c r="A1011" s="51"/>
      <c r="B1011" s="51"/>
      <c r="C1011" s="51"/>
      <c r="D1011" s="51"/>
      <c r="E1011" s="51"/>
      <c r="F1011" s="51"/>
      <c r="G1011" s="54"/>
      <c r="H1011" s="53"/>
      <c r="I1011" s="53"/>
      <c r="J1011" s="53"/>
      <c r="K1011" s="54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3"/>
      <c r="AF1011" s="53"/>
      <c r="AG1011" s="53"/>
      <c r="AH1011" s="54"/>
      <c r="AI1011" s="53"/>
      <c r="AJ1011" s="53"/>
      <c r="AK1011" s="54"/>
      <c r="AL1011" s="54"/>
    </row>
    <row r="1012" spans="1:38" ht="15.75" thickBot="1" x14ac:dyDescent="0.3">
      <c r="A1012" s="51"/>
      <c r="B1012" s="51"/>
      <c r="C1012" s="51"/>
      <c r="D1012" s="51"/>
      <c r="E1012" s="51"/>
      <c r="F1012" s="51"/>
      <c r="G1012" s="56"/>
      <c r="H1012" s="55"/>
      <c r="I1012" s="55"/>
      <c r="J1012" s="55"/>
      <c r="K1012" s="56"/>
      <c r="L1012" s="55"/>
      <c r="M1012" s="55"/>
      <c r="N1012" s="55"/>
      <c r="O1012" s="55"/>
      <c r="P1012" s="55"/>
      <c r="Q1012" s="55"/>
      <c r="R1012" s="55"/>
      <c r="S1012" s="55"/>
      <c r="T1012" s="55"/>
      <c r="U1012" s="55"/>
      <c r="V1012" s="55"/>
      <c r="W1012" s="55"/>
      <c r="X1012" s="55"/>
      <c r="Y1012" s="55"/>
      <c r="Z1012" s="55"/>
      <c r="AA1012" s="55"/>
      <c r="AB1012" s="55"/>
      <c r="AC1012" s="55"/>
      <c r="AD1012" s="55"/>
      <c r="AE1012" s="55"/>
      <c r="AF1012" s="55"/>
      <c r="AG1012" s="55"/>
      <c r="AH1012" s="56"/>
      <c r="AI1012" s="55"/>
      <c r="AJ1012" s="55"/>
      <c r="AK1012" s="56"/>
      <c r="AL1012" s="56"/>
    </row>
    <row r="1013" spans="1:38" ht="15.75" thickBot="1" x14ac:dyDescent="0.3">
      <c r="A1013" s="51"/>
      <c r="B1013" s="51"/>
      <c r="C1013" s="51"/>
      <c r="D1013" s="51"/>
      <c r="E1013" s="51"/>
      <c r="F1013" s="51"/>
      <c r="G1013" s="54"/>
      <c r="H1013" s="53"/>
      <c r="I1013" s="53"/>
      <c r="J1013" s="53"/>
      <c r="K1013" s="53"/>
      <c r="L1013" s="53"/>
      <c r="M1013" s="53"/>
      <c r="N1013" s="53"/>
      <c r="O1013" s="53"/>
      <c r="P1013" s="53"/>
      <c r="Q1013" s="53"/>
      <c r="R1013" s="53"/>
      <c r="S1013" s="53"/>
      <c r="T1013" s="54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3"/>
      <c r="AF1013" s="53"/>
      <c r="AG1013" s="53"/>
      <c r="AH1013" s="54"/>
      <c r="AI1013" s="53"/>
      <c r="AJ1013" s="53"/>
      <c r="AK1013" s="54"/>
      <c r="AL1013" s="54"/>
    </row>
    <row r="1014" spans="1:38" ht="15.75" thickBot="1" x14ac:dyDescent="0.3">
      <c r="A1014" s="51"/>
      <c r="B1014" s="51"/>
      <c r="C1014" s="51"/>
      <c r="D1014" s="51"/>
      <c r="E1014" s="51"/>
      <c r="F1014" s="51"/>
      <c r="G1014" s="56"/>
      <c r="H1014" s="55"/>
      <c r="I1014" s="55"/>
      <c r="J1014" s="55"/>
      <c r="K1014" s="55"/>
      <c r="L1014" s="55"/>
      <c r="M1014" s="55"/>
      <c r="N1014" s="55"/>
      <c r="O1014" s="55"/>
      <c r="P1014" s="55"/>
      <c r="Q1014" s="55"/>
      <c r="R1014" s="55"/>
      <c r="S1014" s="55"/>
      <c r="T1014" s="56"/>
      <c r="U1014" s="55"/>
      <c r="V1014" s="55"/>
      <c r="W1014" s="55"/>
      <c r="X1014" s="55"/>
      <c r="Y1014" s="55"/>
      <c r="Z1014" s="55"/>
      <c r="AA1014" s="55"/>
      <c r="AB1014" s="55"/>
      <c r="AC1014" s="55"/>
      <c r="AD1014" s="55"/>
      <c r="AE1014" s="55"/>
      <c r="AF1014" s="55"/>
      <c r="AG1014" s="55"/>
      <c r="AH1014" s="56"/>
      <c r="AI1014" s="55"/>
      <c r="AJ1014" s="55"/>
      <c r="AK1014" s="56"/>
      <c r="AL1014" s="56"/>
    </row>
    <row r="1015" spans="1:38" ht="15.75" thickBot="1" x14ac:dyDescent="0.3">
      <c r="A1015" s="51"/>
      <c r="B1015" s="51"/>
      <c r="C1015" s="51"/>
      <c r="D1015" s="51"/>
      <c r="E1015" s="51"/>
      <c r="F1015" s="51"/>
      <c r="G1015" s="54"/>
      <c r="H1015" s="53"/>
      <c r="I1015" s="53"/>
      <c r="J1015" s="53"/>
      <c r="K1015" s="53"/>
      <c r="L1015" s="53"/>
      <c r="M1015" s="53"/>
      <c r="N1015" s="53"/>
      <c r="O1015" s="53"/>
      <c r="P1015" s="53"/>
      <c r="Q1015" s="53"/>
      <c r="R1015" s="53"/>
      <c r="S1015" s="53"/>
      <c r="T1015" s="53"/>
      <c r="U1015" s="54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3"/>
      <c r="AF1015" s="53"/>
      <c r="AG1015" s="53"/>
      <c r="AH1015" s="54"/>
      <c r="AI1015" s="53"/>
      <c r="AJ1015" s="53"/>
      <c r="AK1015" s="54"/>
      <c r="AL1015" s="54"/>
    </row>
    <row r="1016" spans="1:38" ht="15.75" thickBot="1" x14ac:dyDescent="0.3">
      <c r="A1016" s="51"/>
      <c r="B1016" s="51"/>
      <c r="C1016" s="51"/>
      <c r="D1016" s="51"/>
      <c r="E1016" s="51"/>
      <c r="F1016" s="51"/>
      <c r="G1016" s="56"/>
      <c r="H1016" s="55"/>
      <c r="I1016" s="55"/>
      <c r="J1016" s="55"/>
      <c r="K1016" s="55"/>
      <c r="L1016" s="55"/>
      <c r="M1016" s="55"/>
      <c r="N1016" s="55"/>
      <c r="O1016" s="55"/>
      <c r="P1016" s="55"/>
      <c r="Q1016" s="55"/>
      <c r="R1016" s="55"/>
      <c r="S1016" s="55"/>
      <c r="T1016" s="55"/>
      <c r="U1016" s="56"/>
      <c r="V1016" s="55"/>
      <c r="W1016" s="55"/>
      <c r="X1016" s="55"/>
      <c r="Y1016" s="55"/>
      <c r="Z1016" s="55"/>
      <c r="AA1016" s="55"/>
      <c r="AB1016" s="55"/>
      <c r="AC1016" s="55"/>
      <c r="AD1016" s="55"/>
      <c r="AE1016" s="55"/>
      <c r="AF1016" s="55"/>
      <c r="AG1016" s="55"/>
      <c r="AH1016" s="56"/>
      <c r="AI1016" s="55"/>
      <c r="AJ1016" s="55"/>
      <c r="AK1016" s="56"/>
      <c r="AL1016" s="56"/>
    </row>
    <row r="1017" spans="1:38" ht="15.75" thickBot="1" x14ac:dyDescent="0.3">
      <c r="A1017" s="51"/>
      <c r="B1017" s="51"/>
      <c r="C1017" s="51"/>
      <c r="D1017" s="51"/>
      <c r="E1017" s="51"/>
      <c r="F1017" s="51"/>
      <c r="G1017" s="54"/>
      <c r="H1017" s="53"/>
      <c r="I1017" s="53"/>
      <c r="J1017" s="53"/>
      <c r="K1017" s="54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3"/>
      <c r="AF1017" s="53"/>
      <c r="AG1017" s="53"/>
      <c r="AH1017" s="54"/>
      <c r="AI1017" s="53"/>
      <c r="AJ1017" s="53"/>
      <c r="AK1017" s="54"/>
      <c r="AL1017" s="54"/>
    </row>
    <row r="1018" spans="1:38" ht="15.75" thickBot="1" x14ac:dyDescent="0.3">
      <c r="A1018" s="51"/>
      <c r="B1018" s="51"/>
      <c r="C1018" s="51"/>
      <c r="D1018" s="51"/>
      <c r="E1018" s="51"/>
      <c r="F1018" s="51"/>
      <c r="G1018" s="56"/>
      <c r="H1018" s="55"/>
      <c r="I1018" s="55"/>
      <c r="J1018" s="55"/>
      <c r="K1018" s="56"/>
      <c r="L1018" s="55"/>
      <c r="M1018" s="55"/>
      <c r="N1018" s="55"/>
      <c r="O1018" s="55"/>
      <c r="P1018" s="55"/>
      <c r="Q1018" s="55"/>
      <c r="R1018" s="55"/>
      <c r="S1018" s="55"/>
      <c r="T1018" s="55"/>
      <c r="U1018" s="55"/>
      <c r="V1018" s="55"/>
      <c r="W1018" s="55"/>
      <c r="X1018" s="55"/>
      <c r="Y1018" s="55"/>
      <c r="Z1018" s="55"/>
      <c r="AA1018" s="55"/>
      <c r="AB1018" s="55"/>
      <c r="AC1018" s="55"/>
      <c r="AD1018" s="55"/>
      <c r="AE1018" s="55"/>
      <c r="AF1018" s="55"/>
      <c r="AG1018" s="55"/>
      <c r="AH1018" s="56"/>
      <c r="AI1018" s="55"/>
      <c r="AJ1018" s="55"/>
      <c r="AK1018" s="56"/>
      <c r="AL1018" s="56"/>
    </row>
    <row r="1019" spans="1:38" ht="15.75" thickBot="1" x14ac:dyDescent="0.3">
      <c r="A1019" s="51"/>
      <c r="B1019" s="51"/>
      <c r="C1019" s="51"/>
      <c r="D1019" s="51"/>
      <c r="E1019" s="51"/>
      <c r="F1019" s="51"/>
      <c r="G1019" s="54"/>
      <c r="H1019" s="53"/>
      <c r="I1019" s="53"/>
      <c r="J1019" s="53"/>
      <c r="K1019" s="54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3"/>
      <c r="AH1019" s="54"/>
      <c r="AI1019" s="53"/>
      <c r="AJ1019" s="53"/>
      <c r="AK1019" s="54"/>
      <c r="AL1019" s="54"/>
    </row>
    <row r="1020" spans="1:38" ht="15.75" thickBot="1" x14ac:dyDescent="0.3">
      <c r="A1020" s="51"/>
      <c r="B1020" s="51"/>
      <c r="C1020" s="51"/>
      <c r="D1020" s="51"/>
      <c r="E1020" s="51"/>
      <c r="F1020" s="51"/>
      <c r="G1020" s="56"/>
      <c r="H1020" s="55"/>
      <c r="I1020" s="55"/>
      <c r="J1020" s="55"/>
      <c r="K1020" s="56"/>
      <c r="L1020" s="55"/>
      <c r="M1020" s="55"/>
      <c r="N1020" s="55"/>
      <c r="O1020" s="55"/>
      <c r="P1020" s="55"/>
      <c r="Q1020" s="55"/>
      <c r="R1020" s="55"/>
      <c r="S1020" s="55"/>
      <c r="T1020" s="55"/>
      <c r="U1020" s="55"/>
      <c r="V1020" s="55"/>
      <c r="W1020" s="55"/>
      <c r="X1020" s="55"/>
      <c r="Y1020" s="55"/>
      <c r="Z1020" s="55"/>
      <c r="AA1020" s="55"/>
      <c r="AB1020" s="55"/>
      <c r="AC1020" s="55"/>
      <c r="AD1020" s="55"/>
      <c r="AE1020" s="55"/>
      <c r="AF1020" s="55"/>
      <c r="AG1020" s="55"/>
      <c r="AH1020" s="56"/>
      <c r="AI1020" s="55"/>
      <c r="AJ1020" s="55"/>
      <c r="AK1020" s="56"/>
      <c r="AL1020" s="56"/>
    </row>
    <row r="1021" spans="1:38" ht="15.75" thickBot="1" x14ac:dyDescent="0.3">
      <c r="A1021" s="51"/>
      <c r="B1021" s="51"/>
      <c r="C1021" s="51"/>
      <c r="D1021" s="51"/>
      <c r="E1021" s="51"/>
      <c r="F1021" s="51"/>
      <c r="G1021" s="54"/>
      <c r="H1021" s="54"/>
      <c r="I1021" s="53"/>
      <c r="J1021" s="53"/>
      <c r="K1021" s="53"/>
      <c r="L1021" s="53"/>
      <c r="M1021" s="54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3"/>
      <c r="AH1021" s="54"/>
      <c r="AI1021" s="53"/>
      <c r="AJ1021" s="53"/>
      <c r="AK1021" s="54"/>
      <c r="AL1021" s="54"/>
    </row>
    <row r="1022" spans="1:38" ht="15.75" thickBot="1" x14ac:dyDescent="0.3">
      <c r="A1022" s="51"/>
      <c r="B1022" s="51"/>
      <c r="C1022" s="51"/>
      <c r="D1022" s="51"/>
      <c r="E1022" s="51"/>
      <c r="F1022" s="51"/>
      <c r="G1022" s="56"/>
      <c r="H1022" s="148"/>
      <c r="I1022" s="55"/>
      <c r="J1022" s="55"/>
      <c r="K1022" s="55"/>
      <c r="L1022" s="55"/>
      <c r="M1022" s="56"/>
      <c r="N1022" s="55"/>
      <c r="O1022" s="55"/>
      <c r="P1022" s="55"/>
      <c r="Q1022" s="55"/>
      <c r="R1022" s="55"/>
      <c r="S1022" s="55"/>
      <c r="T1022" s="55"/>
      <c r="U1022" s="55"/>
      <c r="V1022" s="55"/>
      <c r="W1022" s="55"/>
      <c r="X1022" s="55"/>
      <c r="Y1022" s="55"/>
      <c r="Z1022" s="55"/>
      <c r="AA1022" s="55"/>
      <c r="AB1022" s="55"/>
      <c r="AC1022" s="55"/>
      <c r="AD1022" s="55"/>
      <c r="AE1022" s="55"/>
      <c r="AF1022" s="55"/>
      <c r="AG1022" s="55"/>
      <c r="AH1022" s="56"/>
      <c r="AI1022" s="55"/>
      <c r="AJ1022" s="55"/>
      <c r="AK1022" s="56"/>
      <c r="AL1022" s="56"/>
    </row>
    <row r="1023" spans="1:38" ht="15.75" thickBot="1" x14ac:dyDescent="0.3">
      <c r="A1023" s="51"/>
      <c r="B1023" s="51"/>
      <c r="C1023" s="51"/>
      <c r="D1023" s="51"/>
      <c r="E1023" s="51"/>
      <c r="F1023" s="51"/>
      <c r="G1023" s="54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4"/>
      <c r="AA1023" s="53"/>
      <c r="AB1023" s="53"/>
      <c r="AC1023" s="53"/>
      <c r="AD1023" s="53"/>
      <c r="AE1023" s="53"/>
      <c r="AF1023" s="53"/>
      <c r="AG1023" s="53"/>
      <c r="AH1023" s="54"/>
      <c r="AI1023" s="53"/>
      <c r="AJ1023" s="53"/>
      <c r="AK1023" s="54"/>
      <c r="AL1023" s="54"/>
    </row>
    <row r="1024" spans="1:38" ht="15.75" thickBot="1" x14ac:dyDescent="0.3">
      <c r="A1024" s="51"/>
      <c r="B1024" s="51"/>
      <c r="C1024" s="51"/>
      <c r="D1024" s="51"/>
      <c r="E1024" s="51"/>
      <c r="F1024" s="51"/>
      <c r="G1024" s="56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6"/>
      <c r="AA1024" s="55"/>
      <c r="AB1024" s="55"/>
      <c r="AC1024" s="55"/>
      <c r="AD1024" s="55"/>
      <c r="AE1024" s="55"/>
      <c r="AF1024" s="55"/>
      <c r="AG1024" s="55"/>
      <c r="AH1024" s="56"/>
      <c r="AI1024" s="55"/>
      <c r="AJ1024" s="55"/>
      <c r="AK1024" s="56"/>
      <c r="AL1024" s="56"/>
    </row>
    <row r="1025" spans="1:38" ht="15.75" thickBot="1" x14ac:dyDescent="0.3">
      <c r="A1025" s="51"/>
      <c r="B1025" s="51"/>
      <c r="C1025" s="51"/>
      <c r="D1025" s="51"/>
      <c r="E1025" s="51"/>
      <c r="F1025" s="51"/>
      <c r="G1025" s="54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4"/>
      <c r="AB1025" s="53"/>
      <c r="AC1025" s="53"/>
      <c r="AD1025" s="53"/>
      <c r="AE1025" s="53"/>
      <c r="AF1025" s="53"/>
      <c r="AG1025" s="53"/>
      <c r="AH1025" s="54"/>
      <c r="AI1025" s="53"/>
      <c r="AJ1025" s="53"/>
      <c r="AK1025" s="54"/>
      <c r="AL1025" s="54"/>
    </row>
    <row r="1026" spans="1:38" ht="15.75" thickBot="1" x14ac:dyDescent="0.3">
      <c r="A1026" s="51"/>
      <c r="B1026" s="51"/>
      <c r="C1026" s="51"/>
      <c r="D1026" s="51"/>
      <c r="E1026" s="51"/>
      <c r="F1026" s="51"/>
      <c r="G1026" s="56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5"/>
      <c r="V1026" s="55"/>
      <c r="W1026" s="55"/>
      <c r="X1026" s="55"/>
      <c r="Y1026" s="55"/>
      <c r="Z1026" s="55"/>
      <c r="AA1026" s="56"/>
      <c r="AB1026" s="55"/>
      <c r="AC1026" s="55"/>
      <c r="AD1026" s="55"/>
      <c r="AE1026" s="55"/>
      <c r="AF1026" s="55"/>
      <c r="AG1026" s="55"/>
      <c r="AH1026" s="56"/>
      <c r="AI1026" s="55"/>
      <c r="AJ1026" s="55"/>
      <c r="AK1026" s="56"/>
      <c r="AL1026" s="56"/>
    </row>
    <row r="1027" spans="1:38" ht="15.75" thickBot="1" x14ac:dyDescent="0.3">
      <c r="A1027" s="51"/>
      <c r="B1027" s="51"/>
      <c r="C1027" s="51"/>
      <c r="D1027" s="51"/>
      <c r="E1027" s="51"/>
      <c r="F1027" s="51"/>
      <c r="G1027" s="54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4"/>
      <c r="Z1027" s="53"/>
      <c r="AA1027" s="53"/>
      <c r="AB1027" s="53"/>
      <c r="AC1027" s="53"/>
      <c r="AD1027" s="53"/>
      <c r="AE1027" s="53"/>
      <c r="AF1027" s="53"/>
      <c r="AG1027" s="53"/>
      <c r="AH1027" s="54"/>
      <c r="AI1027" s="53"/>
      <c r="AJ1027" s="53"/>
      <c r="AK1027" s="54"/>
      <c r="AL1027" s="54"/>
    </row>
    <row r="1028" spans="1:38" ht="15.75" thickBot="1" x14ac:dyDescent="0.3">
      <c r="A1028" s="51"/>
      <c r="B1028" s="51"/>
      <c r="C1028" s="51"/>
      <c r="D1028" s="51"/>
      <c r="E1028" s="51"/>
      <c r="F1028" s="51"/>
      <c r="G1028" s="56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5"/>
      <c r="V1028" s="55"/>
      <c r="W1028" s="55"/>
      <c r="X1028" s="55"/>
      <c r="Y1028" s="56"/>
      <c r="Z1028" s="55"/>
      <c r="AA1028" s="55"/>
      <c r="AB1028" s="55"/>
      <c r="AC1028" s="55"/>
      <c r="AD1028" s="55"/>
      <c r="AE1028" s="55"/>
      <c r="AF1028" s="55"/>
      <c r="AG1028" s="55"/>
      <c r="AH1028" s="56"/>
      <c r="AI1028" s="55"/>
      <c r="AJ1028" s="55"/>
      <c r="AK1028" s="56"/>
      <c r="AL1028" s="56"/>
    </row>
    <row r="1029" spans="1:38" ht="15.75" thickBot="1" x14ac:dyDescent="0.3">
      <c r="A1029" s="51"/>
      <c r="B1029" s="51"/>
      <c r="C1029" s="51"/>
      <c r="D1029" s="51"/>
      <c r="E1029" s="51"/>
      <c r="F1029" s="51"/>
      <c r="G1029" s="54"/>
      <c r="H1029" s="53"/>
      <c r="I1029" s="53"/>
      <c r="J1029" s="53"/>
      <c r="K1029" s="54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3"/>
      <c r="AF1029" s="53"/>
      <c r="AG1029" s="53"/>
      <c r="AH1029" s="54"/>
      <c r="AI1029" s="53"/>
      <c r="AJ1029" s="53"/>
      <c r="AK1029" s="54"/>
      <c r="AL1029" s="54"/>
    </row>
    <row r="1030" spans="1:38" ht="15.75" thickBot="1" x14ac:dyDescent="0.3">
      <c r="A1030" s="51"/>
      <c r="B1030" s="51"/>
      <c r="C1030" s="51"/>
      <c r="D1030" s="51"/>
      <c r="E1030" s="51"/>
      <c r="F1030" s="51"/>
      <c r="G1030" s="56"/>
      <c r="H1030" s="55"/>
      <c r="I1030" s="55"/>
      <c r="J1030" s="55"/>
      <c r="K1030" s="56"/>
      <c r="L1030" s="55"/>
      <c r="M1030" s="55"/>
      <c r="N1030" s="55"/>
      <c r="O1030" s="55"/>
      <c r="P1030" s="55"/>
      <c r="Q1030" s="55"/>
      <c r="R1030" s="55"/>
      <c r="S1030" s="55"/>
      <c r="T1030" s="55"/>
      <c r="U1030" s="55"/>
      <c r="V1030" s="55"/>
      <c r="W1030" s="55"/>
      <c r="X1030" s="55"/>
      <c r="Y1030" s="55"/>
      <c r="Z1030" s="55"/>
      <c r="AA1030" s="55"/>
      <c r="AB1030" s="55"/>
      <c r="AC1030" s="55"/>
      <c r="AD1030" s="55"/>
      <c r="AE1030" s="55"/>
      <c r="AF1030" s="55"/>
      <c r="AG1030" s="55"/>
      <c r="AH1030" s="56"/>
      <c r="AI1030" s="55"/>
      <c r="AJ1030" s="55"/>
      <c r="AK1030" s="56"/>
      <c r="AL1030" s="56"/>
    </row>
    <row r="1031" spans="1:38" ht="15.75" thickBot="1" x14ac:dyDescent="0.3">
      <c r="A1031" s="51"/>
      <c r="B1031" s="51"/>
      <c r="C1031" s="51"/>
      <c r="D1031" s="51"/>
      <c r="E1031" s="51"/>
      <c r="F1031" s="51"/>
      <c r="G1031" s="54"/>
      <c r="H1031" s="53"/>
      <c r="I1031" s="53"/>
      <c r="J1031" s="53"/>
      <c r="K1031" s="54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3"/>
      <c r="AF1031" s="53"/>
      <c r="AG1031" s="53"/>
      <c r="AH1031" s="54"/>
      <c r="AI1031" s="53"/>
      <c r="AJ1031" s="53"/>
      <c r="AK1031" s="54"/>
      <c r="AL1031" s="54"/>
    </row>
    <row r="1032" spans="1:38" ht="15.75" thickBot="1" x14ac:dyDescent="0.3">
      <c r="A1032" s="51"/>
      <c r="B1032" s="51"/>
      <c r="C1032" s="51"/>
      <c r="D1032" s="51"/>
      <c r="E1032" s="51"/>
      <c r="F1032" s="51"/>
      <c r="G1032" s="56"/>
      <c r="H1032" s="55"/>
      <c r="I1032" s="55"/>
      <c r="J1032" s="55"/>
      <c r="K1032" s="56"/>
      <c r="L1032" s="55"/>
      <c r="M1032" s="55"/>
      <c r="N1032" s="55"/>
      <c r="O1032" s="55"/>
      <c r="P1032" s="55"/>
      <c r="Q1032" s="55"/>
      <c r="R1032" s="55"/>
      <c r="S1032" s="55"/>
      <c r="T1032" s="55"/>
      <c r="U1032" s="55"/>
      <c r="V1032" s="55"/>
      <c r="W1032" s="55"/>
      <c r="X1032" s="55"/>
      <c r="Y1032" s="55"/>
      <c r="Z1032" s="55"/>
      <c r="AA1032" s="55"/>
      <c r="AB1032" s="55"/>
      <c r="AC1032" s="55"/>
      <c r="AD1032" s="55"/>
      <c r="AE1032" s="55"/>
      <c r="AF1032" s="55"/>
      <c r="AG1032" s="55"/>
      <c r="AH1032" s="56"/>
      <c r="AI1032" s="55"/>
      <c r="AJ1032" s="55"/>
      <c r="AK1032" s="56"/>
      <c r="AL1032" s="56"/>
    </row>
    <row r="1033" spans="1:38" ht="15.75" thickBot="1" x14ac:dyDescent="0.3">
      <c r="A1033" s="51"/>
      <c r="B1033" s="51"/>
      <c r="C1033" s="51"/>
      <c r="D1033" s="51"/>
      <c r="E1033" s="51"/>
      <c r="F1033" s="51"/>
      <c r="G1033" s="54"/>
      <c r="H1033" s="54"/>
      <c r="I1033" s="53"/>
      <c r="J1033" s="53"/>
      <c r="K1033" s="53"/>
      <c r="L1033" s="53"/>
      <c r="M1033" s="54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3"/>
      <c r="AF1033" s="53"/>
      <c r="AG1033" s="53"/>
      <c r="AH1033" s="54"/>
      <c r="AI1033" s="53"/>
      <c r="AJ1033" s="53"/>
      <c r="AK1033" s="54"/>
      <c r="AL1033" s="54"/>
    </row>
    <row r="1034" spans="1:38" ht="15.75" thickBot="1" x14ac:dyDescent="0.3">
      <c r="A1034" s="51"/>
      <c r="B1034" s="51"/>
      <c r="C1034" s="51"/>
      <c r="D1034" s="51"/>
      <c r="E1034" s="51"/>
      <c r="F1034" s="51"/>
      <c r="G1034" s="56"/>
      <c r="H1034" s="148"/>
      <c r="I1034" s="55"/>
      <c r="J1034" s="55"/>
      <c r="K1034" s="55"/>
      <c r="L1034" s="55"/>
      <c r="M1034" s="56"/>
      <c r="N1034" s="55"/>
      <c r="O1034" s="55"/>
      <c r="P1034" s="55"/>
      <c r="Q1034" s="55"/>
      <c r="R1034" s="55"/>
      <c r="S1034" s="55"/>
      <c r="T1034" s="55"/>
      <c r="U1034" s="55"/>
      <c r="V1034" s="55"/>
      <c r="W1034" s="55"/>
      <c r="X1034" s="55"/>
      <c r="Y1034" s="55"/>
      <c r="Z1034" s="55"/>
      <c r="AA1034" s="55"/>
      <c r="AB1034" s="55"/>
      <c r="AC1034" s="55"/>
      <c r="AD1034" s="55"/>
      <c r="AE1034" s="55"/>
      <c r="AF1034" s="55"/>
      <c r="AG1034" s="55"/>
      <c r="AH1034" s="56"/>
      <c r="AI1034" s="55"/>
      <c r="AJ1034" s="55"/>
      <c r="AK1034" s="56"/>
      <c r="AL1034" s="56"/>
    </row>
    <row r="1035" spans="1:38" ht="15.75" thickBot="1" x14ac:dyDescent="0.3">
      <c r="A1035" s="51"/>
      <c r="B1035" s="51"/>
      <c r="C1035" s="51"/>
      <c r="D1035" s="51"/>
      <c r="E1035" s="51"/>
      <c r="F1035" s="51"/>
      <c r="G1035" s="54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4"/>
      <c r="AA1035" s="53"/>
      <c r="AB1035" s="53"/>
      <c r="AC1035" s="53"/>
      <c r="AD1035" s="53"/>
      <c r="AE1035" s="53"/>
      <c r="AF1035" s="53"/>
      <c r="AG1035" s="53"/>
      <c r="AH1035" s="54"/>
      <c r="AI1035" s="53"/>
      <c r="AJ1035" s="53"/>
      <c r="AK1035" s="54"/>
      <c r="AL1035" s="54"/>
    </row>
    <row r="1036" spans="1:38" ht="15.75" thickBot="1" x14ac:dyDescent="0.3">
      <c r="A1036" s="51"/>
      <c r="B1036" s="51"/>
      <c r="C1036" s="51"/>
      <c r="D1036" s="51"/>
      <c r="E1036" s="51"/>
      <c r="F1036" s="51"/>
      <c r="G1036" s="56"/>
      <c r="H1036" s="55"/>
      <c r="I1036" s="55"/>
      <c r="J1036" s="55"/>
      <c r="K1036" s="55"/>
      <c r="L1036" s="55"/>
      <c r="M1036" s="55"/>
      <c r="N1036" s="55"/>
      <c r="O1036" s="55"/>
      <c r="P1036" s="55"/>
      <c r="Q1036" s="55"/>
      <c r="R1036" s="55"/>
      <c r="S1036" s="55"/>
      <c r="T1036" s="55"/>
      <c r="U1036" s="55"/>
      <c r="V1036" s="55"/>
      <c r="W1036" s="55"/>
      <c r="X1036" s="55"/>
      <c r="Y1036" s="55"/>
      <c r="Z1036" s="56"/>
      <c r="AA1036" s="55"/>
      <c r="AB1036" s="55"/>
      <c r="AC1036" s="55"/>
      <c r="AD1036" s="55"/>
      <c r="AE1036" s="55"/>
      <c r="AF1036" s="55"/>
      <c r="AG1036" s="55"/>
      <c r="AH1036" s="56"/>
      <c r="AI1036" s="55"/>
      <c r="AJ1036" s="55"/>
      <c r="AK1036" s="56"/>
      <c r="AL1036" s="56"/>
    </row>
    <row r="1037" spans="1:38" ht="15.75" thickBot="1" x14ac:dyDescent="0.3">
      <c r="A1037" s="51"/>
      <c r="B1037" s="51"/>
      <c r="C1037" s="51"/>
      <c r="D1037" s="51"/>
      <c r="E1037" s="51"/>
      <c r="F1037" s="51"/>
      <c r="G1037" s="54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4"/>
      <c r="AB1037" s="53"/>
      <c r="AC1037" s="53"/>
      <c r="AD1037" s="53"/>
      <c r="AE1037" s="53"/>
      <c r="AF1037" s="53"/>
      <c r="AG1037" s="53"/>
      <c r="AH1037" s="54"/>
      <c r="AI1037" s="53"/>
      <c r="AJ1037" s="53"/>
      <c r="AK1037" s="54"/>
      <c r="AL1037" s="54"/>
    </row>
    <row r="1038" spans="1:38" ht="15.75" thickBot="1" x14ac:dyDescent="0.3">
      <c r="A1038" s="51"/>
      <c r="B1038" s="51"/>
      <c r="C1038" s="51"/>
      <c r="D1038" s="51"/>
      <c r="E1038" s="51"/>
      <c r="F1038" s="51"/>
      <c r="G1038" s="56"/>
      <c r="H1038" s="55"/>
      <c r="I1038" s="55"/>
      <c r="J1038" s="55"/>
      <c r="K1038" s="55"/>
      <c r="L1038" s="55"/>
      <c r="M1038" s="55"/>
      <c r="N1038" s="55"/>
      <c r="O1038" s="55"/>
      <c r="P1038" s="55"/>
      <c r="Q1038" s="55"/>
      <c r="R1038" s="55"/>
      <c r="S1038" s="55"/>
      <c r="T1038" s="55"/>
      <c r="U1038" s="55"/>
      <c r="V1038" s="55"/>
      <c r="W1038" s="55"/>
      <c r="X1038" s="55"/>
      <c r="Y1038" s="55"/>
      <c r="Z1038" s="55"/>
      <c r="AA1038" s="56"/>
      <c r="AB1038" s="55"/>
      <c r="AC1038" s="55"/>
      <c r="AD1038" s="55"/>
      <c r="AE1038" s="55"/>
      <c r="AF1038" s="55"/>
      <c r="AG1038" s="55"/>
      <c r="AH1038" s="56"/>
      <c r="AI1038" s="55"/>
      <c r="AJ1038" s="55"/>
      <c r="AK1038" s="56"/>
      <c r="AL1038" s="56"/>
    </row>
    <row r="1039" spans="1:38" ht="15.75" thickBot="1" x14ac:dyDescent="0.3">
      <c r="A1039" s="51"/>
      <c r="B1039" s="51"/>
      <c r="C1039" s="51"/>
      <c r="D1039" s="51"/>
      <c r="E1039" s="51"/>
      <c r="F1039" s="51"/>
      <c r="G1039" s="54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4"/>
      <c r="Z1039" s="53"/>
      <c r="AA1039" s="53"/>
      <c r="AB1039" s="53"/>
      <c r="AC1039" s="53"/>
      <c r="AD1039" s="53"/>
      <c r="AE1039" s="53"/>
      <c r="AF1039" s="53"/>
      <c r="AG1039" s="53"/>
      <c r="AH1039" s="54"/>
      <c r="AI1039" s="53"/>
      <c r="AJ1039" s="53"/>
      <c r="AK1039" s="54"/>
      <c r="AL1039" s="54"/>
    </row>
    <row r="1040" spans="1:38" ht="15.75" thickBot="1" x14ac:dyDescent="0.3">
      <c r="A1040" s="51"/>
      <c r="B1040" s="51"/>
      <c r="C1040" s="51"/>
      <c r="D1040" s="51"/>
      <c r="E1040" s="51"/>
      <c r="F1040" s="51"/>
      <c r="G1040" s="56"/>
      <c r="H1040" s="55"/>
      <c r="I1040" s="55"/>
      <c r="J1040" s="55"/>
      <c r="K1040" s="55"/>
      <c r="L1040" s="55"/>
      <c r="M1040" s="55"/>
      <c r="N1040" s="55"/>
      <c r="O1040" s="55"/>
      <c r="P1040" s="55"/>
      <c r="Q1040" s="55"/>
      <c r="R1040" s="55"/>
      <c r="S1040" s="55"/>
      <c r="T1040" s="55"/>
      <c r="U1040" s="55"/>
      <c r="V1040" s="55"/>
      <c r="W1040" s="55"/>
      <c r="X1040" s="55"/>
      <c r="Y1040" s="56"/>
      <c r="Z1040" s="55"/>
      <c r="AA1040" s="55"/>
      <c r="AB1040" s="55"/>
      <c r="AC1040" s="55"/>
      <c r="AD1040" s="55"/>
      <c r="AE1040" s="55"/>
      <c r="AF1040" s="55"/>
      <c r="AG1040" s="55"/>
      <c r="AH1040" s="56"/>
      <c r="AI1040" s="55"/>
      <c r="AJ1040" s="55"/>
      <c r="AK1040" s="56"/>
      <c r="AL1040" s="56"/>
    </row>
    <row r="1041" spans="1:38" ht="15.75" thickBot="1" x14ac:dyDescent="0.3">
      <c r="A1041" s="51"/>
      <c r="B1041" s="51"/>
      <c r="C1041" s="51"/>
      <c r="D1041" s="51"/>
      <c r="E1041" s="51"/>
      <c r="F1041" s="51"/>
      <c r="G1041" s="54"/>
      <c r="H1041" s="53"/>
      <c r="I1041" s="53"/>
      <c r="J1041" s="53"/>
      <c r="K1041" s="54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53"/>
      <c r="AC1041" s="53"/>
      <c r="AD1041" s="53"/>
      <c r="AE1041" s="53"/>
      <c r="AF1041" s="53"/>
      <c r="AG1041" s="53"/>
      <c r="AH1041" s="54"/>
      <c r="AI1041" s="53"/>
      <c r="AJ1041" s="53"/>
      <c r="AK1041" s="54"/>
      <c r="AL1041" s="54"/>
    </row>
    <row r="1042" spans="1:38" ht="15.75" thickBot="1" x14ac:dyDescent="0.3">
      <c r="A1042" s="51"/>
      <c r="B1042" s="51"/>
      <c r="C1042" s="51"/>
      <c r="D1042" s="51"/>
      <c r="E1042" s="51"/>
      <c r="F1042" s="51"/>
      <c r="G1042" s="56"/>
      <c r="H1042" s="55"/>
      <c r="I1042" s="55"/>
      <c r="J1042" s="55"/>
      <c r="K1042" s="56"/>
      <c r="L1042" s="55"/>
      <c r="M1042" s="55"/>
      <c r="N1042" s="55"/>
      <c r="O1042" s="55"/>
      <c r="P1042" s="55"/>
      <c r="Q1042" s="55"/>
      <c r="R1042" s="55"/>
      <c r="S1042" s="55"/>
      <c r="T1042" s="55"/>
      <c r="U1042" s="55"/>
      <c r="V1042" s="55"/>
      <c r="W1042" s="55"/>
      <c r="X1042" s="55"/>
      <c r="Y1042" s="55"/>
      <c r="Z1042" s="55"/>
      <c r="AA1042" s="55"/>
      <c r="AB1042" s="55"/>
      <c r="AC1042" s="55"/>
      <c r="AD1042" s="55"/>
      <c r="AE1042" s="55"/>
      <c r="AF1042" s="55"/>
      <c r="AG1042" s="55"/>
      <c r="AH1042" s="56"/>
      <c r="AI1042" s="55"/>
      <c r="AJ1042" s="55"/>
      <c r="AK1042" s="56"/>
      <c r="AL1042" s="56"/>
    </row>
    <row r="1043" spans="1:38" ht="15.75" thickBot="1" x14ac:dyDescent="0.3">
      <c r="A1043" s="51"/>
      <c r="B1043" s="51"/>
      <c r="C1043" s="51"/>
      <c r="D1043" s="51"/>
      <c r="E1043" s="51"/>
      <c r="F1043" s="51"/>
      <c r="G1043" s="54"/>
      <c r="H1043" s="54"/>
      <c r="I1043" s="53"/>
      <c r="J1043" s="53"/>
      <c r="K1043" s="53"/>
      <c r="L1043" s="53"/>
      <c r="M1043" s="54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3"/>
      <c r="AF1043" s="53"/>
      <c r="AG1043" s="53"/>
      <c r="AH1043" s="54"/>
      <c r="AI1043" s="53"/>
      <c r="AJ1043" s="53"/>
      <c r="AK1043" s="54"/>
      <c r="AL1043" s="54"/>
    </row>
    <row r="1044" spans="1:38" ht="15.75" thickBot="1" x14ac:dyDescent="0.3">
      <c r="A1044" s="51"/>
      <c r="B1044" s="51"/>
      <c r="C1044" s="51"/>
      <c r="D1044" s="51"/>
      <c r="E1044" s="51"/>
      <c r="F1044" s="51"/>
      <c r="G1044" s="56"/>
      <c r="H1044" s="148"/>
      <c r="I1044" s="55"/>
      <c r="J1044" s="55"/>
      <c r="K1044" s="55"/>
      <c r="L1044" s="55"/>
      <c r="M1044" s="56"/>
      <c r="N1044" s="55"/>
      <c r="O1044" s="55"/>
      <c r="P1044" s="55"/>
      <c r="Q1044" s="55"/>
      <c r="R1044" s="55"/>
      <c r="S1044" s="55"/>
      <c r="T1044" s="55"/>
      <c r="U1044" s="55"/>
      <c r="V1044" s="55"/>
      <c r="W1044" s="55"/>
      <c r="X1044" s="55"/>
      <c r="Y1044" s="55"/>
      <c r="Z1044" s="55"/>
      <c r="AA1044" s="55"/>
      <c r="AB1044" s="55"/>
      <c r="AC1044" s="55"/>
      <c r="AD1044" s="55"/>
      <c r="AE1044" s="55"/>
      <c r="AF1044" s="55"/>
      <c r="AG1044" s="55"/>
      <c r="AH1044" s="56"/>
      <c r="AI1044" s="55"/>
      <c r="AJ1044" s="55"/>
      <c r="AK1044" s="56"/>
      <c r="AL1044" s="56"/>
    </row>
    <row r="1045" spans="1:38" ht="15.75" thickBot="1" x14ac:dyDescent="0.3">
      <c r="A1045" s="51"/>
      <c r="B1045" s="51"/>
      <c r="C1045" s="51"/>
      <c r="D1045" s="51"/>
      <c r="E1045" s="51"/>
      <c r="F1045" s="51"/>
      <c r="G1045" s="54"/>
      <c r="H1045" s="53"/>
      <c r="I1045" s="53"/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4"/>
      <c r="AB1045" s="53"/>
      <c r="AC1045" s="53"/>
      <c r="AD1045" s="53"/>
      <c r="AE1045" s="53"/>
      <c r="AF1045" s="53"/>
      <c r="AG1045" s="53"/>
      <c r="AH1045" s="54"/>
      <c r="AI1045" s="53"/>
      <c r="AJ1045" s="53"/>
      <c r="AK1045" s="54"/>
      <c r="AL1045" s="54"/>
    </row>
    <row r="1046" spans="1:38" ht="15.75" thickBot="1" x14ac:dyDescent="0.3">
      <c r="A1046" s="51"/>
      <c r="B1046" s="51"/>
      <c r="C1046" s="51"/>
      <c r="D1046" s="51"/>
      <c r="E1046" s="51"/>
      <c r="F1046" s="51"/>
      <c r="G1046" s="56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/>
      <c r="S1046" s="55"/>
      <c r="T1046" s="55"/>
      <c r="U1046" s="55"/>
      <c r="V1046" s="55"/>
      <c r="W1046" s="55"/>
      <c r="X1046" s="55"/>
      <c r="Y1046" s="55"/>
      <c r="Z1046" s="55"/>
      <c r="AA1046" s="56"/>
      <c r="AB1046" s="55"/>
      <c r="AC1046" s="55"/>
      <c r="AD1046" s="55"/>
      <c r="AE1046" s="55"/>
      <c r="AF1046" s="55"/>
      <c r="AG1046" s="55"/>
      <c r="AH1046" s="56"/>
      <c r="AI1046" s="55"/>
      <c r="AJ1046" s="55"/>
      <c r="AK1046" s="56"/>
      <c r="AL1046" s="56"/>
    </row>
    <row r="1047" spans="1:38" ht="15.75" thickBot="1" x14ac:dyDescent="0.3">
      <c r="A1047" s="51"/>
      <c r="B1047" s="51"/>
      <c r="C1047" s="51"/>
      <c r="D1047" s="51"/>
      <c r="E1047" s="51"/>
      <c r="F1047" s="51"/>
      <c r="G1047" s="54"/>
      <c r="H1047" s="53"/>
      <c r="I1047" s="53"/>
      <c r="J1047" s="53"/>
      <c r="K1047" s="53"/>
      <c r="L1047" s="53"/>
      <c r="M1047" s="53"/>
      <c r="N1047" s="54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3"/>
      <c r="AF1047" s="53"/>
      <c r="AG1047" s="53"/>
      <c r="AH1047" s="54"/>
      <c r="AI1047" s="53"/>
      <c r="AJ1047" s="53"/>
      <c r="AK1047" s="54"/>
      <c r="AL1047" s="54"/>
    </row>
    <row r="1048" spans="1:38" ht="15.75" thickBot="1" x14ac:dyDescent="0.3">
      <c r="A1048" s="51"/>
      <c r="B1048" s="51"/>
      <c r="C1048" s="51"/>
      <c r="D1048" s="51"/>
      <c r="E1048" s="51"/>
      <c r="F1048" s="51"/>
      <c r="G1048" s="56"/>
      <c r="H1048" s="55"/>
      <c r="I1048" s="55"/>
      <c r="J1048" s="55"/>
      <c r="K1048" s="55"/>
      <c r="L1048" s="55"/>
      <c r="M1048" s="55"/>
      <c r="N1048" s="56"/>
      <c r="O1048" s="55"/>
      <c r="P1048" s="55"/>
      <c r="Q1048" s="55"/>
      <c r="R1048" s="55"/>
      <c r="S1048" s="55"/>
      <c r="T1048" s="55"/>
      <c r="U1048" s="55"/>
      <c r="V1048" s="55"/>
      <c r="W1048" s="55"/>
      <c r="X1048" s="55"/>
      <c r="Y1048" s="55"/>
      <c r="Z1048" s="55"/>
      <c r="AA1048" s="55"/>
      <c r="AB1048" s="55"/>
      <c r="AC1048" s="55"/>
      <c r="AD1048" s="55"/>
      <c r="AE1048" s="55"/>
      <c r="AF1048" s="55"/>
      <c r="AG1048" s="55"/>
      <c r="AH1048" s="56"/>
      <c r="AI1048" s="55"/>
      <c r="AJ1048" s="55"/>
      <c r="AK1048" s="56"/>
      <c r="AL1048" s="56"/>
    </row>
    <row r="1049" spans="1:38" ht="15.75" thickBot="1" x14ac:dyDescent="0.3">
      <c r="A1049" s="51"/>
      <c r="B1049" s="51"/>
      <c r="C1049" s="51"/>
      <c r="D1049" s="51"/>
      <c r="E1049" s="51"/>
      <c r="F1049" s="51"/>
      <c r="G1049" s="54"/>
      <c r="H1049" s="53"/>
      <c r="I1049" s="53"/>
      <c r="J1049" s="53"/>
      <c r="K1049" s="54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3"/>
      <c r="AF1049" s="53"/>
      <c r="AG1049" s="53"/>
      <c r="AH1049" s="54"/>
      <c r="AI1049" s="53"/>
      <c r="AJ1049" s="53"/>
      <c r="AK1049" s="54"/>
      <c r="AL1049" s="54"/>
    </row>
    <row r="1050" spans="1:38" ht="15.75" thickBot="1" x14ac:dyDescent="0.3">
      <c r="A1050" s="51"/>
      <c r="B1050" s="51"/>
      <c r="C1050" s="51"/>
      <c r="D1050" s="51"/>
      <c r="E1050" s="51"/>
      <c r="F1050" s="51"/>
      <c r="G1050" s="56"/>
      <c r="H1050" s="55"/>
      <c r="I1050" s="55"/>
      <c r="J1050" s="55"/>
      <c r="K1050" s="56"/>
      <c r="L1050" s="55"/>
      <c r="M1050" s="55"/>
      <c r="N1050" s="55"/>
      <c r="O1050" s="55"/>
      <c r="P1050" s="55"/>
      <c r="Q1050" s="55"/>
      <c r="R1050" s="55"/>
      <c r="S1050" s="55"/>
      <c r="T1050" s="55"/>
      <c r="U1050" s="55"/>
      <c r="V1050" s="55"/>
      <c r="W1050" s="55"/>
      <c r="X1050" s="55"/>
      <c r="Y1050" s="55"/>
      <c r="Z1050" s="55"/>
      <c r="AA1050" s="55"/>
      <c r="AB1050" s="55"/>
      <c r="AC1050" s="55"/>
      <c r="AD1050" s="55"/>
      <c r="AE1050" s="55"/>
      <c r="AF1050" s="55"/>
      <c r="AG1050" s="55"/>
      <c r="AH1050" s="56"/>
      <c r="AI1050" s="55"/>
      <c r="AJ1050" s="55"/>
      <c r="AK1050" s="56"/>
      <c r="AL1050" s="56"/>
    </row>
    <row r="1051" spans="1:38" ht="15.75" thickBot="1" x14ac:dyDescent="0.3">
      <c r="A1051" s="51"/>
      <c r="B1051" s="51"/>
      <c r="C1051" s="51"/>
      <c r="D1051" s="51"/>
      <c r="E1051" s="51"/>
      <c r="F1051" s="51"/>
      <c r="G1051" s="54"/>
      <c r="H1051" s="53"/>
      <c r="I1051" s="53"/>
      <c r="J1051" s="53"/>
      <c r="K1051" s="53"/>
      <c r="L1051" s="53"/>
      <c r="M1051" s="53"/>
      <c r="N1051" s="53"/>
      <c r="O1051" s="53"/>
      <c r="P1051" s="53"/>
      <c r="Q1051" s="53"/>
      <c r="R1051" s="53"/>
      <c r="S1051" s="53"/>
      <c r="T1051" s="54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3"/>
      <c r="AF1051" s="53"/>
      <c r="AG1051" s="53"/>
      <c r="AH1051" s="54"/>
      <c r="AI1051" s="53"/>
      <c r="AJ1051" s="53"/>
      <c r="AK1051" s="54"/>
      <c r="AL1051" s="54"/>
    </row>
    <row r="1052" spans="1:38" ht="15.75" thickBot="1" x14ac:dyDescent="0.3">
      <c r="A1052" s="51"/>
      <c r="B1052" s="51"/>
      <c r="C1052" s="51"/>
      <c r="D1052" s="51"/>
      <c r="E1052" s="51"/>
      <c r="F1052" s="51"/>
      <c r="G1052" s="56"/>
      <c r="H1052" s="55"/>
      <c r="I1052" s="55"/>
      <c r="J1052" s="55"/>
      <c r="K1052" s="55"/>
      <c r="L1052" s="55"/>
      <c r="M1052" s="55"/>
      <c r="N1052" s="55"/>
      <c r="O1052" s="55"/>
      <c r="P1052" s="55"/>
      <c r="Q1052" s="55"/>
      <c r="R1052" s="55"/>
      <c r="S1052" s="55"/>
      <c r="T1052" s="56"/>
      <c r="U1052" s="55"/>
      <c r="V1052" s="55"/>
      <c r="W1052" s="55"/>
      <c r="X1052" s="55"/>
      <c r="Y1052" s="55"/>
      <c r="Z1052" s="55"/>
      <c r="AA1052" s="55"/>
      <c r="AB1052" s="55"/>
      <c r="AC1052" s="55"/>
      <c r="AD1052" s="55"/>
      <c r="AE1052" s="55"/>
      <c r="AF1052" s="55"/>
      <c r="AG1052" s="55"/>
      <c r="AH1052" s="56"/>
      <c r="AI1052" s="55"/>
      <c r="AJ1052" s="55"/>
      <c r="AK1052" s="56"/>
      <c r="AL1052" s="56"/>
    </row>
    <row r="1053" spans="1:38" ht="15.75" thickBot="1" x14ac:dyDescent="0.3">
      <c r="A1053" s="51"/>
      <c r="B1053" s="51"/>
      <c r="C1053" s="51"/>
      <c r="D1053" s="51"/>
      <c r="E1053" s="51"/>
      <c r="F1053" s="51"/>
      <c r="G1053" s="54"/>
      <c r="H1053" s="54"/>
      <c r="I1053" s="53"/>
      <c r="J1053" s="53"/>
      <c r="K1053" s="53"/>
      <c r="L1053" s="53"/>
      <c r="M1053" s="54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3"/>
      <c r="AF1053" s="53"/>
      <c r="AG1053" s="53"/>
      <c r="AH1053" s="54"/>
      <c r="AI1053" s="53"/>
      <c r="AJ1053" s="53"/>
      <c r="AK1053" s="54"/>
      <c r="AL1053" s="54"/>
    </row>
    <row r="1054" spans="1:38" ht="15.75" thickBot="1" x14ac:dyDescent="0.3">
      <c r="A1054" s="51"/>
      <c r="B1054" s="51"/>
      <c r="C1054" s="51"/>
      <c r="D1054" s="51"/>
      <c r="E1054" s="51"/>
      <c r="F1054" s="51"/>
      <c r="G1054" s="56"/>
      <c r="H1054" s="56"/>
      <c r="I1054" s="55"/>
      <c r="J1054" s="55"/>
      <c r="K1054" s="55"/>
      <c r="L1054" s="55"/>
      <c r="M1054" s="56"/>
      <c r="N1054" s="55"/>
      <c r="O1054" s="55"/>
      <c r="P1054" s="55"/>
      <c r="Q1054" s="55"/>
      <c r="R1054" s="55"/>
      <c r="S1054" s="55"/>
      <c r="T1054" s="55"/>
      <c r="U1054" s="55"/>
      <c r="V1054" s="55"/>
      <c r="W1054" s="55"/>
      <c r="X1054" s="55"/>
      <c r="Y1054" s="55"/>
      <c r="Z1054" s="55"/>
      <c r="AA1054" s="55"/>
      <c r="AB1054" s="55"/>
      <c r="AC1054" s="55"/>
      <c r="AD1054" s="55"/>
      <c r="AE1054" s="55"/>
      <c r="AF1054" s="55"/>
      <c r="AG1054" s="55"/>
      <c r="AH1054" s="56"/>
      <c r="AI1054" s="55"/>
      <c r="AJ1054" s="55"/>
      <c r="AK1054" s="56"/>
      <c r="AL1054" s="56"/>
    </row>
    <row r="1055" spans="1:38" ht="15.75" thickBot="1" x14ac:dyDescent="0.3">
      <c r="A1055" s="51"/>
      <c r="B1055" s="51"/>
      <c r="C1055" s="51"/>
      <c r="D1055" s="51"/>
      <c r="E1055" s="51"/>
      <c r="F1055" s="51"/>
      <c r="G1055" s="54"/>
      <c r="H1055" s="147"/>
      <c r="I1055" s="53"/>
      <c r="J1055" s="53"/>
      <c r="K1055" s="53"/>
      <c r="L1055" s="53"/>
      <c r="M1055" s="54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3"/>
      <c r="AF1055" s="53"/>
      <c r="AG1055" s="53"/>
      <c r="AH1055" s="54"/>
      <c r="AI1055" s="53"/>
      <c r="AJ1055" s="53"/>
      <c r="AK1055" s="54"/>
      <c r="AL1055" s="54"/>
    </row>
    <row r="1056" spans="1:38" ht="15.75" thickBot="1" x14ac:dyDescent="0.3">
      <c r="A1056" s="51"/>
      <c r="B1056" s="51"/>
      <c r="C1056" s="51"/>
      <c r="D1056" s="51"/>
      <c r="E1056" s="51"/>
      <c r="F1056" s="51"/>
      <c r="G1056" s="56"/>
      <c r="H1056" s="55"/>
      <c r="I1056" s="55"/>
      <c r="J1056" s="55"/>
      <c r="K1056" s="55"/>
      <c r="L1056" s="55"/>
      <c r="M1056" s="55"/>
      <c r="N1056" s="55"/>
      <c r="O1056" s="55"/>
      <c r="P1056" s="55"/>
      <c r="Q1056" s="55"/>
      <c r="R1056" s="55"/>
      <c r="S1056" s="55"/>
      <c r="T1056" s="55"/>
      <c r="U1056" s="55"/>
      <c r="V1056" s="55"/>
      <c r="W1056" s="55"/>
      <c r="X1056" s="55"/>
      <c r="Y1056" s="55"/>
      <c r="Z1056" s="55"/>
      <c r="AA1056" s="56"/>
      <c r="AB1056" s="55"/>
      <c r="AC1056" s="55"/>
      <c r="AD1056" s="55"/>
      <c r="AE1056" s="55"/>
      <c r="AF1056" s="55"/>
      <c r="AG1056" s="55"/>
      <c r="AH1056" s="56"/>
      <c r="AI1056" s="55"/>
      <c r="AJ1056" s="55"/>
      <c r="AK1056" s="56"/>
      <c r="AL1056" s="56"/>
    </row>
    <row r="1057" spans="1:38" ht="15.75" thickBot="1" x14ac:dyDescent="0.3">
      <c r="A1057" s="51"/>
      <c r="B1057" s="51"/>
      <c r="C1057" s="51"/>
      <c r="D1057" s="51"/>
      <c r="E1057" s="51"/>
      <c r="F1057" s="51"/>
      <c r="G1057" s="54"/>
      <c r="H1057" s="53"/>
      <c r="I1057" s="53"/>
      <c r="J1057" s="53"/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4"/>
      <c r="AB1057" s="53"/>
      <c r="AC1057" s="53"/>
      <c r="AD1057" s="53"/>
      <c r="AE1057" s="53"/>
      <c r="AF1057" s="53"/>
      <c r="AG1057" s="53"/>
      <c r="AH1057" s="54"/>
      <c r="AI1057" s="53"/>
      <c r="AJ1057" s="53"/>
      <c r="AK1057" s="54"/>
      <c r="AL1057" s="54"/>
    </row>
    <row r="1058" spans="1:38" ht="15.75" thickBot="1" x14ac:dyDescent="0.3">
      <c r="A1058" s="51"/>
      <c r="B1058" s="51"/>
      <c r="C1058" s="51"/>
      <c r="D1058" s="51"/>
      <c r="E1058" s="51"/>
      <c r="F1058" s="51"/>
      <c r="G1058" s="56"/>
      <c r="H1058" s="55"/>
      <c r="I1058" s="55"/>
      <c r="J1058" s="55"/>
      <c r="K1058" s="55"/>
      <c r="L1058" s="55"/>
      <c r="M1058" s="55"/>
      <c r="N1058" s="55"/>
      <c r="O1058" s="55"/>
      <c r="P1058" s="55"/>
      <c r="Q1058" s="55"/>
      <c r="R1058" s="55"/>
      <c r="S1058" s="55"/>
      <c r="T1058" s="55"/>
      <c r="U1058" s="56"/>
      <c r="V1058" s="55"/>
      <c r="W1058" s="55"/>
      <c r="X1058" s="55"/>
      <c r="Y1058" s="55"/>
      <c r="Z1058" s="55"/>
      <c r="AA1058" s="55"/>
      <c r="AB1058" s="55"/>
      <c r="AC1058" s="55"/>
      <c r="AD1058" s="55"/>
      <c r="AE1058" s="55"/>
      <c r="AF1058" s="55"/>
      <c r="AG1058" s="55"/>
      <c r="AH1058" s="56"/>
      <c r="AI1058" s="55"/>
      <c r="AJ1058" s="55"/>
      <c r="AK1058" s="56"/>
      <c r="AL1058" s="56"/>
    </row>
    <row r="1059" spans="1:38" ht="15.75" thickBot="1" x14ac:dyDescent="0.3">
      <c r="A1059" s="51"/>
      <c r="B1059" s="51"/>
      <c r="C1059" s="51"/>
      <c r="D1059" s="51"/>
      <c r="E1059" s="51"/>
      <c r="F1059" s="51"/>
      <c r="G1059" s="54"/>
      <c r="H1059" s="53"/>
      <c r="I1059" s="53"/>
      <c r="J1059" s="53"/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4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3"/>
      <c r="AF1059" s="53"/>
      <c r="AG1059" s="53"/>
      <c r="AH1059" s="54"/>
      <c r="AI1059" s="53"/>
      <c r="AJ1059" s="53"/>
      <c r="AK1059" s="54"/>
      <c r="AL1059" s="54"/>
    </row>
    <row r="1060" spans="1:38" ht="15.75" thickBot="1" x14ac:dyDescent="0.3">
      <c r="A1060" s="51"/>
      <c r="B1060" s="51"/>
      <c r="C1060" s="51"/>
      <c r="D1060" s="51"/>
      <c r="E1060" s="51"/>
      <c r="F1060" s="51"/>
      <c r="G1060" s="56"/>
      <c r="H1060" s="55"/>
      <c r="I1060" s="55"/>
      <c r="J1060" s="55"/>
      <c r="K1060" s="55"/>
      <c r="L1060" s="55"/>
      <c r="M1060" s="55"/>
      <c r="N1060" s="56"/>
      <c r="O1060" s="55"/>
      <c r="P1060" s="55"/>
      <c r="Q1060" s="55"/>
      <c r="R1060" s="55"/>
      <c r="S1060" s="55"/>
      <c r="T1060" s="55"/>
      <c r="U1060" s="55"/>
      <c r="V1060" s="55"/>
      <c r="W1060" s="55"/>
      <c r="X1060" s="55"/>
      <c r="Y1060" s="55"/>
      <c r="Z1060" s="55"/>
      <c r="AA1060" s="55"/>
      <c r="AB1060" s="55"/>
      <c r="AC1060" s="55"/>
      <c r="AD1060" s="55"/>
      <c r="AE1060" s="55"/>
      <c r="AF1060" s="55"/>
      <c r="AG1060" s="55"/>
      <c r="AH1060" s="56"/>
      <c r="AI1060" s="55"/>
      <c r="AJ1060" s="55"/>
      <c r="AK1060" s="56"/>
      <c r="AL1060" s="56"/>
    </row>
    <row r="1061" spans="1:38" ht="15.75" thickBot="1" x14ac:dyDescent="0.3">
      <c r="A1061" s="51"/>
      <c r="B1061" s="51"/>
      <c r="C1061" s="51"/>
      <c r="D1061" s="51"/>
      <c r="E1061" s="51"/>
      <c r="F1061" s="51"/>
      <c r="G1061" s="54"/>
      <c r="H1061" s="53"/>
      <c r="I1061" s="53"/>
      <c r="J1061" s="53"/>
      <c r="K1061" s="53"/>
      <c r="L1061" s="53"/>
      <c r="M1061" s="53"/>
      <c r="N1061" s="54"/>
      <c r="O1061" s="53"/>
      <c r="P1061" s="53"/>
      <c r="Q1061" s="53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3"/>
      <c r="AF1061" s="53"/>
      <c r="AG1061" s="53"/>
      <c r="AH1061" s="54"/>
      <c r="AI1061" s="53"/>
      <c r="AJ1061" s="53"/>
      <c r="AK1061" s="54"/>
      <c r="AL1061" s="54"/>
    </row>
    <row r="1062" spans="1:38" ht="15.75" thickBot="1" x14ac:dyDescent="0.3">
      <c r="A1062" s="51"/>
      <c r="B1062" s="51"/>
      <c r="C1062" s="51"/>
      <c r="D1062" s="51"/>
      <c r="E1062" s="51"/>
      <c r="F1062" s="51"/>
      <c r="G1062" s="56"/>
      <c r="H1062" s="55"/>
      <c r="I1062" s="55"/>
      <c r="J1062" s="55"/>
      <c r="K1062" s="56"/>
      <c r="L1062" s="55"/>
      <c r="M1062" s="55"/>
      <c r="N1062" s="55"/>
      <c r="O1062" s="55"/>
      <c r="P1062" s="55"/>
      <c r="Q1062" s="55"/>
      <c r="R1062" s="55"/>
      <c r="S1062" s="55"/>
      <c r="T1062" s="55"/>
      <c r="U1062" s="55"/>
      <c r="V1062" s="55"/>
      <c r="W1062" s="55"/>
      <c r="X1062" s="55"/>
      <c r="Y1062" s="55"/>
      <c r="Z1062" s="55"/>
      <c r="AA1062" s="55"/>
      <c r="AB1062" s="55"/>
      <c r="AC1062" s="55"/>
      <c r="AD1062" s="55"/>
      <c r="AE1062" s="55"/>
      <c r="AF1062" s="55"/>
      <c r="AG1062" s="55"/>
      <c r="AH1062" s="56"/>
      <c r="AI1062" s="55"/>
      <c r="AJ1062" s="55"/>
      <c r="AK1062" s="56"/>
      <c r="AL1062" s="56"/>
    </row>
    <row r="1063" spans="1:38" ht="15.75" thickBot="1" x14ac:dyDescent="0.3">
      <c r="A1063" s="51"/>
      <c r="B1063" s="51"/>
      <c r="C1063" s="51"/>
      <c r="D1063" s="51"/>
      <c r="E1063" s="51"/>
      <c r="F1063" s="51"/>
      <c r="G1063" s="54"/>
      <c r="H1063" s="53"/>
      <c r="I1063" s="53"/>
      <c r="J1063" s="53"/>
      <c r="K1063" s="54"/>
      <c r="L1063" s="53"/>
      <c r="M1063" s="53"/>
      <c r="N1063" s="53"/>
      <c r="O1063" s="53"/>
      <c r="P1063" s="53"/>
      <c r="Q1063" s="53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3"/>
      <c r="AF1063" s="53"/>
      <c r="AG1063" s="53"/>
      <c r="AH1063" s="54"/>
      <c r="AI1063" s="53"/>
      <c r="AJ1063" s="53"/>
      <c r="AK1063" s="54"/>
      <c r="AL1063" s="54"/>
    </row>
    <row r="1064" spans="1:38" ht="15.75" thickBot="1" x14ac:dyDescent="0.3">
      <c r="A1064" s="51"/>
      <c r="B1064" s="51"/>
      <c r="C1064" s="51"/>
      <c r="D1064" s="51"/>
      <c r="E1064" s="51"/>
      <c r="F1064" s="51"/>
      <c r="G1064" s="56"/>
      <c r="H1064" s="55"/>
      <c r="I1064" s="55"/>
      <c r="J1064" s="55"/>
      <c r="K1064" s="55"/>
      <c r="L1064" s="55"/>
      <c r="M1064" s="55"/>
      <c r="N1064" s="55"/>
      <c r="O1064" s="55"/>
      <c r="P1064" s="55"/>
      <c r="Q1064" s="55"/>
      <c r="R1064" s="55"/>
      <c r="S1064" s="55"/>
      <c r="T1064" s="55"/>
      <c r="U1064" s="55"/>
      <c r="V1064" s="55"/>
      <c r="W1064" s="56"/>
      <c r="X1064" s="55"/>
      <c r="Y1064" s="55"/>
      <c r="Z1064" s="55"/>
      <c r="AA1064" s="55"/>
      <c r="AB1064" s="55"/>
      <c r="AC1064" s="55"/>
      <c r="AD1064" s="55"/>
      <c r="AE1064" s="55"/>
      <c r="AF1064" s="55"/>
      <c r="AG1064" s="55"/>
      <c r="AH1064" s="56"/>
      <c r="AI1064" s="55"/>
      <c r="AJ1064" s="55"/>
      <c r="AK1064" s="56"/>
      <c r="AL1064" s="56"/>
    </row>
    <row r="1065" spans="1:38" ht="15.75" thickBot="1" x14ac:dyDescent="0.3">
      <c r="A1065" s="51"/>
      <c r="B1065" s="51"/>
      <c r="C1065" s="51"/>
      <c r="D1065" s="51"/>
      <c r="E1065" s="51"/>
      <c r="F1065" s="51"/>
      <c r="G1065" s="54"/>
      <c r="H1065" s="53"/>
      <c r="I1065" s="53"/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3"/>
      <c r="U1065" s="53"/>
      <c r="V1065" s="53"/>
      <c r="W1065" s="54"/>
      <c r="X1065" s="53"/>
      <c r="Y1065" s="53"/>
      <c r="Z1065" s="53"/>
      <c r="AA1065" s="53"/>
      <c r="AB1065" s="53"/>
      <c r="AC1065" s="53"/>
      <c r="AD1065" s="53"/>
      <c r="AE1065" s="53"/>
      <c r="AF1065" s="53"/>
      <c r="AG1065" s="53"/>
      <c r="AH1065" s="54"/>
      <c r="AI1065" s="53"/>
      <c r="AJ1065" s="53"/>
      <c r="AK1065" s="54"/>
      <c r="AL1065" s="54"/>
    </row>
    <row r="1066" spans="1:38" ht="15.75" thickBot="1" x14ac:dyDescent="0.3">
      <c r="A1066" s="51"/>
      <c r="B1066" s="51"/>
      <c r="C1066" s="51"/>
      <c r="D1066" s="51"/>
      <c r="E1066" s="51"/>
      <c r="F1066" s="51"/>
      <c r="G1066" s="56"/>
      <c r="H1066" s="55"/>
      <c r="I1066" s="55"/>
      <c r="J1066" s="55"/>
      <c r="K1066" s="55"/>
      <c r="L1066" s="55"/>
      <c r="M1066" s="55"/>
      <c r="N1066" s="55"/>
      <c r="O1066" s="55"/>
      <c r="P1066" s="55"/>
      <c r="Q1066" s="55"/>
      <c r="R1066" s="55"/>
      <c r="S1066" s="55"/>
      <c r="T1066" s="55"/>
      <c r="U1066" s="55"/>
      <c r="V1066" s="55"/>
      <c r="W1066" s="55"/>
      <c r="X1066" s="56"/>
      <c r="Y1066" s="55"/>
      <c r="Z1066" s="55"/>
      <c r="AA1066" s="55"/>
      <c r="AB1066" s="55"/>
      <c r="AC1066" s="55"/>
      <c r="AD1066" s="55"/>
      <c r="AE1066" s="55"/>
      <c r="AF1066" s="55"/>
      <c r="AG1066" s="55"/>
      <c r="AH1066" s="56"/>
      <c r="AI1066" s="55"/>
      <c r="AJ1066" s="55"/>
      <c r="AK1066" s="56"/>
      <c r="AL1066" s="56"/>
    </row>
    <row r="1067" spans="1:38" ht="15.75" thickBot="1" x14ac:dyDescent="0.3">
      <c r="A1067" s="51"/>
      <c r="B1067" s="51"/>
      <c r="C1067" s="51"/>
      <c r="D1067" s="51"/>
      <c r="E1067" s="51"/>
      <c r="F1067" s="51"/>
      <c r="G1067" s="54"/>
      <c r="H1067" s="53"/>
      <c r="I1067" s="53"/>
      <c r="J1067" s="53"/>
      <c r="K1067" s="53"/>
      <c r="L1067" s="53"/>
      <c r="M1067" s="53"/>
      <c r="N1067" s="53"/>
      <c r="O1067" s="53"/>
      <c r="P1067" s="53"/>
      <c r="Q1067" s="53"/>
      <c r="R1067" s="53"/>
      <c r="S1067" s="53"/>
      <c r="T1067" s="53"/>
      <c r="U1067" s="53"/>
      <c r="V1067" s="53"/>
      <c r="W1067" s="53"/>
      <c r="X1067" s="54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4"/>
      <c r="AI1067" s="53"/>
      <c r="AJ1067" s="53"/>
      <c r="AK1067" s="54"/>
      <c r="AL1067" s="54"/>
    </row>
    <row r="1068" spans="1:38" ht="15.75" thickBot="1" x14ac:dyDescent="0.3">
      <c r="A1068" s="51"/>
      <c r="B1068" s="51"/>
      <c r="C1068" s="51"/>
      <c r="D1068" s="51"/>
      <c r="E1068" s="51"/>
      <c r="F1068" s="51"/>
      <c r="G1068" s="56"/>
      <c r="H1068" s="56"/>
      <c r="I1068" s="55"/>
      <c r="J1068" s="55"/>
      <c r="K1068" s="55"/>
      <c r="L1068" s="55"/>
      <c r="M1068" s="56"/>
      <c r="N1068" s="55"/>
      <c r="O1068" s="55"/>
      <c r="P1068" s="55"/>
      <c r="Q1068" s="55"/>
      <c r="R1068" s="55"/>
      <c r="S1068" s="55"/>
      <c r="T1068" s="55"/>
      <c r="U1068" s="55"/>
      <c r="V1068" s="55"/>
      <c r="W1068" s="55"/>
      <c r="X1068" s="55"/>
      <c r="Y1068" s="55"/>
      <c r="Z1068" s="55"/>
      <c r="AA1068" s="55"/>
      <c r="AB1068" s="55"/>
      <c r="AC1068" s="55"/>
      <c r="AD1068" s="55"/>
      <c r="AE1068" s="55"/>
      <c r="AF1068" s="55"/>
      <c r="AG1068" s="55"/>
      <c r="AH1068" s="56"/>
      <c r="AI1068" s="55"/>
      <c r="AJ1068" s="55"/>
      <c r="AK1068" s="56"/>
      <c r="AL1068" s="56"/>
    </row>
    <row r="1069" spans="1:38" ht="15.75" thickBot="1" x14ac:dyDescent="0.3">
      <c r="A1069" s="51"/>
      <c r="B1069" s="51"/>
      <c r="C1069" s="51"/>
      <c r="D1069" s="51"/>
      <c r="E1069" s="51"/>
      <c r="F1069" s="51"/>
      <c r="G1069" s="54"/>
      <c r="H1069" s="147"/>
      <c r="I1069" s="53"/>
      <c r="J1069" s="53"/>
      <c r="K1069" s="53"/>
      <c r="L1069" s="53"/>
      <c r="M1069" s="54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4"/>
      <c r="AI1069" s="53"/>
      <c r="AJ1069" s="53"/>
      <c r="AK1069" s="54"/>
      <c r="AL1069" s="54"/>
    </row>
    <row r="1070" spans="1:38" ht="15.75" thickBot="1" x14ac:dyDescent="0.3">
      <c r="A1070" s="51"/>
      <c r="B1070" s="51"/>
      <c r="C1070" s="51"/>
      <c r="D1070" s="51"/>
      <c r="E1070" s="51"/>
      <c r="F1070" s="51"/>
      <c r="G1070" s="56"/>
      <c r="H1070" s="55"/>
      <c r="I1070" s="55"/>
      <c r="J1070" s="55"/>
      <c r="K1070" s="55"/>
      <c r="L1070" s="55"/>
      <c r="M1070" s="55"/>
      <c r="N1070" s="55"/>
      <c r="O1070" s="55"/>
      <c r="P1070" s="55"/>
      <c r="Q1070" s="55"/>
      <c r="R1070" s="55"/>
      <c r="S1070" s="55"/>
      <c r="T1070" s="55"/>
      <c r="U1070" s="55"/>
      <c r="V1070" s="55"/>
      <c r="W1070" s="55"/>
      <c r="X1070" s="55"/>
      <c r="Y1070" s="55"/>
      <c r="Z1070" s="55"/>
      <c r="AA1070" s="56"/>
      <c r="AB1070" s="55"/>
      <c r="AC1070" s="55"/>
      <c r="AD1070" s="55"/>
      <c r="AE1070" s="55"/>
      <c r="AF1070" s="55"/>
      <c r="AG1070" s="55"/>
      <c r="AH1070" s="56"/>
      <c r="AI1070" s="55"/>
      <c r="AJ1070" s="55"/>
      <c r="AK1070" s="56"/>
      <c r="AL1070" s="56"/>
    </row>
    <row r="1071" spans="1:38" ht="15.75" thickBot="1" x14ac:dyDescent="0.3">
      <c r="A1071" s="51"/>
      <c r="B1071" s="51"/>
      <c r="C1071" s="51"/>
      <c r="D1071" s="51"/>
      <c r="E1071" s="51"/>
      <c r="F1071" s="51"/>
      <c r="G1071" s="54"/>
      <c r="H1071" s="53"/>
      <c r="I1071" s="53"/>
      <c r="J1071" s="53"/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4"/>
      <c r="AB1071" s="53"/>
      <c r="AC1071" s="53"/>
      <c r="AD1071" s="53"/>
      <c r="AE1071" s="53"/>
      <c r="AF1071" s="53"/>
      <c r="AG1071" s="53"/>
      <c r="AH1071" s="54"/>
      <c r="AI1071" s="53"/>
      <c r="AJ1071" s="53"/>
      <c r="AK1071" s="54"/>
      <c r="AL1071" s="54"/>
    </row>
    <row r="1072" spans="1:38" ht="15.75" thickBot="1" x14ac:dyDescent="0.3">
      <c r="A1072" s="51"/>
      <c r="B1072" s="51"/>
      <c r="C1072" s="51"/>
      <c r="D1072" s="51"/>
      <c r="E1072" s="51"/>
      <c r="F1072" s="51"/>
      <c r="G1072" s="56"/>
      <c r="H1072" s="55"/>
      <c r="I1072" s="55"/>
      <c r="J1072" s="55"/>
      <c r="K1072" s="56"/>
      <c r="L1072" s="55"/>
      <c r="M1072" s="55"/>
      <c r="N1072" s="55"/>
      <c r="O1072" s="55"/>
      <c r="P1072" s="55"/>
      <c r="Q1072" s="55"/>
      <c r="R1072" s="55"/>
      <c r="S1072" s="55"/>
      <c r="T1072" s="55"/>
      <c r="U1072" s="55"/>
      <c r="V1072" s="55"/>
      <c r="W1072" s="55"/>
      <c r="X1072" s="55"/>
      <c r="Y1072" s="55"/>
      <c r="Z1072" s="55"/>
      <c r="AA1072" s="55"/>
      <c r="AB1072" s="55"/>
      <c r="AC1072" s="55"/>
      <c r="AD1072" s="55"/>
      <c r="AE1072" s="55"/>
      <c r="AF1072" s="55"/>
      <c r="AG1072" s="55"/>
      <c r="AH1072" s="56"/>
      <c r="AI1072" s="55"/>
      <c r="AJ1072" s="55"/>
      <c r="AK1072" s="56"/>
      <c r="AL1072" s="56"/>
    </row>
    <row r="1073" spans="1:38" ht="15.75" thickBot="1" x14ac:dyDescent="0.3">
      <c r="A1073" s="51"/>
      <c r="B1073" s="51"/>
      <c r="C1073" s="51"/>
      <c r="D1073" s="51"/>
      <c r="E1073" s="51"/>
      <c r="F1073" s="51"/>
      <c r="G1073" s="54"/>
      <c r="H1073" s="53"/>
      <c r="I1073" s="53"/>
      <c r="J1073" s="53"/>
      <c r="K1073" s="54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4"/>
      <c r="AI1073" s="53"/>
      <c r="AJ1073" s="53"/>
      <c r="AK1073" s="54"/>
      <c r="AL1073" s="54"/>
    </row>
    <row r="1074" spans="1:38" ht="15.75" thickBot="1" x14ac:dyDescent="0.3">
      <c r="A1074" s="51"/>
      <c r="B1074" s="51"/>
      <c r="C1074" s="51"/>
      <c r="D1074" s="51"/>
      <c r="E1074" s="51"/>
      <c r="F1074" s="51"/>
      <c r="G1074" s="56"/>
      <c r="H1074" s="55"/>
      <c r="I1074" s="55"/>
      <c r="J1074" s="55"/>
      <c r="K1074" s="55"/>
      <c r="L1074" s="55"/>
      <c r="M1074" s="55"/>
      <c r="N1074" s="55"/>
      <c r="O1074" s="55"/>
      <c r="P1074" s="55"/>
      <c r="Q1074" s="55"/>
      <c r="R1074" s="55"/>
      <c r="S1074" s="55"/>
      <c r="T1074" s="56"/>
      <c r="U1074" s="55"/>
      <c r="V1074" s="55"/>
      <c r="W1074" s="55"/>
      <c r="X1074" s="55"/>
      <c r="Y1074" s="55"/>
      <c r="Z1074" s="55"/>
      <c r="AA1074" s="55"/>
      <c r="AB1074" s="55"/>
      <c r="AC1074" s="55"/>
      <c r="AD1074" s="55"/>
      <c r="AE1074" s="55"/>
      <c r="AF1074" s="55"/>
      <c r="AG1074" s="55"/>
      <c r="AH1074" s="56"/>
      <c r="AI1074" s="55"/>
      <c r="AJ1074" s="55"/>
      <c r="AK1074" s="56"/>
      <c r="AL1074" s="56"/>
    </row>
    <row r="1075" spans="1:38" ht="15.75" thickBot="1" x14ac:dyDescent="0.3">
      <c r="A1075" s="51"/>
      <c r="B1075" s="51"/>
      <c r="C1075" s="51"/>
      <c r="D1075" s="51"/>
      <c r="E1075" s="51"/>
      <c r="F1075" s="51"/>
      <c r="G1075" s="54"/>
      <c r="H1075" s="53"/>
      <c r="I1075" s="53"/>
      <c r="J1075" s="53"/>
      <c r="K1075" s="53"/>
      <c r="L1075" s="53"/>
      <c r="M1075" s="53"/>
      <c r="N1075" s="53"/>
      <c r="O1075" s="53"/>
      <c r="P1075" s="53"/>
      <c r="Q1075" s="53"/>
      <c r="R1075" s="53"/>
      <c r="S1075" s="53"/>
      <c r="T1075" s="54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4"/>
      <c r="AI1075" s="53"/>
      <c r="AJ1075" s="53"/>
      <c r="AK1075" s="54"/>
      <c r="AL1075" s="54"/>
    </row>
    <row r="1076" spans="1:38" ht="15.75" thickBot="1" x14ac:dyDescent="0.3">
      <c r="A1076" s="51"/>
      <c r="B1076" s="51"/>
      <c r="C1076" s="51"/>
      <c r="D1076" s="51"/>
      <c r="E1076" s="51"/>
      <c r="F1076" s="51"/>
      <c r="G1076" s="56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/>
      <c r="S1076" s="55"/>
      <c r="T1076" s="55"/>
      <c r="U1076" s="56"/>
      <c r="V1076" s="55"/>
      <c r="W1076" s="55"/>
      <c r="X1076" s="55"/>
      <c r="Y1076" s="55"/>
      <c r="Z1076" s="55"/>
      <c r="AA1076" s="55"/>
      <c r="AB1076" s="55"/>
      <c r="AC1076" s="55"/>
      <c r="AD1076" s="55"/>
      <c r="AE1076" s="55"/>
      <c r="AF1076" s="55"/>
      <c r="AG1076" s="55"/>
      <c r="AH1076" s="56"/>
      <c r="AI1076" s="55"/>
      <c r="AJ1076" s="55"/>
      <c r="AK1076" s="56"/>
      <c r="AL1076" s="56"/>
    </row>
    <row r="1077" spans="1:38" ht="15.75" thickBot="1" x14ac:dyDescent="0.3">
      <c r="A1077" s="51"/>
      <c r="B1077" s="51"/>
      <c r="C1077" s="51"/>
      <c r="D1077" s="51"/>
      <c r="E1077" s="51"/>
      <c r="F1077" s="51"/>
      <c r="G1077" s="54"/>
      <c r="H1077" s="53"/>
      <c r="I1077" s="53"/>
      <c r="J1077" s="53"/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4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4"/>
      <c r="AI1077" s="53"/>
      <c r="AJ1077" s="53"/>
      <c r="AK1077" s="54"/>
      <c r="AL1077" s="54"/>
    </row>
    <row r="1078" spans="1:38" ht="15.75" thickBot="1" x14ac:dyDescent="0.3">
      <c r="A1078" s="51"/>
      <c r="B1078" s="51"/>
      <c r="C1078" s="51"/>
      <c r="D1078" s="51"/>
      <c r="E1078" s="51"/>
      <c r="F1078" s="51"/>
      <c r="G1078" s="56"/>
      <c r="H1078" s="55"/>
      <c r="I1078" s="55"/>
      <c r="J1078" s="55"/>
      <c r="K1078" s="56"/>
      <c r="L1078" s="55"/>
      <c r="M1078" s="55"/>
      <c r="N1078" s="55"/>
      <c r="O1078" s="55"/>
      <c r="P1078" s="55"/>
      <c r="Q1078" s="55"/>
      <c r="R1078" s="55"/>
      <c r="S1078" s="55"/>
      <c r="T1078" s="55"/>
      <c r="U1078" s="55"/>
      <c r="V1078" s="55"/>
      <c r="W1078" s="55"/>
      <c r="X1078" s="55"/>
      <c r="Y1078" s="55"/>
      <c r="Z1078" s="55"/>
      <c r="AA1078" s="55"/>
      <c r="AB1078" s="55"/>
      <c r="AC1078" s="55"/>
      <c r="AD1078" s="55"/>
      <c r="AE1078" s="55"/>
      <c r="AF1078" s="55"/>
      <c r="AG1078" s="55"/>
      <c r="AH1078" s="56"/>
      <c r="AI1078" s="55"/>
      <c r="AJ1078" s="55"/>
      <c r="AK1078" s="56"/>
      <c r="AL1078" s="56"/>
    </row>
    <row r="1079" spans="1:38" ht="15.75" thickBot="1" x14ac:dyDescent="0.3">
      <c r="A1079" s="51"/>
      <c r="B1079" s="51"/>
      <c r="C1079" s="51"/>
      <c r="D1079" s="51"/>
      <c r="E1079" s="51"/>
      <c r="F1079" s="51"/>
      <c r="G1079" s="54"/>
      <c r="H1079" s="53"/>
      <c r="I1079" s="53"/>
      <c r="J1079" s="53"/>
      <c r="K1079" s="54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3"/>
      <c r="AF1079" s="53"/>
      <c r="AG1079" s="53"/>
      <c r="AH1079" s="54"/>
      <c r="AI1079" s="53"/>
      <c r="AJ1079" s="53"/>
      <c r="AK1079" s="54"/>
      <c r="AL1079" s="54"/>
    </row>
    <row r="1080" spans="1:38" ht="15.75" thickBot="1" x14ac:dyDescent="0.3">
      <c r="A1080" s="51"/>
      <c r="B1080" s="51"/>
      <c r="C1080" s="51"/>
      <c r="D1080" s="51"/>
      <c r="E1080" s="51"/>
      <c r="F1080" s="51"/>
      <c r="G1080" s="56"/>
      <c r="H1080" s="55"/>
      <c r="I1080" s="55"/>
      <c r="J1080" s="55"/>
      <c r="K1080" s="55"/>
      <c r="L1080" s="55"/>
      <c r="M1080" s="55"/>
      <c r="N1080" s="55"/>
      <c r="O1080" s="55"/>
      <c r="P1080" s="55"/>
      <c r="Q1080" s="55"/>
      <c r="R1080" s="55"/>
      <c r="S1080" s="55"/>
      <c r="T1080" s="55"/>
      <c r="U1080" s="55"/>
      <c r="V1080" s="55"/>
      <c r="W1080" s="56"/>
      <c r="X1080" s="55"/>
      <c r="Y1080" s="55"/>
      <c r="Z1080" s="55"/>
      <c r="AA1080" s="55"/>
      <c r="AB1080" s="55"/>
      <c r="AC1080" s="55"/>
      <c r="AD1080" s="55"/>
      <c r="AE1080" s="55"/>
      <c r="AF1080" s="55"/>
      <c r="AG1080" s="55"/>
      <c r="AH1080" s="56"/>
      <c r="AI1080" s="55"/>
      <c r="AJ1080" s="55"/>
      <c r="AK1080" s="56"/>
      <c r="AL1080" s="56"/>
    </row>
    <row r="1081" spans="1:38" ht="15.75" thickBot="1" x14ac:dyDescent="0.3">
      <c r="A1081" s="51"/>
      <c r="B1081" s="51"/>
      <c r="C1081" s="51"/>
      <c r="D1081" s="51"/>
      <c r="E1081" s="51"/>
      <c r="F1081" s="51"/>
      <c r="G1081" s="54"/>
      <c r="H1081" s="53"/>
      <c r="I1081" s="53"/>
      <c r="J1081" s="53"/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4"/>
      <c r="X1081" s="53"/>
      <c r="Y1081" s="53"/>
      <c r="Z1081" s="53"/>
      <c r="AA1081" s="53"/>
      <c r="AB1081" s="53"/>
      <c r="AC1081" s="53"/>
      <c r="AD1081" s="53"/>
      <c r="AE1081" s="53"/>
      <c r="AF1081" s="53"/>
      <c r="AG1081" s="53"/>
      <c r="AH1081" s="54"/>
      <c r="AI1081" s="53"/>
      <c r="AJ1081" s="53"/>
      <c r="AK1081" s="54"/>
      <c r="AL1081" s="54"/>
    </row>
    <row r="1082" spans="1:38" ht="15.75" thickBot="1" x14ac:dyDescent="0.3">
      <c r="A1082" s="51"/>
      <c r="B1082" s="51"/>
      <c r="C1082" s="51"/>
      <c r="D1082" s="51"/>
      <c r="E1082" s="51"/>
      <c r="F1082" s="51"/>
      <c r="G1082" s="56"/>
      <c r="H1082" s="55"/>
      <c r="I1082" s="55"/>
      <c r="J1082" s="55"/>
      <c r="K1082" s="55"/>
      <c r="L1082" s="55"/>
      <c r="M1082" s="55"/>
      <c r="N1082" s="55"/>
      <c r="O1082" s="55"/>
      <c r="P1082" s="55"/>
      <c r="Q1082" s="55"/>
      <c r="R1082" s="55"/>
      <c r="S1082" s="55"/>
      <c r="T1082" s="55"/>
      <c r="U1082" s="55"/>
      <c r="V1082" s="55"/>
      <c r="W1082" s="55"/>
      <c r="X1082" s="56"/>
      <c r="Y1082" s="55"/>
      <c r="Z1082" s="55"/>
      <c r="AA1082" s="55"/>
      <c r="AB1082" s="55"/>
      <c r="AC1082" s="55"/>
      <c r="AD1082" s="55"/>
      <c r="AE1082" s="55"/>
      <c r="AF1082" s="55"/>
      <c r="AG1082" s="55"/>
      <c r="AH1082" s="56"/>
      <c r="AI1082" s="55"/>
      <c r="AJ1082" s="55"/>
      <c r="AK1082" s="56"/>
      <c r="AL1082" s="56"/>
    </row>
    <row r="1083" spans="1:38" ht="15.75" thickBot="1" x14ac:dyDescent="0.3">
      <c r="A1083" s="51"/>
      <c r="B1083" s="51"/>
      <c r="C1083" s="51"/>
      <c r="D1083" s="51"/>
      <c r="E1083" s="51"/>
      <c r="F1083" s="51"/>
      <c r="G1083" s="54"/>
      <c r="H1083" s="53"/>
      <c r="I1083" s="53"/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4"/>
      <c r="Y1083" s="53"/>
      <c r="Z1083" s="53"/>
      <c r="AA1083" s="53"/>
      <c r="AB1083" s="53"/>
      <c r="AC1083" s="53"/>
      <c r="AD1083" s="53"/>
      <c r="AE1083" s="53"/>
      <c r="AF1083" s="53"/>
      <c r="AG1083" s="53"/>
      <c r="AH1083" s="54"/>
      <c r="AI1083" s="53"/>
      <c r="AJ1083" s="53"/>
      <c r="AK1083" s="54"/>
      <c r="AL1083" s="54"/>
    </row>
    <row r="1084" spans="1:38" ht="15.75" thickBot="1" x14ac:dyDescent="0.3">
      <c r="A1084" s="51"/>
      <c r="B1084" s="51"/>
      <c r="C1084" s="51"/>
      <c r="D1084" s="51"/>
      <c r="E1084" s="51"/>
      <c r="F1084" s="51"/>
      <c r="G1084" s="56"/>
      <c r="H1084" s="55"/>
      <c r="I1084" s="55"/>
      <c r="J1084" s="55"/>
      <c r="K1084" s="56"/>
      <c r="L1084" s="55"/>
      <c r="M1084" s="55"/>
      <c r="N1084" s="55"/>
      <c r="O1084" s="55"/>
      <c r="P1084" s="55"/>
      <c r="Q1084" s="55"/>
      <c r="R1084" s="55"/>
      <c r="S1084" s="55"/>
      <c r="T1084" s="55"/>
      <c r="U1084" s="55"/>
      <c r="V1084" s="55"/>
      <c r="W1084" s="55"/>
      <c r="X1084" s="55"/>
      <c r="Y1084" s="55"/>
      <c r="Z1084" s="55"/>
      <c r="AA1084" s="55"/>
      <c r="AB1084" s="55"/>
      <c r="AC1084" s="55"/>
      <c r="AD1084" s="55"/>
      <c r="AE1084" s="55"/>
      <c r="AF1084" s="55"/>
      <c r="AG1084" s="55"/>
      <c r="AH1084" s="56"/>
      <c r="AI1084" s="55"/>
      <c r="AJ1084" s="55"/>
      <c r="AK1084" s="56"/>
      <c r="AL1084" s="56"/>
    </row>
    <row r="1085" spans="1:38" ht="15.75" thickBot="1" x14ac:dyDescent="0.3">
      <c r="A1085" s="51"/>
      <c r="B1085" s="51"/>
      <c r="C1085" s="51"/>
      <c r="D1085" s="51"/>
      <c r="E1085" s="51"/>
      <c r="F1085" s="51"/>
      <c r="G1085" s="54"/>
      <c r="H1085" s="53"/>
      <c r="I1085" s="53"/>
      <c r="J1085" s="53"/>
      <c r="K1085" s="54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3"/>
      <c r="AF1085" s="53"/>
      <c r="AG1085" s="53"/>
      <c r="AH1085" s="54"/>
      <c r="AI1085" s="53"/>
      <c r="AJ1085" s="53"/>
      <c r="AK1085" s="54"/>
      <c r="AL1085" s="54"/>
    </row>
    <row r="1086" spans="1:38" ht="15.75" thickBot="1" x14ac:dyDescent="0.3">
      <c r="A1086" s="51"/>
      <c r="B1086" s="51"/>
      <c r="C1086" s="51"/>
      <c r="D1086" s="51"/>
      <c r="E1086" s="51"/>
      <c r="F1086" s="51"/>
      <c r="G1086" s="56"/>
      <c r="H1086" s="55"/>
      <c r="I1086" s="55"/>
      <c r="J1086" s="55"/>
      <c r="K1086" s="55"/>
      <c r="L1086" s="56"/>
      <c r="M1086" s="55"/>
      <c r="N1086" s="55"/>
      <c r="O1086" s="55"/>
      <c r="P1086" s="55"/>
      <c r="Q1086" s="55"/>
      <c r="R1086" s="55"/>
      <c r="S1086" s="55"/>
      <c r="T1086" s="55"/>
      <c r="U1086" s="55"/>
      <c r="V1086" s="55"/>
      <c r="W1086" s="55"/>
      <c r="X1086" s="55"/>
      <c r="Y1086" s="55"/>
      <c r="Z1086" s="55"/>
      <c r="AA1086" s="55"/>
      <c r="AB1086" s="55"/>
      <c r="AC1086" s="55"/>
      <c r="AD1086" s="55"/>
      <c r="AE1086" s="55"/>
      <c r="AF1086" s="55"/>
      <c r="AG1086" s="55"/>
      <c r="AH1086" s="56"/>
      <c r="AI1086" s="55"/>
      <c r="AJ1086" s="55"/>
      <c r="AK1086" s="56"/>
      <c r="AL1086" s="56"/>
    </row>
    <row r="1087" spans="1:38" ht="15.75" thickBot="1" x14ac:dyDescent="0.3">
      <c r="A1087" s="51"/>
      <c r="B1087" s="51"/>
      <c r="C1087" s="51"/>
      <c r="D1087" s="51"/>
      <c r="E1087" s="51"/>
      <c r="F1087" s="51"/>
      <c r="G1087" s="54"/>
      <c r="H1087" s="53"/>
      <c r="I1087" s="53"/>
      <c r="J1087" s="53"/>
      <c r="K1087" s="53"/>
      <c r="L1087" s="54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3"/>
      <c r="AF1087" s="53"/>
      <c r="AG1087" s="53"/>
      <c r="AH1087" s="54"/>
      <c r="AI1087" s="53"/>
      <c r="AJ1087" s="53"/>
      <c r="AK1087" s="54"/>
      <c r="AL1087" s="54"/>
    </row>
    <row r="1088" spans="1:38" ht="15.75" thickBot="1" x14ac:dyDescent="0.3">
      <c r="A1088" s="51"/>
      <c r="B1088" s="51"/>
      <c r="C1088" s="51"/>
      <c r="D1088" s="51"/>
      <c r="E1088" s="51"/>
      <c r="F1088" s="51"/>
      <c r="G1088" s="56"/>
      <c r="H1088" s="56"/>
      <c r="I1088" s="55"/>
      <c r="J1088" s="55"/>
      <c r="K1088" s="55"/>
      <c r="L1088" s="55"/>
      <c r="M1088" s="56"/>
      <c r="N1088" s="55"/>
      <c r="O1088" s="55"/>
      <c r="P1088" s="55"/>
      <c r="Q1088" s="55"/>
      <c r="R1088" s="55"/>
      <c r="S1088" s="55"/>
      <c r="T1088" s="55"/>
      <c r="U1088" s="55"/>
      <c r="V1088" s="55"/>
      <c r="W1088" s="55"/>
      <c r="X1088" s="55"/>
      <c r="Y1088" s="55"/>
      <c r="Z1088" s="55"/>
      <c r="AA1088" s="55"/>
      <c r="AB1088" s="55"/>
      <c r="AC1088" s="55"/>
      <c r="AD1088" s="55"/>
      <c r="AE1088" s="55"/>
      <c r="AF1088" s="55"/>
      <c r="AG1088" s="55"/>
      <c r="AH1088" s="56"/>
      <c r="AI1088" s="55"/>
      <c r="AJ1088" s="55"/>
      <c r="AK1088" s="56"/>
      <c r="AL1088" s="56"/>
    </row>
    <row r="1089" spans="1:38" ht="15.75" thickBot="1" x14ac:dyDescent="0.3">
      <c r="A1089" s="51"/>
      <c r="B1089" s="51"/>
      <c r="C1089" s="51"/>
      <c r="D1089" s="51"/>
      <c r="E1089" s="51"/>
      <c r="F1089" s="51"/>
      <c r="G1089" s="54"/>
      <c r="H1089" s="147"/>
      <c r="I1089" s="53"/>
      <c r="J1089" s="53"/>
      <c r="K1089" s="53"/>
      <c r="L1089" s="53"/>
      <c r="M1089" s="54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3"/>
      <c r="AF1089" s="53"/>
      <c r="AG1089" s="53"/>
      <c r="AH1089" s="54"/>
      <c r="AI1089" s="53"/>
      <c r="AJ1089" s="53"/>
      <c r="AK1089" s="54"/>
      <c r="AL1089" s="54"/>
    </row>
    <row r="1090" spans="1:38" ht="15.75" thickBot="1" x14ac:dyDescent="0.3">
      <c r="A1090" s="51"/>
      <c r="B1090" s="51"/>
      <c r="C1090" s="51"/>
      <c r="D1090" s="51"/>
      <c r="E1090" s="51"/>
      <c r="F1090" s="51"/>
      <c r="G1090" s="56"/>
      <c r="H1090" s="55"/>
      <c r="I1090" s="55"/>
      <c r="J1090" s="55"/>
      <c r="K1090" s="55"/>
      <c r="L1090" s="55"/>
      <c r="M1090" s="55"/>
      <c r="N1090" s="55"/>
      <c r="O1090" s="55"/>
      <c r="P1090" s="55"/>
      <c r="Q1090" s="55"/>
      <c r="R1090" s="55"/>
      <c r="S1090" s="55"/>
      <c r="T1090" s="55"/>
      <c r="U1090" s="55"/>
      <c r="V1090" s="55"/>
      <c r="W1090" s="55"/>
      <c r="X1090" s="55"/>
      <c r="Y1090" s="55"/>
      <c r="Z1090" s="56"/>
      <c r="AA1090" s="55"/>
      <c r="AB1090" s="55"/>
      <c r="AC1090" s="55"/>
      <c r="AD1090" s="55"/>
      <c r="AE1090" s="55"/>
      <c r="AF1090" s="55"/>
      <c r="AG1090" s="55"/>
      <c r="AH1090" s="56"/>
      <c r="AI1090" s="55"/>
      <c r="AJ1090" s="55"/>
      <c r="AK1090" s="56"/>
      <c r="AL1090" s="56"/>
    </row>
    <row r="1091" spans="1:38" ht="15.75" thickBot="1" x14ac:dyDescent="0.3">
      <c r="A1091" s="51"/>
      <c r="B1091" s="51"/>
      <c r="C1091" s="51"/>
      <c r="D1091" s="51"/>
      <c r="E1091" s="51"/>
      <c r="F1091" s="51"/>
      <c r="G1091" s="54"/>
      <c r="H1091" s="53"/>
      <c r="I1091" s="53"/>
      <c r="J1091" s="53"/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4"/>
      <c r="AA1091" s="53"/>
      <c r="AB1091" s="53"/>
      <c r="AC1091" s="53"/>
      <c r="AD1091" s="53"/>
      <c r="AE1091" s="53"/>
      <c r="AF1091" s="53"/>
      <c r="AG1091" s="53"/>
      <c r="AH1091" s="54"/>
      <c r="AI1091" s="53"/>
      <c r="AJ1091" s="53"/>
      <c r="AK1091" s="54"/>
      <c r="AL1091" s="54"/>
    </row>
    <row r="1092" spans="1:38" ht="15.75" thickBot="1" x14ac:dyDescent="0.3">
      <c r="A1092" s="51"/>
      <c r="B1092" s="51"/>
      <c r="C1092" s="51"/>
      <c r="D1092" s="51"/>
      <c r="E1092" s="51"/>
      <c r="F1092" s="51"/>
      <c r="G1092" s="56"/>
      <c r="H1092" s="55"/>
      <c r="I1092" s="55"/>
      <c r="J1092" s="55"/>
      <c r="K1092" s="55"/>
      <c r="L1092" s="55"/>
      <c r="M1092" s="55"/>
      <c r="N1092" s="55"/>
      <c r="O1092" s="55"/>
      <c r="P1092" s="55"/>
      <c r="Q1092" s="55"/>
      <c r="R1092" s="55"/>
      <c r="S1092" s="55"/>
      <c r="T1092" s="55"/>
      <c r="U1092" s="55"/>
      <c r="V1092" s="55"/>
      <c r="W1092" s="55"/>
      <c r="X1092" s="55"/>
      <c r="Y1092" s="55"/>
      <c r="Z1092" s="55"/>
      <c r="AA1092" s="56"/>
      <c r="AB1092" s="55"/>
      <c r="AC1092" s="55"/>
      <c r="AD1092" s="55"/>
      <c r="AE1092" s="55"/>
      <c r="AF1092" s="55"/>
      <c r="AG1092" s="55"/>
      <c r="AH1092" s="56"/>
      <c r="AI1092" s="55"/>
      <c r="AJ1092" s="55"/>
      <c r="AK1092" s="56"/>
      <c r="AL1092" s="56"/>
    </row>
    <row r="1093" spans="1:38" ht="15.75" thickBot="1" x14ac:dyDescent="0.3">
      <c r="A1093" s="51"/>
      <c r="B1093" s="51"/>
      <c r="C1093" s="51"/>
      <c r="D1093" s="51"/>
      <c r="E1093" s="51"/>
      <c r="F1093" s="51"/>
      <c r="G1093" s="54"/>
      <c r="H1093" s="53"/>
      <c r="I1093" s="53"/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4"/>
      <c r="AB1093" s="53"/>
      <c r="AC1093" s="53"/>
      <c r="AD1093" s="53"/>
      <c r="AE1093" s="53"/>
      <c r="AF1093" s="53"/>
      <c r="AG1093" s="53"/>
      <c r="AH1093" s="54"/>
      <c r="AI1093" s="53"/>
      <c r="AJ1093" s="53"/>
      <c r="AK1093" s="54"/>
      <c r="AL1093" s="54"/>
    </row>
    <row r="1094" spans="1:38" ht="15.75" thickBot="1" x14ac:dyDescent="0.3">
      <c r="A1094" s="51"/>
      <c r="B1094" s="51"/>
      <c r="C1094" s="51"/>
      <c r="D1094" s="51"/>
      <c r="E1094" s="51"/>
      <c r="F1094" s="51"/>
      <c r="G1094" s="56"/>
      <c r="H1094" s="55"/>
      <c r="I1094" s="55"/>
      <c r="J1094" s="55"/>
      <c r="K1094" s="55"/>
      <c r="L1094" s="55"/>
      <c r="M1094" s="55"/>
      <c r="N1094" s="55"/>
      <c r="O1094" s="55"/>
      <c r="P1094" s="55"/>
      <c r="Q1094" s="55"/>
      <c r="R1094" s="56"/>
      <c r="S1094" s="55"/>
      <c r="T1094" s="55"/>
      <c r="U1094" s="55"/>
      <c r="V1094" s="55"/>
      <c r="W1094" s="55"/>
      <c r="X1094" s="55"/>
      <c r="Y1094" s="55"/>
      <c r="Z1094" s="55"/>
      <c r="AA1094" s="55"/>
      <c r="AB1094" s="55"/>
      <c r="AC1094" s="55"/>
      <c r="AD1094" s="55"/>
      <c r="AE1094" s="55"/>
      <c r="AF1094" s="55"/>
      <c r="AG1094" s="55"/>
      <c r="AH1094" s="56"/>
      <c r="AI1094" s="55"/>
      <c r="AJ1094" s="55"/>
      <c r="AK1094" s="56"/>
      <c r="AL1094" s="56"/>
    </row>
    <row r="1095" spans="1:38" ht="15.75" thickBot="1" x14ac:dyDescent="0.3">
      <c r="A1095" s="51"/>
      <c r="B1095" s="51"/>
      <c r="C1095" s="51"/>
      <c r="D1095" s="51"/>
      <c r="E1095" s="51"/>
      <c r="F1095" s="51"/>
      <c r="G1095" s="54"/>
      <c r="H1095" s="53"/>
      <c r="I1095" s="53"/>
      <c r="J1095" s="53"/>
      <c r="K1095" s="53"/>
      <c r="L1095" s="53"/>
      <c r="M1095" s="53"/>
      <c r="N1095" s="53"/>
      <c r="O1095" s="53"/>
      <c r="P1095" s="53"/>
      <c r="Q1095" s="53"/>
      <c r="R1095" s="54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3"/>
      <c r="AF1095" s="53"/>
      <c r="AG1095" s="53"/>
      <c r="AH1095" s="54"/>
      <c r="AI1095" s="53"/>
      <c r="AJ1095" s="53"/>
      <c r="AK1095" s="54"/>
      <c r="AL1095" s="54"/>
    </row>
    <row r="1096" spans="1:38" ht="15.75" thickBot="1" x14ac:dyDescent="0.3">
      <c r="A1096" s="51"/>
      <c r="B1096" s="51"/>
      <c r="C1096" s="51"/>
      <c r="D1096" s="51"/>
      <c r="E1096" s="51"/>
      <c r="F1096" s="51"/>
      <c r="G1096" s="56"/>
      <c r="H1096" s="55"/>
      <c r="I1096" s="55"/>
      <c r="J1096" s="55"/>
      <c r="K1096" s="56"/>
      <c r="L1096" s="55"/>
      <c r="M1096" s="55"/>
      <c r="N1096" s="55"/>
      <c r="O1096" s="55"/>
      <c r="P1096" s="55"/>
      <c r="Q1096" s="55"/>
      <c r="R1096" s="55"/>
      <c r="S1096" s="55"/>
      <c r="T1096" s="55"/>
      <c r="U1096" s="55"/>
      <c r="V1096" s="55"/>
      <c r="W1096" s="55"/>
      <c r="X1096" s="55"/>
      <c r="Y1096" s="55"/>
      <c r="Z1096" s="55"/>
      <c r="AA1096" s="55"/>
      <c r="AB1096" s="55"/>
      <c r="AC1096" s="55"/>
      <c r="AD1096" s="55"/>
      <c r="AE1096" s="55"/>
      <c r="AF1096" s="55"/>
      <c r="AG1096" s="55"/>
      <c r="AH1096" s="56"/>
      <c r="AI1096" s="55"/>
      <c r="AJ1096" s="55"/>
      <c r="AK1096" s="56"/>
      <c r="AL1096" s="56"/>
    </row>
    <row r="1097" spans="1:38" ht="15.75" thickBot="1" x14ac:dyDescent="0.3">
      <c r="A1097" s="51"/>
      <c r="B1097" s="51"/>
      <c r="C1097" s="51"/>
      <c r="D1097" s="51"/>
      <c r="E1097" s="51"/>
      <c r="F1097" s="51"/>
      <c r="G1097" s="54"/>
      <c r="H1097" s="53"/>
      <c r="I1097" s="53"/>
      <c r="J1097" s="53"/>
      <c r="K1097" s="54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3"/>
      <c r="AF1097" s="53"/>
      <c r="AG1097" s="53"/>
      <c r="AH1097" s="54"/>
      <c r="AI1097" s="53"/>
      <c r="AJ1097" s="53"/>
      <c r="AK1097" s="54"/>
      <c r="AL1097" s="54"/>
    </row>
    <row r="1098" spans="1:38" ht="15.75" thickBot="1" x14ac:dyDescent="0.3">
      <c r="A1098" s="51"/>
      <c r="B1098" s="51"/>
      <c r="C1098" s="51"/>
      <c r="D1098" s="51"/>
      <c r="E1098" s="51"/>
      <c r="F1098" s="51"/>
      <c r="G1098" s="56"/>
      <c r="H1098" s="56"/>
      <c r="I1098" s="55"/>
      <c r="J1098" s="55"/>
      <c r="K1098" s="55"/>
      <c r="L1098" s="55"/>
      <c r="M1098" s="56"/>
      <c r="N1098" s="55"/>
      <c r="O1098" s="55"/>
      <c r="P1098" s="55"/>
      <c r="Q1098" s="55"/>
      <c r="R1098" s="55"/>
      <c r="S1098" s="55"/>
      <c r="T1098" s="55"/>
      <c r="U1098" s="55"/>
      <c r="V1098" s="55"/>
      <c r="W1098" s="55"/>
      <c r="X1098" s="55"/>
      <c r="Y1098" s="55"/>
      <c r="Z1098" s="55"/>
      <c r="AA1098" s="55"/>
      <c r="AB1098" s="55"/>
      <c r="AC1098" s="55"/>
      <c r="AD1098" s="55"/>
      <c r="AE1098" s="55"/>
      <c r="AF1098" s="55"/>
      <c r="AG1098" s="55"/>
      <c r="AH1098" s="56"/>
      <c r="AI1098" s="55"/>
      <c r="AJ1098" s="55"/>
      <c r="AK1098" s="56"/>
      <c r="AL1098" s="56"/>
    </row>
    <row r="1099" spans="1:38" ht="15.75" thickBot="1" x14ac:dyDescent="0.3">
      <c r="A1099" s="51"/>
      <c r="B1099" s="51"/>
      <c r="C1099" s="51"/>
      <c r="D1099" s="51"/>
      <c r="E1099" s="51"/>
      <c r="F1099" s="51"/>
      <c r="G1099" s="54"/>
      <c r="H1099" s="147"/>
      <c r="I1099" s="53"/>
      <c r="J1099" s="53"/>
      <c r="K1099" s="53"/>
      <c r="L1099" s="53"/>
      <c r="M1099" s="54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3"/>
      <c r="AF1099" s="53"/>
      <c r="AG1099" s="53"/>
      <c r="AH1099" s="54"/>
      <c r="AI1099" s="53"/>
      <c r="AJ1099" s="53"/>
      <c r="AK1099" s="54"/>
      <c r="AL1099" s="54"/>
    </row>
    <row r="1100" spans="1:38" ht="15.75" thickBot="1" x14ac:dyDescent="0.3">
      <c r="A1100" s="51"/>
      <c r="B1100" s="51"/>
      <c r="C1100" s="51"/>
      <c r="D1100" s="51"/>
      <c r="E1100" s="51"/>
      <c r="F1100" s="51"/>
      <c r="G1100" s="56"/>
      <c r="H1100" s="55"/>
      <c r="I1100" s="55"/>
      <c r="J1100" s="55"/>
      <c r="K1100" s="55"/>
      <c r="L1100" s="55"/>
      <c r="M1100" s="55"/>
      <c r="N1100" s="55"/>
      <c r="O1100" s="55"/>
      <c r="P1100" s="55"/>
      <c r="Q1100" s="56"/>
      <c r="R1100" s="55"/>
      <c r="S1100" s="55"/>
      <c r="T1100" s="55"/>
      <c r="U1100" s="55"/>
      <c r="V1100" s="55"/>
      <c r="W1100" s="55"/>
      <c r="X1100" s="55"/>
      <c r="Y1100" s="55"/>
      <c r="Z1100" s="55"/>
      <c r="AA1100" s="55"/>
      <c r="AB1100" s="55"/>
      <c r="AC1100" s="55"/>
      <c r="AD1100" s="55"/>
      <c r="AE1100" s="55"/>
      <c r="AF1100" s="55"/>
      <c r="AG1100" s="55"/>
      <c r="AH1100" s="56"/>
      <c r="AI1100" s="55"/>
      <c r="AJ1100" s="55"/>
      <c r="AK1100" s="56"/>
      <c r="AL1100" s="56"/>
    </row>
    <row r="1101" spans="1:38" ht="15.75" thickBot="1" x14ac:dyDescent="0.3">
      <c r="A1101" s="51"/>
      <c r="B1101" s="51"/>
      <c r="C1101" s="51"/>
      <c r="D1101" s="51"/>
      <c r="E1101" s="51"/>
      <c r="F1101" s="51"/>
      <c r="G1101" s="54"/>
      <c r="H1101" s="53"/>
      <c r="I1101" s="53"/>
      <c r="J1101" s="53"/>
      <c r="K1101" s="53"/>
      <c r="L1101" s="53"/>
      <c r="M1101" s="53"/>
      <c r="N1101" s="53"/>
      <c r="O1101" s="53"/>
      <c r="P1101" s="53"/>
      <c r="Q1101" s="54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3"/>
      <c r="AF1101" s="53"/>
      <c r="AG1101" s="53"/>
      <c r="AH1101" s="54"/>
      <c r="AI1101" s="53"/>
      <c r="AJ1101" s="53"/>
      <c r="AK1101" s="54"/>
      <c r="AL1101" s="54"/>
    </row>
    <row r="1102" spans="1:38" ht="15.75" thickBot="1" x14ac:dyDescent="0.3">
      <c r="A1102" s="51"/>
      <c r="B1102" s="51"/>
      <c r="C1102" s="51"/>
      <c r="D1102" s="51"/>
      <c r="E1102" s="51"/>
      <c r="F1102" s="51"/>
      <c r="G1102" s="55"/>
      <c r="H1102" s="55"/>
      <c r="I1102" s="55"/>
      <c r="J1102" s="55"/>
      <c r="K1102" s="55"/>
      <c r="L1102" s="55"/>
      <c r="M1102" s="55"/>
      <c r="N1102" s="55"/>
      <c r="O1102" s="55"/>
      <c r="P1102" s="55"/>
      <c r="Q1102" s="55"/>
      <c r="R1102" s="55"/>
      <c r="S1102" s="55"/>
      <c r="T1102" s="55"/>
      <c r="U1102" s="55"/>
      <c r="V1102" s="55"/>
      <c r="W1102" s="55"/>
      <c r="X1102" s="55"/>
      <c r="Y1102" s="55"/>
      <c r="Z1102" s="55"/>
      <c r="AA1102" s="55"/>
      <c r="AB1102" s="55"/>
      <c r="AC1102" s="55"/>
      <c r="AD1102" s="55"/>
      <c r="AE1102" s="55"/>
      <c r="AF1102" s="56"/>
      <c r="AG1102" s="55"/>
      <c r="AH1102" s="56"/>
      <c r="AI1102" s="55"/>
      <c r="AJ1102" s="55"/>
      <c r="AK1102" s="56"/>
      <c r="AL1102" s="56"/>
    </row>
    <row r="1103" spans="1:38" ht="15.75" thickBot="1" x14ac:dyDescent="0.3">
      <c r="A1103" s="51"/>
      <c r="B1103" s="51"/>
      <c r="C1103" s="51"/>
      <c r="D1103" s="51"/>
      <c r="E1103" s="51"/>
      <c r="F1103" s="51"/>
      <c r="G1103" s="53"/>
      <c r="H1103" s="53"/>
      <c r="I1103" s="53"/>
      <c r="J1103" s="53"/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/>
      <c r="AD1103" s="53"/>
      <c r="AE1103" s="53"/>
      <c r="AF1103" s="54"/>
      <c r="AG1103" s="53"/>
      <c r="AH1103" s="54"/>
      <c r="AI1103" s="53"/>
      <c r="AJ1103" s="53"/>
      <c r="AK1103" s="54"/>
      <c r="AL1103" s="54"/>
    </row>
    <row r="1104" spans="1:38" ht="15.75" thickBot="1" x14ac:dyDescent="0.3">
      <c r="A1104" s="51"/>
      <c r="B1104" s="51"/>
      <c r="C1104" s="51"/>
      <c r="D1104" s="51"/>
      <c r="E1104" s="51"/>
      <c r="F1104" s="51"/>
      <c r="G1104" s="56"/>
      <c r="H1104" s="55"/>
      <c r="I1104" s="55"/>
      <c r="J1104" s="55"/>
      <c r="K1104" s="55"/>
      <c r="L1104" s="55"/>
      <c r="M1104" s="55"/>
      <c r="N1104" s="55"/>
      <c r="O1104" s="55"/>
      <c r="P1104" s="55"/>
      <c r="Q1104" s="55"/>
      <c r="R1104" s="55"/>
      <c r="S1104" s="55"/>
      <c r="T1104" s="55"/>
      <c r="U1104" s="55"/>
      <c r="V1104" s="55"/>
      <c r="W1104" s="55"/>
      <c r="X1104" s="55"/>
      <c r="Y1104" s="55"/>
      <c r="Z1104" s="56"/>
      <c r="AA1104" s="55"/>
      <c r="AB1104" s="55"/>
      <c r="AC1104" s="55"/>
      <c r="AD1104" s="55"/>
      <c r="AE1104" s="55"/>
      <c r="AF1104" s="55"/>
      <c r="AG1104" s="55"/>
      <c r="AH1104" s="56"/>
      <c r="AI1104" s="55"/>
      <c r="AJ1104" s="55"/>
      <c r="AK1104" s="56"/>
      <c r="AL1104" s="56"/>
    </row>
    <row r="1105" spans="1:38" ht="15.75" thickBot="1" x14ac:dyDescent="0.3">
      <c r="A1105" s="51"/>
      <c r="B1105" s="51"/>
      <c r="C1105" s="51"/>
      <c r="D1105" s="51"/>
      <c r="E1105" s="51"/>
      <c r="F1105" s="51"/>
      <c r="G1105" s="54"/>
      <c r="H1105" s="53"/>
      <c r="I1105" s="53"/>
      <c r="J1105" s="53"/>
      <c r="K1105" s="53"/>
      <c r="L1105" s="53"/>
      <c r="M1105" s="53"/>
      <c r="N1105" s="53"/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4"/>
      <c r="AA1105" s="53"/>
      <c r="AB1105" s="53"/>
      <c r="AC1105" s="53"/>
      <c r="AD1105" s="53"/>
      <c r="AE1105" s="53"/>
      <c r="AF1105" s="53"/>
      <c r="AG1105" s="53"/>
      <c r="AH1105" s="54"/>
      <c r="AI1105" s="53"/>
      <c r="AJ1105" s="53"/>
      <c r="AK1105" s="54"/>
      <c r="AL1105" s="54"/>
    </row>
    <row r="1106" spans="1:38" ht="15.75" thickBot="1" x14ac:dyDescent="0.3">
      <c r="A1106" s="51"/>
      <c r="B1106" s="51"/>
      <c r="C1106" s="51"/>
      <c r="D1106" s="51"/>
      <c r="E1106" s="51"/>
      <c r="F1106" s="51"/>
      <c r="G1106" s="56"/>
      <c r="H1106" s="55"/>
      <c r="I1106" s="55"/>
      <c r="J1106" s="55"/>
      <c r="K1106" s="55"/>
      <c r="L1106" s="55"/>
      <c r="M1106" s="55"/>
      <c r="N1106" s="55"/>
      <c r="O1106" s="55"/>
      <c r="P1106" s="55"/>
      <c r="Q1106" s="55"/>
      <c r="R1106" s="55"/>
      <c r="S1106" s="55"/>
      <c r="T1106" s="55"/>
      <c r="U1106" s="55"/>
      <c r="V1106" s="55"/>
      <c r="W1106" s="55"/>
      <c r="X1106" s="55"/>
      <c r="Y1106" s="55"/>
      <c r="Z1106" s="55"/>
      <c r="AA1106" s="56"/>
      <c r="AB1106" s="55"/>
      <c r="AC1106" s="55"/>
      <c r="AD1106" s="55"/>
      <c r="AE1106" s="55"/>
      <c r="AF1106" s="55"/>
      <c r="AG1106" s="55"/>
      <c r="AH1106" s="56"/>
      <c r="AI1106" s="55"/>
      <c r="AJ1106" s="55"/>
      <c r="AK1106" s="56"/>
      <c r="AL1106" s="56"/>
    </row>
    <row r="1107" spans="1:38" ht="15.75" thickBot="1" x14ac:dyDescent="0.3">
      <c r="A1107" s="51"/>
      <c r="B1107" s="51"/>
      <c r="C1107" s="51"/>
      <c r="D1107" s="51"/>
      <c r="E1107" s="51"/>
      <c r="F1107" s="51"/>
      <c r="G1107" s="54"/>
      <c r="H1107" s="53"/>
      <c r="I1107" s="53"/>
      <c r="J1107" s="53"/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4"/>
      <c r="AB1107" s="53"/>
      <c r="AC1107" s="53"/>
      <c r="AD1107" s="53"/>
      <c r="AE1107" s="53"/>
      <c r="AF1107" s="53"/>
      <c r="AG1107" s="53"/>
      <c r="AH1107" s="54"/>
      <c r="AI1107" s="53"/>
      <c r="AJ1107" s="53"/>
      <c r="AK1107" s="54"/>
      <c r="AL1107" s="54"/>
    </row>
    <row r="1108" spans="1:38" ht="15.75" thickBot="1" x14ac:dyDescent="0.3">
      <c r="A1108" s="51"/>
      <c r="B1108" s="51"/>
      <c r="C1108" s="51"/>
      <c r="D1108" s="51"/>
      <c r="E1108" s="51"/>
      <c r="F1108" s="51"/>
      <c r="G1108" s="56"/>
      <c r="H1108" s="55"/>
      <c r="I1108" s="55"/>
      <c r="J1108" s="55"/>
      <c r="K1108" s="55"/>
      <c r="L1108" s="55"/>
      <c r="M1108" s="55"/>
      <c r="N1108" s="55"/>
      <c r="O1108" s="55"/>
      <c r="P1108" s="55"/>
      <c r="Q1108" s="55"/>
      <c r="R1108" s="56"/>
      <c r="S1108" s="55"/>
      <c r="T1108" s="55"/>
      <c r="U1108" s="55"/>
      <c r="V1108" s="55"/>
      <c r="W1108" s="55"/>
      <c r="X1108" s="55"/>
      <c r="Y1108" s="55"/>
      <c r="Z1108" s="55"/>
      <c r="AA1108" s="55"/>
      <c r="AB1108" s="55"/>
      <c r="AC1108" s="55"/>
      <c r="AD1108" s="55"/>
      <c r="AE1108" s="55"/>
      <c r="AF1108" s="55"/>
      <c r="AG1108" s="55"/>
      <c r="AH1108" s="56"/>
      <c r="AI1108" s="55"/>
      <c r="AJ1108" s="55"/>
      <c r="AK1108" s="56"/>
      <c r="AL1108" s="56"/>
    </row>
    <row r="1109" spans="1:38" ht="15.75" thickBot="1" x14ac:dyDescent="0.3">
      <c r="A1109" s="51"/>
      <c r="B1109" s="51"/>
      <c r="C1109" s="51"/>
      <c r="D1109" s="51"/>
      <c r="E1109" s="51"/>
      <c r="F1109" s="51"/>
      <c r="G1109" s="54"/>
      <c r="H1109" s="53"/>
      <c r="I1109" s="53"/>
      <c r="J1109" s="53"/>
      <c r="K1109" s="53"/>
      <c r="L1109" s="53"/>
      <c r="M1109" s="53"/>
      <c r="N1109" s="53"/>
      <c r="O1109" s="53"/>
      <c r="P1109" s="53"/>
      <c r="Q1109" s="53"/>
      <c r="R1109" s="54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3"/>
      <c r="AF1109" s="53"/>
      <c r="AG1109" s="53"/>
      <c r="AH1109" s="54"/>
      <c r="AI1109" s="53"/>
      <c r="AJ1109" s="53"/>
      <c r="AK1109" s="54"/>
      <c r="AL1109" s="54"/>
    </row>
    <row r="1110" spans="1:38" ht="15.75" thickBot="1" x14ac:dyDescent="0.3">
      <c r="A1110" s="51"/>
      <c r="B1110" s="51"/>
      <c r="C1110" s="51"/>
      <c r="D1110" s="51"/>
      <c r="E1110" s="51"/>
      <c r="F1110" s="51"/>
      <c r="G1110" s="56"/>
      <c r="H1110" s="55"/>
      <c r="I1110" s="55"/>
      <c r="J1110" s="55"/>
      <c r="K1110" s="55"/>
      <c r="L1110" s="55"/>
      <c r="M1110" s="55"/>
      <c r="N1110" s="55"/>
      <c r="O1110" s="55"/>
      <c r="P1110" s="55"/>
      <c r="Q1110" s="55"/>
      <c r="R1110" s="55"/>
      <c r="S1110" s="55"/>
      <c r="T1110" s="55"/>
      <c r="U1110" s="55"/>
      <c r="V1110" s="55"/>
      <c r="W1110" s="55"/>
      <c r="X1110" s="55"/>
      <c r="Y1110" s="55"/>
      <c r="Z1110" s="55"/>
      <c r="AA1110" s="55"/>
      <c r="AB1110" s="56"/>
      <c r="AC1110" s="56"/>
      <c r="AD1110" s="55"/>
      <c r="AE1110" s="55"/>
      <c r="AF1110" s="55"/>
      <c r="AG1110" s="55"/>
      <c r="AH1110" s="56"/>
      <c r="AI1110" s="55"/>
      <c r="AJ1110" s="55"/>
      <c r="AK1110" s="56"/>
      <c r="AL1110" s="56"/>
    </row>
    <row r="1111" spans="1:38" ht="15.75" thickBot="1" x14ac:dyDescent="0.3">
      <c r="A1111" s="51"/>
      <c r="B1111" s="51"/>
      <c r="C1111" s="51"/>
      <c r="D1111" s="51"/>
      <c r="E1111" s="51"/>
      <c r="F1111" s="51"/>
      <c r="G1111" s="54"/>
      <c r="H1111" s="53"/>
      <c r="I1111" s="53"/>
      <c r="J1111" s="53"/>
      <c r="K1111" s="53"/>
      <c r="L1111" s="53"/>
      <c r="M1111" s="53"/>
      <c r="N1111" s="53"/>
      <c r="O1111" s="53"/>
      <c r="P1111" s="53"/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4"/>
      <c r="AC1111" s="54"/>
      <c r="AD1111" s="53"/>
      <c r="AE1111" s="53"/>
      <c r="AF1111" s="53"/>
      <c r="AG1111" s="53"/>
      <c r="AH1111" s="54"/>
      <c r="AI1111" s="53"/>
      <c r="AJ1111" s="53"/>
      <c r="AK1111" s="54"/>
      <c r="AL1111" s="54"/>
    </row>
    <row r="1112" spans="1:38" ht="15.75" thickBot="1" x14ac:dyDescent="0.3">
      <c r="A1112" s="51"/>
      <c r="B1112" s="51"/>
      <c r="C1112" s="51"/>
      <c r="D1112" s="51"/>
      <c r="E1112" s="51"/>
      <c r="F1112" s="51"/>
      <c r="G1112" s="56"/>
      <c r="H1112" s="55"/>
      <c r="I1112" s="55"/>
      <c r="J1112" s="55"/>
      <c r="K1112" s="56"/>
      <c r="L1112" s="55"/>
      <c r="M1112" s="55"/>
      <c r="N1112" s="55"/>
      <c r="O1112" s="55"/>
      <c r="P1112" s="55"/>
      <c r="Q1112" s="55"/>
      <c r="R1112" s="55"/>
      <c r="S1112" s="55"/>
      <c r="T1112" s="55"/>
      <c r="U1112" s="55"/>
      <c r="V1112" s="55"/>
      <c r="W1112" s="55"/>
      <c r="X1112" s="55"/>
      <c r="Y1112" s="55"/>
      <c r="Z1112" s="55"/>
      <c r="AA1112" s="55"/>
      <c r="AB1112" s="55"/>
      <c r="AC1112" s="55"/>
      <c r="AD1112" s="55"/>
      <c r="AE1112" s="55"/>
      <c r="AF1112" s="55"/>
      <c r="AG1112" s="55"/>
      <c r="AH1112" s="56"/>
      <c r="AI1112" s="55"/>
      <c r="AJ1112" s="55"/>
      <c r="AK1112" s="56"/>
      <c r="AL1112" s="56"/>
    </row>
    <row r="1113" spans="1:38" ht="15.75" thickBot="1" x14ac:dyDescent="0.3">
      <c r="A1113" s="51"/>
      <c r="B1113" s="51"/>
      <c r="C1113" s="51"/>
      <c r="D1113" s="51"/>
      <c r="E1113" s="51"/>
      <c r="F1113" s="51"/>
      <c r="G1113" s="54"/>
      <c r="H1113" s="53"/>
      <c r="I1113" s="53"/>
      <c r="J1113" s="53"/>
      <c r="K1113" s="54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  <c r="AH1113" s="54"/>
      <c r="AI1113" s="53"/>
      <c r="AJ1113" s="53"/>
      <c r="AK1113" s="54"/>
      <c r="AL1113" s="54"/>
    </row>
    <row r="1114" spans="1:38" ht="15.75" thickBot="1" x14ac:dyDescent="0.3">
      <c r="A1114" s="51"/>
      <c r="B1114" s="51"/>
      <c r="C1114" s="51"/>
      <c r="D1114" s="51"/>
      <c r="E1114" s="51"/>
      <c r="F1114" s="51"/>
      <c r="G1114" s="56"/>
      <c r="H1114" s="56"/>
      <c r="I1114" s="55"/>
      <c r="J1114" s="55"/>
      <c r="K1114" s="55"/>
      <c r="L1114" s="55"/>
      <c r="M1114" s="56"/>
      <c r="N1114" s="55"/>
      <c r="O1114" s="55"/>
      <c r="P1114" s="55"/>
      <c r="Q1114" s="55"/>
      <c r="R1114" s="55"/>
      <c r="S1114" s="55"/>
      <c r="T1114" s="55"/>
      <c r="U1114" s="55"/>
      <c r="V1114" s="55"/>
      <c r="W1114" s="55"/>
      <c r="X1114" s="55"/>
      <c r="Y1114" s="55"/>
      <c r="Z1114" s="55"/>
      <c r="AA1114" s="55"/>
      <c r="AB1114" s="55"/>
      <c r="AC1114" s="55"/>
      <c r="AD1114" s="55"/>
      <c r="AE1114" s="55"/>
      <c r="AF1114" s="55"/>
      <c r="AG1114" s="55"/>
      <c r="AH1114" s="56"/>
      <c r="AI1114" s="55"/>
      <c r="AJ1114" s="55"/>
      <c r="AK1114" s="56"/>
      <c r="AL1114" s="56"/>
    </row>
    <row r="1115" spans="1:38" ht="15.75" thickBot="1" x14ac:dyDescent="0.3">
      <c r="A1115" s="51"/>
      <c r="B1115" s="51"/>
      <c r="C1115" s="51"/>
      <c r="D1115" s="51"/>
      <c r="E1115" s="51"/>
      <c r="F1115" s="51"/>
      <c r="G1115" s="54"/>
      <c r="H1115" s="147"/>
      <c r="I1115" s="53"/>
      <c r="J1115" s="53"/>
      <c r="K1115" s="53"/>
      <c r="L1115" s="53"/>
      <c r="M1115" s="54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3"/>
      <c r="AF1115" s="53"/>
      <c r="AG1115" s="53"/>
      <c r="AH1115" s="54"/>
      <c r="AI1115" s="53"/>
      <c r="AJ1115" s="53"/>
      <c r="AK1115" s="54"/>
      <c r="AL1115" s="54"/>
    </row>
    <row r="1116" spans="1:38" ht="15.75" thickBot="1" x14ac:dyDescent="0.3">
      <c r="A1116" s="51"/>
      <c r="B1116" s="51"/>
      <c r="C1116" s="51"/>
      <c r="D1116" s="51"/>
      <c r="E1116" s="51"/>
      <c r="F1116" s="51"/>
      <c r="G1116" s="56"/>
      <c r="H1116" s="55"/>
      <c r="I1116" s="55"/>
      <c r="J1116" s="55"/>
      <c r="K1116" s="55"/>
      <c r="L1116" s="55"/>
      <c r="M1116" s="55"/>
      <c r="N1116" s="55"/>
      <c r="O1116" s="55"/>
      <c r="P1116" s="55"/>
      <c r="Q1116" s="56"/>
      <c r="R1116" s="55"/>
      <c r="S1116" s="55"/>
      <c r="T1116" s="55"/>
      <c r="U1116" s="55"/>
      <c r="V1116" s="55"/>
      <c r="W1116" s="55"/>
      <c r="X1116" s="55"/>
      <c r="Y1116" s="55"/>
      <c r="Z1116" s="55"/>
      <c r="AA1116" s="55"/>
      <c r="AB1116" s="55"/>
      <c r="AC1116" s="55"/>
      <c r="AD1116" s="55"/>
      <c r="AE1116" s="55"/>
      <c r="AF1116" s="55"/>
      <c r="AG1116" s="55"/>
      <c r="AH1116" s="56"/>
      <c r="AI1116" s="55"/>
      <c r="AJ1116" s="55"/>
      <c r="AK1116" s="56"/>
      <c r="AL1116" s="56"/>
    </row>
    <row r="1117" spans="1:38" ht="15.75" thickBot="1" x14ac:dyDescent="0.3">
      <c r="A1117" s="51"/>
      <c r="B1117" s="51"/>
      <c r="C1117" s="51"/>
      <c r="D1117" s="51"/>
      <c r="E1117" s="51"/>
      <c r="F1117" s="51"/>
      <c r="G1117" s="54"/>
      <c r="H1117" s="53"/>
      <c r="I1117" s="53"/>
      <c r="J1117" s="53"/>
      <c r="K1117" s="53"/>
      <c r="L1117" s="53"/>
      <c r="M1117" s="53"/>
      <c r="N1117" s="53"/>
      <c r="O1117" s="53"/>
      <c r="P1117" s="53"/>
      <c r="Q1117" s="54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3"/>
      <c r="AF1117" s="53"/>
      <c r="AG1117" s="53"/>
      <c r="AH1117" s="54"/>
      <c r="AI1117" s="53"/>
      <c r="AJ1117" s="53"/>
      <c r="AK1117" s="54"/>
      <c r="AL1117" s="54"/>
    </row>
    <row r="1118" spans="1:38" ht="15.75" thickBot="1" x14ac:dyDescent="0.3">
      <c r="A1118" s="51"/>
      <c r="B1118" s="51"/>
      <c r="C1118" s="51"/>
      <c r="D1118" s="51"/>
      <c r="E1118" s="51"/>
      <c r="F1118" s="51"/>
      <c r="G1118" s="55"/>
      <c r="H1118" s="55"/>
      <c r="I1118" s="55"/>
      <c r="J1118" s="55"/>
      <c r="K1118" s="55"/>
      <c r="L1118" s="55"/>
      <c r="M1118" s="55"/>
      <c r="N1118" s="55"/>
      <c r="O1118" s="55"/>
      <c r="P1118" s="55"/>
      <c r="Q1118" s="55"/>
      <c r="R1118" s="55"/>
      <c r="S1118" s="55"/>
      <c r="T1118" s="55"/>
      <c r="U1118" s="55"/>
      <c r="V1118" s="55"/>
      <c r="W1118" s="55"/>
      <c r="X1118" s="55"/>
      <c r="Y1118" s="55"/>
      <c r="Z1118" s="55"/>
      <c r="AA1118" s="55"/>
      <c r="AB1118" s="55"/>
      <c r="AC1118" s="55"/>
      <c r="AD1118" s="55"/>
      <c r="AE1118" s="55"/>
      <c r="AF1118" s="56"/>
      <c r="AG1118" s="55"/>
      <c r="AH1118" s="56"/>
      <c r="AI1118" s="55"/>
      <c r="AJ1118" s="55"/>
      <c r="AK1118" s="56"/>
      <c r="AL1118" s="56"/>
    </row>
    <row r="1119" spans="1:38" ht="15.75" thickBot="1" x14ac:dyDescent="0.3">
      <c r="A1119" s="51"/>
      <c r="B1119" s="51"/>
      <c r="C1119" s="51"/>
      <c r="D1119" s="51"/>
      <c r="E1119" s="51"/>
      <c r="F1119" s="51"/>
      <c r="G1119" s="53"/>
      <c r="H1119" s="53"/>
      <c r="I1119" s="53"/>
      <c r="J1119" s="53"/>
      <c r="K1119" s="53"/>
      <c r="L1119" s="53"/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3"/>
      <c r="AF1119" s="54"/>
      <c r="AG1119" s="53"/>
      <c r="AH1119" s="54"/>
      <c r="AI1119" s="53"/>
      <c r="AJ1119" s="53"/>
      <c r="AK1119" s="54"/>
      <c r="AL1119" s="54"/>
    </row>
    <row r="1120" spans="1:38" ht="15.75" thickBot="1" x14ac:dyDescent="0.3">
      <c r="A1120" s="51"/>
      <c r="B1120" s="51"/>
      <c r="C1120" s="51"/>
      <c r="D1120" s="51"/>
      <c r="E1120" s="51"/>
      <c r="F1120" s="51"/>
      <c r="G1120" s="56"/>
      <c r="H1120" s="55"/>
      <c r="I1120" s="55"/>
      <c r="J1120" s="55"/>
      <c r="K1120" s="55"/>
      <c r="L1120" s="55"/>
      <c r="M1120" s="55"/>
      <c r="N1120" s="55"/>
      <c r="O1120" s="55"/>
      <c r="P1120" s="55"/>
      <c r="Q1120" s="55"/>
      <c r="R1120" s="55"/>
      <c r="S1120" s="55"/>
      <c r="T1120" s="55"/>
      <c r="U1120" s="55"/>
      <c r="V1120" s="55"/>
      <c r="W1120" s="55"/>
      <c r="X1120" s="55"/>
      <c r="Y1120" s="55"/>
      <c r="Z1120" s="56"/>
      <c r="AA1120" s="55"/>
      <c r="AB1120" s="55"/>
      <c r="AC1120" s="55"/>
      <c r="AD1120" s="55"/>
      <c r="AE1120" s="55"/>
      <c r="AF1120" s="55"/>
      <c r="AG1120" s="55"/>
      <c r="AH1120" s="56"/>
      <c r="AI1120" s="55"/>
      <c r="AJ1120" s="55"/>
      <c r="AK1120" s="56"/>
      <c r="AL1120" s="56"/>
    </row>
    <row r="1121" spans="1:38" ht="15.75" thickBot="1" x14ac:dyDescent="0.3">
      <c r="A1121" s="51"/>
      <c r="B1121" s="51"/>
      <c r="C1121" s="51"/>
      <c r="D1121" s="51"/>
      <c r="E1121" s="51"/>
      <c r="F1121" s="51"/>
      <c r="G1121" s="54"/>
      <c r="H1121" s="53"/>
      <c r="I1121" s="53"/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4"/>
      <c r="AA1121" s="53"/>
      <c r="AB1121" s="53"/>
      <c r="AC1121" s="53"/>
      <c r="AD1121" s="53"/>
      <c r="AE1121" s="53"/>
      <c r="AF1121" s="53"/>
      <c r="AG1121" s="53"/>
      <c r="AH1121" s="54"/>
      <c r="AI1121" s="53"/>
      <c r="AJ1121" s="53"/>
      <c r="AK1121" s="54"/>
      <c r="AL1121" s="54"/>
    </row>
    <row r="1122" spans="1:38" ht="15.75" thickBot="1" x14ac:dyDescent="0.3">
      <c r="A1122" s="51"/>
      <c r="B1122" s="51"/>
      <c r="C1122" s="51"/>
      <c r="D1122" s="51"/>
      <c r="E1122" s="51"/>
      <c r="F1122" s="51"/>
      <c r="G1122" s="56"/>
      <c r="H1122" s="55"/>
      <c r="I1122" s="55"/>
      <c r="J1122" s="55"/>
      <c r="K1122" s="55"/>
      <c r="L1122" s="55"/>
      <c r="M1122" s="55"/>
      <c r="N1122" s="55"/>
      <c r="O1122" s="55"/>
      <c r="P1122" s="55"/>
      <c r="Q1122" s="55"/>
      <c r="R1122" s="55"/>
      <c r="S1122" s="55"/>
      <c r="T1122" s="55"/>
      <c r="U1122" s="55"/>
      <c r="V1122" s="55"/>
      <c r="W1122" s="55"/>
      <c r="X1122" s="55"/>
      <c r="Y1122" s="55"/>
      <c r="Z1122" s="55"/>
      <c r="AA1122" s="56"/>
      <c r="AB1122" s="55"/>
      <c r="AC1122" s="55"/>
      <c r="AD1122" s="55"/>
      <c r="AE1122" s="55"/>
      <c r="AF1122" s="55"/>
      <c r="AG1122" s="55"/>
      <c r="AH1122" s="56"/>
      <c r="AI1122" s="55"/>
      <c r="AJ1122" s="55"/>
      <c r="AK1122" s="56"/>
      <c r="AL1122" s="56"/>
    </row>
    <row r="1123" spans="1:38" ht="15.75" thickBot="1" x14ac:dyDescent="0.3">
      <c r="A1123" s="51"/>
      <c r="B1123" s="51"/>
      <c r="C1123" s="51"/>
      <c r="D1123" s="51"/>
      <c r="E1123" s="51"/>
      <c r="F1123" s="51"/>
      <c r="G1123" s="54"/>
      <c r="H1123" s="53"/>
      <c r="I1123" s="53"/>
      <c r="J1123" s="53"/>
      <c r="K1123" s="53"/>
      <c r="L1123" s="53"/>
      <c r="M1123" s="53"/>
      <c r="N1123" s="53"/>
      <c r="O1123" s="53"/>
      <c r="P1123" s="53"/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4"/>
      <c r="AB1123" s="53"/>
      <c r="AC1123" s="53"/>
      <c r="AD1123" s="53"/>
      <c r="AE1123" s="53"/>
      <c r="AF1123" s="53"/>
      <c r="AG1123" s="53"/>
      <c r="AH1123" s="54"/>
      <c r="AI1123" s="53"/>
      <c r="AJ1123" s="53"/>
      <c r="AK1123" s="54"/>
      <c r="AL1123" s="54"/>
    </row>
    <row r="1124" spans="1:38" ht="15.75" thickBot="1" x14ac:dyDescent="0.3">
      <c r="A1124" s="51"/>
      <c r="B1124" s="51"/>
      <c r="C1124" s="51"/>
      <c r="D1124" s="51"/>
      <c r="E1124" s="51"/>
      <c r="F1124" s="51"/>
      <c r="G1124" s="56"/>
      <c r="H1124" s="55"/>
      <c r="I1124" s="55"/>
      <c r="J1124" s="55"/>
      <c r="K1124" s="55"/>
      <c r="L1124" s="55"/>
      <c r="M1124" s="55"/>
      <c r="N1124" s="55"/>
      <c r="O1124" s="55"/>
      <c r="P1124" s="55"/>
      <c r="Q1124" s="55"/>
      <c r="R1124" s="56"/>
      <c r="S1124" s="55"/>
      <c r="T1124" s="55"/>
      <c r="U1124" s="55"/>
      <c r="V1124" s="55"/>
      <c r="W1124" s="55"/>
      <c r="X1124" s="55"/>
      <c r="Y1124" s="55"/>
      <c r="Z1124" s="55"/>
      <c r="AA1124" s="55"/>
      <c r="AB1124" s="55"/>
      <c r="AC1124" s="55"/>
      <c r="AD1124" s="55"/>
      <c r="AE1124" s="55"/>
      <c r="AF1124" s="55"/>
      <c r="AG1124" s="55"/>
      <c r="AH1124" s="56"/>
      <c r="AI1124" s="55"/>
      <c r="AJ1124" s="55"/>
      <c r="AK1124" s="56"/>
      <c r="AL1124" s="56"/>
    </row>
    <row r="1125" spans="1:38" ht="15.75" thickBot="1" x14ac:dyDescent="0.3">
      <c r="A1125" s="51"/>
      <c r="B1125" s="51"/>
      <c r="C1125" s="51"/>
      <c r="D1125" s="51"/>
      <c r="E1125" s="51"/>
      <c r="F1125" s="51"/>
      <c r="G1125" s="54"/>
      <c r="H1125" s="53"/>
      <c r="I1125" s="53"/>
      <c r="J1125" s="53"/>
      <c r="K1125" s="53"/>
      <c r="L1125" s="53"/>
      <c r="M1125" s="53"/>
      <c r="N1125" s="53"/>
      <c r="O1125" s="53"/>
      <c r="P1125" s="53"/>
      <c r="Q1125" s="53"/>
      <c r="R1125" s="54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3"/>
      <c r="AF1125" s="53"/>
      <c r="AG1125" s="53"/>
      <c r="AH1125" s="54"/>
      <c r="AI1125" s="53"/>
      <c r="AJ1125" s="53"/>
      <c r="AK1125" s="54"/>
      <c r="AL1125" s="54"/>
    </row>
    <row r="1126" spans="1:38" ht="15.75" thickBot="1" x14ac:dyDescent="0.3">
      <c r="A1126" s="51"/>
      <c r="B1126" s="51"/>
      <c r="C1126" s="51"/>
      <c r="D1126" s="51"/>
      <c r="E1126" s="51"/>
      <c r="F1126" s="51"/>
      <c r="G1126" s="56"/>
      <c r="H1126" s="55"/>
      <c r="I1126" s="55"/>
      <c r="J1126" s="55"/>
      <c r="K1126" s="55"/>
      <c r="L1126" s="55"/>
      <c r="M1126" s="55"/>
      <c r="N1126" s="55"/>
      <c r="O1126" s="55"/>
      <c r="P1126" s="55"/>
      <c r="Q1126" s="55"/>
      <c r="R1126" s="55"/>
      <c r="S1126" s="55"/>
      <c r="T1126" s="55"/>
      <c r="U1126" s="55"/>
      <c r="V1126" s="55"/>
      <c r="W1126" s="55"/>
      <c r="X1126" s="55"/>
      <c r="Y1126" s="55"/>
      <c r="Z1126" s="55"/>
      <c r="AA1126" s="55"/>
      <c r="AB1126" s="56"/>
      <c r="AC1126" s="56"/>
      <c r="AD1126" s="55"/>
      <c r="AE1126" s="55"/>
      <c r="AF1126" s="55"/>
      <c r="AG1126" s="55"/>
      <c r="AH1126" s="56"/>
      <c r="AI1126" s="55"/>
      <c r="AJ1126" s="55"/>
      <c r="AK1126" s="56"/>
      <c r="AL1126" s="56"/>
    </row>
    <row r="1127" spans="1:38" ht="15.75" thickBot="1" x14ac:dyDescent="0.3">
      <c r="A1127" s="51"/>
      <c r="B1127" s="51"/>
      <c r="C1127" s="51"/>
      <c r="D1127" s="51"/>
      <c r="E1127" s="51"/>
      <c r="F1127" s="51"/>
      <c r="G1127" s="54"/>
      <c r="H1127" s="53"/>
      <c r="I1127" s="53"/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54"/>
      <c r="AC1127" s="54"/>
      <c r="AD1127" s="53"/>
      <c r="AE1127" s="53"/>
      <c r="AF1127" s="53"/>
      <c r="AG1127" s="53"/>
      <c r="AH1127" s="54"/>
      <c r="AI1127" s="53"/>
      <c r="AJ1127" s="53"/>
      <c r="AK1127" s="54"/>
      <c r="AL1127" s="54"/>
    </row>
    <row r="1128" spans="1:38" ht="15.75" thickBot="1" x14ac:dyDescent="0.3">
      <c r="A1128" s="51"/>
      <c r="B1128" s="51"/>
      <c r="C1128" s="51"/>
      <c r="D1128" s="51"/>
      <c r="E1128" s="51"/>
      <c r="F1128" s="51"/>
      <c r="G1128" s="55"/>
      <c r="H1128" s="55"/>
      <c r="I1128" s="55"/>
      <c r="J1128" s="55"/>
      <c r="K1128" s="55"/>
      <c r="L1128" s="55"/>
      <c r="M1128" s="55"/>
      <c r="N1128" s="55"/>
      <c r="O1128" s="55"/>
      <c r="P1128" s="55"/>
      <c r="Q1128" s="55"/>
      <c r="R1128" s="55"/>
      <c r="S1128" s="55"/>
      <c r="T1128" s="55"/>
      <c r="U1128" s="55"/>
      <c r="V1128" s="55"/>
      <c r="W1128" s="55"/>
      <c r="X1128" s="55"/>
      <c r="Y1128" s="55"/>
      <c r="Z1128" s="55"/>
      <c r="AA1128" s="55"/>
      <c r="AB1128" s="55"/>
      <c r="AC1128" s="55"/>
      <c r="AD1128" s="55"/>
      <c r="AE1128" s="55"/>
      <c r="AF1128" s="55"/>
      <c r="AG1128" s="56"/>
      <c r="AH1128" s="56"/>
      <c r="AI1128" s="55"/>
      <c r="AJ1128" s="55"/>
      <c r="AK1128" s="56"/>
      <c r="AL1128" s="56"/>
    </row>
    <row r="1129" spans="1:38" ht="15.75" thickBot="1" x14ac:dyDescent="0.3">
      <c r="A1129" s="51"/>
      <c r="B1129" s="51"/>
      <c r="C1129" s="51"/>
      <c r="D1129" s="51"/>
      <c r="E1129" s="51"/>
      <c r="F1129" s="51"/>
      <c r="G1129" s="53"/>
      <c r="H1129" s="53"/>
      <c r="I1129" s="53"/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3"/>
      <c r="AF1129" s="53"/>
      <c r="AG1129" s="54"/>
      <c r="AH1129" s="54"/>
      <c r="AI1129" s="53"/>
      <c r="AJ1129" s="53"/>
      <c r="AK1129" s="54"/>
      <c r="AL1129" s="54"/>
    </row>
    <row r="1130" spans="1:38" ht="15.75" thickBot="1" x14ac:dyDescent="0.3">
      <c r="A1130" s="51"/>
      <c r="B1130" s="51"/>
      <c r="C1130" s="51"/>
      <c r="D1130" s="51"/>
      <c r="E1130" s="51"/>
      <c r="F1130" s="51"/>
      <c r="G1130" s="56"/>
      <c r="H1130" s="55"/>
      <c r="I1130" s="55"/>
      <c r="J1130" s="55"/>
      <c r="K1130" s="56"/>
      <c r="L1130" s="55"/>
      <c r="M1130" s="55"/>
      <c r="N1130" s="55"/>
      <c r="O1130" s="55"/>
      <c r="P1130" s="55"/>
      <c r="Q1130" s="55"/>
      <c r="R1130" s="55"/>
      <c r="S1130" s="55"/>
      <c r="T1130" s="55"/>
      <c r="U1130" s="55"/>
      <c r="V1130" s="55"/>
      <c r="W1130" s="55"/>
      <c r="X1130" s="55"/>
      <c r="Y1130" s="55"/>
      <c r="Z1130" s="55"/>
      <c r="AA1130" s="55"/>
      <c r="AB1130" s="55"/>
      <c r="AC1130" s="55"/>
      <c r="AD1130" s="55"/>
      <c r="AE1130" s="55"/>
      <c r="AF1130" s="55"/>
      <c r="AG1130" s="55"/>
      <c r="AH1130" s="56"/>
      <c r="AI1130" s="55"/>
      <c r="AJ1130" s="55"/>
      <c r="AK1130" s="56"/>
      <c r="AL1130" s="56"/>
    </row>
    <row r="1131" spans="1:38" ht="15.75" thickBot="1" x14ac:dyDescent="0.3">
      <c r="A1131" s="51"/>
      <c r="B1131" s="51"/>
      <c r="C1131" s="51"/>
      <c r="D1131" s="51"/>
      <c r="E1131" s="51"/>
      <c r="F1131" s="51"/>
      <c r="G1131" s="54"/>
      <c r="H1131" s="53"/>
      <c r="I1131" s="53"/>
      <c r="J1131" s="53"/>
      <c r="K1131" s="54"/>
      <c r="L1131" s="53"/>
      <c r="M1131" s="53"/>
      <c r="N1131" s="53"/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3"/>
      <c r="AF1131" s="53"/>
      <c r="AG1131" s="53"/>
      <c r="AH1131" s="54"/>
      <c r="AI1131" s="53"/>
      <c r="AJ1131" s="53"/>
      <c r="AK1131" s="54"/>
      <c r="AL1131" s="54"/>
    </row>
    <row r="1132" spans="1:38" ht="15.75" thickBot="1" x14ac:dyDescent="0.3">
      <c r="A1132" s="51"/>
      <c r="B1132" s="51"/>
      <c r="C1132" s="51"/>
      <c r="D1132" s="51"/>
      <c r="E1132" s="51"/>
      <c r="F1132" s="51"/>
      <c r="G1132" s="56"/>
      <c r="H1132" s="56"/>
      <c r="I1132" s="55"/>
      <c r="J1132" s="55"/>
      <c r="K1132" s="55"/>
      <c r="L1132" s="55"/>
      <c r="M1132" s="56"/>
      <c r="N1132" s="55"/>
      <c r="O1132" s="55"/>
      <c r="P1132" s="55"/>
      <c r="Q1132" s="55"/>
      <c r="R1132" s="55"/>
      <c r="S1132" s="55"/>
      <c r="T1132" s="55"/>
      <c r="U1132" s="55"/>
      <c r="V1132" s="55"/>
      <c r="W1132" s="55"/>
      <c r="X1132" s="55"/>
      <c r="Y1132" s="55"/>
      <c r="Z1132" s="55"/>
      <c r="AA1132" s="55"/>
      <c r="AB1132" s="55"/>
      <c r="AC1132" s="55"/>
      <c r="AD1132" s="55"/>
      <c r="AE1132" s="55"/>
      <c r="AF1132" s="55"/>
      <c r="AG1132" s="55"/>
      <c r="AH1132" s="56"/>
      <c r="AI1132" s="55"/>
      <c r="AJ1132" s="55"/>
      <c r="AK1132" s="56"/>
      <c r="AL1132" s="56"/>
    </row>
    <row r="1133" spans="1:38" ht="15.75" thickBot="1" x14ac:dyDescent="0.3">
      <c r="A1133" s="51"/>
      <c r="B1133" s="51"/>
      <c r="C1133" s="51"/>
      <c r="D1133" s="51"/>
      <c r="E1133" s="51"/>
      <c r="F1133" s="51"/>
      <c r="G1133" s="54"/>
      <c r="H1133" s="147"/>
      <c r="I1133" s="53"/>
      <c r="J1133" s="53"/>
      <c r="K1133" s="53"/>
      <c r="L1133" s="53"/>
      <c r="M1133" s="54"/>
      <c r="N1133" s="53"/>
      <c r="O1133" s="53"/>
      <c r="P1133" s="53"/>
      <c r="Q1133" s="53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3"/>
      <c r="AF1133" s="53"/>
      <c r="AG1133" s="53"/>
      <c r="AH1133" s="54"/>
      <c r="AI1133" s="53"/>
      <c r="AJ1133" s="53"/>
      <c r="AK1133" s="54"/>
      <c r="AL1133" s="54"/>
    </row>
    <row r="1134" spans="1:38" ht="15.75" thickBot="1" x14ac:dyDescent="0.3">
      <c r="A1134" s="51"/>
      <c r="B1134" s="51"/>
      <c r="C1134" s="51"/>
      <c r="D1134" s="51"/>
      <c r="E1134" s="51"/>
      <c r="F1134" s="51"/>
      <c r="G1134" s="56"/>
      <c r="H1134" s="55"/>
      <c r="I1134" s="55"/>
      <c r="J1134" s="55"/>
      <c r="K1134" s="55"/>
      <c r="L1134" s="55"/>
      <c r="M1134" s="55"/>
      <c r="N1134" s="55"/>
      <c r="O1134" s="55"/>
      <c r="P1134" s="55"/>
      <c r="Q1134" s="56"/>
      <c r="R1134" s="55"/>
      <c r="S1134" s="55"/>
      <c r="T1134" s="55"/>
      <c r="U1134" s="55"/>
      <c r="V1134" s="55"/>
      <c r="W1134" s="55"/>
      <c r="X1134" s="55"/>
      <c r="Y1134" s="55"/>
      <c r="Z1134" s="55"/>
      <c r="AA1134" s="55"/>
      <c r="AB1134" s="55"/>
      <c r="AC1134" s="55"/>
      <c r="AD1134" s="55"/>
      <c r="AE1134" s="55"/>
      <c r="AF1134" s="55"/>
      <c r="AG1134" s="55"/>
      <c r="AH1134" s="56"/>
      <c r="AI1134" s="55"/>
      <c r="AJ1134" s="55"/>
      <c r="AK1134" s="56"/>
      <c r="AL1134" s="56"/>
    </row>
    <row r="1135" spans="1:38" ht="15.75" thickBot="1" x14ac:dyDescent="0.3">
      <c r="A1135" s="51"/>
      <c r="B1135" s="51"/>
      <c r="C1135" s="51"/>
      <c r="D1135" s="51"/>
      <c r="E1135" s="51"/>
      <c r="F1135" s="51"/>
      <c r="G1135" s="54"/>
      <c r="H1135" s="53"/>
      <c r="I1135" s="53"/>
      <c r="J1135" s="53"/>
      <c r="K1135" s="53"/>
      <c r="L1135" s="53"/>
      <c r="M1135" s="53"/>
      <c r="N1135" s="53"/>
      <c r="O1135" s="53"/>
      <c r="P1135" s="53"/>
      <c r="Q1135" s="54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3"/>
      <c r="AF1135" s="53"/>
      <c r="AG1135" s="53"/>
      <c r="AH1135" s="54"/>
      <c r="AI1135" s="53"/>
      <c r="AJ1135" s="53"/>
      <c r="AK1135" s="54"/>
      <c r="AL1135" s="54"/>
    </row>
    <row r="1136" spans="1:38" ht="15.75" thickBot="1" x14ac:dyDescent="0.3">
      <c r="A1136" s="51"/>
      <c r="B1136" s="51"/>
      <c r="C1136" s="51"/>
      <c r="D1136" s="51"/>
      <c r="E1136" s="51"/>
      <c r="F1136" s="51"/>
      <c r="G1136" s="55"/>
      <c r="H1136" s="55"/>
      <c r="I1136" s="55"/>
      <c r="J1136" s="55"/>
      <c r="K1136" s="55"/>
      <c r="L1136" s="55"/>
      <c r="M1136" s="55"/>
      <c r="N1136" s="55"/>
      <c r="O1136" s="55"/>
      <c r="P1136" s="55"/>
      <c r="Q1136" s="55"/>
      <c r="R1136" s="55"/>
      <c r="S1136" s="55"/>
      <c r="T1136" s="55"/>
      <c r="U1136" s="55"/>
      <c r="V1136" s="55"/>
      <c r="W1136" s="55"/>
      <c r="X1136" s="55"/>
      <c r="Y1136" s="55"/>
      <c r="Z1136" s="55"/>
      <c r="AA1136" s="55"/>
      <c r="AB1136" s="55"/>
      <c r="AC1136" s="55"/>
      <c r="AD1136" s="55"/>
      <c r="AE1136" s="55"/>
      <c r="AF1136" s="56"/>
      <c r="AG1136" s="55"/>
      <c r="AH1136" s="56"/>
      <c r="AI1136" s="55"/>
      <c r="AJ1136" s="55"/>
      <c r="AK1136" s="56"/>
      <c r="AL1136" s="56"/>
    </row>
    <row r="1137" spans="1:38" ht="15.75" thickBot="1" x14ac:dyDescent="0.3">
      <c r="A1137" s="51"/>
      <c r="B1137" s="51"/>
      <c r="C1137" s="51"/>
      <c r="D1137" s="51"/>
      <c r="E1137" s="51"/>
      <c r="F1137" s="51"/>
      <c r="G1137" s="53"/>
      <c r="H1137" s="53"/>
      <c r="I1137" s="53"/>
      <c r="J1137" s="53"/>
      <c r="K1137" s="53"/>
      <c r="L1137" s="53"/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3"/>
      <c r="AF1137" s="54"/>
      <c r="AG1137" s="53"/>
      <c r="AH1137" s="54"/>
      <c r="AI1137" s="53"/>
      <c r="AJ1137" s="53"/>
      <c r="AK1137" s="54"/>
      <c r="AL1137" s="54"/>
    </row>
    <row r="1138" spans="1:38" ht="15.75" thickBot="1" x14ac:dyDescent="0.3">
      <c r="A1138" s="51"/>
      <c r="B1138" s="51"/>
      <c r="C1138" s="51"/>
      <c r="D1138" s="51"/>
      <c r="E1138" s="51"/>
      <c r="F1138" s="51"/>
      <c r="G1138" s="56"/>
      <c r="H1138" s="55"/>
      <c r="I1138" s="55"/>
      <c r="J1138" s="55"/>
      <c r="K1138" s="55"/>
      <c r="L1138" s="55"/>
      <c r="M1138" s="55"/>
      <c r="N1138" s="55"/>
      <c r="O1138" s="55"/>
      <c r="P1138" s="55"/>
      <c r="Q1138" s="55"/>
      <c r="R1138" s="55"/>
      <c r="S1138" s="55"/>
      <c r="T1138" s="55"/>
      <c r="U1138" s="55"/>
      <c r="V1138" s="55"/>
      <c r="W1138" s="55"/>
      <c r="X1138" s="55"/>
      <c r="Y1138" s="55"/>
      <c r="Z1138" s="56"/>
      <c r="AA1138" s="55"/>
      <c r="AB1138" s="55"/>
      <c r="AC1138" s="55"/>
      <c r="AD1138" s="55"/>
      <c r="AE1138" s="55"/>
      <c r="AF1138" s="55"/>
      <c r="AG1138" s="55"/>
      <c r="AH1138" s="56"/>
      <c r="AI1138" s="55"/>
      <c r="AJ1138" s="55"/>
      <c r="AK1138" s="56"/>
      <c r="AL1138" s="56"/>
    </row>
    <row r="1139" spans="1:38" ht="15.75" thickBot="1" x14ac:dyDescent="0.3">
      <c r="A1139" s="51"/>
      <c r="B1139" s="51"/>
      <c r="C1139" s="51"/>
      <c r="D1139" s="51"/>
      <c r="E1139" s="51"/>
      <c r="F1139" s="51"/>
      <c r="G1139" s="54"/>
      <c r="H1139" s="53"/>
      <c r="I1139" s="53"/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3"/>
      <c r="U1139" s="53"/>
      <c r="V1139" s="53"/>
      <c r="W1139" s="53"/>
      <c r="X1139" s="53"/>
      <c r="Y1139" s="53"/>
      <c r="Z1139" s="54"/>
      <c r="AA1139" s="53"/>
      <c r="AB1139" s="53"/>
      <c r="AC1139" s="53"/>
      <c r="AD1139" s="53"/>
      <c r="AE1139" s="53"/>
      <c r="AF1139" s="53"/>
      <c r="AG1139" s="53"/>
      <c r="AH1139" s="54"/>
      <c r="AI1139" s="53"/>
      <c r="AJ1139" s="53"/>
      <c r="AK1139" s="54"/>
      <c r="AL1139" s="54"/>
    </row>
    <row r="1140" spans="1:38" ht="15.75" thickBot="1" x14ac:dyDescent="0.3">
      <c r="A1140" s="51"/>
      <c r="B1140" s="51"/>
      <c r="C1140" s="51"/>
      <c r="D1140" s="51"/>
      <c r="E1140" s="51"/>
      <c r="F1140" s="51"/>
      <c r="G1140" s="56"/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/>
      <c r="S1140" s="55"/>
      <c r="T1140" s="55"/>
      <c r="U1140" s="55"/>
      <c r="V1140" s="55"/>
      <c r="W1140" s="55"/>
      <c r="X1140" s="55"/>
      <c r="Y1140" s="55"/>
      <c r="Z1140" s="56"/>
      <c r="AA1140" s="55"/>
      <c r="AB1140" s="55"/>
      <c r="AC1140" s="55"/>
      <c r="AD1140" s="55"/>
      <c r="AE1140" s="55"/>
      <c r="AF1140" s="55"/>
      <c r="AG1140" s="55"/>
      <c r="AH1140" s="56"/>
      <c r="AI1140" s="55"/>
      <c r="AJ1140" s="55"/>
      <c r="AK1140" s="56"/>
      <c r="AL1140" s="56"/>
    </row>
    <row r="1141" spans="1:38" ht="15.75" thickBot="1" x14ac:dyDescent="0.3">
      <c r="A1141" s="51"/>
      <c r="B1141" s="51"/>
      <c r="C1141" s="51"/>
      <c r="D1141" s="51"/>
      <c r="E1141" s="51"/>
      <c r="F1141" s="51"/>
      <c r="G1141" s="54"/>
      <c r="H1141" s="53"/>
      <c r="I1141" s="53"/>
      <c r="J1141" s="53"/>
      <c r="K1141" s="53"/>
      <c r="L1141" s="53"/>
      <c r="M1141" s="53"/>
      <c r="N1141" s="53"/>
      <c r="O1141" s="53"/>
      <c r="P1141" s="53"/>
      <c r="Q1141" s="53"/>
      <c r="R1141" s="53"/>
      <c r="S1141" s="53"/>
      <c r="T1141" s="53"/>
      <c r="U1141" s="53"/>
      <c r="V1141" s="53"/>
      <c r="W1141" s="53"/>
      <c r="X1141" s="53"/>
      <c r="Y1141" s="53"/>
      <c r="Z1141" s="54"/>
      <c r="AA1141" s="53"/>
      <c r="AB1141" s="53"/>
      <c r="AC1141" s="53"/>
      <c r="AD1141" s="53"/>
      <c r="AE1141" s="53"/>
      <c r="AF1141" s="53"/>
      <c r="AG1141" s="53"/>
      <c r="AH1141" s="54"/>
      <c r="AI1141" s="53"/>
      <c r="AJ1141" s="53"/>
      <c r="AK1141" s="54"/>
      <c r="AL1141" s="54"/>
    </row>
    <row r="1142" spans="1:38" ht="15.75" thickBot="1" x14ac:dyDescent="0.3">
      <c r="A1142" s="51"/>
      <c r="B1142" s="51"/>
      <c r="C1142" s="51"/>
      <c r="D1142" s="51"/>
      <c r="E1142" s="51"/>
      <c r="F1142" s="51"/>
      <c r="G1142" s="56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/>
      <c r="S1142" s="55"/>
      <c r="T1142" s="55"/>
      <c r="U1142" s="55"/>
      <c r="V1142" s="55"/>
      <c r="W1142" s="55"/>
      <c r="X1142" s="55"/>
      <c r="Y1142" s="55"/>
      <c r="Z1142" s="55"/>
      <c r="AA1142" s="56"/>
      <c r="AB1142" s="55"/>
      <c r="AC1142" s="55"/>
      <c r="AD1142" s="55"/>
      <c r="AE1142" s="55"/>
      <c r="AF1142" s="55"/>
      <c r="AG1142" s="55"/>
      <c r="AH1142" s="56"/>
      <c r="AI1142" s="55"/>
      <c r="AJ1142" s="55"/>
      <c r="AK1142" s="56"/>
      <c r="AL1142" s="56"/>
    </row>
    <row r="1143" spans="1:38" ht="15.75" thickBot="1" x14ac:dyDescent="0.3">
      <c r="A1143" s="51"/>
      <c r="B1143" s="51"/>
      <c r="C1143" s="51"/>
      <c r="D1143" s="51"/>
      <c r="E1143" s="51"/>
      <c r="F1143" s="51"/>
      <c r="G1143" s="54"/>
      <c r="H1143" s="53"/>
      <c r="I1143" s="53"/>
      <c r="J1143" s="53"/>
      <c r="K1143" s="53"/>
      <c r="L1143" s="53"/>
      <c r="M1143" s="53"/>
      <c r="N1143" s="53"/>
      <c r="O1143" s="53"/>
      <c r="P1143" s="53"/>
      <c r="Q1143" s="53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4"/>
      <c r="AB1143" s="53"/>
      <c r="AC1143" s="53"/>
      <c r="AD1143" s="53"/>
      <c r="AE1143" s="53"/>
      <c r="AF1143" s="53"/>
      <c r="AG1143" s="53"/>
      <c r="AH1143" s="54"/>
      <c r="AI1143" s="53"/>
      <c r="AJ1143" s="53"/>
      <c r="AK1143" s="54"/>
      <c r="AL1143" s="54"/>
    </row>
    <row r="1144" spans="1:38" ht="15.75" thickBot="1" x14ac:dyDescent="0.3">
      <c r="A1144" s="51"/>
      <c r="B1144" s="51"/>
      <c r="C1144" s="51"/>
      <c r="D1144" s="51"/>
      <c r="E1144" s="51"/>
      <c r="F1144" s="51"/>
      <c r="G1144" s="56"/>
      <c r="H1144" s="55"/>
      <c r="I1144" s="55"/>
      <c r="J1144" s="55"/>
      <c r="K1144" s="55"/>
      <c r="L1144" s="55"/>
      <c r="M1144" s="55"/>
      <c r="N1144" s="55"/>
      <c r="O1144" s="55"/>
      <c r="P1144" s="55"/>
      <c r="Q1144" s="55"/>
      <c r="R1144" s="56"/>
      <c r="S1144" s="55"/>
      <c r="T1144" s="55"/>
      <c r="U1144" s="55"/>
      <c r="V1144" s="55"/>
      <c r="W1144" s="55"/>
      <c r="X1144" s="55"/>
      <c r="Y1144" s="55"/>
      <c r="Z1144" s="55"/>
      <c r="AA1144" s="55"/>
      <c r="AB1144" s="55"/>
      <c r="AC1144" s="55"/>
      <c r="AD1144" s="55"/>
      <c r="AE1144" s="55"/>
      <c r="AF1144" s="55"/>
      <c r="AG1144" s="55"/>
      <c r="AH1144" s="56"/>
      <c r="AI1144" s="55"/>
      <c r="AJ1144" s="55"/>
      <c r="AK1144" s="56"/>
      <c r="AL1144" s="56"/>
    </row>
    <row r="1145" spans="1:38" ht="15.75" thickBot="1" x14ac:dyDescent="0.3">
      <c r="A1145" s="51"/>
      <c r="B1145" s="51"/>
      <c r="C1145" s="51"/>
      <c r="D1145" s="51"/>
      <c r="E1145" s="51"/>
      <c r="F1145" s="51"/>
      <c r="G1145" s="54"/>
      <c r="H1145" s="53"/>
      <c r="I1145" s="53"/>
      <c r="J1145" s="53"/>
      <c r="K1145" s="53"/>
      <c r="L1145" s="53"/>
      <c r="M1145" s="53"/>
      <c r="N1145" s="53"/>
      <c r="O1145" s="53"/>
      <c r="P1145" s="53"/>
      <c r="Q1145" s="53"/>
      <c r="R1145" s="54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D1145" s="53"/>
      <c r="AE1145" s="53"/>
      <c r="AF1145" s="53"/>
      <c r="AG1145" s="53"/>
      <c r="AH1145" s="54"/>
      <c r="AI1145" s="53"/>
      <c r="AJ1145" s="53"/>
      <c r="AK1145" s="54"/>
      <c r="AL1145" s="54"/>
    </row>
    <row r="1146" spans="1:38" ht="15.75" thickBot="1" x14ac:dyDescent="0.3">
      <c r="A1146" s="51"/>
      <c r="B1146" s="51"/>
      <c r="C1146" s="51"/>
      <c r="D1146" s="51"/>
      <c r="E1146" s="51"/>
      <c r="F1146" s="51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  <c r="U1146" s="55"/>
      <c r="V1146" s="55"/>
      <c r="W1146" s="55"/>
      <c r="X1146" s="55"/>
      <c r="Y1146" s="55"/>
      <c r="Z1146" s="55"/>
      <c r="AA1146" s="55"/>
      <c r="AB1146" s="55"/>
      <c r="AC1146" s="55"/>
      <c r="AD1146" s="55"/>
      <c r="AE1146" s="55"/>
      <c r="AF1146" s="55"/>
      <c r="AG1146" s="55"/>
      <c r="AH1146" s="56"/>
      <c r="AI1146" s="55"/>
      <c r="AJ1146" s="55"/>
      <c r="AK1146" s="56"/>
      <c r="AL1146" s="56"/>
    </row>
    <row r="1147" spans="1:38" ht="15.75" thickBot="1" x14ac:dyDescent="0.3">
      <c r="A1147" s="51"/>
      <c r="B1147" s="51"/>
      <c r="C1147" s="51"/>
      <c r="D1147" s="51"/>
      <c r="E1147" s="51"/>
      <c r="F1147" s="51"/>
      <c r="G1147" s="53"/>
      <c r="H1147" s="53"/>
      <c r="I1147" s="53"/>
      <c r="J1147" s="53"/>
      <c r="K1147" s="53"/>
      <c r="L1147" s="53"/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3"/>
      <c r="AF1147" s="53"/>
      <c r="AG1147" s="53"/>
      <c r="AH1147" s="54"/>
      <c r="AI1147" s="53"/>
      <c r="AJ1147" s="53"/>
      <c r="AK1147" s="54"/>
      <c r="AL1147" s="54"/>
    </row>
    <row r="1148" spans="1:38" ht="15.75" thickBot="1" x14ac:dyDescent="0.3">
      <c r="A1148" s="51"/>
      <c r="B1148" s="51"/>
      <c r="C1148" s="51"/>
      <c r="D1148" s="51"/>
      <c r="E1148" s="51"/>
      <c r="F1148" s="51"/>
      <c r="G1148" s="56"/>
      <c r="H1148" s="55"/>
      <c r="I1148" s="55"/>
      <c r="J1148" s="55"/>
      <c r="K1148" s="55"/>
      <c r="L1148" s="55"/>
      <c r="M1148" s="55"/>
      <c r="N1148" s="55"/>
      <c r="O1148" s="55"/>
      <c r="P1148" s="55"/>
      <c r="Q1148" s="55"/>
      <c r="R1148" s="55"/>
      <c r="S1148" s="55"/>
      <c r="T1148" s="55"/>
      <c r="U1148" s="55"/>
      <c r="V1148" s="55"/>
      <c r="W1148" s="55"/>
      <c r="X1148" s="55"/>
      <c r="Y1148" s="55"/>
      <c r="Z1148" s="55"/>
      <c r="AA1148" s="55"/>
      <c r="AB1148" s="56"/>
      <c r="AC1148" s="56"/>
      <c r="AD1148" s="55"/>
      <c r="AE1148" s="55"/>
      <c r="AF1148" s="55"/>
      <c r="AG1148" s="55"/>
      <c r="AH1148" s="56"/>
      <c r="AI1148" s="55"/>
      <c r="AJ1148" s="55"/>
      <c r="AK1148" s="56"/>
      <c r="AL1148" s="56"/>
    </row>
    <row r="1149" spans="1:38" ht="15.75" thickBot="1" x14ac:dyDescent="0.3">
      <c r="A1149" s="51"/>
      <c r="B1149" s="51"/>
      <c r="C1149" s="51"/>
      <c r="D1149" s="51"/>
      <c r="E1149" s="51"/>
      <c r="F1149" s="51"/>
      <c r="G1149" s="54"/>
      <c r="H1149" s="53"/>
      <c r="I1149" s="53"/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4"/>
      <c r="AC1149" s="54"/>
      <c r="AD1149" s="53"/>
      <c r="AE1149" s="53"/>
      <c r="AF1149" s="53"/>
      <c r="AG1149" s="53"/>
      <c r="AH1149" s="54"/>
      <c r="AI1149" s="53"/>
      <c r="AJ1149" s="53"/>
      <c r="AK1149" s="54"/>
      <c r="AL1149" s="54"/>
    </row>
    <row r="1150" spans="1:38" ht="15.75" thickBot="1" x14ac:dyDescent="0.3">
      <c r="A1150" s="51"/>
      <c r="B1150" s="51"/>
      <c r="C1150" s="51"/>
      <c r="D1150" s="51"/>
      <c r="E1150" s="51"/>
      <c r="F1150" s="51"/>
      <c r="G1150" s="56"/>
      <c r="H1150" s="55"/>
      <c r="I1150" s="55"/>
      <c r="J1150" s="55"/>
      <c r="K1150" s="56"/>
      <c r="L1150" s="55"/>
      <c r="M1150" s="55"/>
      <c r="N1150" s="55"/>
      <c r="O1150" s="55"/>
      <c r="P1150" s="55"/>
      <c r="Q1150" s="55"/>
      <c r="R1150" s="55"/>
      <c r="S1150" s="55"/>
      <c r="T1150" s="55"/>
      <c r="U1150" s="55"/>
      <c r="V1150" s="55"/>
      <c r="W1150" s="55"/>
      <c r="X1150" s="55"/>
      <c r="Y1150" s="55"/>
      <c r="Z1150" s="55"/>
      <c r="AA1150" s="55"/>
      <c r="AB1150" s="55"/>
      <c r="AC1150" s="55"/>
      <c r="AD1150" s="55"/>
      <c r="AE1150" s="55"/>
      <c r="AF1150" s="55"/>
      <c r="AG1150" s="55"/>
      <c r="AH1150" s="56"/>
      <c r="AI1150" s="55"/>
      <c r="AJ1150" s="55"/>
      <c r="AK1150" s="56"/>
      <c r="AL1150" s="56"/>
    </row>
    <row r="1151" spans="1:38" ht="15.75" thickBot="1" x14ac:dyDescent="0.3">
      <c r="A1151" s="51"/>
      <c r="B1151" s="51"/>
      <c r="C1151" s="51"/>
      <c r="D1151" s="51"/>
      <c r="E1151" s="51"/>
      <c r="F1151" s="51"/>
      <c r="G1151" s="54"/>
      <c r="H1151" s="53"/>
      <c r="I1151" s="53"/>
      <c r="J1151" s="53"/>
      <c r="K1151" s="54"/>
      <c r="L1151" s="53"/>
      <c r="M1151" s="53"/>
      <c r="N1151" s="53"/>
      <c r="O1151" s="53"/>
      <c r="P1151" s="53"/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3"/>
      <c r="AF1151" s="53"/>
      <c r="AG1151" s="53"/>
      <c r="AH1151" s="54"/>
      <c r="AI1151" s="53"/>
      <c r="AJ1151" s="53"/>
      <c r="AK1151" s="54"/>
      <c r="AL1151" s="54"/>
    </row>
    <row r="1152" spans="1:38" ht="15.75" thickBot="1" x14ac:dyDescent="0.3">
      <c r="A1152" s="51"/>
      <c r="B1152" s="51"/>
      <c r="C1152" s="51"/>
      <c r="D1152" s="51"/>
      <c r="E1152" s="51"/>
      <c r="F1152" s="51"/>
      <c r="G1152" s="56"/>
      <c r="H1152" s="56"/>
      <c r="I1152" s="55"/>
      <c r="J1152" s="55"/>
      <c r="K1152" s="55"/>
      <c r="L1152" s="55"/>
      <c r="M1152" s="56"/>
      <c r="N1152" s="55"/>
      <c r="O1152" s="55"/>
      <c r="P1152" s="55"/>
      <c r="Q1152" s="55"/>
      <c r="R1152" s="55"/>
      <c r="S1152" s="55"/>
      <c r="T1152" s="55"/>
      <c r="U1152" s="55"/>
      <c r="V1152" s="55"/>
      <c r="W1152" s="55"/>
      <c r="X1152" s="55"/>
      <c r="Y1152" s="55"/>
      <c r="Z1152" s="55"/>
      <c r="AA1152" s="55"/>
      <c r="AB1152" s="55"/>
      <c r="AC1152" s="55"/>
      <c r="AD1152" s="55"/>
      <c r="AE1152" s="55"/>
      <c r="AF1152" s="55"/>
      <c r="AG1152" s="55"/>
      <c r="AH1152" s="56"/>
      <c r="AI1152" s="55"/>
      <c r="AJ1152" s="55"/>
      <c r="AK1152" s="56"/>
      <c r="AL1152" s="56"/>
    </row>
    <row r="1153" spans="1:38" ht="15.75" thickBot="1" x14ac:dyDescent="0.3">
      <c r="A1153" s="51"/>
      <c r="B1153" s="51"/>
      <c r="C1153" s="51"/>
      <c r="D1153" s="51"/>
      <c r="E1153" s="51"/>
      <c r="F1153" s="51"/>
      <c r="G1153" s="54"/>
      <c r="H1153" s="147"/>
      <c r="I1153" s="53"/>
      <c r="J1153" s="53"/>
      <c r="K1153" s="53"/>
      <c r="L1153" s="53"/>
      <c r="M1153" s="54"/>
      <c r="N1153" s="53"/>
      <c r="O1153" s="53"/>
      <c r="P1153" s="53"/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3"/>
      <c r="AF1153" s="53"/>
      <c r="AG1153" s="53"/>
      <c r="AH1153" s="54"/>
      <c r="AI1153" s="53"/>
      <c r="AJ1153" s="53"/>
      <c r="AK1153" s="54"/>
      <c r="AL1153" s="54"/>
    </row>
    <row r="1154" spans="1:38" ht="15.75" thickBot="1" x14ac:dyDescent="0.3">
      <c r="A1154" s="51"/>
      <c r="B1154" s="51"/>
      <c r="C1154" s="51"/>
      <c r="D1154" s="51"/>
      <c r="E1154" s="51"/>
      <c r="F1154" s="51"/>
      <c r="G1154" s="56"/>
      <c r="H1154" s="55"/>
      <c r="I1154" s="55"/>
      <c r="J1154" s="55"/>
      <c r="K1154" s="55"/>
      <c r="L1154" s="55"/>
      <c r="M1154" s="55"/>
      <c r="N1154" s="55"/>
      <c r="O1154" s="55"/>
      <c r="P1154" s="55"/>
      <c r="Q1154" s="56"/>
      <c r="R1154" s="55"/>
      <c r="S1154" s="55"/>
      <c r="T1154" s="55"/>
      <c r="U1154" s="55"/>
      <c r="V1154" s="55"/>
      <c r="W1154" s="55"/>
      <c r="X1154" s="55"/>
      <c r="Y1154" s="55"/>
      <c r="Z1154" s="55"/>
      <c r="AA1154" s="55"/>
      <c r="AB1154" s="55"/>
      <c r="AC1154" s="55"/>
      <c r="AD1154" s="55"/>
      <c r="AE1154" s="55"/>
      <c r="AF1154" s="55"/>
      <c r="AG1154" s="55"/>
      <c r="AH1154" s="56"/>
      <c r="AI1154" s="55"/>
      <c r="AJ1154" s="55"/>
      <c r="AK1154" s="56"/>
      <c r="AL1154" s="56"/>
    </row>
    <row r="1155" spans="1:38" ht="15.75" thickBot="1" x14ac:dyDescent="0.3">
      <c r="A1155" s="51"/>
      <c r="B1155" s="51"/>
      <c r="C1155" s="51"/>
      <c r="D1155" s="51"/>
      <c r="E1155" s="51"/>
      <c r="F1155" s="51"/>
      <c r="G1155" s="54"/>
      <c r="H1155" s="53"/>
      <c r="I1155" s="53"/>
      <c r="J1155" s="53"/>
      <c r="K1155" s="53"/>
      <c r="L1155" s="53"/>
      <c r="M1155" s="53"/>
      <c r="N1155" s="53"/>
      <c r="O1155" s="53"/>
      <c r="P1155" s="53"/>
      <c r="Q1155" s="54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3"/>
      <c r="AF1155" s="53"/>
      <c r="AG1155" s="53"/>
      <c r="AH1155" s="54"/>
      <c r="AI1155" s="53"/>
      <c r="AJ1155" s="53"/>
      <c r="AK1155" s="54"/>
      <c r="AL1155" s="54"/>
    </row>
    <row r="1156" spans="1:38" ht="15.75" thickBot="1" x14ac:dyDescent="0.3">
      <c r="A1156" s="51"/>
      <c r="B1156" s="51"/>
      <c r="C1156" s="51"/>
      <c r="D1156" s="51"/>
      <c r="E1156" s="51"/>
      <c r="F1156" s="51"/>
      <c r="G1156" s="56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/>
      <c r="R1156" s="55"/>
      <c r="S1156" s="55"/>
      <c r="T1156" s="55"/>
      <c r="U1156" s="55"/>
      <c r="V1156" s="55"/>
      <c r="W1156" s="55"/>
      <c r="X1156" s="55"/>
      <c r="Y1156" s="55"/>
      <c r="Z1156" s="56"/>
      <c r="AA1156" s="55"/>
      <c r="AB1156" s="55"/>
      <c r="AC1156" s="55"/>
      <c r="AD1156" s="55"/>
      <c r="AE1156" s="55"/>
      <c r="AF1156" s="55"/>
      <c r="AG1156" s="55"/>
      <c r="AH1156" s="56"/>
      <c r="AI1156" s="55"/>
      <c r="AJ1156" s="55"/>
      <c r="AK1156" s="56"/>
      <c r="AL1156" s="56"/>
    </row>
    <row r="1157" spans="1:38" ht="15.75" thickBot="1" x14ac:dyDescent="0.3">
      <c r="A1157" s="51"/>
      <c r="B1157" s="51"/>
      <c r="C1157" s="51"/>
      <c r="D1157" s="51"/>
      <c r="E1157" s="51"/>
      <c r="F1157" s="51"/>
      <c r="G1157" s="54"/>
      <c r="H1157" s="53"/>
      <c r="I1157" s="53"/>
      <c r="J1157" s="53"/>
      <c r="K1157" s="53"/>
      <c r="L1157" s="53"/>
      <c r="M1157" s="53"/>
      <c r="N1157" s="53"/>
      <c r="O1157" s="53"/>
      <c r="P1157" s="53"/>
      <c r="Q1157" s="53"/>
      <c r="R1157" s="53"/>
      <c r="S1157" s="53"/>
      <c r="T1157" s="53"/>
      <c r="U1157" s="53"/>
      <c r="V1157" s="53"/>
      <c r="W1157" s="53"/>
      <c r="X1157" s="53"/>
      <c r="Y1157" s="53"/>
      <c r="Z1157" s="54"/>
      <c r="AA1157" s="53"/>
      <c r="AB1157" s="53"/>
      <c r="AC1157" s="53"/>
      <c r="AD1157" s="53"/>
      <c r="AE1157" s="53"/>
      <c r="AF1157" s="53"/>
      <c r="AG1157" s="53"/>
      <c r="AH1157" s="54"/>
      <c r="AI1157" s="53"/>
      <c r="AJ1157" s="53"/>
      <c r="AK1157" s="54"/>
      <c r="AL1157" s="54"/>
    </row>
    <row r="1158" spans="1:38" ht="15.75" thickBot="1" x14ac:dyDescent="0.3">
      <c r="A1158" s="51"/>
      <c r="B1158" s="51"/>
      <c r="C1158" s="51"/>
      <c r="D1158" s="51"/>
      <c r="E1158" s="51"/>
      <c r="F1158" s="51"/>
      <c r="G1158" s="56"/>
      <c r="H1158" s="55"/>
      <c r="I1158" s="55"/>
      <c r="J1158" s="55"/>
      <c r="K1158" s="55"/>
      <c r="L1158" s="55"/>
      <c r="M1158" s="55"/>
      <c r="N1158" s="55"/>
      <c r="O1158" s="55"/>
      <c r="P1158" s="55"/>
      <c r="Q1158" s="55"/>
      <c r="R1158" s="55"/>
      <c r="S1158" s="55"/>
      <c r="T1158" s="55"/>
      <c r="U1158" s="55"/>
      <c r="V1158" s="55"/>
      <c r="W1158" s="55"/>
      <c r="X1158" s="55"/>
      <c r="Y1158" s="55"/>
      <c r="Z1158" s="55"/>
      <c r="AA1158" s="56"/>
      <c r="AB1158" s="55"/>
      <c r="AC1158" s="55"/>
      <c r="AD1158" s="55"/>
      <c r="AE1158" s="55"/>
      <c r="AF1158" s="55"/>
      <c r="AG1158" s="55"/>
      <c r="AH1158" s="56"/>
      <c r="AI1158" s="55"/>
      <c r="AJ1158" s="55"/>
      <c r="AK1158" s="56"/>
      <c r="AL1158" s="56"/>
    </row>
    <row r="1159" spans="1:38" ht="15.75" thickBot="1" x14ac:dyDescent="0.3">
      <c r="A1159" s="51"/>
      <c r="B1159" s="51"/>
      <c r="C1159" s="51"/>
      <c r="D1159" s="51"/>
      <c r="E1159" s="51"/>
      <c r="F1159" s="51"/>
      <c r="G1159" s="54"/>
      <c r="H1159" s="53"/>
      <c r="I1159" s="53"/>
      <c r="J1159" s="53"/>
      <c r="K1159" s="53"/>
      <c r="L1159" s="53"/>
      <c r="M1159" s="53"/>
      <c r="N1159" s="53"/>
      <c r="O1159" s="53"/>
      <c r="P1159" s="53"/>
      <c r="Q1159" s="53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4"/>
      <c r="AB1159" s="53"/>
      <c r="AC1159" s="53"/>
      <c r="AD1159" s="53"/>
      <c r="AE1159" s="53"/>
      <c r="AF1159" s="53"/>
      <c r="AG1159" s="53"/>
      <c r="AH1159" s="54"/>
      <c r="AI1159" s="53"/>
      <c r="AJ1159" s="53"/>
      <c r="AK1159" s="54"/>
      <c r="AL1159" s="54"/>
    </row>
    <row r="1160" spans="1:38" ht="15.75" thickBot="1" x14ac:dyDescent="0.3">
      <c r="A1160" s="51"/>
      <c r="B1160" s="51"/>
      <c r="C1160" s="51"/>
      <c r="D1160" s="51"/>
      <c r="E1160" s="51"/>
      <c r="F1160" s="51"/>
      <c r="G1160" s="56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6"/>
      <c r="S1160" s="55"/>
      <c r="T1160" s="55"/>
      <c r="U1160" s="55"/>
      <c r="V1160" s="55"/>
      <c r="W1160" s="55"/>
      <c r="X1160" s="55"/>
      <c r="Y1160" s="55"/>
      <c r="Z1160" s="55"/>
      <c r="AA1160" s="55"/>
      <c r="AB1160" s="55"/>
      <c r="AC1160" s="55"/>
      <c r="AD1160" s="55"/>
      <c r="AE1160" s="55"/>
      <c r="AF1160" s="55"/>
      <c r="AG1160" s="55"/>
      <c r="AH1160" s="56"/>
      <c r="AI1160" s="55"/>
      <c r="AJ1160" s="55"/>
      <c r="AK1160" s="56"/>
      <c r="AL1160" s="56"/>
    </row>
    <row r="1161" spans="1:38" ht="15.75" thickBot="1" x14ac:dyDescent="0.3">
      <c r="A1161" s="51"/>
      <c r="B1161" s="51"/>
      <c r="C1161" s="51"/>
      <c r="D1161" s="51"/>
      <c r="E1161" s="51"/>
      <c r="F1161" s="51"/>
      <c r="G1161" s="54"/>
      <c r="H1161" s="53"/>
      <c r="I1161" s="53"/>
      <c r="J1161" s="53"/>
      <c r="K1161" s="53"/>
      <c r="L1161" s="53"/>
      <c r="M1161" s="53"/>
      <c r="N1161" s="53"/>
      <c r="O1161" s="53"/>
      <c r="P1161" s="53"/>
      <c r="Q1161" s="53"/>
      <c r="R1161" s="54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53"/>
      <c r="AC1161" s="53"/>
      <c r="AD1161" s="53"/>
      <c r="AE1161" s="53"/>
      <c r="AF1161" s="53"/>
      <c r="AG1161" s="53"/>
      <c r="AH1161" s="54"/>
      <c r="AI1161" s="53"/>
      <c r="AJ1161" s="53"/>
      <c r="AK1161" s="54"/>
      <c r="AL1161" s="54"/>
    </row>
    <row r="1162" spans="1:38" ht="15.75" thickBot="1" x14ac:dyDescent="0.3">
      <c r="A1162" s="51"/>
      <c r="B1162" s="51"/>
      <c r="C1162" s="51"/>
      <c r="D1162" s="51"/>
      <c r="E1162" s="51"/>
      <c r="F1162" s="51"/>
      <c r="G1162" s="56"/>
      <c r="H1162" s="55"/>
      <c r="I1162" s="55"/>
      <c r="J1162" s="55"/>
      <c r="K1162" s="55"/>
      <c r="L1162" s="55"/>
      <c r="M1162" s="55"/>
      <c r="N1162" s="55"/>
      <c r="O1162" s="55"/>
      <c r="P1162" s="55"/>
      <c r="Q1162" s="55"/>
      <c r="R1162" s="55"/>
      <c r="S1162" s="55"/>
      <c r="T1162" s="55"/>
      <c r="U1162" s="55"/>
      <c r="V1162" s="55"/>
      <c r="W1162" s="55"/>
      <c r="X1162" s="55"/>
      <c r="Y1162" s="55"/>
      <c r="Z1162" s="55"/>
      <c r="AA1162" s="55"/>
      <c r="AB1162" s="56"/>
      <c r="AC1162" s="56"/>
      <c r="AD1162" s="55"/>
      <c r="AE1162" s="55"/>
      <c r="AF1162" s="55"/>
      <c r="AG1162" s="55"/>
      <c r="AH1162" s="56"/>
      <c r="AI1162" s="55"/>
      <c r="AJ1162" s="55"/>
      <c r="AK1162" s="56"/>
      <c r="AL1162" s="56"/>
    </row>
    <row r="1163" spans="1:38" ht="15.75" thickBot="1" x14ac:dyDescent="0.3">
      <c r="A1163" s="51"/>
      <c r="B1163" s="51"/>
      <c r="C1163" s="51"/>
      <c r="D1163" s="51"/>
      <c r="E1163" s="51"/>
      <c r="F1163" s="51"/>
      <c r="G1163" s="54"/>
      <c r="H1163" s="53"/>
      <c r="I1163" s="53"/>
      <c r="J1163" s="53"/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54"/>
      <c r="AC1163" s="54"/>
      <c r="AD1163" s="53"/>
      <c r="AE1163" s="53"/>
      <c r="AF1163" s="53"/>
      <c r="AG1163" s="53"/>
      <c r="AH1163" s="54"/>
      <c r="AI1163" s="53"/>
      <c r="AJ1163" s="53"/>
      <c r="AK1163" s="54"/>
      <c r="AL1163" s="54"/>
    </row>
    <row r="1164" spans="1:38" ht="15.75" thickBot="1" x14ac:dyDescent="0.3">
      <c r="A1164" s="51"/>
      <c r="B1164" s="51"/>
      <c r="C1164" s="51"/>
      <c r="D1164" s="51"/>
      <c r="E1164" s="51"/>
      <c r="F1164" s="51"/>
      <c r="G1164" s="56"/>
      <c r="H1164" s="55"/>
      <c r="I1164" s="55"/>
      <c r="J1164" s="55"/>
      <c r="K1164" s="56"/>
      <c r="L1164" s="55"/>
      <c r="M1164" s="55"/>
      <c r="N1164" s="55"/>
      <c r="O1164" s="55"/>
      <c r="P1164" s="55"/>
      <c r="Q1164" s="55"/>
      <c r="R1164" s="55"/>
      <c r="S1164" s="55"/>
      <c r="T1164" s="55"/>
      <c r="U1164" s="55"/>
      <c r="V1164" s="55"/>
      <c r="W1164" s="55"/>
      <c r="X1164" s="55"/>
      <c r="Y1164" s="55"/>
      <c r="Z1164" s="55"/>
      <c r="AA1164" s="55"/>
      <c r="AB1164" s="55"/>
      <c r="AC1164" s="55"/>
      <c r="AD1164" s="55"/>
      <c r="AE1164" s="55"/>
      <c r="AF1164" s="55"/>
      <c r="AG1164" s="55"/>
      <c r="AH1164" s="56"/>
      <c r="AI1164" s="55"/>
      <c r="AJ1164" s="55"/>
      <c r="AK1164" s="56"/>
      <c r="AL1164" s="56"/>
    </row>
    <row r="1165" spans="1:38" ht="15.75" thickBot="1" x14ac:dyDescent="0.3">
      <c r="A1165" s="51"/>
      <c r="B1165" s="51"/>
      <c r="C1165" s="51"/>
      <c r="D1165" s="51"/>
      <c r="E1165" s="51"/>
      <c r="F1165" s="51"/>
      <c r="G1165" s="54"/>
      <c r="H1165" s="53"/>
      <c r="I1165" s="53"/>
      <c r="J1165" s="53"/>
      <c r="K1165" s="54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3"/>
      <c r="AD1165" s="53"/>
      <c r="AE1165" s="53"/>
      <c r="AF1165" s="53"/>
      <c r="AG1165" s="53"/>
      <c r="AH1165" s="54"/>
      <c r="AI1165" s="53"/>
      <c r="AJ1165" s="53"/>
      <c r="AK1165" s="54"/>
      <c r="AL1165" s="54"/>
    </row>
    <row r="1166" spans="1:38" ht="15.75" thickBot="1" x14ac:dyDescent="0.3">
      <c r="A1166" s="51"/>
      <c r="B1166" s="51"/>
      <c r="C1166" s="51"/>
      <c r="D1166" s="51"/>
      <c r="E1166" s="51"/>
      <c r="F1166" s="51"/>
      <c r="G1166" s="56"/>
      <c r="H1166" s="56"/>
      <c r="I1166" s="55"/>
      <c r="J1166" s="55"/>
      <c r="K1166" s="55"/>
      <c r="L1166" s="55"/>
      <c r="M1166" s="56"/>
      <c r="N1166" s="55"/>
      <c r="O1166" s="55"/>
      <c r="P1166" s="55"/>
      <c r="Q1166" s="55"/>
      <c r="R1166" s="55"/>
      <c r="S1166" s="55"/>
      <c r="T1166" s="55"/>
      <c r="U1166" s="55"/>
      <c r="V1166" s="55"/>
      <c r="W1166" s="55"/>
      <c r="X1166" s="55"/>
      <c r="Y1166" s="55"/>
      <c r="Z1166" s="55"/>
      <c r="AA1166" s="55"/>
      <c r="AB1166" s="55"/>
      <c r="AC1166" s="55"/>
      <c r="AD1166" s="55"/>
      <c r="AE1166" s="55"/>
      <c r="AF1166" s="55"/>
      <c r="AG1166" s="55"/>
      <c r="AH1166" s="56"/>
      <c r="AI1166" s="55"/>
      <c r="AJ1166" s="55"/>
      <c r="AK1166" s="56"/>
      <c r="AL1166" s="56"/>
    </row>
    <row r="1167" spans="1:38" ht="15.75" thickBot="1" x14ac:dyDescent="0.3">
      <c r="A1167" s="51"/>
      <c r="B1167" s="51"/>
      <c r="C1167" s="51"/>
      <c r="D1167" s="51"/>
      <c r="E1167" s="51"/>
      <c r="F1167" s="51"/>
      <c r="G1167" s="54"/>
      <c r="H1167" s="147"/>
      <c r="I1167" s="53"/>
      <c r="J1167" s="53"/>
      <c r="K1167" s="53"/>
      <c r="L1167" s="53"/>
      <c r="M1167" s="54"/>
      <c r="N1167" s="53"/>
      <c r="O1167" s="53"/>
      <c r="P1167" s="53"/>
      <c r="Q1167" s="53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D1167" s="53"/>
      <c r="AE1167" s="53"/>
      <c r="AF1167" s="53"/>
      <c r="AG1167" s="53"/>
      <c r="AH1167" s="54"/>
      <c r="AI1167" s="53"/>
      <c r="AJ1167" s="53"/>
      <c r="AK1167" s="54"/>
      <c r="AL1167" s="54"/>
    </row>
    <row r="1168" spans="1:38" ht="15.75" thickBot="1" x14ac:dyDescent="0.3">
      <c r="A1168" s="51"/>
      <c r="B1168" s="51"/>
      <c r="C1168" s="51"/>
      <c r="D1168" s="51"/>
      <c r="E1168" s="51"/>
      <c r="F1168" s="51"/>
      <c r="G1168" s="56"/>
      <c r="H1168" s="55"/>
      <c r="I1168" s="55"/>
      <c r="J1168" s="55"/>
      <c r="K1168" s="55"/>
      <c r="L1168" s="55"/>
      <c r="M1168" s="55"/>
      <c r="N1168" s="55"/>
      <c r="O1168" s="55"/>
      <c r="P1168" s="55"/>
      <c r="Q1168" s="56"/>
      <c r="R1168" s="55"/>
      <c r="S1168" s="55"/>
      <c r="T1168" s="55"/>
      <c r="U1168" s="55"/>
      <c r="V1168" s="55"/>
      <c r="W1168" s="55"/>
      <c r="X1168" s="55"/>
      <c r="Y1168" s="55"/>
      <c r="Z1168" s="55"/>
      <c r="AA1168" s="55"/>
      <c r="AB1168" s="55"/>
      <c r="AC1168" s="55"/>
      <c r="AD1168" s="55"/>
      <c r="AE1168" s="55"/>
      <c r="AF1168" s="55"/>
      <c r="AG1168" s="55"/>
      <c r="AH1168" s="56"/>
      <c r="AI1168" s="55"/>
      <c r="AJ1168" s="55"/>
      <c r="AK1168" s="56"/>
      <c r="AL1168" s="56"/>
    </row>
    <row r="1169" spans="1:38" ht="15.75" thickBot="1" x14ac:dyDescent="0.3">
      <c r="A1169" s="51"/>
      <c r="B1169" s="51"/>
      <c r="C1169" s="51"/>
      <c r="D1169" s="51"/>
      <c r="E1169" s="51"/>
      <c r="F1169" s="51"/>
      <c r="G1169" s="54"/>
      <c r="H1169" s="53"/>
      <c r="I1169" s="53"/>
      <c r="J1169" s="53"/>
      <c r="K1169" s="53"/>
      <c r="L1169" s="53"/>
      <c r="M1169" s="53"/>
      <c r="N1169" s="53"/>
      <c r="O1169" s="53"/>
      <c r="P1169" s="53"/>
      <c r="Q1169" s="54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D1169" s="53"/>
      <c r="AE1169" s="53"/>
      <c r="AF1169" s="53"/>
      <c r="AG1169" s="53"/>
      <c r="AH1169" s="54"/>
      <c r="AI1169" s="53"/>
      <c r="AJ1169" s="53"/>
      <c r="AK1169" s="54"/>
      <c r="AL1169" s="54"/>
    </row>
    <row r="1170" spans="1:38" ht="15.75" thickBot="1" x14ac:dyDescent="0.3">
      <c r="A1170" s="51"/>
      <c r="B1170" s="51"/>
      <c r="C1170" s="51"/>
      <c r="D1170" s="51"/>
      <c r="E1170" s="51"/>
      <c r="F1170" s="51"/>
      <c r="G1170" s="56"/>
      <c r="H1170" s="55"/>
      <c r="I1170" s="55"/>
      <c r="J1170" s="55"/>
      <c r="K1170" s="55"/>
      <c r="L1170" s="55"/>
      <c r="M1170" s="55"/>
      <c r="N1170" s="55"/>
      <c r="O1170" s="55"/>
      <c r="P1170" s="55"/>
      <c r="Q1170" s="55"/>
      <c r="R1170" s="55"/>
      <c r="S1170" s="55"/>
      <c r="T1170" s="55"/>
      <c r="U1170" s="55"/>
      <c r="V1170" s="55"/>
      <c r="W1170" s="55"/>
      <c r="X1170" s="55"/>
      <c r="Y1170" s="55"/>
      <c r="Z1170" s="56"/>
      <c r="AA1170" s="55"/>
      <c r="AB1170" s="55"/>
      <c r="AC1170" s="55"/>
      <c r="AD1170" s="55"/>
      <c r="AE1170" s="55"/>
      <c r="AF1170" s="55"/>
      <c r="AG1170" s="55"/>
      <c r="AH1170" s="56"/>
      <c r="AI1170" s="55"/>
      <c r="AJ1170" s="55"/>
      <c r="AK1170" s="56"/>
      <c r="AL1170" s="56"/>
    </row>
    <row r="1171" spans="1:38" ht="15.75" thickBot="1" x14ac:dyDescent="0.3">
      <c r="A1171" s="51"/>
      <c r="B1171" s="51"/>
      <c r="C1171" s="51"/>
      <c r="D1171" s="51"/>
      <c r="E1171" s="51"/>
      <c r="F1171" s="51"/>
      <c r="G1171" s="54"/>
      <c r="H1171" s="53"/>
      <c r="I1171" s="53"/>
      <c r="J1171" s="53"/>
      <c r="K1171" s="53"/>
      <c r="L1171" s="53"/>
      <c r="M1171" s="53"/>
      <c r="N1171" s="53"/>
      <c r="O1171" s="53"/>
      <c r="P1171" s="53"/>
      <c r="Q1171" s="53"/>
      <c r="R1171" s="53"/>
      <c r="S1171" s="53"/>
      <c r="T1171" s="53"/>
      <c r="U1171" s="53"/>
      <c r="V1171" s="53"/>
      <c r="W1171" s="53"/>
      <c r="X1171" s="53"/>
      <c r="Y1171" s="53"/>
      <c r="Z1171" s="54"/>
      <c r="AA1171" s="53"/>
      <c r="AB1171" s="53"/>
      <c r="AC1171" s="53"/>
      <c r="AD1171" s="53"/>
      <c r="AE1171" s="53"/>
      <c r="AF1171" s="53"/>
      <c r="AG1171" s="53"/>
      <c r="AH1171" s="54"/>
      <c r="AI1171" s="53"/>
      <c r="AJ1171" s="53"/>
      <c r="AK1171" s="54"/>
      <c r="AL1171" s="54"/>
    </row>
    <row r="1172" spans="1:38" ht="15.75" thickBot="1" x14ac:dyDescent="0.3">
      <c r="A1172" s="51"/>
      <c r="B1172" s="51"/>
      <c r="C1172" s="51"/>
      <c r="D1172" s="51"/>
      <c r="E1172" s="51"/>
      <c r="F1172" s="51"/>
      <c r="G1172" s="56"/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/>
      <c r="S1172" s="55"/>
      <c r="T1172" s="55"/>
      <c r="U1172" s="55"/>
      <c r="V1172" s="55"/>
      <c r="W1172" s="55"/>
      <c r="X1172" s="55"/>
      <c r="Y1172" s="55"/>
      <c r="Z1172" s="55"/>
      <c r="AA1172" s="56"/>
      <c r="AB1172" s="55"/>
      <c r="AC1172" s="55"/>
      <c r="AD1172" s="55"/>
      <c r="AE1172" s="55"/>
      <c r="AF1172" s="55"/>
      <c r="AG1172" s="55"/>
      <c r="AH1172" s="56"/>
      <c r="AI1172" s="55"/>
      <c r="AJ1172" s="55"/>
      <c r="AK1172" s="56"/>
      <c r="AL1172" s="56"/>
    </row>
    <row r="1173" spans="1:38" ht="15.75" thickBot="1" x14ac:dyDescent="0.3">
      <c r="A1173" s="51"/>
      <c r="B1173" s="51"/>
      <c r="C1173" s="51"/>
      <c r="D1173" s="51"/>
      <c r="E1173" s="51"/>
      <c r="F1173" s="51"/>
      <c r="G1173" s="54"/>
      <c r="H1173" s="53"/>
      <c r="I1173" s="53"/>
      <c r="J1173" s="53"/>
      <c r="K1173" s="53"/>
      <c r="L1173" s="53"/>
      <c r="M1173" s="53"/>
      <c r="N1173" s="53"/>
      <c r="O1173" s="53"/>
      <c r="P1173" s="53"/>
      <c r="Q1173" s="53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4"/>
      <c r="AB1173" s="53"/>
      <c r="AC1173" s="53"/>
      <c r="AD1173" s="53"/>
      <c r="AE1173" s="53"/>
      <c r="AF1173" s="53"/>
      <c r="AG1173" s="53"/>
      <c r="AH1173" s="54"/>
      <c r="AI1173" s="53"/>
      <c r="AJ1173" s="53"/>
      <c r="AK1173" s="54"/>
      <c r="AL1173" s="54"/>
    </row>
    <row r="1174" spans="1:38" ht="15.75" thickBot="1" x14ac:dyDescent="0.3">
      <c r="A1174" s="51"/>
      <c r="B1174" s="51"/>
      <c r="C1174" s="51"/>
      <c r="D1174" s="51"/>
      <c r="E1174" s="51"/>
      <c r="F1174" s="51"/>
      <c r="G1174" s="56"/>
      <c r="H1174" s="55"/>
      <c r="I1174" s="55"/>
      <c r="J1174" s="55"/>
      <c r="K1174" s="55"/>
      <c r="L1174" s="55"/>
      <c r="M1174" s="55"/>
      <c r="N1174" s="55"/>
      <c r="O1174" s="55"/>
      <c r="P1174" s="55"/>
      <c r="Q1174" s="55"/>
      <c r="R1174" s="56"/>
      <c r="S1174" s="55"/>
      <c r="T1174" s="55"/>
      <c r="U1174" s="55"/>
      <c r="V1174" s="55"/>
      <c r="W1174" s="55"/>
      <c r="X1174" s="55"/>
      <c r="Y1174" s="55"/>
      <c r="Z1174" s="55"/>
      <c r="AA1174" s="55"/>
      <c r="AB1174" s="55"/>
      <c r="AC1174" s="55"/>
      <c r="AD1174" s="55"/>
      <c r="AE1174" s="55"/>
      <c r="AF1174" s="55"/>
      <c r="AG1174" s="55"/>
      <c r="AH1174" s="56"/>
      <c r="AI1174" s="55"/>
      <c r="AJ1174" s="55"/>
      <c r="AK1174" s="56"/>
      <c r="AL1174" s="56"/>
    </row>
    <row r="1175" spans="1:38" ht="15.75" thickBot="1" x14ac:dyDescent="0.3">
      <c r="A1175" s="51"/>
      <c r="B1175" s="51"/>
      <c r="C1175" s="51"/>
      <c r="D1175" s="51"/>
      <c r="E1175" s="51"/>
      <c r="F1175" s="51"/>
      <c r="G1175" s="54"/>
      <c r="H1175" s="53"/>
      <c r="I1175" s="53"/>
      <c r="J1175" s="53"/>
      <c r="K1175" s="53"/>
      <c r="L1175" s="53"/>
      <c r="M1175" s="53"/>
      <c r="N1175" s="53"/>
      <c r="O1175" s="53"/>
      <c r="P1175" s="53"/>
      <c r="Q1175" s="53"/>
      <c r="R1175" s="54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D1175" s="53"/>
      <c r="AE1175" s="53"/>
      <c r="AF1175" s="53"/>
      <c r="AG1175" s="53"/>
      <c r="AH1175" s="54"/>
      <c r="AI1175" s="53"/>
      <c r="AJ1175" s="53"/>
      <c r="AK1175" s="54"/>
      <c r="AL1175" s="54"/>
    </row>
    <row r="1176" spans="1:38" ht="15.75" thickBot="1" x14ac:dyDescent="0.3">
      <c r="A1176" s="51"/>
      <c r="B1176" s="51"/>
      <c r="C1176" s="51"/>
      <c r="D1176" s="51"/>
      <c r="E1176" s="51"/>
      <c r="F1176" s="51"/>
      <c r="G1176" s="56"/>
      <c r="H1176" s="55"/>
      <c r="I1176" s="55"/>
      <c r="J1176" s="55"/>
      <c r="K1176" s="55"/>
      <c r="L1176" s="55"/>
      <c r="M1176" s="55"/>
      <c r="N1176" s="55"/>
      <c r="O1176" s="55"/>
      <c r="P1176" s="55"/>
      <c r="Q1176" s="55"/>
      <c r="R1176" s="55"/>
      <c r="S1176" s="55"/>
      <c r="T1176" s="55"/>
      <c r="U1176" s="55"/>
      <c r="V1176" s="55"/>
      <c r="W1176" s="55"/>
      <c r="X1176" s="55"/>
      <c r="Y1176" s="55"/>
      <c r="Z1176" s="55"/>
      <c r="AA1176" s="55"/>
      <c r="AB1176" s="56"/>
      <c r="AC1176" s="56"/>
      <c r="AD1176" s="55"/>
      <c r="AE1176" s="55"/>
      <c r="AF1176" s="55"/>
      <c r="AG1176" s="55"/>
      <c r="AH1176" s="56"/>
      <c r="AI1176" s="55"/>
      <c r="AJ1176" s="55"/>
      <c r="AK1176" s="56"/>
      <c r="AL1176" s="56"/>
    </row>
    <row r="1177" spans="1:38" ht="15.75" thickBot="1" x14ac:dyDescent="0.3">
      <c r="A1177" s="51"/>
      <c r="B1177" s="51"/>
      <c r="C1177" s="51"/>
      <c r="D1177" s="51"/>
      <c r="E1177" s="51"/>
      <c r="F1177" s="51"/>
      <c r="G1177" s="54"/>
      <c r="H1177" s="53"/>
      <c r="I1177" s="53"/>
      <c r="J1177" s="53"/>
      <c r="K1177" s="53"/>
      <c r="L1177" s="53"/>
      <c r="M1177" s="53"/>
      <c r="N1177" s="53"/>
      <c r="O1177" s="53"/>
      <c r="P1177" s="53"/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4"/>
      <c r="AC1177" s="54"/>
      <c r="AD1177" s="53"/>
      <c r="AE1177" s="53"/>
      <c r="AF1177" s="53"/>
      <c r="AG1177" s="53"/>
      <c r="AH1177" s="54"/>
      <c r="AI1177" s="53"/>
      <c r="AJ1177" s="53"/>
      <c r="AK1177" s="54"/>
      <c r="AL1177" s="54"/>
    </row>
    <row r="1178" spans="1:38" ht="15.75" thickBot="1" x14ac:dyDescent="0.3">
      <c r="A1178" s="51"/>
      <c r="B1178" s="51"/>
      <c r="C1178" s="51"/>
      <c r="D1178" s="51"/>
      <c r="E1178" s="51"/>
      <c r="F1178" s="51"/>
      <c r="G1178" s="53"/>
      <c r="H1178" s="53"/>
      <c r="I1178" s="53"/>
      <c r="J1178" s="53"/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3"/>
      <c r="AD1178" s="53"/>
      <c r="AE1178" s="53"/>
      <c r="AF1178" s="53"/>
      <c r="AG1178" s="54"/>
      <c r="AH1178" s="54"/>
      <c r="AI1178" s="53"/>
      <c r="AJ1178" s="53"/>
      <c r="AK1178" s="54"/>
      <c r="AL1178" s="54"/>
    </row>
    <row r="1179" spans="1:38" ht="15.75" thickBot="1" x14ac:dyDescent="0.3">
      <c r="A1179" s="51"/>
      <c r="B1179" s="51"/>
      <c r="C1179" s="51"/>
      <c r="D1179" s="51"/>
      <c r="E1179" s="51"/>
      <c r="F1179" s="51"/>
      <c r="G1179" s="55"/>
      <c r="H1179" s="55"/>
      <c r="I1179" s="55"/>
      <c r="J1179" s="55"/>
      <c r="K1179" s="55"/>
      <c r="L1179" s="55"/>
      <c r="M1179" s="55"/>
      <c r="N1179" s="55"/>
      <c r="O1179" s="55"/>
      <c r="P1179" s="55"/>
      <c r="Q1179" s="55"/>
      <c r="R1179" s="55"/>
      <c r="S1179" s="55"/>
      <c r="T1179" s="55"/>
      <c r="U1179" s="55"/>
      <c r="V1179" s="55"/>
      <c r="W1179" s="55"/>
      <c r="X1179" s="55"/>
      <c r="Y1179" s="55"/>
      <c r="Z1179" s="55"/>
      <c r="AA1179" s="55"/>
      <c r="AB1179" s="55"/>
      <c r="AC1179" s="55"/>
      <c r="AD1179" s="55"/>
      <c r="AE1179" s="55"/>
      <c r="AF1179" s="55"/>
      <c r="AG1179" s="56"/>
      <c r="AH1179" s="56"/>
      <c r="AI1179" s="55"/>
      <c r="AJ1179" s="55"/>
      <c r="AK1179" s="56"/>
      <c r="AL1179" s="56"/>
    </row>
    <row r="1180" spans="1:38" ht="15.75" thickBot="1" x14ac:dyDescent="0.3">
      <c r="A1180" s="51"/>
      <c r="B1180" s="51"/>
      <c r="C1180" s="51"/>
      <c r="D1180" s="51"/>
      <c r="E1180" s="51"/>
      <c r="F1180" s="51"/>
      <c r="G1180" s="54"/>
      <c r="H1180" s="53"/>
      <c r="I1180" s="53"/>
      <c r="J1180" s="53"/>
      <c r="K1180" s="54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3"/>
      <c r="AF1180" s="53"/>
      <c r="AG1180" s="53"/>
      <c r="AH1180" s="54"/>
      <c r="AI1180" s="53"/>
      <c r="AJ1180" s="53"/>
      <c r="AK1180" s="54"/>
      <c r="AL1180" s="54"/>
    </row>
    <row r="1181" spans="1:38" ht="15.75" thickBot="1" x14ac:dyDescent="0.3">
      <c r="A1181" s="51"/>
      <c r="B1181" s="51"/>
      <c r="C1181" s="51"/>
      <c r="D1181" s="51"/>
      <c r="E1181" s="51"/>
      <c r="F1181" s="51"/>
      <c r="G1181" s="56"/>
      <c r="H1181" s="55"/>
      <c r="I1181" s="55"/>
      <c r="J1181" s="55"/>
      <c r="K1181" s="56"/>
      <c r="L1181" s="55"/>
      <c r="M1181" s="55"/>
      <c r="N1181" s="55"/>
      <c r="O1181" s="55"/>
      <c r="P1181" s="55"/>
      <c r="Q1181" s="55"/>
      <c r="R1181" s="55"/>
      <c r="S1181" s="55"/>
      <c r="T1181" s="55"/>
      <c r="U1181" s="55"/>
      <c r="V1181" s="55"/>
      <c r="W1181" s="55"/>
      <c r="X1181" s="55"/>
      <c r="Y1181" s="55"/>
      <c r="Z1181" s="55"/>
      <c r="AA1181" s="55"/>
      <c r="AB1181" s="55"/>
      <c r="AC1181" s="55"/>
      <c r="AD1181" s="55"/>
      <c r="AE1181" s="55"/>
      <c r="AF1181" s="55"/>
      <c r="AG1181" s="55"/>
      <c r="AH1181" s="56"/>
      <c r="AI1181" s="55"/>
      <c r="AJ1181" s="55"/>
      <c r="AK1181" s="56"/>
      <c r="AL1181" s="56"/>
    </row>
    <row r="1182" spans="1:38" ht="15.75" thickBot="1" x14ac:dyDescent="0.3">
      <c r="A1182" s="51"/>
      <c r="B1182" s="51"/>
      <c r="C1182" s="51"/>
      <c r="D1182" s="51"/>
      <c r="E1182" s="51"/>
      <c r="F1182" s="51"/>
      <c r="G1182" s="54"/>
      <c r="H1182" s="54"/>
      <c r="I1182" s="53"/>
      <c r="J1182" s="53"/>
      <c r="K1182" s="53"/>
      <c r="L1182" s="53"/>
      <c r="M1182" s="54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D1182" s="53"/>
      <c r="AE1182" s="53"/>
      <c r="AF1182" s="53"/>
      <c r="AG1182" s="53"/>
      <c r="AH1182" s="54"/>
      <c r="AI1182" s="53"/>
      <c r="AJ1182" s="53"/>
      <c r="AK1182" s="54"/>
      <c r="AL1182" s="54"/>
    </row>
    <row r="1183" spans="1:38" ht="15.75" thickBot="1" x14ac:dyDescent="0.3">
      <c r="A1183" s="51"/>
      <c r="B1183" s="51"/>
      <c r="C1183" s="51"/>
      <c r="D1183" s="51"/>
      <c r="E1183" s="51"/>
      <c r="F1183" s="51"/>
      <c r="G1183" s="56"/>
      <c r="H1183" s="148"/>
      <c r="I1183" s="55"/>
      <c r="J1183" s="55"/>
      <c r="K1183" s="55"/>
      <c r="L1183" s="55"/>
      <c r="M1183" s="56"/>
      <c r="N1183" s="55"/>
      <c r="O1183" s="55"/>
      <c r="P1183" s="55"/>
      <c r="Q1183" s="55"/>
      <c r="R1183" s="55"/>
      <c r="S1183" s="55"/>
      <c r="T1183" s="55"/>
      <c r="U1183" s="55"/>
      <c r="V1183" s="55"/>
      <c r="W1183" s="55"/>
      <c r="X1183" s="55"/>
      <c r="Y1183" s="55"/>
      <c r="Z1183" s="55"/>
      <c r="AA1183" s="55"/>
      <c r="AB1183" s="55"/>
      <c r="AC1183" s="55"/>
      <c r="AD1183" s="55"/>
      <c r="AE1183" s="55"/>
      <c r="AF1183" s="55"/>
      <c r="AG1183" s="55"/>
      <c r="AH1183" s="56"/>
      <c r="AI1183" s="55"/>
      <c r="AJ1183" s="55"/>
      <c r="AK1183" s="56"/>
      <c r="AL1183" s="56"/>
    </row>
    <row r="1184" spans="1:38" ht="15.75" thickBot="1" x14ac:dyDescent="0.3">
      <c r="A1184" s="51"/>
      <c r="B1184" s="51"/>
      <c r="C1184" s="51"/>
      <c r="D1184" s="51"/>
      <c r="E1184" s="51"/>
      <c r="F1184" s="51"/>
      <c r="G1184" s="54"/>
      <c r="H1184" s="53"/>
      <c r="I1184" s="53"/>
      <c r="J1184" s="53"/>
      <c r="K1184" s="53"/>
      <c r="L1184" s="53"/>
      <c r="M1184" s="53"/>
      <c r="N1184" s="53"/>
      <c r="O1184" s="53"/>
      <c r="P1184" s="53"/>
      <c r="Q1184" s="54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D1184" s="53"/>
      <c r="AE1184" s="53"/>
      <c r="AF1184" s="53"/>
      <c r="AG1184" s="53"/>
      <c r="AH1184" s="54"/>
      <c r="AI1184" s="53"/>
      <c r="AJ1184" s="53"/>
      <c r="AK1184" s="54"/>
      <c r="AL1184" s="54"/>
    </row>
    <row r="1185" spans="1:38" ht="15.75" thickBot="1" x14ac:dyDescent="0.3">
      <c r="A1185" s="51"/>
      <c r="B1185" s="51"/>
      <c r="C1185" s="51"/>
      <c r="D1185" s="51"/>
      <c r="E1185" s="51"/>
      <c r="F1185" s="51"/>
      <c r="G1185" s="56"/>
      <c r="H1185" s="55"/>
      <c r="I1185" s="55"/>
      <c r="J1185" s="55"/>
      <c r="K1185" s="55"/>
      <c r="L1185" s="55"/>
      <c r="M1185" s="55"/>
      <c r="N1185" s="55"/>
      <c r="O1185" s="55"/>
      <c r="P1185" s="55"/>
      <c r="Q1185" s="56"/>
      <c r="R1185" s="55"/>
      <c r="S1185" s="55"/>
      <c r="T1185" s="55"/>
      <c r="U1185" s="55"/>
      <c r="V1185" s="55"/>
      <c r="W1185" s="55"/>
      <c r="X1185" s="55"/>
      <c r="Y1185" s="55"/>
      <c r="Z1185" s="55"/>
      <c r="AA1185" s="55"/>
      <c r="AB1185" s="55"/>
      <c r="AC1185" s="55"/>
      <c r="AD1185" s="55"/>
      <c r="AE1185" s="55"/>
      <c r="AF1185" s="55"/>
      <c r="AG1185" s="55"/>
      <c r="AH1185" s="56"/>
      <c r="AI1185" s="55"/>
      <c r="AJ1185" s="55"/>
      <c r="AK1185" s="56"/>
      <c r="AL1185" s="56"/>
    </row>
    <row r="1186" spans="1:38" ht="15.75" thickBot="1" x14ac:dyDescent="0.3">
      <c r="A1186" s="51"/>
      <c r="B1186" s="51"/>
      <c r="C1186" s="51"/>
      <c r="D1186" s="51"/>
      <c r="E1186" s="51"/>
      <c r="F1186" s="51"/>
      <c r="G1186" s="54"/>
      <c r="H1186" s="53"/>
      <c r="I1186" s="53"/>
      <c r="J1186" s="53"/>
      <c r="K1186" s="53"/>
      <c r="L1186" s="53"/>
      <c r="M1186" s="53"/>
      <c r="N1186" s="53"/>
      <c r="O1186" s="53"/>
      <c r="P1186" s="53"/>
      <c r="Q1186" s="53"/>
      <c r="R1186" s="53"/>
      <c r="S1186" s="53"/>
      <c r="T1186" s="53"/>
      <c r="U1186" s="53"/>
      <c r="V1186" s="53"/>
      <c r="W1186" s="53"/>
      <c r="X1186" s="53"/>
      <c r="Y1186" s="53"/>
      <c r="Z1186" s="54"/>
      <c r="AA1186" s="53"/>
      <c r="AB1186" s="53"/>
      <c r="AC1186" s="53"/>
      <c r="AD1186" s="53"/>
      <c r="AE1186" s="53"/>
      <c r="AF1186" s="53"/>
      <c r="AG1186" s="53"/>
      <c r="AH1186" s="54"/>
      <c r="AI1186" s="53"/>
      <c r="AJ1186" s="53"/>
      <c r="AK1186" s="54"/>
      <c r="AL1186" s="54"/>
    </row>
    <row r="1187" spans="1:38" ht="15.75" thickBot="1" x14ac:dyDescent="0.3">
      <c r="A1187" s="51"/>
      <c r="B1187" s="51"/>
      <c r="C1187" s="51"/>
      <c r="D1187" s="51"/>
      <c r="E1187" s="51"/>
      <c r="F1187" s="51"/>
      <c r="G1187" s="56"/>
      <c r="H1187" s="55"/>
      <c r="I1187" s="55"/>
      <c r="J1187" s="55"/>
      <c r="K1187" s="55"/>
      <c r="L1187" s="55"/>
      <c r="M1187" s="55"/>
      <c r="N1187" s="55"/>
      <c r="O1187" s="55"/>
      <c r="P1187" s="55"/>
      <c r="Q1187" s="55"/>
      <c r="R1187" s="55"/>
      <c r="S1187" s="55"/>
      <c r="T1187" s="55"/>
      <c r="U1187" s="55"/>
      <c r="V1187" s="55"/>
      <c r="W1187" s="55"/>
      <c r="X1187" s="55"/>
      <c r="Y1187" s="55"/>
      <c r="Z1187" s="56"/>
      <c r="AA1187" s="55"/>
      <c r="AB1187" s="55"/>
      <c r="AC1187" s="55"/>
      <c r="AD1187" s="55"/>
      <c r="AE1187" s="55"/>
      <c r="AF1187" s="55"/>
      <c r="AG1187" s="55"/>
      <c r="AH1187" s="56"/>
      <c r="AI1187" s="55"/>
      <c r="AJ1187" s="55"/>
      <c r="AK1187" s="56"/>
      <c r="AL1187" s="56"/>
    </row>
    <row r="1188" spans="1:38" ht="15.75" thickBot="1" x14ac:dyDescent="0.3">
      <c r="A1188" s="51"/>
      <c r="B1188" s="51"/>
      <c r="C1188" s="51"/>
      <c r="D1188" s="51"/>
      <c r="E1188" s="51"/>
      <c r="F1188" s="51"/>
      <c r="G1188" s="54"/>
      <c r="H1188" s="53"/>
      <c r="I1188" s="53"/>
      <c r="J1188" s="53"/>
      <c r="K1188" s="53"/>
      <c r="L1188" s="53"/>
      <c r="M1188" s="53"/>
      <c r="N1188" s="53"/>
      <c r="O1188" s="53"/>
      <c r="P1188" s="53"/>
      <c r="Q1188" s="53"/>
      <c r="R1188" s="53"/>
      <c r="S1188" s="53"/>
      <c r="T1188" s="53"/>
      <c r="U1188" s="53"/>
      <c r="V1188" s="53"/>
      <c r="W1188" s="53"/>
      <c r="X1188" s="53"/>
      <c r="Y1188" s="53"/>
      <c r="Z1188" s="54"/>
      <c r="AA1188" s="53"/>
      <c r="AB1188" s="53"/>
      <c r="AC1188" s="53"/>
      <c r="AD1188" s="53"/>
      <c r="AE1188" s="53"/>
      <c r="AF1188" s="53"/>
      <c r="AG1188" s="53"/>
      <c r="AH1188" s="54"/>
      <c r="AI1188" s="53"/>
      <c r="AJ1188" s="53"/>
      <c r="AK1188" s="54"/>
      <c r="AL1188" s="54"/>
    </row>
    <row r="1189" spans="1:38" ht="15.75" thickBot="1" x14ac:dyDescent="0.3">
      <c r="A1189" s="51"/>
      <c r="B1189" s="51"/>
      <c r="C1189" s="51"/>
      <c r="D1189" s="51"/>
      <c r="E1189" s="51"/>
      <c r="F1189" s="51"/>
      <c r="G1189" s="56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/>
      <c r="S1189" s="55"/>
      <c r="T1189" s="55"/>
      <c r="U1189" s="55"/>
      <c r="V1189" s="55"/>
      <c r="W1189" s="55"/>
      <c r="X1189" s="55"/>
      <c r="Y1189" s="55"/>
      <c r="Z1189" s="56"/>
      <c r="AA1189" s="55"/>
      <c r="AB1189" s="55"/>
      <c r="AC1189" s="55"/>
      <c r="AD1189" s="55"/>
      <c r="AE1189" s="55"/>
      <c r="AF1189" s="55"/>
      <c r="AG1189" s="55"/>
      <c r="AH1189" s="56"/>
      <c r="AI1189" s="55"/>
      <c r="AJ1189" s="55"/>
      <c r="AK1189" s="56"/>
      <c r="AL1189" s="56"/>
    </row>
    <row r="1190" spans="1:38" ht="15.75" thickBot="1" x14ac:dyDescent="0.3">
      <c r="A1190" s="51"/>
      <c r="B1190" s="51"/>
      <c r="C1190" s="51"/>
      <c r="D1190" s="51"/>
      <c r="E1190" s="51"/>
      <c r="F1190" s="51"/>
      <c r="G1190" s="54"/>
      <c r="H1190" s="53"/>
      <c r="I1190" s="53"/>
      <c r="J1190" s="53"/>
      <c r="K1190" s="53"/>
      <c r="L1190" s="53"/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4"/>
      <c r="AB1190" s="53"/>
      <c r="AC1190" s="53"/>
      <c r="AD1190" s="53"/>
      <c r="AE1190" s="53"/>
      <c r="AF1190" s="53"/>
      <c r="AG1190" s="53"/>
      <c r="AH1190" s="54"/>
      <c r="AI1190" s="53"/>
      <c r="AJ1190" s="53"/>
      <c r="AK1190" s="54"/>
      <c r="AL1190" s="54"/>
    </row>
    <row r="1191" spans="1:38" ht="15.75" thickBot="1" x14ac:dyDescent="0.3">
      <c r="A1191" s="51"/>
      <c r="B1191" s="51"/>
      <c r="C1191" s="51"/>
      <c r="D1191" s="51"/>
      <c r="E1191" s="51"/>
      <c r="F1191" s="51"/>
      <c r="G1191" s="56"/>
      <c r="H1191" s="55"/>
      <c r="I1191" s="55"/>
      <c r="J1191" s="55"/>
      <c r="K1191" s="55"/>
      <c r="L1191" s="55"/>
      <c r="M1191" s="55"/>
      <c r="N1191" s="55"/>
      <c r="O1191" s="55"/>
      <c r="P1191" s="55"/>
      <c r="Q1191" s="55"/>
      <c r="R1191" s="55"/>
      <c r="S1191" s="55"/>
      <c r="T1191" s="55"/>
      <c r="U1191" s="55"/>
      <c r="V1191" s="55"/>
      <c r="W1191" s="55"/>
      <c r="X1191" s="55"/>
      <c r="Y1191" s="55"/>
      <c r="Z1191" s="55"/>
      <c r="AA1191" s="56"/>
      <c r="AB1191" s="55"/>
      <c r="AC1191" s="55"/>
      <c r="AD1191" s="55"/>
      <c r="AE1191" s="55"/>
      <c r="AF1191" s="55"/>
      <c r="AG1191" s="55"/>
      <c r="AH1191" s="56"/>
      <c r="AI1191" s="55"/>
      <c r="AJ1191" s="55"/>
      <c r="AK1191" s="56"/>
      <c r="AL1191" s="56"/>
    </row>
    <row r="1192" spans="1:38" ht="15.75" thickBot="1" x14ac:dyDescent="0.3">
      <c r="A1192" s="51"/>
      <c r="B1192" s="51"/>
      <c r="C1192" s="51"/>
      <c r="D1192" s="51"/>
      <c r="E1192" s="51"/>
      <c r="F1192" s="51"/>
      <c r="G1192" s="54"/>
      <c r="H1192" s="53"/>
      <c r="I1192" s="53"/>
      <c r="J1192" s="53"/>
      <c r="K1192" s="53"/>
      <c r="L1192" s="53"/>
      <c r="M1192" s="53"/>
      <c r="N1192" s="53"/>
      <c r="O1192" s="53"/>
      <c r="P1192" s="53"/>
      <c r="Q1192" s="53"/>
      <c r="R1192" s="54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D1192" s="53"/>
      <c r="AE1192" s="53"/>
      <c r="AF1192" s="53"/>
      <c r="AG1192" s="53"/>
      <c r="AH1192" s="54"/>
      <c r="AI1192" s="53"/>
      <c r="AJ1192" s="53"/>
      <c r="AK1192" s="54"/>
      <c r="AL1192" s="54"/>
    </row>
    <row r="1193" spans="1:38" ht="15.75" thickBot="1" x14ac:dyDescent="0.3">
      <c r="A1193" s="51"/>
      <c r="B1193" s="51"/>
      <c r="C1193" s="51"/>
      <c r="D1193" s="51"/>
      <c r="E1193" s="51"/>
      <c r="F1193" s="51"/>
      <c r="G1193" s="56"/>
      <c r="H1193" s="55"/>
      <c r="I1193" s="55"/>
      <c r="J1193" s="55"/>
      <c r="K1193" s="55"/>
      <c r="L1193" s="55"/>
      <c r="M1193" s="55"/>
      <c r="N1193" s="55"/>
      <c r="O1193" s="55"/>
      <c r="P1193" s="55"/>
      <c r="Q1193" s="55"/>
      <c r="R1193" s="56"/>
      <c r="S1193" s="55"/>
      <c r="T1193" s="55"/>
      <c r="U1193" s="55"/>
      <c r="V1193" s="55"/>
      <c r="W1193" s="55"/>
      <c r="X1193" s="55"/>
      <c r="Y1193" s="55"/>
      <c r="Z1193" s="55"/>
      <c r="AA1193" s="55"/>
      <c r="AB1193" s="55"/>
      <c r="AC1193" s="55"/>
      <c r="AD1193" s="55"/>
      <c r="AE1193" s="55"/>
      <c r="AF1193" s="55"/>
      <c r="AG1193" s="55"/>
      <c r="AH1193" s="56"/>
      <c r="AI1193" s="55"/>
      <c r="AJ1193" s="55"/>
      <c r="AK1193" s="56"/>
      <c r="AL1193" s="56"/>
    </row>
    <row r="1194" spans="1:38" ht="15.75" thickBot="1" x14ac:dyDescent="0.3">
      <c r="A1194" s="51"/>
      <c r="B1194" s="51"/>
      <c r="C1194" s="51"/>
      <c r="D1194" s="51"/>
      <c r="E1194" s="51"/>
      <c r="F1194" s="51"/>
      <c r="G1194" s="54"/>
      <c r="H1194" s="53"/>
      <c r="I1194" s="53"/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53"/>
      <c r="AC1194" s="54"/>
      <c r="AD1194" s="53"/>
      <c r="AE1194" s="53"/>
      <c r="AF1194" s="53"/>
      <c r="AG1194" s="53"/>
      <c r="AH1194" s="54"/>
      <c r="AI1194" s="53"/>
      <c r="AJ1194" s="53"/>
      <c r="AK1194" s="54"/>
      <c r="AL1194" s="54"/>
    </row>
    <row r="1195" spans="1:38" ht="15.75" thickBot="1" x14ac:dyDescent="0.3">
      <c r="A1195" s="51"/>
      <c r="B1195" s="51"/>
      <c r="C1195" s="51"/>
      <c r="D1195" s="51"/>
      <c r="E1195" s="51"/>
      <c r="F1195" s="51"/>
      <c r="G1195" s="56"/>
      <c r="H1195" s="55"/>
      <c r="I1195" s="55"/>
      <c r="J1195" s="55"/>
      <c r="K1195" s="55"/>
      <c r="L1195" s="55"/>
      <c r="M1195" s="55"/>
      <c r="N1195" s="55"/>
      <c r="O1195" s="55"/>
      <c r="P1195" s="55"/>
      <c r="Q1195" s="55"/>
      <c r="R1195" s="55"/>
      <c r="S1195" s="55"/>
      <c r="T1195" s="55"/>
      <c r="U1195" s="55"/>
      <c r="V1195" s="55"/>
      <c r="W1195" s="55"/>
      <c r="X1195" s="55"/>
      <c r="Y1195" s="55"/>
      <c r="Z1195" s="55"/>
      <c r="AA1195" s="55"/>
      <c r="AB1195" s="55"/>
      <c r="AC1195" s="56"/>
      <c r="AD1195" s="55"/>
      <c r="AE1195" s="55"/>
      <c r="AF1195" s="55"/>
      <c r="AG1195" s="55"/>
      <c r="AH1195" s="56"/>
      <c r="AI1195" s="55"/>
      <c r="AJ1195" s="55"/>
      <c r="AK1195" s="56"/>
      <c r="AL1195" s="56"/>
    </row>
    <row r="1196" spans="1:38" ht="15.75" thickBot="1" x14ac:dyDescent="0.3">
      <c r="A1196" s="51"/>
      <c r="B1196" s="51"/>
      <c r="C1196" s="51"/>
      <c r="D1196" s="51"/>
      <c r="E1196" s="51"/>
      <c r="F1196" s="51"/>
      <c r="G1196" s="54"/>
      <c r="H1196" s="53"/>
      <c r="I1196" s="53"/>
      <c r="J1196" s="53"/>
      <c r="K1196" s="53"/>
      <c r="L1196" s="53"/>
      <c r="M1196" s="53"/>
      <c r="N1196" s="53"/>
      <c r="O1196" s="53"/>
      <c r="P1196" s="53"/>
      <c r="Q1196" s="53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54"/>
      <c r="AC1196" s="53"/>
      <c r="AD1196" s="53"/>
      <c r="AE1196" s="53"/>
      <c r="AF1196" s="53"/>
      <c r="AG1196" s="53"/>
      <c r="AH1196" s="54"/>
      <c r="AI1196" s="53"/>
      <c r="AJ1196" s="53"/>
      <c r="AK1196" s="54"/>
      <c r="AL1196" s="54"/>
    </row>
    <row r="1197" spans="1:38" ht="15.75" thickBot="1" x14ac:dyDescent="0.3">
      <c r="A1197" s="51"/>
      <c r="B1197" s="51"/>
      <c r="C1197" s="51"/>
      <c r="D1197" s="51"/>
      <c r="E1197" s="51"/>
      <c r="F1197" s="51"/>
      <c r="G1197" s="56"/>
      <c r="H1197" s="55"/>
      <c r="I1197" s="55"/>
      <c r="J1197" s="55"/>
      <c r="K1197" s="55"/>
      <c r="L1197" s="55"/>
      <c r="M1197" s="55"/>
      <c r="N1197" s="55"/>
      <c r="O1197" s="55"/>
      <c r="P1197" s="55"/>
      <c r="Q1197" s="55"/>
      <c r="R1197" s="55"/>
      <c r="S1197" s="55"/>
      <c r="T1197" s="55"/>
      <c r="U1197" s="55"/>
      <c r="V1197" s="55"/>
      <c r="W1197" s="55"/>
      <c r="X1197" s="55"/>
      <c r="Y1197" s="55"/>
      <c r="Z1197" s="55"/>
      <c r="AA1197" s="55"/>
      <c r="AB1197" s="56"/>
      <c r="AC1197" s="55"/>
      <c r="AD1197" s="55"/>
      <c r="AE1197" s="55"/>
      <c r="AF1197" s="55"/>
      <c r="AG1197" s="55"/>
      <c r="AH1197" s="56"/>
      <c r="AI1197" s="55"/>
      <c r="AJ1197" s="55"/>
      <c r="AK1197" s="56"/>
      <c r="AL1197" s="56"/>
    </row>
    <row r="1198" spans="1:38" ht="15.75" thickBot="1" x14ac:dyDescent="0.3">
      <c r="A1198" s="51"/>
      <c r="B1198" s="51"/>
      <c r="C1198" s="51"/>
      <c r="D1198" s="51"/>
      <c r="E1198" s="51"/>
      <c r="F1198" s="51"/>
      <c r="G1198" s="53"/>
      <c r="H1198" s="53"/>
      <c r="I1198" s="53"/>
      <c r="J1198" s="53"/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3"/>
      <c r="AD1198" s="53"/>
      <c r="AE1198" s="53"/>
      <c r="AF1198" s="53"/>
      <c r="AG1198" s="54"/>
      <c r="AH1198" s="54"/>
      <c r="AI1198" s="53"/>
      <c r="AJ1198" s="53"/>
      <c r="AK1198" s="54"/>
      <c r="AL1198" s="54"/>
    </row>
    <row r="1199" spans="1:38" ht="15.75" thickBot="1" x14ac:dyDescent="0.3">
      <c r="A1199" s="51"/>
      <c r="B1199" s="51"/>
      <c r="C1199" s="51"/>
      <c r="D1199" s="51"/>
      <c r="E1199" s="51"/>
      <c r="F1199" s="51"/>
      <c r="G1199" s="55"/>
      <c r="H1199" s="55"/>
      <c r="I1199" s="55"/>
      <c r="J1199" s="55"/>
      <c r="K1199" s="55"/>
      <c r="L1199" s="55"/>
      <c r="M1199" s="55"/>
      <c r="N1199" s="55"/>
      <c r="O1199" s="55"/>
      <c r="P1199" s="55"/>
      <c r="Q1199" s="55"/>
      <c r="R1199" s="55"/>
      <c r="S1199" s="55"/>
      <c r="T1199" s="55"/>
      <c r="U1199" s="55"/>
      <c r="V1199" s="55"/>
      <c r="W1199" s="55"/>
      <c r="X1199" s="55"/>
      <c r="Y1199" s="55"/>
      <c r="Z1199" s="55"/>
      <c r="AA1199" s="55"/>
      <c r="AB1199" s="55"/>
      <c r="AC1199" s="55"/>
      <c r="AD1199" s="55"/>
      <c r="AE1199" s="55"/>
      <c r="AF1199" s="55"/>
      <c r="AG1199" s="56"/>
      <c r="AH1199" s="56"/>
      <c r="AI1199" s="55"/>
      <c r="AJ1199" s="55"/>
      <c r="AK1199" s="56"/>
      <c r="AL1199" s="56"/>
    </row>
    <row r="1200" spans="1:38" ht="15.75" thickBot="1" x14ac:dyDescent="0.3">
      <c r="A1200" s="51"/>
      <c r="B1200" s="51"/>
      <c r="C1200" s="51"/>
      <c r="D1200" s="51"/>
      <c r="E1200" s="51"/>
      <c r="F1200" s="51"/>
      <c r="G1200" s="54"/>
      <c r="H1200" s="53"/>
      <c r="I1200" s="53"/>
      <c r="J1200" s="53"/>
      <c r="K1200" s="54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3"/>
      <c r="AD1200" s="53"/>
      <c r="AE1200" s="53"/>
      <c r="AF1200" s="53"/>
      <c r="AG1200" s="53"/>
      <c r="AH1200" s="54"/>
      <c r="AI1200" s="53"/>
      <c r="AJ1200" s="53"/>
      <c r="AK1200" s="54"/>
      <c r="AL1200" s="54"/>
    </row>
    <row r="1201" spans="1:38" ht="15.75" thickBot="1" x14ac:dyDescent="0.3">
      <c r="A1201" s="51"/>
      <c r="B1201" s="51"/>
      <c r="C1201" s="51"/>
      <c r="D1201" s="51"/>
      <c r="E1201" s="51"/>
      <c r="F1201" s="51"/>
      <c r="G1201" s="56"/>
      <c r="H1201" s="55"/>
      <c r="I1201" s="55"/>
      <c r="J1201" s="55"/>
      <c r="K1201" s="56"/>
      <c r="L1201" s="55"/>
      <c r="M1201" s="55"/>
      <c r="N1201" s="55"/>
      <c r="O1201" s="55"/>
      <c r="P1201" s="55"/>
      <c r="Q1201" s="55"/>
      <c r="R1201" s="55"/>
      <c r="S1201" s="55"/>
      <c r="T1201" s="55"/>
      <c r="U1201" s="55"/>
      <c r="V1201" s="55"/>
      <c r="W1201" s="55"/>
      <c r="X1201" s="55"/>
      <c r="Y1201" s="55"/>
      <c r="Z1201" s="55"/>
      <c r="AA1201" s="55"/>
      <c r="AB1201" s="55"/>
      <c r="AC1201" s="55"/>
      <c r="AD1201" s="55"/>
      <c r="AE1201" s="55"/>
      <c r="AF1201" s="55"/>
      <c r="AG1201" s="55"/>
      <c r="AH1201" s="56"/>
      <c r="AI1201" s="55"/>
      <c r="AJ1201" s="55"/>
      <c r="AK1201" s="56"/>
      <c r="AL1201" s="56"/>
    </row>
    <row r="1202" spans="1:38" ht="15.75" thickBot="1" x14ac:dyDescent="0.3">
      <c r="A1202" s="51"/>
      <c r="B1202" s="51"/>
      <c r="C1202" s="51"/>
      <c r="D1202" s="51"/>
      <c r="E1202" s="51"/>
      <c r="F1202" s="51"/>
      <c r="G1202" s="54"/>
      <c r="H1202" s="54"/>
      <c r="I1202" s="53"/>
      <c r="J1202" s="53"/>
      <c r="K1202" s="53"/>
      <c r="L1202" s="53"/>
      <c r="M1202" s="54"/>
      <c r="N1202" s="53"/>
      <c r="O1202" s="53"/>
      <c r="P1202" s="53"/>
      <c r="Q1202" s="53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53"/>
      <c r="AC1202" s="53"/>
      <c r="AD1202" s="53"/>
      <c r="AE1202" s="53"/>
      <c r="AF1202" s="53"/>
      <c r="AG1202" s="53"/>
      <c r="AH1202" s="54"/>
      <c r="AI1202" s="53"/>
      <c r="AJ1202" s="53"/>
      <c r="AK1202" s="54"/>
      <c r="AL1202" s="54"/>
    </row>
    <row r="1203" spans="1:38" ht="15.75" thickBot="1" x14ac:dyDescent="0.3">
      <c r="A1203" s="51"/>
      <c r="B1203" s="51"/>
      <c r="C1203" s="51"/>
      <c r="D1203" s="51"/>
      <c r="E1203" s="51"/>
      <c r="F1203" s="51"/>
      <c r="G1203" s="56"/>
      <c r="H1203" s="148"/>
      <c r="I1203" s="55"/>
      <c r="J1203" s="55"/>
      <c r="K1203" s="55"/>
      <c r="L1203" s="55"/>
      <c r="M1203" s="56"/>
      <c r="N1203" s="55"/>
      <c r="O1203" s="55"/>
      <c r="P1203" s="55"/>
      <c r="Q1203" s="55"/>
      <c r="R1203" s="55"/>
      <c r="S1203" s="55"/>
      <c r="T1203" s="55"/>
      <c r="U1203" s="55"/>
      <c r="V1203" s="55"/>
      <c r="W1203" s="55"/>
      <c r="X1203" s="55"/>
      <c r="Y1203" s="55"/>
      <c r="Z1203" s="55"/>
      <c r="AA1203" s="55"/>
      <c r="AB1203" s="55"/>
      <c r="AC1203" s="55"/>
      <c r="AD1203" s="55"/>
      <c r="AE1203" s="55"/>
      <c r="AF1203" s="55"/>
      <c r="AG1203" s="55"/>
      <c r="AH1203" s="56"/>
      <c r="AI1203" s="55"/>
      <c r="AJ1203" s="55"/>
      <c r="AK1203" s="56"/>
      <c r="AL1203" s="56"/>
    </row>
    <row r="1204" spans="1:38" ht="15.75" thickBot="1" x14ac:dyDescent="0.3">
      <c r="A1204" s="51"/>
      <c r="B1204" s="51"/>
      <c r="C1204" s="51"/>
      <c r="D1204" s="51"/>
      <c r="E1204" s="51"/>
      <c r="F1204" s="51"/>
      <c r="G1204" s="54"/>
      <c r="H1204" s="53"/>
      <c r="I1204" s="53"/>
      <c r="J1204" s="53"/>
      <c r="K1204" s="53"/>
      <c r="L1204" s="53"/>
      <c r="M1204" s="53"/>
      <c r="N1204" s="53"/>
      <c r="O1204" s="53"/>
      <c r="P1204" s="53"/>
      <c r="Q1204" s="54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D1204" s="53"/>
      <c r="AE1204" s="53"/>
      <c r="AF1204" s="53"/>
      <c r="AG1204" s="53"/>
      <c r="AH1204" s="54"/>
      <c r="AI1204" s="53"/>
      <c r="AJ1204" s="53"/>
      <c r="AK1204" s="54"/>
      <c r="AL1204" s="54"/>
    </row>
    <row r="1205" spans="1:38" ht="15.75" thickBot="1" x14ac:dyDescent="0.3">
      <c r="A1205" s="51"/>
      <c r="B1205" s="51"/>
      <c r="C1205" s="51"/>
      <c r="D1205" s="51"/>
      <c r="E1205" s="51"/>
      <c r="F1205" s="51"/>
      <c r="G1205" s="56"/>
      <c r="H1205" s="55"/>
      <c r="I1205" s="55"/>
      <c r="J1205" s="55"/>
      <c r="K1205" s="55"/>
      <c r="L1205" s="55"/>
      <c r="M1205" s="55"/>
      <c r="N1205" s="55"/>
      <c r="O1205" s="55"/>
      <c r="P1205" s="55"/>
      <c r="Q1205" s="56"/>
      <c r="R1205" s="55"/>
      <c r="S1205" s="55"/>
      <c r="T1205" s="55"/>
      <c r="U1205" s="55"/>
      <c r="V1205" s="55"/>
      <c r="W1205" s="55"/>
      <c r="X1205" s="55"/>
      <c r="Y1205" s="55"/>
      <c r="Z1205" s="55"/>
      <c r="AA1205" s="55"/>
      <c r="AB1205" s="55"/>
      <c r="AC1205" s="55"/>
      <c r="AD1205" s="55"/>
      <c r="AE1205" s="55"/>
      <c r="AF1205" s="55"/>
      <c r="AG1205" s="55"/>
      <c r="AH1205" s="56"/>
      <c r="AI1205" s="55"/>
      <c r="AJ1205" s="55"/>
      <c r="AK1205" s="56"/>
      <c r="AL1205" s="56"/>
    </row>
    <row r="1206" spans="1:38" ht="15.75" thickBot="1" x14ac:dyDescent="0.3">
      <c r="A1206" s="51"/>
      <c r="B1206" s="51"/>
      <c r="C1206" s="51"/>
      <c r="D1206" s="51"/>
      <c r="E1206" s="51"/>
      <c r="F1206" s="51"/>
      <c r="G1206" s="54"/>
      <c r="H1206" s="53"/>
      <c r="I1206" s="53"/>
      <c r="J1206" s="53"/>
      <c r="K1206" s="53"/>
      <c r="L1206" s="53"/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4"/>
      <c r="AA1206" s="53"/>
      <c r="AB1206" s="53"/>
      <c r="AC1206" s="53"/>
      <c r="AD1206" s="53"/>
      <c r="AE1206" s="53"/>
      <c r="AF1206" s="53"/>
      <c r="AG1206" s="53"/>
      <c r="AH1206" s="54"/>
      <c r="AI1206" s="53"/>
      <c r="AJ1206" s="53"/>
      <c r="AK1206" s="54"/>
      <c r="AL1206" s="54"/>
    </row>
    <row r="1207" spans="1:38" ht="15.75" thickBot="1" x14ac:dyDescent="0.3">
      <c r="A1207" s="51"/>
      <c r="B1207" s="51"/>
      <c r="C1207" s="51"/>
      <c r="D1207" s="51"/>
      <c r="E1207" s="51"/>
      <c r="F1207" s="51"/>
      <c r="G1207" s="56"/>
      <c r="H1207" s="55"/>
      <c r="I1207" s="55"/>
      <c r="J1207" s="55"/>
      <c r="K1207" s="55"/>
      <c r="L1207" s="55"/>
      <c r="M1207" s="55"/>
      <c r="N1207" s="55"/>
      <c r="O1207" s="55"/>
      <c r="P1207" s="55"/>
      <c r="Q1207" s="55"/>
      <c r="R1207" s="55"/>
      <c r="S1207" s="55"/>
      <c r="T1207" s="55"/>
      <c r="U1207" s="55"/>
      <c r="V1207" s="55"/>
      <c r="W1207" s="55"/>
      <c r="X1207" s="55"/>
      <c r="Y1207" s="55"/>
      <c r="Z1207" s="56"/>
      <c r="AA1207" s="55"/>
      <c r="AB1207" s="55"/>
      <c r="AC1207" s="55"/>
      <c r="AD1207" s="55"/>
      <c r="AE1207" s="55"/>
      <c r="AF1207" s="55"/>
      <c r="AG1207" s="55"/>
      <c r="AH1207" s="56"/>
      <c r="AI1207" s="55"/>
      <c r="AJ1207" s="55"/>
      <c r="AK1207" s="56"/>
      <c r="AL1207" s="56"/>
    </row>
    <row r="1208" spans="1:38" ht="15.75" thickBot="1" x14ac:dyDescent="0.3">
      <c r="A1208" s="51"/>
      <c r="B1208" s="51"/>
      <c r="C1208" s="51"/>
      <c r="D1208" s="51"/>
      <c r="E1208" s="51"/>
      <c r="F1208" s="51"/>
      <c r="G1208" s="54"/>
      <c r="H1208" s="53"/>
      <c r="I1208" s="53"/>
      <c r="J1208" s="53"/>
      <c r="K1208" s="53"/>
      <c r="L1208" s="53"/>
      <c r="M1208" s="53"/>
      <c r="N1208" s="53"/>
      <c r="O1208" s="53"/>
      <c r="P1208" s="53"/>
      <c r="Q1208" s="53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4"/>
      <c r="AB1208" s="53"/>
      <c r="AC1208" s="53"/>
      <c r="AD1208" s="53"/>
      <c r="AE1208" s="53"/>
      <c r="AF1208" s="53"/>
      <c r="AG1208" s="53"/>
      <c r="AH1208" s="54"/>
      <c r="AI1208" s="53"/>
      <c r="AJ1208" s="53"/>
      <c r="AK1208" s="54"/>
      <c r="AL1208" s="54"/>
    </row>
    <row r="1209" spans="1:38" ht="15.75" thickBot="1" x14ac:dyDescent="0.3">
      <c r="A1209" s="51"/>
      <c r="B1209" s="51"/>
      <c r="C1209" s="51"/>
      <c r="D1209" s="51"/>
      <c r="E1209" s="51"/>
      <c r="F1209" s="51"/>
      <c r="G1209" s="56"/>
      <c r="H1209" s="55"/>
      <c r="I1209" s="55"/>
      <c r="J1209" s="55"/>
      <c r="K1209" s="55"/>
      <c r="L1209" s="55"/>
      <c r="M1209" s="55"/>
      <c r="N1209" s="55"/>
      <c r="O1209" s="55"/>
      <c r="P1209" s="55"/>
      <c r="Q1209" s="55"/>
      <c r="R1209" s="55"/>
      <c r="S1209" s="55"/>
      <c r="T1209" s="55"/>
      <c r="U1209" s="55"/>
      <c r="V1209" s="55"/>
      <c r="W1209" s="55"/>
      <c r="X1209" s="55"/>
      <c r="Y1209" s="55"/>
      <c r="Z1209" s="55"/>
      <c r="AA1209" s="56"/>
      <c r="AB1209" s="55"/>
      <c r="AC1209" s="55"/>
      <c r="AD1209" s="55"/>
      <c r="AE1209" s="55"/>
      <c r="AF1209" s="55"/>
      <c r="AG1209" s="55"/>
      <c r="AH1209" s="56"/>
      <c r="AI1209" s="55"/>
      <c r="AJ1209" s="55"/>
      <c r="AK1209" s="56"/>
      <c r="AL1209" s="56"/>
    </row>
    <row r="1210" spans="1:38" ht="15.75" thickBot="1" x14ac:dyDescent="0.3">
      <c r="A1210" s="51"/>
      <c r="B1210" s="51"/>
      <c r="C1210" s="51"/>
      <c r="D1210" s="51"/>
      <c r="E1210" s="51"/>
      <c r="F1210" s="51"/>
      <c r="G1210" s="54"/>
      <c r="H1210" s="53"/>
      <c r="I1210" s="53"/>
      <c r="J1210" s="53"/>
      <c r="K1210" s="53"/>
      <c r="L1210" s="53"/>
      <c r="M1210" s="53"/>
      <c r="N1210" s="53"/>
      <c r="O1210" s="53"/>
      <c r="P1210" s="53"/>
      <c r="Q1210" s="53"/>
      <c r="R1210" s="54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D1210" s="53"/>
      <c r="AE1210" s="53"/>
      <c r="AF1210" s="53"/>
      <c r="AG1210" s="53"/>
      <c r="AH1210" s="54"/>
      <c r="AI1210" s="53"/>
      <c r="AJ1210" s="53"/>
      <c r="AK1210" s="54"/>
      <c r="AL1210" s="54"/>
    </row>
    <row r="1211" spans="1:38" ht="15.75" thickBot="1" x14ac:dyDescent="0.3">
      <c r="A1211" s="51"/>
      <c r="B1211" s="51"/>
      <c r="C1211" s="51"/>
      <c r="D1211" s="51"/>
      <c r="E1211" s="51"/>
      <c r="F1211" s="51"/>
      <c r="G1211" s="56"/>
      <c r="H1211" s="55"/>
      <c r="I1211" s="55"/>
      <c r="J1211" s="55"/>
      <c r="K1211" s="55"/>
      <c r="L1211" s="55"/>
      <c r="M1211" s="55"/>
      <c r="N1211" s="55"/>
      <c r="O1211" s="55"/>
      <c r="P1211" s="55"/>
      <c r="Q1211" s="55"/>
      <c r="R1211" s="56"/>
      <c r="S1211" s="55"/>
      <c r="T1211" s="55"/>
      <c r="U1211" s="55"/>
      <c r="V1211" s="55"/>
      <c r="W1211" s="55"/>
      <c r="X1211" s="55"/>
      <c r="Y1211" s="55"/>
      <c r="Z1211" s="55"/>
      <c r="AA1211" s="55"/>
      <c r="AB1211" s="55"/>
      <c r="AC1211" s="55"/>
      <c r="AD1211" s="55"/>
      <c r="AE1211" s="55"/>
      <c r="AF1211" s="55"/>
      <c r="AG1211" s="55"/>
      <c r="AH1211" s="56"/>
      <c r="AI1211" s="55"/>
      <c r="AJ1211" s="55"/>
      <c r="AK1211" s="56"/>
      <c r="AL1211" s="56"/>
    </row>
    <row r="1212" spans="1:38" ht="15.75" thickBot="1" x14ac:dyDescent="0.3">
      <c r="A1212" s="51"/>
      <c r="B1212" s="51"/>
      <c r="C1212" s="51"/>
      <c r="D1212" s="51"/>
      <c r="E1212" s="51"/>
      <c r="F1212" s="51"/>
      <c r="G1212" s="54"/>
      <c r="H1212" s="53"/>
      <c r="I1212" s="53"/>
      <c r="J1212" s="53"/>
      <c r="K1212" s="53"/>
      <c r="L1212" s="53"/>
      <c r="M1212" s="53"/>
      <c r="N1212" s="53"/>
      <c r="O1212" s="53"/>
      <c r="P1212" s="53"/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4"/>
      <c r="AD1212" s="53"/>
      <c r="AE1212" s="53"/>
      <c r="AF1212" s="53"/>
      <c r="AG1212" s="53"/>
      <c r="AH1212" s="54"/>
      <c r="AI1212" s="53"/>
      <c r="AJ1212" s="53"/>
      <c r="AK1212" s="54"/>
      <c r="AL1212" s="54"/>
    </row>
    <row r="1213" spans="1:38" ht="15.75" thickBot="1" x14ac:dyDescent="0.3">
      <c r="A1213" s="51"/>
      <c r="B1213" s="51"/>
      <c r="C1213" s="51"/>
      <c r="D1213" s="51"/>
      <c r="E1213" s="51"/>
      <c r="F1213" s="51"/>
      <c r="G1213" s="56"/>
      <c r="H1213" s="55"/>
      <c r="I1213" s="55"/>
      <c r="J1213" s="55"/>
      <c r="K1213" s="55"/>
      <c r="L1213" s="55"/>
      <c r="M1213" s="55"/>
      <c r="N1213" s="55"/>
      <c r="O1213" s="55"/>
      <c r="P1213" s="55"/>
      <c r="Q1213" s="55"/>
      <c r="R1213" s="55"/>
      <c r="S1213" s="55"/>
      <c r="T1213" s="55"/>
      <c r="U1213" s="55"/>
      <c r="V1213" s="55"/>
      <c r="W1213" s="55"/>
      <c r="X1213" s="55"/>
      <c r="Y1213" s="55"/>
      <c r="Z1213" s="55"/>
      <c r="AA1213" s="55"/>
      <c r="AB1213" s="55"/>
      <c r="AC1213" s="56"/>
      <c r="AD1213" s="55"/>
      <c r="AE1213" s="55"/>
      <c r="AF1213" s="55"/>
      <c r="AG1213" s="55"/>
      <c r="AH1213" s="56"/>
      <c r="AI1213" s="55"/>
      <c r="AJ1213" s="55"/>
      <c r="AK1213" s="56"/>
      <c r="AL1213" s="56"/>
    </row>
    <row r="1214" spans="1:38" ht="15.75" thickBot="1" x14ac:dyDescent="0.3">
      <c r="A1214" s="51"/>
      <c r="B1214" s="51"/>
      <c r="C1214" s="51"/>
      <c r="D1214" s="51"/>
      <c r="E1214" s="51"/>
      <c r="F1214" s="51"/>
      <c r="G1214" s="54"/>
      <c r="H1214" s="53"/>
      <c r="I1214" s="53"/>
      <c r="J1214" s="53"/>
      <c r="K1214" s="53"/>
      <c r="L1214" s="53"/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4"/>
      <c r="AC1214" s="53"/>
      <c r="AD1214" s="53"/>
      <c r="AE1214" s="53"/>
      <c r="AF1214" s="53"/>
      <c r="AG1214" s="53"/>
      <c r="AH1214" s="54"/>
      <c r="AI1214" s="53"/>
      <c r="AJ1214" s="53"/>
      <c r="AK1214" s="54"/>
      <c r="AL1214" s="54"/>
    </row>
    <row r="1215" spans="1:38" ht="15.75" thickBot="1" x14ac:dyDescent="0.3">
      <c r="A1215" s="51"/>
      <c r="B1215" s="51"/>
      <c r="C1215" s="51"/>
      <c r="D1215" s="51"/>
      <c r="E1215" s="51"/>
      <c r="F1215" s="51"/>
      <c r="G1215" s="56"/>
      <c r="H1215" s="55"/>
      <c r="I1215" s="55"/>
      <c r="J1215" s="55"/>
      <c r="K1215" s="55"/>
      <c r="L1215" s="55"/>
      <c r="M1215" s="55"/>
      <c r="N1215" s="55"/>
      <c r="O1215" s="55"/>
      <c r="P1215" s="55"/>
      <c r="Q1215" s="55"/>
      <c r="R1215" s="55"/>
      <c r="S1215" s="55"/>
      <c r="T1215" s="55"/>
      <c r="U1215" s="55"/>
      <c r="V1215" s="55"/>
      <c r="W1215" s="55"/>
      <c r="X1215" s="55"/>
      <c r="Y1215" s="55"/>
      <c r="Z1215" s="55"/>
      <c r="AA1215" s="55"/>
      <c r="AB1215" s="56"/>
      <c r="AC1215" s="55"/>
      <c r="AD1215" s="55"/>
      <c r="AE1215" s="55"/>
      <c r="AF1215" s="55"/>
      <c r="AG1215" s="55"/>
      <c r="AH1215" s="56"/>
      <c r="AI1215" s="55"/>
      <c r="AJ1215" s="55"/>
      <c r="AK1215" s="56"/>
      <c r="AL1215" s="56"/>
    </row>
    <row r="1216" spans="1:38" ht="15.75" thickBot="1" x14ac:dyDescent="0.3">
      <c r="A1216" s="51"/>
      <c r="B1216" s="51"/>
      <c r="C1216" s="51"/>
      <c r="D1216" s="51"/>
      <c r="E1216" s="51"/>
      <c r="F1216" s="51"/>
      <c r="G1216" s="53"/>
      <c r="H1216" s="53"/>
      <c r="I1216" s="53"/>
      <c r="J1216" s="53"/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D1216" s="53"/>
      <c r="AE1216" s="53"/>
      <c r="AF1216" s="53"/>
      <c r="AG1216" s="54"/>
      <c r="AH1216" s="54"/>
      <c r="AI1216" s="53"/>
      <c r="AJ1216" s="53"/>
      <c r="AK1216" s="54"/>
      <c r="AL1216" s="54"/>
    </row>
    <row r="1217" spans="1:38" ht="15.75" thickBot="1" x14ac:dyDescent="0.3">
      <c r="A1217" s="51"/>
      <c r="B1217" s="51"/>
      <c r="C1217" s="51"/>
      <c r="D1217" s="51"/>
      <c r="E1217" s="51"/>
      <c r="F1217" s="51"/>
      <c r="G1217" s="55"/>
      <c r="H1217" s="55"/>
      <c r="I1217" s="55"/>
      <c r="J1217" s="55"/>
      <c r="K1217" s="55"/>
      <c r="L1217" s="55"/>
      <c r="M1217" s="55"/>
      <c r="N1217" s="55"/>
      <c r="O1217" s="55"/>
      <c r="P1217" s="55"/>
      <c r="Q1217" s="55"/>
      <c r="R1217" s="55"/>
      <c r="S1217" s="55"/>
      <c r="T1217" s="55"/>
      <c r="U1217" s="55"/>
      <c r="V1217" s="55"/>
      <c r="W1217" s="55"/>
      <c r="X1217" s="55"/>
      <c r="Y1217" s="55"/>
      <c r="Z1217" s="55"/>
      <c r="AA1217" s="55"/>
      <c r="AB1217" s="55"/>
      <c r="AC1217" s="55"/>
      <c r="AD1217" s="55"/>
      <c r="AE1217" s="55"/>
      <c r="AF1217" s="55"/>
      <c r="AG1217" s="56"/>
      <c r="AH1217" s="56"/>
      <c r="AI1217" s="55"/>
      <c r="AJ1217" s="55"/>
      <c r="AK1217" s="56"/>
      <c r="AL1217" s="56"/>
    </row>
    <row r="1218" spans="1:38" ht="15.75" thickBot="1" x14ac:dyDescent="0.3">
      <c r="A1218" s="51"/>
      <c r="B1218" s="51"/>
      <c r="C1218" s="51"/>
      <c r="D1218" s="51"/>
      <c r="E1218" s="51"/>
      <c r="F1218" s="51"/>
      <c r="G1218" s="54"/>
      <c r="H1218" s="53"/>
      <c r="I1218" s="53"/>
      <c r="J1218" s="53"/>
      <c r="K1218" s="54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D1218" s="53"/>
      <c r="AE1218" s="53"/>
      <c r="AF1218" s="53"/>
      <c r="AG1218" s="53"/>
      <c r="AH1218" s="54"/>
      <c r="AI1218" s="53"/>
      <c r="AJ1218" s="53"/>
      <c r="AK1218" s="54"/>
      <c r="AL1218" s="54"/>
    </row>
    <row r="1219" spans="1:38" ht="15.75" thickBot="1" x14ac:dyDescent="0.3">
      <c r="A1219" s="51"/>
      <c r="B1219" s="51"/>
      <c r="C1219" s="51"/>
      <c r="D1219" s="51"/>
      <c r="E1219" s="51"/>
      <c r="F1219" s="51"/>
      <c r="G1219" s="56"/>
      <c r="H1219" s="55"/>
      <c r="I1219" s="55"/>
      <c r="J1219" s="55"/>
      <c r="K1219" s="56"/>
      <c r="L1219" s="55"/>
      <c r="M1219" s="55"/>
      <c r="N1219" s="55"/>
      <c r="O1219" s="55"/>
      <c r="P1219" s="55"/>
      <c r="Q1219" s="55"/>
      <c r="R1219" s="55"/>
      <c r="S1219" s="55"/>
      <c r="T1219" s="55"/>
      <c r="U1219" s="55"/>
      <c r="V1219" s="55"/>
      <c r="W1219" s="55"/>
      <c r="X1219" s="55"/>
      <c r="Y1219" s="55"/>
      <c r="Z1219" s="55"/>
      <c r="AA1219" s="55"/>
      <c r="AB1219" s="55"/>
      <c r="AC1219" s="55"/>
      <c r="AD1219" s="55"/>
      <c r="AE1219" s="55"/>
      <c r="AF1219" s="55"/>
      <c r="AG1219" s="55"/>
      <c r="AH1219" s="56"/>
      <c r="AI1219" s="55"/>
      <c r="AJ1219" s="55"/>
      <c r="AK1219" s="56"/>
      <c r="AL1219" s="56"/>
    </row>
    <row r="1220" spans="1:38" ht="15.75" thickBot="1" x14ac:dyDescent="0.3">
      <c r="A1220" s="51"/>
      <c r="B1220" s="51"/>
      <c r="C1220" s="51"/>
      <c r="D1220" s="51"/>
      <c r="E1220" s="51"/>
      <c r="F1220" s="51"/>
      <c r="G1220" s="54"/>
      <c r="H1220" s="54"/>
      <c r="I1220" s="53"/>
      <c r="J1220" s="53"/>
      <c r="K1220" s="53"/>
      <c r="L1220" s="53"/>
      <c r="M1220" s="54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D1220" s="53"/>
      <c r="AE1220" s="53"/>
      <c r="AF1220" s="53"/>
      <c r="AG1220" s="53"/>
      <c r="AH1220" s="54"/>
      <c r="AI1220" s="53"/>
      <c r="AJ1220" s="53"/>
      <c r="AK1220" s="54"/>
      <c r="AL1220" s="54"/>
    </row>
    <row r="1221" spans="1:38" ht="15.75" thickBot="1" x14ac:dyDescent="0.3">
      <c r="A1221" s="51"/>
      <c r="B1221" s="51"/>
      <c r="C1221" s="51"/>
      <c r="D1221" s="51"/>
      <c r="E1221" s="51"/>
      <c r="F1221" s="51"/>
      <c r="G1221" s="56"/>
      <c r="H1221" s="148"/>
      <c r="I1221" s="55"/>
      <c r="J1221" s="55"/>
      <c r="K1221" s="55"/>
      <c r="L1221" s="55"/>
      <c r="M1221" s="56"/>
      <c r="N1221" s="55"/>
      <c r="O1221" s="55"/>
      <c r="P1221" s="55"/>
      <c r="Q1221" s="55"/>
      <c r="R1221" s="55"/>
      <c r="S1221" s="55"/>
      <c r="T1221" s="55"/>
      <c r="U1221" s="55"/>
      <c r="V1221" s="55"/>
      <c r="W1221" s="55"/>
      <c r="X1221" s="55"/>
      <c r="Y1221" s="55"/>
      <c r="Z1221" s="55"/>
      <c r="AA1221" s="55"/>
      <c r="AB1221" s="55"/>
      <c r="AC1221" s="55"/>
      <c r="AD1221" s="55"/>
      <c r="AE1221" s="55"/>
      <c r="AF1221" s="55"/>
      <c r="AG1221" s="55"/>
      <c r="AH1221" s="56"/>
      <c r="AI1221" s="55"/>
      <c r="AJ1221" s="55"/>
      <c r="AK1221" s="56"/>
      <c r="AL1221" s="56"/>
    </row>
    <row r="1222" spans="1:38" ht="15.75" thickBot="1" x14ac:dyDescent="0.3">
      <c r="A1222" s="51"/>
      <c r="B1222" s="51"/>
      <c r="C1222" s="51"/>
      <c r="D1222" s="51"/>
      <c r="E1222" s="51"/>
      <c r="F1222" s="51"/>
      <c r="G1222" s="54"/>
      <c r="H1222" s="53"/>
      <c r="I1222" s="53"/>
      <c r="J1222" s="53"/>
      <c r="K1222" s="53"/>
      <c r="L1222" s="53"/>
      <c r="M1222" s="53"/>
      <c r="N1222" s="53"/>
      <c r="O1222" s="53"/>
      <c r="P1222" s="53"/>
      <c r="Q1222" s="54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D1222" s="53"/>
      <c r="AE1222" s="53"/>
      <c r="AF1222" s="53"/>
      <c r="AG1222" s="53"/>
      <c r="AH1222" s="54"/>
      <c r="AI1222" s="53"/>
      <c r="AJ1222" s="53"/>
      <c r="AK1222" s="54"/>
      <c r="AL1222" s="54"/>
    </row>
    <row r="1223" spans="1:38" ht="15.75" thickBot="1" x14ac:dyDescent="0.3">
      <c r="A1223" s="51"/>
      <c r="B1223" s="51"/>
      <c r="C1223" s="51"/>
      <c r="D1223" s="51"/>
      <c r="E1223" s="51"/>
      <c r="F1223" s="51"/>
      <c r="G1223" s="56"/>
      <c r="H1223" s="55"/>
      <c r="I1223" s="55"/>
      <c r="J1223" s="55"/>
      <c r="K1223" s="55"/>
      <c r="L1223" s="55"/>
      <c r="M1223" s="55"/>
      <c r="N1223" s="55"/>
      <c r="O1223" s="55"/>
      <c r="P1223" s="55"/>
      <c r="Q1223" s="56"/>
      <c r="R1223" s="55"/>
      <c r="S1223" s="55"/>
      <c r="T1223" s="55"/>
      <c r="U1223" s="55"/>
      <c r="V1223" s="55"/>
      <c r="W1223" s="55"/>
      <c r="X1223" s="55"/>
      <c r="Y1223" s="55"/>
      <c r="Z1223" s="55"/>
      <c r="AA1223" s="55"/>
      <c r="AB1223" s="55"/>
      <c r="AC1223" s="55"/>
      <c r="AD1223" s="55"/>
      <c r="AE1223" s="55"/>
      <c r="AF1223" s="55"/>
      <c r="AG1223" s="55"/>
      <c r="AH1223" s="56"/>
      <c r="AI1223" s="55"/>
      <c r="AJ1223" s="55"/>
      <c r="AK1223" s="56"/>
      <c r="AL1223" s="56"/>
    </row>
    <row r="1224" spans="1:38" ht="15.75" thickBot="1" x14ac:dyDescent="0.3">
      <c r="A1224" s="51"/>
      <c r="B1224" s="51"/>
      <c r="C1224" s="51"/>
      <c r="D1224" s="51"/>
      <c r="E1224" s="51"/>
      <c r="F1224" s="51"/>
      <c r="G1224" s="54"/>
      <c r="H1224" s="53"/>
      <c r="I1224" s="53"/>
      <c r="J1224" s="53"/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4"/>
      <c r="AA1224" s="53"/>
      <c r="AB1224" s="53"/>
      <c r="AC1224" s="53"/>
      <c r="AD1224" s="53"/>
      <c r="AE1224" s="53"/>
      <c r="AF1224" s="53"/>
      <c r="AG1224" s="53"/>
      <c r="AH1224" s="54"/>
      <c r="AI1224" s="53"/>
      <c r="AJ1224" s="53"/>
      <c r="AK1224" s="54"/>
      <c r="AL1224" s="54"/>
    </row>
    <row r="1225" spans="1:38" ht="15.75" thickBot="1" x14ac:dyDescent="0.3">
      <c r="A1225" s="51"/>
      <c r="B1225" s="51"/>
      <c r="C1225" s="51"/>
      <c r="D1225" s="51"/>
      <c r="E1225" s="51"/>
      <c r="F1225" s="51"/>
      <c r="G1225" s="56"/>
      <c r="H1225" s="55"/>
      <c r="I1225" s="55"/>
      <c r="J1225" s="55"/>
      <c r="K1225" s="55"/>
      <c r="L1225" s="55"/>
      <c r="M1225" s="55"/>
      <c r="N1225" s="55"/>
      <c r="O1225" s="55"/>
      <c r="P1225" s="55"/>
      <c r="Q1225" s="55"/>
      <c r="R1225" s="55"/>
      <c r="S1225" s="55"/>
      <c r="T1225" s="55"/>
      <c r="U1225" s="55"/>
      <c r="V1225" s="55"/>
      <c r="W1225" s="55"/>
      <c r="X1225" s="55"/>
      <c r="Y1225" s="55"/>
      <c r="Z1225" s="56"/>
      <c r="AA1225" s="55"/>
      <c r="AB1225" s="55"/>
      <c r="AC1225" s="55"/>
      <c r="AD1225" s="55"/>
      <c r="AE1225" s="55"/>
      <c r="AF1225" s="55"/>
      <c r="AG1225" s="55"/>
      <c r="AH1225" s="56"/>
      <c r="AI1225" s="55"/>
      <c r="AJ1225" s="55"/>
      <c r="AK1225" s="56"/>
      <c r="AL1225" s="56"/>
    </row>
    <row r="1226" spans="1:38" ht="15.75" thickBot="1" x14ac:dyDescent="0.3">
      <c r="A1226" s="51"/>
      <c r="B1226" s="51"/>
      <c r="C1226" s="51"/>
      <c r="D1226" s="51"/>
      <c r="E1226" s="51"/>
      <c r="F1226" s="51"/>
      <c r="G1226" s="54"/>
      <c r="H1226" s="53"/>
      <c r="I1226" s="53"/>
      <c r="J1226" s="53"/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4"/>
      <c r="AB1226" s="53"/>
      <c r="AC1226" s="53"/>
      <c r="AD1226" s="53"/>
      <c r="AE1226" s="53"/>
      <c r="AF1226" s="53"/>
      <c r="AG1226" s="53"/>
      <c r="AH1226" s="54"/>
      <c r="AI1226" s="53"/>
      <c r="AJ1226" s="53"/>
      <c r="AK1226" s="54"/>
      <c r="AL1226" s="54"/>
    </row>
    <row r="1227" spans="1:38" ht="15.75" thickBot="1" x14ac:dyDescent="0.3">
      <c r="A1227" s="51"/>
      <c r="B1227" s="51"/>
      <c r="C1227" s="51"/>
      <c r="D1227" s="51"/>
      <c r="E1227" s="51"/>
      <c r="F1227" s="51"/>
      <c r="G1227" s="56"/>
      <c r="H1227" s="55"/>
      <c r="I1227" s="55"/>
      <c r="J1227" s="55"/>
      <c r="K1227" s="55"/>
      <c r="L1227" s="55"/>
      <c r="M1227" s="55"/>
      <c r="N1227" s="55"/>
      <c r="O1227" s="55"/>
      <c r="P1227" s="55"/>
      <c r="Q1227" s="55"/>
      <c r="R1227" s="55"/>
      <c r="S1227" s="55"/>
      <c r="T1227" s="55"/>
      <c r="U1227" s="55"/>
      <c r="V1227" s="55"/>
      <c r="W1227" s="55"/>
      <c r="X1227" s="55"/>
      <c r="Y1227" s="55"/>
      <c r="Z1227" s="55"/>
      <c r="AA1227" s="56"/>
      <c r="AB1227" s="55"/>
      <c r="AC1227" s="55"/>
      <c r="AD1227" s="55"/>
      <c r="AE1227" s="55"/>
      <c r="AF1227" s="55"/>
      <c r="AG1227" s="55"/>
      <c r="AH1227" s="56"/>
      <c r="AI1227" s="55"/>
      <c r="AJ1227" s="55"/>
      <c r="AK1227" s="56"/>
      <c r="AL1227" s="56"/>
    </row>
    <row r="1228" spans="1:38" ht="15.75" thickBot="1" x14ac:dyDescent="0.3">
      <c r="A1228" s="51"/>
      <c r="B1228" s="51"/>
      <c r="C1228" s="51"/>
      <c r="D1228" s="51"/>
      <c r="E1228" s="51"/>
      <c r="F1228" s="51"/>
      <c r="G1228" s="54"/>
      <c r="H1228" s="53"/>
      <c r="I1228" s="53"/>
      <c r="J1228" s="53"/>
      <c r="K1228" s="53"/>
      <c r="L1228" s="53"/>
      <c r="M1228" s="53"/>
      <c r="N1228" s="53"/>
      <c r="O1228" s="53"/>
      <c r="P1228" s="53"/>
      <c r="Q1228" s="53"/>
      <c r="R1228" s="54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D1228" s="53"/>
      <c r="AE1228" s="53"/>
      <c r="AF1228" s="53"/>
      <c r="AG1228" s="53"/>
      <c r="AH1228" s="54"/>
      <c r="AI1228" s="53"/>
      <c r="AJ1228" s="53"/>
      <c r="AK1228" s="54"/>
      <c r="AL1228" s="54"/>
    </row>
    <row r="1229" spans="1:38" ht="15.75" thickBot="1" x14ac:dyDescent="0.3">
      <c r="A1229" s="51"/>
      <c r="B1229" s="51"/>
      <c r="C1229" s="51"/>
      <c r="D1229" s="51"/>
      <c r="E1229" s="51"/>
      <c r="F1229" s="51"/>
      <c r="G1229" s="56"/>
      <c r="H1229" s="55"/>
      <c r="I1229" s="55"/>
      <c r="J1229" s="55"/>
      <c r="K1229" s="55"/>
      <c r="L1229" s="55"/>
      <c r="M1229" s="55"/>
      <c r="N1229" s="55"/>
      <c r="O1229" s="55"/>
      <c r="P1229" s="55"/>
      <c r="Q1229" s="55"/>
      <c r="R1229" s="56"/>
      <c r="S1229" s="55"/>
      <c r="T1229" s="55"/>
      <c r="U1229" s="55"/>
      <c r="V1229" s="55"/>
      <c r="W1229" s="55"/>
      <c r="X1229" s="55"/>
      <c r="Y1229" s="55"/>
      <c r="Z1229" s="55"/>
      <c r="AA1229" s="55"/>
      <c r="AB1229" s="55"/>
      <c r="AC1229" s="55"/>
      <c r="AD1229" s="55"/>
      <c r="AE1229" s="55"/>
      <c r="AF1229" s="55"/>
      <c r="AG1229" s="55"/>
      <c r="AH1229" s="56"/>
      <c r="AI1229" s="55"/>
      <c r="AJ1229" s="55"/>
      <c r="AK1229" s="56"/>
      <c r="AL1229" s="56"/>
    </row>
    <row r="1230" spans="1:38" ht="15.75" thickBot="1" x14ac:dyDescent="0.3">
      <c r="A1230" s="51"/>
      <c r="B1230" s="51"/>
      <c r="C1230" s="51"/>
      <c r="D1230" s="51"/>
      <c r="E1230" s="51"/>
      <c r="F1230" s="51"/>
      <c r="G1230" s="54"/>
      <c r="H1230" s="53"/>
      <c r="I1230" s="53"/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4"/>
      <c r="AD1230" s="53"/>
      <c r="AE1230" s="53"/>
      <c r="AF1230" s="53"/>
      <c r="AG1230" s="53"/>
      <c r="AH1230" s="54"/>
      <c r="AI1230" s="53"/>
      <c r="AJ1230" s="53"/>
      <c r="AK1230" s="54"/>
      <c r="AL1230" s="54"/>
    </row>
    <row r="1231" spans="1:38" ht="15.75" thickBot="1" x14ac:dyDescent="0.3">
      <c r="A1231" s="51"/>
      <c r="B1231" s="51"/>
      <c r="C1231" s="51"/>
      <c r="D1231" s="51"/>
      <c r="E1231" s="51"/>
      <c r="F1231" s="51"/>
      <c r="G1231" s="56"/>
      <c r="H1231" s="55"/>
      <c r="I1231" s="55"/>
      <c r="J1231" s="55"/>
      <c r="K1231" s="55"/>
      <c r="L1231" s="55"/>
      <c r="M1231" s="55"/>
      <c r="N1231" s="55"/>
      <c r="O1231" s="55"/>
      <c r="P1231" s="55"/>
      <c r="Q1231" s="55"/>
      <c r="R1231" s="55"/>
      <c r="S1231" s="55"/>
      <c r="T1231" s="55"/>
      <c r="U1231" s="55"/>
      <c r="V1231" s="55"/>
      <c r="W1231" s="55"/>
      <c r="X1231" s="55"/>
      <c r="Y1231" s="55"/>
      <c r="Z1231" s="55"/>
      <c r="AA1231" s="55"/>
      <c r="AB1231" s="55"/>
      <c r="AC1231" s="56"/>
      <c r="AD1231" s="55"/>
      <c r="AE1231" s="55"/>
      <c r="AF1231" s="55"/>
      <c r="AG1231" s="55"/>
      <c r="AH1231" s="56"/>
      <c r="AI1231" s="55"/>
      <c r="AJ1231" s="55"/>
      <c r="AK1231" s="56"/>
      <c r="AL1231" s="56"/>
    </row>
    <row r="1232" spans="1:38" ht="15.75" thickBot="1" x14ac:dyDescent="0.3">
      <c r="A1232" s="51"/>
      <c r="B1232" s="51"/>
      <c r="C1232" s="51"/>
      <c r="D1232" s="51"/>
      <c r="E1232" s="51"/>
      <c r="F1232" s="51"/>
      <c r="G1232" s="54"/>
      <c r="H1232" s="53"/>
      <c r="I1232" s="53"/>
      <c r="J1232" s="53"/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54"/>
      <c r="AC1232" s="53"/>
      <c r="AD1232" s="53"/>
      <c r="AE1232" s="53"/>
      <c r="AF1232" s="53"/>
      <c r="AG1232" s="53"/>
      <c r="AH1232" s="54"/>
      <c r="AI1232" s="53"/>
      <c r="AJ1232" s="53"/>
      <c r="AK1232" s="54"/>
      <c r="AL1232" s="54"/>
    </row>
    <row r="1233" spans="1:38" ht="15.75" thickBot="1" x14ac:dyDescent="0.3">
      <c r="A1233" s="51"/>
      <c r="B1233" s="51"/>
      <c r="C1233" s="51"/>
      <c r="D1233" s="51"/>
      <c r="E1233" s="51"/>
      <c r="F1233" s="51"/>
      <c r="G1233" s="56"/>
      <c r="H1233" s="55"/>
      <c r="I1233" s="55"/>
      <c r="J1233" s="55"/>
      <c r="K1233" s="55"/>
      <c r="L1233" s="55"/>
      <c r="M1233" s="55"/>
      <c r="N1233" s="55"/>
      <c r="O1233" s="55"/>
      <c r="P1233" s="55"/>
      <c r="Q1233" s="55"/>
      <c r="R1233" s="55"/>
      <c r="S1233" s="55"/>
      <c r="T1233" s="55"/>
      <c r="U1233" s="55"/>
      <c r="V1233" s="55"/>
      <c r="W1233" s="55"/>
      <c r="X1233" s="55"/>
      <c r="Y1233" s="55"/>
      <c r="Z1233" s="55"/>
      <c r="AA1233" s="55"/>
      <c r="AB1233" s="56"/>
      <c r="AC1233" s="55"/>
      <c r="AD1233" s="55"/>
      <c r="AE1233" s="55"/>
      <c r="AF1233" s="55"/>
      <c r="AG1233" s="55"/>
      <c r="AH1233" s="56"/>
      <c r="AI1233" s="55"/>
      <c r="AJ1233" s="55"/>
      <c r="AK1233" s="56"/>
      <c r="AL1233" s="56"/>
    </row>
    <row r="1234" spans="1:38" ht="15.75" thickBot="1" x14ac:dyDescent="0.3">
      <c r="A1234" s="51"/>
      <c r="B1234" s="51"/>
      <c r="C1234" s="51"/>
      <c r="D1234" s="51"/>
      <c r="E1234" s="51"/>
      <c r="F1234" s="51"/>
      <c r="G1234" s="54"/>
      <c r="H1234" s="53"/>
      <c r="I1234" s="53"/>
      <c r="J1234" s="53"/>
      <c r="K1234" s="54"/>
      <c r="L1234" s="53"/>
      <c r="M1234" s="53"/>
      <c r="N1234" s="53"/>
      <c r="O1234" s="53"/>
      <c r="P1234" s="53"/>
      <c r="Q1234" s="53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53"/>
      <c r="AC1234" s="53"/>
      <c r="AD1234" s="53"/>
      <c r="AE1234" s="53"/>
      <c r="AF1234" s="53"/>
      <c r="AG1234" s="53"/>
      <c r="AH1234" s="54"/>
      <c r="AI1234" s="53"/>
      <c r="AJ1234" s="53"/>
      <c r="AK1234" s="54"/>
      <c r="AL1234" s="54"/>
    </row>
    <row r="1235" spans="1:38" ht="15.75" thickBot="1" x14ac:dyDescent="0.3">
      <c r="A1235" s="51"/>
      <c r="B1235" s="51"/>
      <c r="C1235" s="51"/>
      <c r="D1235" s="51"/>
      <c r="E1235" s="51"/>
      <c r="F1235" s="51"/>
      <c r="G1235" s="56"/>
      <c r="H1235" s="55"/>
      <c r="I1235" s="55"/>
      <c r="J1235" s="55"/>
      <c r="K1235" s="56"/>
      <c r="L1235" s="55"/>
      <c r="M1235" s="55"/>
      <c r="N1235" s="55"/>
      <c r="O1235" s="55"/>
      <c r="P1235" s="55"/>
      <c r="Q1235" s="55"/>
      <c r="R1235" s="55"/>
      <c r="S1235" s="55"/>
      <c r="T1235" s="55"/>
      <c r="U1235" s="55"/>
      <c r="V1235" s="55"/>
      <c r="W1235" s="55"/>
      <c r="X1235" s="55"/>
      <c r="Y1235" s="55"/>
      <c r="Z1235" s="55"/>
      <c r="AA1235" s="55"/>
      <c r="AB1235" s="55"/>
      <c r="AC1235" s="55"/>
      <c r="AD1235" s="55"/>
      <c r="AE1235" s="55"/>
      <c r="AF1235" s="55"/>
      <c r="AG1235" s="55"/>
      <c r="AH1235" s="56"/>
      <c r="AI1235" s="55"/>
      <c r="AJ1235" s="55"/>
      <c r="AK1235" s="56"/>
      <c r="AL1235" s="56"/>
    </row>
    <row r="1236" spans="1:38" ht="15.75" thickBot="1" x14ac:dyDescent="0.3">
      <c r="A1236" s="51"/>
      <c r="B1236" s="51"/>
      <c r="C1236" s="51"/>
      <c r="D1236" s="51"/>
      <c r="E1236" s="51"/>
      <c r="F1236" s="51"/>
      <c r="G1236" s="54"/>
      <c r="H1236" s="54"/>
      <c r="I1236" s="53"/>
      <c r="J1236" s="53"/>
      <c r="K1236" s="53"/>
      <c r="L1236" s="53"/>
      <c r="M1236" s="54"/>
      <c r="N1236" s="53"/>
      <c r="O1236" s="53"/>
      <c r="P1236" s="53"/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3"/>
      <c r="AD1236" s="53"/>
      <c r="AE1236" s="53"/>
      <c r="AF1236" s="53"/>
      <c r="AG1236" s="53"/>
      <c r="AH1236" s="54"/>
      <c r="AI1236" s="53"/>
      <c r="AJ1236" s="53"/>
      <c r="AK1236" s="54"/>
      <c r="AL1236" s="54"/>
    </row>
    <row r="1237" spans="1:38" ht="15.75" thickBot="1" x14ac:dyDescent="0.3">
      <c r="A1237" s="51"/>
      <c r="B1237" s="51"/>
      <c r="C1237" s="51"/>
      <c r="D1237" s="51"/>
      <c r="E1237" s="51"/>
      <c r="F1237" s="51"/>
      <c r="G1237" s="56"/>
      <c r="H1237" s="148"/>
      <c r="I1237" s="55"/>
      <c r="J1237" s="55"/>
      <c r="K1237" s="55"/>
      <c r="L1237" s="55"/>
      <c r="M1237" s="56"/>
      <c r="N1237" s="55"/>
      <c r="O1237" s="55"/>
      <c r="P1237" s="55"/>
      <c r="Q1237" s="55"/>
      <c r="R1237" s="55"/>
      <c r="S1237" s="55"/>
      <c r="T1237" s="55"/>
      <c r="U1237" s="55"/>
      <c r="V1237" s="55"/>
      <c r="W1237" s="55"/>
      <c r="X1237" s="55"/>
      <c r="Y1237" s="55"/>
      <c r="Z1237" s="55"/>
      <c r="AA1237" s="55"/>
      <c r="AB1237" s="55"/>
      <c r="AC1237" s="55"/>
      <c r="AD1237" s="55"/>
      <c r="AE1237" s="55"/>
      <c r="AF1237" s="55"/>
      <c r="AG1237" s="55"/>
      <c r="AH1237" s="56"/>
      <c r="AI1237" s="55"/>
      <c r="AJ1237" s="55"/>
      <c r="AK1237" s="56"/>
      <c r="AL1237" s="56"/>
    </row>
    <row r="1238" spans="1:38" ht="15.75" thickBot="1" x14ac:dyDescent="0.3">
      <c r="A1238" s="51"/>
      <c r="B1238" s="51"/>
      <c r="C1238" s="51"/>
      <c r="D1238" s="51"/>
      <c r="E1238" s="51"/>
      <c r="F1238" s="51"/>
      <c r="G1238" s="54"/>
      <c r="H1238" s="53"/>
      <c r="I1238" s="53"/>
      <c r="J1238" s="53"/>
      <c r="K1238" s="53"/>
      <c r="L1238" s="53"/>
      <c r="M1238" s="53"/>
      <c r="N1238" s="53"/>
      <c r="O1238" s="53"/>
      <c r="P1238" s="53"/>
      <c r="Q1238" s="54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D1238" s="53"/>
      <c r="AE1238" s="53"/>
      <c r="AF1238" s="53"/>
      <c r="AG1238" s="53"/>
      <c r="AH1238" s="54"/>
      <c r="AI1238" s="53"/>
      <c r="AJ1238" s="53"/>
      <c r="AK1238" s="54"/>
      <c r="AL1238" s="54"/>
    </row>
    <row r="1239" spans="1:38" ht="15.75" thickBot="1" x14ac:dyDescent="0.3">
      <c r="A1239" s="51"/>
      <c r="B1239" s="51"/>
      <c r="C1239" s="51"/>
      <c r="D1239" s="51"/>
      <c r="E1239" s="51"/>
      <c r="F1239" s="51"/>
      <c r="G1239" s="56"/>
      <c r="H1239" s="55"/>
      <c r="I1239" s="55"/>
      <c r="J1239" s="55"/>
      <c r="K1239" s="55"/>
      <c r="L1239" s="55"/>
      <c r="M1239" s="55"/>
      <c r="N1239" s="55"/>
      <c r="O1239" s="55"/>
      <c r="P1239" s="55"/>
      <c r="Q1239" s="56"/>
      <c r="R1239" s="55"/>
      <c r="S1239" s="55"/>
      <c r="T1239" s="55"/>
      <c r="U1239" s="55"/>
      <c r="V1239" s="55"/>
      <c r="W1239" s="55"/>
      <c r="X1239" s="55"/>
      <c r="Y1239" s="55"/>
      <c r="Z1239" s="55"/>
      <c r="AA1239" s="55"/>
      <c r="AB1239" s="55"/>
      <c r="AC1239" s="55"/>
      <c r="AD1239" s="55"/>
      <c r="AE1239" s="55"/>
      <c r="AF1239" s="55"/>
      <c r="AG1239" s="55"/>
      <c r="AH1239" s="56"/>
      <c r="AI1239" s="55"/>
      <c r="AJ1239" s="55"/>
      <c r="AK1239" s="56"/>
      <c r="AL1239" s="56"/>
    </row>
    <row r="1240" spans="1:38" ht="15.75" thickBot="1" x14ac:dyDescent="0.3">
      <c r="A1240" s="51"/>
      <c r="B1240" s="51"/>
      <c r="C1240" s="51"/>
      <c r="D1240" s="51"/>
      <c r="E1240" s="51"/>
      <c r="F1240" s="51"/>
      <c r="G1240" s="54"/>
      <c r="H1240" s="53"/>
      <c r="I1240" s="53"/>
      <c r="J1240" s="53"/>
      <c r="K1240" s="53"/>
      <c r="L1240" s="53"/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4"/>
      <c r="AA1240" s="53"/>
      <c r="AB1240" s="53"/>
      <c r="AC1240" s="53"/>
      <c r="AD1240" s="53"/>
      <c r="AE1240" s="53"/>
      <c r="AF1240" s="53"/>
      <c r="AG1240" s="53"/>
      <c r="AH1240" s="54"/>
      <c r="AI1240" s="53"/>
      <c r="AJ1240" s="53"/>
      <c r="AK1240" s="54"/>
      <c r="AL1240" s="54"/>
    </row>
    <row r="1241" spans="1:38" ht="15.75" thickBot="1" x14ac:dyDescent="0.3">
      <c r="A1241" s="51"/>
      <c r="B1241" s="51"/>
      <c r="C1241" s="51"/>
      <c r="D1241" s="51"/>
      <c r="E1241" s="51"/>
      <c r="F1241" s="51"/>
      <c r="G1241" s="56"/>
      <c r="H1241" s="55"/>
      <c r="I1241" s="55"/>
      <c r="J1241" s="55"/>
      <c r="K1241" s="55"/>
      <c r="L1241" s="55"/>
      <c r="M1241" s="55"/>
      <c r="N1241" s="55"/>
      <c r="O1241" s="55"/>
      <c r="P1241" s="55"/>
      <c r="Q1241" s="55"/>
      <c r="R1241" s="55"/>
      <c r="S1241" s="55"/>
      <c r="T1241" s="55"/>
      <c r="U1241" s="55"/>
      <c r="V1241" s="55"/>
      <c r="W1241" s="55"/>
      <c r="X1241" s="55"/>
      <c r="Y1241" s="55"/>
      <c r="Z1241" s="56"/>
      <c r="AA1241" s="55"/>
      <c r="AB1241" s="55"/>
      <c r="AC1241" s="55"/>
      <c r="AD1241" s="55"/>
      <c r="AE1241" s="55"/>
      <c r="AF1241" s="55"/>
      <c r="AG1241" s="55"/>
      <c r="AH1241" s="56"/>
      <c r="AI1241" s="55"/>
      <c r="AJ1241" s="55"/>
      <c r="AK1241" s="56"/>
      <c r="AL1241" s="56"/>
    </row>
    <row r="1242" spans="1:38" ht="15.75" thickBot="1" x14ac:dyDescent="0.3">
      <c r="A1242" s="51"/>
      <c r="B1242" s="51"/>
      <c r="C1242" s="51"/>
      <c r="D1242" s="51"/>
      <c r="E1242" s="51"/>
      <c r="F1242" s="51"/>
      <c r="G1242" s="54"/>
      <c r="H1242" s="53"/>
      <c r="I1242" s="53"/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4"/>
      <c r="AB1242" s="53"/>
      <c r="AC1242" s="53"/>
      <c r="AD1242" s="53"/>
      <c r="AE1242" s="53"/>
      <c r="AF1242" s="53"/>
      <c r="AG1242" s="53"/>
      <c r="AH1242" s="54"/>
      <c r="AI1242" s="53"/>
      <c r="AJ1242" s="53"/>
      <c r="AK1242" s="54"/>
      <c r="AL1242" s="54"/>
    </row>
    <row r="1243" spans="1:38" ht="15.75" thickBot="1" x14ac:dyDescent="0.3">
      <c r="A1243" s="51"/>
      <c r="B1243" s="51"/>
      <c r="C1243" s="51"/>
      <c r="D1243" s="51"/>
      <c r="E1243" s="51"/>
      <c r="F1243" s="51"/>
      <c r="G1243" s="56"/>
      <c r="H1243" s="55"/>
      <c r="I1243" s="55"/>
      <c r="J1243" s="55"/>
      <c r="K1243" s="55"/>
      <c r="L1243" s="55"/>
      <c r="M1243" s="55"/>
      <c r="N1243" s="55"/>
      <c r="O1243" s="55"/>
      <c r="P1243" s="55"/>
      <c r="Q1243" s="55"/>
      <c r="R1243" s="55"/>
      <c r="S1243" s="55"/>
      <c r="T1243" s="55"/>
      <c r="U1243" s="55"/>
      <c r="V1243" s="55"/>
      <c r="W1243" s="55"/>
      <c r="X1243" s="55"/>
      <c r="Y1243" s="55"/>
      <c r="Z1243" s="55"/>
      <c r="AA1243" s="56"/>
      <c r="AB1243" s="55"/>
      <c r="AC1243" s="55"/>
      <c r="AD1243" s="55"/>
      <c r="AE1243" s="55"/>
      <c r="AF1243" s="55"/>
      <c r="AG1243" s="55"/>
      <c r="AH1243" s="56"/>
      <c r="AI1243" s="55"/>
      <c r="AJ1243" s="55"/>
      <c r="AK1243" s="56"/>
      <c r="AL1243" s="56"/>
    </row>
    <row r="1244" spans="1:38" ht="15.75" thickBot="1" x14ac:dyDescent="0.3">
      <c r="A1244" s="51"/>
      <c r="B1244" s="51"/>
      <c r="C1244" s="51"/>
      <c r="D1244" s="51"/>
      <c r="E1244" s="51"/>
      <c r="F1244" s="51"/>
      <c r="G1244" s="54"/>
      <c r="H1244" s="53"/>
      <c r="I1244" s="53"/>
      <c r="J1244" s="53"/>
      <c r="K1244" s="53"/>
      <c r="L1244" s="53"/>
      <c r="M1244" s="53"/>
      <c r="N1244" s="53"/>
      <c r="O1244" s="53"/>
      <c r="P1244" s="53"/>
      <c r="Q1244" s="53"/>
      <c r="R1244" s="54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3"/>
      <c r="AD1244" s="53"/>
      <c r="AE1244" s="53"/>
      <c r="AF1244" s="53"/>
      <c r="AG1244" s="53"/>
      <c r="AH1244" s="54"/>
      <c r="AI1244" s="53"/>
      <c r="AJ1244" s="53"/>
      <c r="AK1244" s="54"/>
      <c r="AL1244" s="54"/>
    </row>
    <row r="1245" spans="1:38" ht="15.75" thickBot="1" x14ac:dyDescent="0.3">
      <c r="A1245" s="51"/>
      <c r="B1245" s="51"/>
      <c r="C1245" s="51"/>
      <c r="D1245" s="51"/>
      <c r="E1245" s="51"/>
      <c r="F1245" s="51"/>
      <c r="G1245" s="56"/>
      <c r="H1245" s="55"/>
      <c r="I1245" s="55"/>
      <c r="J1245" s="55"/>
      <c r="K1245" s="55"/>
      <c r="L1245" s="55"/>
      <c r="M1245" s="55"/>
      <c r="N1245" s="55"/>
      <c r="O1245" s="55"/>
      <c r="P1245" s="55"/>
      <c r="Q1245" s="55"/>
      <c r="R1245" s="56"/>
      <c r="S1245" s="55"/>
      <c r="T1245" s="55"/>
      <c r="U1245" s="55"/>
      <c r="V1245" s="55"/>
      <c r="W1245" s="55"/>
      <c r="X1245" s="55"/>
      <c r="Y1245" s="55"/>
      <c r="Z1245" s="55"/>
      <c r="AA1245" s="55"/>
      <c r="AB1245" s="55"/>
      <c r="AC1245" s="55"/>
      <c r="AD1245" s="55"/>
      <c r="AE1245" s="55"/>
      <c r="AF1245" s="55"/>
      <c r="AG1245" s="55"/>
      <c r="AH1245" s="56"/>
      <c r="AI1245" s="55"/>
      <c r="AJ1245" s="55"/>
      <c r="AK1245" s="56"/>
      <c r="AL1245" s="56"/>
    </row>
    <row r="1246" spans="1:38" ht="15.75" thickBot="1" x14ac:dyDescent="0.3">
      <c r="A1246" s="51"/>
      <c r="B1246" s="51"/>
      <c r="C1246" s="51"/>
      <c r="D1246" s="51"/>
      <c r="E1246" s="51"/>
      <c r="F1246" s="51"/>
      <c r="G1246" s="54"/>
      <c r="H1246" s="53"/>
      <c r="I1246" s="53"/>
      <c r="J1246" s="53"/>
      <c r="K1246" s="53"/>
      <c r="L1246" s="53"/>
      <c r="M1246" s="53"/>
      <c r="N1246" s="53"/>
      <c r="O1246" s="53"/>
      <c r="P1246" s="53"/>
      <c r="Q1246" s="53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53"/>
      <c r="AC1246" s="54"/>
      <c r="AD1246" s="53"/>
      <c r="AE1246" s="53"/>
      <c r="AF1246" s="53"/>
      <c r="AG1246" s="53"/>
      <c r="AH1246" s="54"/>
      <c r="AI1246" s="53"/>
      <c r="AJ1246" s="53"/>
      <c r="AK1246" s="54"/>
      <c r="AL1246" s="54"/>
    </row>
    <row r="1247" spans="1:38" ht="15.75" thickBot="1" x14ac:dyDescent="0.3">
      <c r="A1247" s="51"/>
      <c r="B1247" s="51"/>
      <c r="C1247" s="51"/>
      <c r="D1247" s="51"/>
      <c r="E1247" s="51"/>
      <c r="F1247" s="51"/>
      <c r="G1247" s="56"/>
      <c r="H1247" s="55"/>
      <c r="I1247" s="55"/>
      <c r="J1247" s="55"/>
      <c r="K1247" s="55"/>
      <c r="L1247" s="55"/>
      <c r="M1247" s="55"/>
      <c r="N1247" s="55"/>
      <c r="O1247" s="55"/>
      <c r="P1247" s="55"/>
      <c r="Q1247" s="55"/>
      <c r="R1247" s="55"/>
      <c r="S1247" s="55"/>
      <c r="T1247" s="55"/>
      <c r="U1247" s="55"/>
      <c r="V1247" s="55"/>
      <c r="W1247" s="55"/>
      <c r="X1247" s="55"/>
      <c r="Y1247" s="55"/>
      <c r="Z1247" s="55"/>
      <c r="AA1247" s="55"/>
      <c r="AB1247" s="55"/>
      <c r="AC1247" s="56"/>
      <c r="AD1247" s="55"/>
      <c r="AE1247" s="55"/>
      <c r="AF1247" s="55"/>
      <c r="AG1247" s="55"/>
      <c r="AH1247" s="56"/>
      <c r="AI1247" s="55"/>
      <c r="AJ1247" s="55"/>
      <c r="AK1247" s="56"/>
      <c r="AL1247" s="56"/>
    </row>
    <row r="1248" spans="1:38" ht="15.75" thickBot="1" x14ac:dyDescent="0.3">
      <c r="A1248" s="51"/>
      <c r="B1248" s="51"/>
      <c r="C1248" s="51"/>
      <c r="D1248" s="51"/>
      <c r="E1248" s="51"/>
      <c r="F1248" s="51"/>
      <c r="G1248" s="54"/>
      <c r="H1248" s="53"/>
      <c r="I1248" s="53"/>
      <c r="J1248" s="53"/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4"/>
      <c r="AC1248" s="53"/>
      <c r="AD1248" s="53"/>
      <c r="AE1248" s="53"/>
      <c r="AF1248" s="53"/>
      <c r="AG1248" s="53"/>
      <c r="AH1248" s="54"/>
      <c r="AI1248" s="53"/>
      <c r="AJ1248" s="53"/>
      <c r="AK1248" s="54"/>
      <c r="AL1248" s="54"/>
    </row>
    <row r="1249" spans="1:38" ht="15.75" thickBot="1" x14ac:dyDescent="0.3">
      <c r="A1249" s="51"/>
      <c r="B1249" s="51"/>
      <c r="C1249" s="51"/>
      <c r="D1249" s="51"/>
      <c r="E1249" s="51"/>
      <c r="F1249" s="51"/>
      <c r="G1249" s="56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  <c r="U1249" s="55"/>
      <c r="V1249" s="55"/>
      <c r="W1249" s="55"/>
      <c r="X1249" s="55"/>
      <c r="Y1249" s="55"/>
      <c r="Z1249" s="55"/>
      <c r="AA1249" s="55"/>
      <c r="AB1249" s="56"/>
      <c r="AC1249" s="55"/>
      <c r="AD1249" s="55"/>
      <c r="AE1249" s="55"/>
      <c r="AF1249" s="55"/>
      <c r="AG1249" s="55"/>
      <c r="AH1249" s="56"/>
      <c r="AI1249" s="55"/>
      <c r="AJ1249" s="55"/>
      <c r="AK1249" s="56"/>
      <c r="AL1249" s="56"/>
    </row>
    <row r="1250" spans="1:38" ht="15.75" thickBot="1" x14ac:dyDescent="0.3">
      <c r="A1250" s="51"/>
      <c r="B1250" s="51"/>
      <c r="C1250" s="51"/>
      <c r="D1250" s="51"/>
      <c r="E1250" s="51"/>
      <c r="F1250" s="51"/>
      <c r="G1250" s="53"/>
      <c r="H1250" s="53"/>
      <c r="I1250" s="53"/>
      <c r="J1250" s="53"/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/>
      <c r="AD1250" s="53"/>
      <c r="AE1250" s="53"/>
      <c r="AF1250" s="53"/>
      <c r="AG1250" s="54"/>
      <c r="AH1250" s="54"/>
      <c r="AI1250" s="53"/>
      <c r="AJ1250" s="53"/>
      <c r="AK1250" s="54"/>
      <c r="AL1250" s="54"/>
    </row>
    <row r="1251" spans="1:38" ht="15.75" thickBot="1" x14ac:dyDescent="0.3">
      <c r="A1251" s="51"/>
      <c r="B1251" s="51"/>
      <c r="C1251" s="51"/>
      <c r="D1251" s="51"/>
      <c r="E1251" s="51"/>
      <c r="F1251" s="51"/>
      <c r="G1251" s="55"/>
      <c r="H1251" s="55"/>
      <c r="I1251" s="55"/>
      <c r="J1251" s="55"/>
      <c r="K1251" s="55"/>
      <c r="L1251" s="55"/>
      <c r="M1251" s="55"/>
      <c r="N1251" s="55"/>
      <c r="O1251" s="55"/>
      <c r="P1251" s="55"/>
      <c r="Q1251" s="55"/>
      <c r="R1251" s="55"/>
      <c r="S1251" s="55"/>
      <c r="T1251" s="55"/>
      <c r="U1251" s="55"/>
      <c r="V1251" s="55"/>
      <c r="W1251" s="55"/>
      <c r="X1251" s="55"/>
      <c r="Y1251" s="55"/>
      <c r="Z1251" s="55"/>
      <c r="AA1251" s="55"/>
      <c r="AB1251" s="55"/>
      <c r="AC1251" s="55"/>
      <c r="AD1251" s="55"/>
      <c r="AE1251" s="55"/>
      <c r="AF1251" s="55"/>
      <c r="AG1251" s="56"/>
      <c r="AH1251" s="56"/>
      <c r="AI1251" s="55"/>
      <c r="AJ1251" s="55"/>
      <c r="AK1251" s="56"/>
      <c r="AL1251" s="56"/>
    </row>
    <row r="1252" spans="1:38" ht="15.75" thickBot="1" x14ac:dyDescent="0.3">
      <c r="A1252" s="51"/>
      <c r="B1252" s="51"/>
      <c r="C1252" s="51"/>
      <c r="D1252" s="51"/>
      <c r="E1252" s="51"/>
      <c r="F1252" s="51"/>
      <c r="G1252" s="54"/>
      <c r="H1252" s="53"/>
      <c r="I1252" s="53"/>
      <c r="J1252" s="53"/>
      <c r="K1252" s="54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/>
      <c r="AD1252" s="53"/>
      <c r="AE1252" s="53"/>
      <c r="AF1252" s="53"/>
      <c r="AG1252" s="53"/>
      <c r="AH1252" s="54"/>
      <c r="AI1252" s="53"/>
      <c r="AJ1252" s="53"/>
      <c r="AK1252" s="54"/>
      <c r="AL1252" s="54"/>
    </row>
    <row r="1253" spans="1:38" ht="15.75" thickBot="1" x14ac:dyDescent="0.3">
      <c r="A1253" s="51"/>
      <c r="B1253" s="51"/>
      <c r="C1253" s="51"/>
      <c r="D1253" s="51"/>
      <c r="E1253" s="51"/>
      <c r="F1253" s="51"/>
      <c r="G1253" s="56"/>
      <c r="H1253" s="55"/>
      <c r="I1253" s="55"/>
      <c r="J1253" s="55"/>
      <c r="K1253" s="56"/>
      <c r="L1253" s="55"/>
      <c r="M1253" s="55"/>
      <c r="N1253" s="55"/>
      <c r="O1253" s="55"/>
      <c r="P1253" s="55"/>
      <c r="Q1253" s="55"/>
      <c r="R1253" s="55"/>
      <c r="S1253" s="55"/>
      <c r="T1253" s="55"/>
      <c r="U1253" s="55"/>
      <c r="V1253" s="55"/>
      <c r="W1253" s="55"/>
      <c r="X1253" s="55"/>
      <c r="Y1253" s="55"/>
      <c r="Z1253" s="55"/>
      <c r="AA1253" s="55"/>
      <c r="AB1253" s="55"/>
      <c r="AC1253" s="55"/>
      <c r="AD1253" s="55"/>
      <c r="AE1253" s="55"/>
      <c r="AF1253" s="55"/>
      <c r="AG1253" s="55"/>
      <c r="AH1253" s="56"/>
      <c r="AI1253" s="55"/>
      <c r="AJ1253" s="55"/>
      <c r="AK1253" s="56"/>
      <c r="AL1253" s="56"/>
    </row>
    <row r="1254" spans="1:38" ht="15.75" thickBot="1" x14ac:dyDescent="0.3">
      <c r="A1254" s="51"/>
      <c r="B1254" s="51"/>
      <c r="C1254" s="51"/>
      <c r="D1254" s="51"/>
      <c r="E1254" s="51"/>
      <c r="F1254" s="51"/>
      <c r="G1254" s="54"/>
      <c r="H1254" s="54"/>
      <c r="I1254" s="53"/>
      <c r="J1254" s="53"/>
      <c r="K1254" s="53"/>
      <c r="L1254" s="53"/>
      <c r="M1254" s="54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/>
      <c r="AD1254" s="53"/>
      <c r="AE1254" s="53"/>
      <c r="AF1254" s="53"/>
      <c r="AG1254" s="53"/>
      <c r="AH1254" s="54"/>
      <c r="AI1254" s="53"/>
      <c r="AJ1254" s="53"/>
      <c r="AK1254" s="54"/>
      <c r="AL1254" s="54"/>
    </row>
    <row r="1255" spans="1:38" ht="15.75" thickBot="1" x14ac:dyDescent="0.3">
      <c r="A1255" s="51"/>
      <c r="B1255" s="51"/>
      <c r="C1255" s="51"/>
      <c r="D1255" s="51"/>
      <c r="E1255" s="51"/>
      <c r="F1255" s="51"/>
      <c r="G1255" s="56"/>
      <c r="H1255" s="148"/>
      <c r="I1255" s="55"/>
      <c r="J1255" s="55"/>
      <c r="K1255" s="55"/>
      <c r="L1255" s="55"/>
      <c r="M1255" s="56"/>
      <c r="N1255" s="55"/>
      <c r="O1255" s="55"/>
      <c r="P1255" s="55"/>
      <c r="Q1255" s="55"/>
      <c r="R1255" s="55"/>
      <c r="S1255" s="55"/>
      <c r="T1255" s="55"/>
      <c r="U1255" s="55"/>
      <c r="V1255" s="55"/>
      <c r="W1255" s="55"/>
      <c r="X1255" s="55"/>
      <c r="Y1255" s="55"/>
      <c r="Z1255" s="55"/>
      <c r="AA1255" s="55"/>
      <c r="AB1255" s="55"/>
      <c r="AC1255" s="55"/>
      <c r="AD1255" s="55"/>
      <c r="AE1255" s="55"/>
      <c r="AF1255" s="55"/>
      <c r="AG1255" s="55"/>
      <c r="AH1255" s="56"/>
      <c r="AI1255" s="55"/>
      <c r="AJ1255" s="55"/>
      <c r="AK1255" s="56"/>
      <c r="AL1255" s="56"/>
    </row>
    <row r="1256" spans="1:38" ht="15.75" thickBot="1" x14ac:dyDescent="0.3">
      <c r="A1256" s="51"/>
      <c r="B1256" s="51"/>
      <c r="C1256" s="51"/>
      <c r="D1256" s="51"/>
      <c r="E1256" s="51"/>
      <c r="F1256" s="51"/>
      <c r="G1256" s="54"/>
      <c r="H1256" s="53"/>
      <c r="I1256" s="53"/>
      <c r="J1256" s="53"/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4"/>
      <c r="AA1256" s="53"/>
      <c r="AB1256" s="53"/>
      <c r="AC1256" s="53"/>
      <c r="AD1256" s="53"/>
      <c r="AE1256" s="53"/>
      <c r="AF1256" s="53"/>
      <c r="AG1256" s="53"/>
      <c r="AH1256" s="54"/>
      <c r="AI1256" s="53"/>
      <c r="AJ1256" s="53"/>
      <c r="AK1256" s="54"/>
      <c r="AL1256" s="54"/>
    </row>
    <row r="1257" spans="1:38" ht="15.75" thickBot="1" x14ac:dyDescent="0.3">
      <c r="A1257" s="51"/>
      <c r="B1257" s="51"/>
      <c r="C1257" s="51"/>
      <c r="D1257" s="51"/>
      <c r="E1257" s="51"/>
      <c r="F1257" s="51"/>
      <c r="G1257" s="56"/>
      <c r="H1257" s="55"/>
      <c r="I1257" s="55"/>
      <c r="J1257" s="55"/>
      <c r="K1257" s="55"/>
      <c r="L1257" s="55"/>
      <c r="M1257" s="55"/>
      <c r="N1257" s="55"/>
      <c r="O1257" s="55"/>
      <c r="P1257" s="55"/>
      <c r="Q1257" s="55"/>
      <c r="R1257" s="55"/>
      <c r="S1257" s="55"/>
      <c r="T1257" s="55"/>
      <c r="U1257" s="55"/>
      <c r="V1257" s="55"/>
      <c r="W1257" s="55"/>
      <c r="X1257" s="55"/>
      <c r="Y1257" s="55"/>
      <c r="Z1257" s="56"/>
      <c r="AA1257" s="55"/>
      <c r="AB1257" s="55"/>
      <c r="AC1257" s="55"/>
      <c r="AD1257" s="55"/>
      <c r="AE1257" s="55"/>
      <c r="AF1257" s="55"/>
      <c r="AG1257" s="55"/>
      <c r="AH1257" s="56"/>
      <c r="AI1257" s="55"/>
      <c r="AJ1257" s="55"/>
      <c r="AK1257" s="56"/>
      <c r="AL1257" s="56"/>
    </row>
    <row r="1258" spans="1:38" ht="15.75" thickBot="1" x14ac:dyDescent="0.3">
      <c r="A1258" s="51"/>
      <c r="B1258" s="51"/>
      <c r="C1258" s="51"/>
      <c r="D1258" s="51"/>
      <c r="E1258" s="51"/>
      <c r="F1258" s="51"/>
      <c r="G1258" s="54"/>
      <c r="H1258" s="53"/>
      <c r="I1258" s="53"/>
      <c r="J1258" s="53"/>
      <c r="K1258" s="53"/>
      <c r="L1258" s="53"/>
      <c r="M1258" s="53"/>
      <c r="N1258" s="53"/>
      <c r="O1258" s="53"/>
      <c r="P1258" s="53"/>
      <c r="Q1258" s="53"/>
      <c r="R1258" s="54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D1258" s="53"/>
      <c r="AE1258" s="53"/>
      <c r="AF1258" s="53"/>
      <c r="AG1258" s="53"/>
      <c r="AH1258" s="54"/>
      <c r="AI1258" s="53"/>
      <c r="AJ1258" s="53"/>
      <c r="AK1258" s="54"/>
      <c r="AL1258" s="54"/>
    </row>
    <row r="1259" spans="1:38" ht="15.75" thickBot="1" x14ac:dyDescent="0.3">
      <c r="A1259" s="51"/>
      <c r="B1259" s="51"/>
      <c r="C1259" s="51"/>
      <c r="D1259" s="51"/>
      <c r="E1259" s="51"/>
      <c r="F1259" s="51"/>
      <c r="G1259" s="56"/>
      <c r="H1259" s="55"/>
      <c r="I1259" s="55"/>
      <c r="J1259" s="55"/>
      <c r="K1259" s="55"/>
      <c r="L1259" s="55"/>
      <c r="M1259" s="55"/>
      <c r="N1259" s="55"/>
      <c r="O1259" s="55"/>
      <c r="P1259" s="55"/>
      <c r="Q1259" s="55"/>
      <c r="R1259" s="56"/>
      <c r="S1259" s="55"/>
      <c r="T1259" s="55"/>
      <c r="U1259" s="55"/>
      <c r="V1259" s="55"/>
      <c r="W1259" s="55"/>
      <c r="X1259" s="55"/>
      <c r="Y1259" s="55"/>
      <c r="Z1259" s="55"/>
      <c r="AA1259" s="55"/>
      <c r="AB1259" s="55"/>
      <c r="AC1259" s="55"/>
      <c r="AD1259" s="55"/>
      <c r="AE1259" s="55"/>
      <c r="AF1259" s="55"/>
      <c r="AG1259" s="55"/>
      <c r="AH1259" s="56"/>
      <c r="AI1259" s="55"/>
      <c r="AJ1259" s="55"/>
      <c r="AK1259" s="56"/>
      <c r="AL1259" s="56"/>
    </row>
    <row r="1260" spans="1:38" ht="15.75" thickBot="1" x14ac:dyDescent="0.3">
      <c r="A1260" s="51"/>
      <c r="B1260" s="51"/>
      <c r="C1260" s="51"/>
      <c r="D1260" s="51"/>
      <c r="E1260" s="51"/>
      <c r="F1260" s="51"/>
      <c r="G1260" s="54"/>
      <c r="H1260" s="53"/>
      <c r="I1260" s="53"/>
      <c r="J1260" s="53"/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4"/>
      <c r="AD1260" s="53"/>
      <c r="AE1260" s="53"/>
      <c r="AF1260" s="53"/>
      <c r="AG1260" s="53"/>
      <c r="AH1260" s="54"/>
      <c r="AI1260" s="53"/>
      <c r="AJ1260" s="53"/>
      <c r="AK1260" s="54"/>
      <c r="AL1260" s="54"/>
    </row>
    <row r="1261" spans="1:38" ht="15.75" thickBot="1" x14ac:dyDescent="0.3">
      <c r="A1261" s="51"/>
      <c r="B1261" s="51"/>
      <c r="C1261" s="51"/>
      <c r="D1261" s="51"/>
      <c r="E1261" s="51"/>
      <c r="F1261" s="51"/>
      <c r="G1261" s="56"/>
      <c r="H1261" s="55"/>
      <c r="I1261" s="55"/>
      <c r="J1261" s="55"/>
      <c r="K1261" s="55"/>
      <c r="L1261" s="55"/>
      <c r="M1261" s="55"/>
      <c r="N1261" s="55"/>
      <c r="O1261" s="55"/>
      <c r="P1261" s="55"/>
      <c r="Q1261" s="55"/>
      <c r="R1261" s="55"/>
      <c r="S1261" s="55"/>
      <c r="T1261" s="55"/>
      <c r="U1261" s="55"/>
      <c r="V1261" s="55"/>
      <c r="W1261" s="55"/>
      <c r="X1261" s="55"/>
      <c r="Y1261" s="55"/>
      <c r="Z1261" s="55"/>
      <c r="AA1261" s="55"/>
      <c r="AB1261" s="55"/>
      <c r="AC1261" s="56"/>
      <c r="AD1261" s="55"/>
      <c r="AE1261" s="55"/>
      <c r="AF1261" s="55"/>
      <c r="AG1261" s="55"/>
      <c r="AH1261" s="56"/>
      <c r="AI1261" s="55"/>
      <c r="AJ1261" s="55"/>
      <c r="AK1261" s="56"/>
      <c r="AL1261" s="56"/>
    </row>
    <row r="1262" spans="1:38" ht="15.75" thickBot="1" x14ac:dyDescent="0.3">
      <c r="A1262" s="51"/>
      <c r="B1262" s="51"/>
      <c r="C1262" s="51"/>
      <c r="D1262" s="51"/>
      <c r="E1262" s="51"/>
      <c r="F1262" s="51"/>
      <c r="G1262" s="54"/>
      <c r="H1262" s="53"/>
      <c r="I1262" s="53"/>
      <c r="J1262" s="53"/>
      <c r="K1262" s="54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3"/>
      <c r="AD1262" s="53"/>
      <c r="AE1262" s="53"/>
      <c r="AF1262" s="53"/>
      <c r="AG1262" s="53"/>
      <c r="AH1262" s="54"/>
      <c r="AI1262" s="53"/>
      <c r="AJ1262" s="53"/>
      <c r="AK1262" s="54"/>
      <c r="AL1262" s="54"/>
    </row>
    <row r="1263" spans="1:38" ht="15.75" thickBot="1" x14ac:dyDescent="0.3">
      <c r="A1263" s="51"/>
      <c r="B1263" s="51"/>
      <c r="C1263" s="51"/>
      <c r="D1263" s="51"/>
      <c r="E1263" s="51"/>
      <c r="F1263" s="51"/>
      <c r="G1263" s="56"/>
      <c r="H1263" s="55"/>
      <c r="I1263" s="55"/>
      <c r="J1263" s="55"/>
      <c r="K1263" s="56"/>
      <c r="L1263" s="55"/>
      <c r="M1263" s="55"/>
      <c r="N1263" s="55"/>
      <c r="O1263" s="55"/>
      <c r="P1263" s="55"/>
      <c r="Q1263" s="55"/>
      <c r="R1263" s="55"/>
      <c r="S1263" s="55"/>
      <c r="T1263" s="55"/>
      <c r="U1263" s="55"/>
      <c r="V1263" s="55"/>
      <c r="W1263" s="55"/>
      <c r="X1263" s="55"/>
      <c r="Y1263" s="55"/>
      <c r="Z1263" s="55"/>
      <c r="AA1263" s="55"/>
      <c r="AB1263" s="55"/>
      <c r="AC1263" s="55"/>
      <c r="AD1263" s="55"/>
      <c r="AE1263" s="55"/>
      <c r="AF1263" s="55"/>
      <c r="AG1263" s="55"/>
      <c r="AH1263" s="56"/>
      <c r="AI1263" s="55"/>
      <c r="AJ1263" s="55"/>
      <c r="AK1263" s="56"/>
      <c r="AL1263" s="56"/>
    </row>
    <row r="1264" spans="1:38" ht="15.75" thickBot="1" x14ac:dyDescent="0.3">
      <c r="A1264" s="51"/>
      <c r="B1264" s="51"/>
      <c r="C1264" s="51"/>
      <c r="D1264" s="51"/>
      <c r="E1264" s="51"/>
      <c r="F1264" s="51"/>
      <c r="G1264" s="54"/>
      <c r="H1264" s="54"/>
      <c r="I1264" s="53"/>
      <c r="J1264" s="53"/>
      <c r="K1264" s="53"/>
      <c r="L1264" s="53"/>
      <c r="M1264" s="54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3"/>
      <c r="AD1264" s="53"/>
      <c r="AE1264" s="53"/>
      <c r="AF1264" s="53"/>
      <c r="AG1264" s="53"/>
      <c r="AH1264" s="54"/>
      <c r="AI1264" s="53"/>
      <c r="AJ1264" s="53"/>
      <c r="AK1264" s="54"/>
      <c r="AL1264" s="54"/>
    </row>
    <row r="1265" spans="1:38" ht="15.75" thickBot="1" x14ac:dyDescent="0.3">
      <c r="A1265" s="51"/>
      <c r="B1265" s="51"/>
      <c r="C1265" s="51"/>
      <c r="D1265" s="51"/>
      <c r="E1265" s="51"/>
      <c r="F1265" s="51"/>
      <c r="G1265" s="56"/>
      <c r="H1265" s="148"/>
      <c r="I1265" s="55"/>
      <c r="J1265" s="55"/>
      <c r="K1265" s="55"/>
      <c r="L1265" s="55"/>
      <c r="M1265" s="56"/>
      <c r="N1265" s="55"/>
      <c r="O1265" s="55"/>
      <c r="P1265" s="55"/>
      <c r="Q1265" s="55"/>
      <c r="R1265" s="55"/>
      <c r="S1265" s="55"/>
      <c r="T1265" s="55"/>
      <c r="U1265" s="55"/>
      <c r="V1265" s="55"/>
      <c r="W1265" s="55"/>
      <c r="X1265" s="55"/>
      <c r="Y1265" s="55"/>
      <c r="Z1265" s="55"/>
      <c r="AA1265" s="55"/>
      <c r="AB1265" s="55"/>
      <c r="AC1265" s="55"/>
      <c r="AD1265" s="55"/>
      <c r="AE1265" s="55"/>
      <c r="AF1265" s="55"/>
      <c r="AG1265" s="55"/>
      <c r="AH1265" s="56"/>
      <c r="AI1265" s="55"/>
      <c r="AJ1265" s="55"/>
      <c r="AK1265" s="56"/>
      <c r="AL1265" s="56"/>
    </row>
    <row r="1266" spans="1:38" ht="15.75" thickBot="1" x14ac:dyDescent="0.3">
      <c r="A1266" s="51"/>
      <c r="B1266" s="51"/>
      <c r="C1266" s="51"/>
      <c r="D1266" s="51"/>
      <c r="E1266" s="51"/>
      <c r="F1266" s="51"/>
      <c r="G1266" s="54"/>
      <c r="H1266" s="53"/>
      <c r="I1266" s="53"/>
      <c r="J1266" s="53"/>
      <c r="K1266" s="53"/>
      <c r="L1266" s="53"/>
      <c r="M1266" s="53"/>
      <c r="N1266" s="53"/>
      <c r="O1266" s="53"/>
      <c r="P1266" s="53"/>
      <c r="Q1266" s="54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3"/>
      <c r="AD1266" s="53"/>
      <c r="AE1266" s="53"/>
      <c r="AF1266" s="53"/>
      <c r="AG1266" s="53"/>
      <c r="AH1266" s="54"/>
      <c r="AI1266" s="53"/>
      <c r="AJ1266" s="53"/>
      <c r="AK1266" s="54"/>
      <c r="AL1266" s="54"/>
    </row>
    <row r="1267" spans="1:38" ht="15.75" thickBot="1" x14ac:dyDescent="0.3">
      <c r="A1267" s="51"/>
      <c r="B1267" s="51"/>
      <c r="C1267" s="51"/>
      <c r="D1267" s="51"/>
      <c r="E1267" s="51"/>
      <c r="F1267" s="51"/>
      <c r="G1267" s="56"/>
      <c r="H1267" s="55"/>
      <c r="I1267" s="55"/>
      <c r="J1267" s="55"/>
      <c r="K1267" s="55"/>
      <c r="L1267" s="55"/>
      <c r="M1267" s="55"/>
      <c r="N1267" s="55"/>
      <c r="O1267" s="55"/>
      <c r="P1267" s="55"/>
      <c r="Q1267" s="56"/>
      <c r="R1267" s="55"/>
      <c r="S1267" s="55"/>
      <c r="T1267" s="55"/>
      <c r="U1267" s="55"/>
      <c r="V1267" s="55"/>
      <c r="W1267" s="55"/>
      <c r="X1267" s="55"/>
      <c r="Y1267" s="55"/>
      <c r="Z1267" s="55"/>
      <c r="AA1267" s="55"/>
      <c r="AB1267" s="55"/>
      <c r="AC1267" s="55"/>
      <c r="AD1267" s="55"/>
      <c r="AE1267" s="55"/>
      <c r="AF1267" s="55"/>
      <c r="AG1267" s="55"/>
      <c r="AH1267" s="56"/>
      <c r="AI1267" s="55"/>
      <c r="AJ1267" s="55"/>
      <c r="AK1267" s="56"/>
      <c r="AL1267" s="56"/>
    </row>
    <row r="1268" spans="1:38" ht="15.75" thickBot="1" x14ac:dyDescent="0.3">
      <c r="A1268" s="51"/>
      <c r="B1268" s="51"/>
      <c r="C1268" s="51"/>
      <c r="D1268" s="51"/>
      <c r="E1268" s="51"/>
      <c r="F1268" s="51"/>
      <c r="G1268" s="54"/>
      <c r="H1268" s="53"/>
      <c r="I1268" s="53"/>
      <c r="J1268" s="53"/>
      <c r="K1268" s="53"/>
      <c r="L1268" s="53"/>
      <c r="M1268" s="53"/>
      <c r="N1268" s="53"/>
      <c r="O1268" s="53"/>
      <c r="P1268" s="53"/>
      <c r="Q1268" s="53"/>
      <c r="R1268" s="53"/>
      <c r="S1268" s="53"/>
      <c r="T1268" s="53"/>
      <c r="U1268" s="53"/>
      <c r="V1268" s="53"/>
      <c r="W1268" s="53"/>
      <c r="X1268" s="53"/>
      <c r="Y1268" s="53"/>
      <c r="Z1268" s="54"/>
      <c r="AA1268" s="53"/>
      <c r="AB1268" s="53"/>
      <c r="AC1268" s="53"/>
      <c r="AD1268" s="53"/>
      <c r="AE1268" s="53"/>
      <c r="AF1268" s="53"/>
      <c r="AG1268" s="53"/>
      <c r="AH1268" s="54"/>
      <c r="AI1268" s="53"/>
      <c r="AJ1268" s="53"/>
      <c r="AK1268" s="54"/>
      <c r="AL1268" s="54"/>
    </row>
    <row r="1269" spans="1:38" ht="15.75" thickBot="1" x14ac:dyDescent="0.3">
      <c r="A1269" s="51"/>
      <c r="B1269" s="51"/>
      <c r="C1269" s="51"/>
      <c r="D1269" s="51"/>
      <c r="E1269" s="51"/>
      <c r="F1269" s="51"/>
      <c r="G1269" s="56"/>
      <c r="H1269" s="55"/>
      <c r="I1269" s="55"/>
      <c r="J1269" s="55"/>
      <c r="K1269" s="55"/>
      <c r="L1269" s="55"/>
      <c r="M1269" s="55"/>
      <c r="N1269" s="55"/>
      <c r="O1269" s="55"/>
      <c r="P1269" s="55"/>
      <c r="Q1269" s="55"/>
      <c r="R1269" s="55"/>
      <c r="S1269" s="55"/>
      <c r="T1269" s="55"/>
      <c r="U1269" s="55"/>
      <c r="V1269" s="55"/>
      <c r="W1269" s="55"/>
      <c r="X1269" s="55"/>
      <c r="Y1269" s="55"/>
      <c r="Z1269" s="56"/>
      <c r="AA1269" s="55"/>
      <c r="AB1269" s="55"/>
      <c r="AC1269" s="55"/>
      <c r="AD1269" s="55"/>
      <c r="AE1269" s="55"/>
      <c r="AF1269" s="55"/>
      <c r="AG1269" s="55"/>
      <c r="AH1269" s="56"/>
      <c r="AI1269" s="55"/>
      <c r="AJ1269" s="55"/>
      <c r="AK1269" s="56"/>
      <c r="AL1269" s="56"/>
    </row>
    <row r="1270" spans="1:38" ht="15.75" thickBot="1" x14ac:dyDescent="0.3">
      <c r="A1270" s="51"/>
      <c r="B1270" s="51"/>
      <c r="C1270" s="51"/>
      <c r="D1270" s="51"/>
      <c r="E1270" s="51"/>
      <c r="F1270" s="51"/>
      <c r="G1270" s="54"/>
      <c r="H1270" s="53"/>
      <c r="I1270" s="53"/>
      <c r="J1270" s="53"/>
      <c r="K1270" s="53"/>
      <c r="L1270" s="53"/>
      <c r="M1270" s="53"/>
      <c r="N1270" s="53"/>
      <c r="O1270" s="53"/>
      <c r="P1270" s="53"/>
      <c r="Q1270" s="53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4"/>
      <c r="AB1270" s="53"/>
      <c r="AC1270" s="53"/>
      <c r="AD1270" s="53"/>
      <c r="AE1270" s="53"/>
      <c r="AF1270" s="53"/>
      <c r="AG1270" s="53"/>
      <c r="AH1270" s="54"/>
      <c r="AI1270" s="53"/>
      <c r="AJ1270" s="53"/>
      <c r="AK1270" s="54"/>
      <c r="AL1270" s="54"/>
    </row>
    <row r="1271" spans="1:38" ht="15.75" thickBot="1" x14ac:dyDescent="0.3">
      <c r="A1271" s="51"/>
      <c r="B1271" s="51"/>
      <c r="C1271" s="51"/>
      <c r="D1271" s="51"/>
      <c r="E1271" s="51"/>
      <c r="F1271" s="51"/>
      <c r="G1271" s="56"/>
      <c r="H1271" s="55"/>
      <c r="I1271" s="55"/>
      <c r="J1271" s="55"/>
      <c r="K1271" s="55"/>
      <c r="L1271" s="55"/>
      <c r="M1271" s="55"/>
      <c r="N1271" s="55"/>
      <c r="O1271" s="55"/>
      <c r="P1271" s="55"/>
      <c r="Q1271" s="55"/>
      <c r="R1271" s="55"/>
      <c r="S1271" s="55"/>
      <c r="T1271" s="55"/>
      <c r="U1271" s="55"/>
      <c r="V1271" s="55"/>
      <c r="W1271" s="55"/>
      <c r="X1271" s="55"/>
      <c r="Y1271" s="55"/>
      <c r="Z1271" s="55"/>
      <c r="AA1271" s="56"/>
      <c r="AB1271" s="55"/>
      <c r="AC1271" s="55"/>
      <c r="AD1271" s="55"/>
      <c r="AE1271" s="55"/>
      <c r="AF1271" s="55"/>
      <c r="AG1271" s="55"/>
      <c r="AH1271" s="56"/>
      <c r="AI1271" s="55"/>
      <c r="AJ1271" s="55"/>
      <c r="AK1271" s="56"/>
      <c r="AL1271" s="56"/>
    </row>
    <row r="1272" spans="1:38" ht="15.75" thickBot="1" x14ac:dyDescent="0.3">
      <c r="A1272" s="51"/>
      <c r="B1272" s="51"/>
      <c r="C1272" s="51"/>
      <c r="D1272" s="51"/>
      <c r="E1272" s="51"/>
      <c r="F1272" s="51"/>
      <c r="G1272" s="54"/>
      <c r="H1272" s="53"/>
      <c r="I1272" s="53"/>
      <c r="J1272" s="53"/>
      <c r="K1272" s="53"/>
      <c r="L1272" s="53"/>
      <c r="M1272" s="53"/>
      <c r="N1272" s="53"/>
      <c r="O1272" s="53"/>
      <c r="P1272" s="53"/>
      <c r="Q1272" s="53"/>
      <c r="R1272" s="54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53"/>
      <c r="AC1272" s="53"/>
      <c r="AD1272" s="53"/>
      <c r="AE1272" s="53"/>
      <c r="AF1272" s="53"/>
      <c r="AG1272" s="53"/>
      <c r="AH1272" s="54"/>
      <c r="AI1272" s="53"/>
      <c r="AJ1272" s="53"/>
      <c r="AK1272" s="54"/>
      <c r="AL1272" s="54"/>
    </row>
    <row r="1273" spans="1:38" ht="15.75" thickBot="1" x14ac:dyDescent="0.3">
      <c r="A1273" s="51"/>
      <c r="B1273" s="51"/>
      <c r="C1273" s="51"/>
      <c r="D1273" s="51"/>
      <c r="E1273" s="51"/>
      <c r="F1273" s="51"/>
      <c r="G1273" s="56"/>
      <c r="H1273" s="55"/>
      <c r="I1273" s="55"/>
      <c r="J1273" s="55"/>
      <c r="K1273" s="55"/>
      <c r="L1273" s="55"/>
      <c r="M1273" s="55"/>
      <c r="N1273" s="55"/>
      <c r="O1273" s="55"/>
      <c r="P1273" s="55"/>
      <c r="Q1273" s="55"/>
      <c r="R1273" s="56"/>
      <c r="S1273" s="55"/>
      <c r="T1273" s="55"/>
      <c r="U1273" s="55"/>
      <c r="V1273" s="55"/>
      <c r="W1273" s="55"/>
      <c r="X1273" s="55"/>
      <c r="Y1273" s="55"/>
      <c r="Z1273" s="55"/>
      <c r="AA1273" s="55"/>
      <c r="AB1273" s="55"/>
      <c r="AC1273" s="55"/>
      <c r="AD1273" s="55"/>
      <c r="AE1273" s="55"/>
      <c r="AF1273" s="55"/>
      <c r="AG1273" s="55"/>
      <c r="AH1273" s="56"/>
      <c r="AI1273" s="55"/>
      <c r="AJ1273" s="55"/>
      <c r="AK1273" s="56"/>
      <c r="AL1273" s="56"/>
    </row>
    <row r="1274" spans="1:38" ht="15.75" thickBot="1" x14ac:dyDescent="0.3">
      <c r="A1274" s="51"/>
      <c r="B1274" s="51"/>
      <c r="C1274" s="51"/>
      <c r="D1274" s="51"/>
      <c r="E1274" s="51"/>
      <c r="F1274" s="51"/>
      <c r="G1274" s="54"/>
      <c r="H1274" s="53"/>
      <c r="I1274" s="53"/>
      <c r="J1274" s="53"/>
      <c r="K1274" s="53"/>
      <c r="L1274" s="53"/>
      <c r="M1274" s="53"/>
      <c r="N1274" s="53"/>
      <c r="O1274" s="53"/>
      <c r="P1274" s="53"/>
      <c r="Q1274" s="53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53"/>
      <c r="AC1274" s="54"/>
      <c r="AD1274" s="53"/>
      <c r="AE1274" s="53"/>
      <c r="AF1274" s="53"/>
      <c r="AG1274" s="53"/>
      <c r="AH1274" s="54"/>
      <c r="AI1274" s="53"/>
      <c r="AJ1274" s="53"/>
      <c r="AK1274" s="54"/>
      <c r="AL1274" s="54"/>
    </row>
    <row r="1275" spans="1:38" ht="15.75" thickBot="1" x14ac:dyDescent="0.3">
      <c r="A1275" s="51"/>
      <c r="B1275" s="51"/>
      <c r="C1275" s="51"/>
      <c r="D1275" s="51"/>
      <c r="E1275" s="51"/>
      <c r="F1275" s="51"/>
      <c r="G1275" s="56"/>
      <c r="H1275" s="55"/>
      <c r="I1275" s="55"/>
      <c r="J1275" s="55"/>
      <c r="K1275" s="55"/>
      <c r="L1275" s="55"/>
      <c r="M1275" s="55"/>
      <c r="N1275" s="55"/>
      <c r="O1275" s="55"/>
      <c r="P1275" s="55"/>
      <c r="Q1275" s="55"/>
      <c r="R1275" s="55"/>
      <c r="S1275" s="55"/>
      <c r="T1275" s="55"/>
      <c r="U1275" s="55"/>
      <c r="V1275" s="55"/>
      <c r="W1275" s="55"/>
      <c r="X1275" s="55"/>
      <c r="Y1275" s="55"/>
      <c r="Z1275" s="55"/>
      <c r="AA1275" s="55"/>
      <c r="AB1275" s="55"/>
      <c r="AC1275" s="56"/>
      <c r="AD1275" s="55"/>
      <c r="AE1275" s="55"/>
      <c r="AF1275" s="55"/>
      <c r="AG1275" s="55"/>
      <c r="AH1275" s="56"/>
      <c r="AI1275" s="55"/>
      <c r="AJ1275" s="55"/>
      <c r="AK1275" s="56"/>
      <c r="AL1275" s="56"/>
    </row>
    <row r="1276" spans="1:38" ht="15.75" thickBot="1" x14ac:dyDescent="0.3">
      <c r="A1276" s="51"/>
      <c r="B1276" s="51"/>
      <c r="C1276" s="51"/>
      <c r="D1276" s="51"/>
      <c r="E1276" s="51"/>
      <c r="F1276" s="51"/>
      <c r="G1276" s="54"/>
      <c r="H1276" s="53"/>
      <c r="I1276" s="53"/>
      <c r="J1276" s="53"/>
      <c r="K1276" s="54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3"/>
      <c r="AD1276" s="53"/>
      <c r="AE1276" s="53"/>
      <c r="AF1276" s="53"/>
      <c r="AG1276" s="53"/>
      <c r="AH1276" s="54"/>
      <c r="AI1276" s="53"/>
      <c r="AJ1276" s="53"/>
      <c r="AK1276" s="54"/>
      <c r="AL1276" s="54"/>
    </row>
    <row r="1277" spans="1:38" ht="15.75" thickBot="1" x14ac:dyDescent="0.3">
      <c r="A1277" s="51"/>
      <c r="B1277" s="51"/>
      <c r="C1277" s="51"/>
      <c r="D1277" s="51"/>
      <c r="E1277" s="51"/>
      <c r="F1277" s="51"/>
      <c r="G1277" s="56"/>
      <c r="H1277" s="55"/>
      <c r="I1277" s="55"/>
      <c r="J1277" s="55"/>
      <c r="K1277" s="56"/>
      <c r="L1277" s="55"/>
      <c r="M1277" s="55"/>
      <c r="N1277" s="55"/>
      <c r="O1277" s="55"/>
      <c r="P1277" s="55"/>
      <c r="Q1277" s="55"/>
      <c r="R1277" s="55"/>
      <c r="S1277" s="55"/>
      <c r="T1277" s="55"/>
      <c r="U1277" s="55"/>
      <c r="V1277" s="55"/>
      <c r="W1277" s="55"/>
      <c r="X1277" s="55"/>
      <c r="Y1277" s="55"/>
      <c r="Z1277" s="55"/>
      <c r="AA1277" s="55"/>
      <c r="AB1277" s="55"/>
      <c r="AC1277" s="55"/>
      <c r="AD1277" s="55"/>
      <c r="AE1277" s="55"/>
      <c r="AF1277" s="55"/>
      <c r="AG1277" s="55"/>
      <c r="AH1277" s="56"/>
      <c r="AI1277" s="55"/>
      <c r="AJ1277" s="55"/>
      <c r="AK1277" s="56"/>
      <c r="AL1277" s="56"/>
    </row>
    <row r="1278" spans="1:38" ht="15.75" thickBot="1" x14ac:dyDescent="0.3">
      <c r="A1278" s="51"/>
      <c r="B1278" s="51"/>
      <c r="C1278" s="51"/>
      <c r="D1278" s="51"/>
      <c r="E1278" s="51"/>
      <c r="F1278" s="51"/>
      <c r="G1278" s="54"/>
      <c r="H1278" s="54"/>
      <c r="I1278" s="53"/>
      <c r="J1278" s="53"/>
      <c r="K1278" s="53"/>
      <c r="L1278" s="53"/>
      <c r="M1278" s="54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D1278" s="53"/>
      <c r="AE1278" s="53"/>
      <c r="AF1278" s="53"/>
      <c r="AG1278" s="53"/>
      <c r="AH1278" s="54"/>
      <c r="AI1278" s="53"/>
      <c r="AJ1278" s="53"/>
      <c r="AK1278" s="54"/>
      <c r="AL1278" s="54"/>
    </row>
    <row r="1279" spans="1:38" ht="15.75" thickBot="1" x14ac:dyDescent="0.3">
      <c r="A1279" s="51"/>
      <c r="B1279" s="51"/>
      <c r="C1279" s="51"/>
      <c r="D1279" s="51"/>
      <c r="E1279" s="51"/>
      <c r="F1279" s="51"/>
      <c r="G1279" s="56"/>
      <c r="H1279" s="148"/>
      <c r="I1279" s="55"/>
      <c r="J1279" s="55"/>
      <c r="K1279" s="55"/>
      <c r="L1279" s="55"/>
      <c r="M1279" s="56"/>
      <c r="N1279" s="55"/>
      <c r="O1279" s="55"/>
      <c r="P1279" s="55"/>
      <c r="Q1279" s="55"/>
      <c r="R1279" s="55"/>
      <c r="S1279" s="55"/>
      <c r="T1279" s="55"/>
      <c r="U1279" s="55"/>
      <c r="V1279" s="55"/>
      <c r="W1279" s="55"/>
      <c r="X1279" s="55"/>
      <c r="Y1279" s="55"/>
      <c r="Z1279" s="55"/>
      <c r="AA1279" s="55"/>
      <c r="AB1279" s="55"/>
      <c r="AC1279" s="55"/>
      <c r="AD1279" s="55"/>
      <c r="AE1279" s="55"/>
      <c r="AF1279" s="55"/>
      <c r="AG1279" s="55"/>
      <c r="AH1279" s="56"/>
      <c r="AI1279" s="55"/>
      <c r="AJ1279" s="55"/>
      <c r="AK1279" s="56"/>
      <c r="AL1279" s="56"/>
    </row>
    <row r="1280" spans="1:38" ht="15.75" thickBot="1" x14ac:dyDescent="0.3">
      <c r="A1280" s="51"/>
      <c r="B1280" s="51"/>
      <c r="C1280" s="51"/>
      <c r="D1280" s="51"/>
      <c r="E1280" s="51"/>
      <c r="F1280" s="51"/>
      <c r="G1280" s="54"/>
      <c r="H1280" s="53"/>
      <c r="I1280" s="53"/>
      <c r="J1280" s="53"/>
      <c r="K1280" s="53"/>
      <c r="L1280" s="53"/>
      <c r="M1280" s="53"/>
      <c r="N1280" s="53"/>
      <c r="O1280" s="53"/>
      <c r="P1280" s="53"/>
      <c r="Q1280" s="54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D1280" s="53"/>
      <c r="AE1280" s="53"/>
      <c r="AF1280" s="53"/>
      <c r="AG1280" s="53"/>
      <c r="AH1280" s="54"/>
      <c r="AI1280" s="53"/>
      <c r="AJ1280" s="53"/>
      <c r="AK1280" s="54"/>
      <c r="AL1280" s="54"/>
    </row>
    <row r="1281" spans="1:38" ht="15.75" thickBot="1" x14ac:dyDescent="0.3">
      <c r="A1281" s="51"/>
      <c r="B1281" s="51"/>
      <c r="C1281" s="51"/>
      <c r="D1281" s="51"/>
      <c r="E1281" s="51"/>
      <c r="F1281" s="51"/>
      <c r="G1281" s="56"/>
      <c r="H1281" s="55"/>
      <c r="I1281" s="55"/>
      <c r="J1281" s="55"/>
      <c r="K1281" s="55"/>
      <c r="L1281" s="55"/>
      <c r="M1281" s="55"/>
      <c r="N1281" s="55"/>
      <c r="O1281" s="55"/>
      <c r="P1281" s="55"/>
      <c r="Q1281" s="56"/>
      <c r="R1281" s="55"/>
      <c r="S1281" s="55"/>
      <c r="T1281" s="55"/>
      <c r="U1281" s="55"/>
      <c r="V1281" s="55"/>
      <c r="W1281" s="55"/>
      <c r="X1281" s="55"/>
      <c r="Y1281" s="55"/>
      <c r="Z1281" s="55"/>
      <c r="AA1281" s="55"/>
      <c r="AB1281" s="55"/>
      <c r="AC1281" s="55"/>
      <c r="AD1281" s="55"/>
      <c r="AE1281" s="55"/>
      <c r="AF1281" s="55"/>
      <c r="AG1281" s="55"/>
      <c r="AH1281" s="56"/>
      <c r="AI1281" s="55"/>
      <c r="AJ1281" s="55"/>
      <c r="AK1281" s="56"/>
      <c r="AL1281" s="56"/>
    </row>
    <row r="1282" spans="1:38" ht="15.75" thickBot="1" x14ac:dyDescent="0.3">
      <c r="A1282" s="51"/>
      <c r="B1282" s="51"/>
      <c r="C1282" s="51"/>
      <c r="D1282" s="51"/>
      <c r="E1282" s="51"/>
      <c r="F1282" s="51"/>
      <c r="G1282" s="54"/>
      <c r="H1282" s="53"/>
      <c r="I1282" s="53"/>
      <c r="J1282" s="53"/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4"/>
      <c r="AA1282" s="53"/>
      <c r="AB1282" s="53"/>
      <c r="AC1282" s="53"/>
      <c r="AD1282" s="53"/>
      <c r="AE1282" s="53"/>
      <c r="AF1282" s="53"/>
      <c r="AG1282" s="53"/>
      <c r="AH1282" s="54"/>
      <c r="AI1282" s="53"/>
      <c r="AJ1282" s="53"/>
      <c r="AK1282" s="54"/>
      <c r="AL1282" s="54"/>
    </row>
    <row r="1283" spans="1:38" ht="15.75" thickBot="1" x14ac:dyDescent="0.3">
      <c r="A1283" s="51"/>
      <c r="B1283" s="51"/>
      <c r="C1283" s="51"/>
      <c r="D1283" s="51"/>
      <c r="E1283" s="51"/>
      <c r="F1283" s="51"/>
      <c r="G1283" s="56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/>
      <c r="R1283" s="55"/>
      <c r="S1283" s="55"/>
      <c r="T1283" s="55"/>
      <c r="U1283" s="55"/>
      <c r="V1283" s="55"/>
      <c r="W1283" s="55"/>
      <c r="X1283" s="55"/>
      <c r="Y1283" s="55"/>
      <c r="Z1283" s="56"/>
      <c r="AA1283" s="55"/>
      <c r="AB1283" s="55"/>
      <c r="AC1283" s="55"/>
      <c r="AD1283" s="55"/>
      <c r="AE1283" s="55"/>
      <c r="AF1283" s="55"/>
      <c r="AG1283" s="55"/>
      <c r="AH1283" s="56"/>
      <c r="AI1283" s="55"/>
      <c r="AJ1283" s="55"/>
      <c r="AK1283" s="56"/>
      <c r="AL1283" s="56"/>
    </row>
    <row r="1284" spans="1:38" ht="15.75" thickBot="1" x14ac:dyDescent="0.3">
      <c r="A1284" s="51"/>
      <c r="B1284" s="51"/>
      <c r="C1284" s="51"/>
      <c r="D1284" s="51"/>
      <c r="E1284" s="51"/>
      <c r="F1284" s="51"/>
      <c r="G1284" s="54"/>
      <c r="H1284" s="53"/>
      <c r="I1284" s="53"/>
      <c r="J1284" s="53"/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4"/>
      <c r="AB1284" s="53"/>
      <c r="AC1284" s="53"/>
      <c r="AD1284" s="53"/>
      <c r="AE1284" s="53"/>
      <c r="AF1284" s="53"/>
      <c r="AG1284" s="53"/>
      <c r="AH1284" s="54"/>
      <c r="AI1284" s="53"/>
      <c r="AJ1284" s="53"/>
      <c r="AK1284" s="54"/>
      <c r="AL1284" s="54"/>
    </row>
    <row r="1285" spans="1:38" ht="15.75" thickBot="1" x14ac:dyDescent="0.3">
      <c r="A1285" s="51"/>
      <c r="B1285" s="51"/>
      <c r="C1285" s="51"/>
      <c r="D1285" s="51"/>
      <c r="E1285" s="51"/>
      <c r="F1285" s="51"/>
      <c r="G1285" s="56"/>
      <c r="H1285" s="55"/>
      <c r="I1285" s="55"/>
      <c r="J1285" s="55"/>
      <c r="K1285" s="55"/>
      <c r="L1285" s="55"/>
      <c r="M1285" s="55"/>
      <c r="N1285" s="55"/>
      <c r="O1285" s="55"/>
      <c r="P1285" s="55"/>
      <c r="Q1285" s="55"/>
      <c r="R1285" s="55"/>
      <c r="S1285" s="55"/>
      <c r="T1285" s="55"/>
      <c r="U1285" s="55"/>
      <c r="V1285" s="55"/>
      <c r="W1285" s="55"/>
      <c r="X1285" s="55"/>
      <c r="Y1285" s="55"/>
      <c r="Z1285" s="55"/>
      <c r="AA1285" s="56"/>
      <c r="AB1285" s="55"/>
      <c r="AC1285" s="55"/>
      <c r="AD1285" s="55"/>
      <c r="AE1285" s="55"/>
      <c r="AF1285" s="55"/>
      <c r="AG1285" s="55"/>
      <c r="AH1285" s="56"/>
      <c r="AI1285" s="55"/>
      <c r="AJ1285" s="55"/>
      <c r="AK1285" s="56"/>
      <c r="AL1285" s="56"/>
    </row>
    <row r="1286" spans="1:38" ht="15.75" thickBot="1" x14ac:dyDescent="0.3">
      <c r="A1286" s="51"/>
      <c r="B1286" s="51"/>
      <c r="C1286" s="51"/>
      <c r="D1286" s="51"/>
      <c r="E1286" s="51"/>
      <c r="F1286" s="51"/>
      <c r="G1286" s="54"/>
      <c r="H1286" s="53"/>
      <c r="I1286" s="53"/>
      <c r="J1286" s="53"/>
      <c r="K1286" s="53"/>
      <c r="L1286" s="53"/>
      <c r="M1286" s="53"/>
      <c r="N1286" s="53"/>
      <c r="O1286" s="53"/>
      <c r="P1286" s="53"/>
      <c r="Q1286" s="53"/>
      <c r="R1286" s="54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D1286" s="53"/>
      <c r="AE1286" s="53"/>
      <c r="AF1286" s="53"/>
      <c r="AG1286" s="53"/>
      <c r="AH1286" s="54"/>
      <c r="AI1286" s="53"/>
      <c r="AJ1286" s="53"/>
      <c r="AK1286" s="54"/>
      <c r="AL1286" s="54"/>
    </row>
    <row r="1287" spans="1:38" ht="15.75" thickBot="1" x14ac:dyDescent="0.3">
      <c r="A1287" s="51"/>
      <c r="B1287" s="51"/>
      <c r="C1287" s="51"/>
      <c r="D1287" s="51"/>
      <c r="E1287" s="51"/>
      <c r="F1287" s="51"/>
      <c r="G1287" s="56"/>
      <c r="H1287" s="55"/>
      <c r="I1287" s="55"/>
      <c r="J1287" s="55"/>
      <c r="K1287" s="55"/>
      <c r="L1287" s="55"/>
      <c r="M1287" s="55"/>
      <c r="N1287" s="55"/>
      <c r="O1287" s="55"/>
      <c r="P1287" s="55"/>
      <c r="Q1287" s="55"/>
      <c r="R1287" s="56"/>
      <c r="S1287" s="55"/>
      <c r="T1287" s="55"/>
      <c r="U1287" s="55"/>
      <c r="V1287" s="55"/>
      <c r="W1287" s="55"/>
      <c r="X1287" s="55"/>
      <c r="Y1287" s="55"/>
      <c r="Z1287" s="55"/>
      <c r="AA1287" s="55"/>
      <c r="AB1287" s="55"/>
      <c r="AC1287" s="55"/>
      <c r="AD1287" s="55"/>
      <c r="AE1287" s="55"/>
      <c r="AF1287" s="55"/>
      <c r="AG1287" s="55"/>
      <c r="AH1287" s="56"/>
      <c r="AI1287" s="55"/>
      <c r="AJ1287" s="55"/>
      <c r="AK1287" s="56"/>
      <c r="AL1287" s="56"/>
    </row>
    <row r="1288" spans="1:38" ht="15.75" thickBot="1" x14ac:dyDescent="0.3">
      <c r="A1288" s="51"/>
      <c r="B1288" s="51"/>
      <c r="C1288" s="51"/>
      <c r="D1288" s="51"/>
      <c r="E1288" s="51"/>
      <c r="F1288" s="51"/>
      <c r="G1288" s="54"/>
      <c r="H1288" s="53"/>
      <c r="I1288" s="53"/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4"/>
      <c r="AD1288" s="53"/>
      <c r="AE1288" s="53"/>
      <c r="AF1288" s="53"/>
      <c r="AG1288" s="53"/>
      <c r="AH1288" s="54"/>
      <c r="AI1288" s="53"/>
      <c r="AJ1288" s="53"/>
      <c r="AK1288" s="54"/>
      <c r="AL1288" s="54"/>
    </row>
    <row r="1289" spans="1:38" ht="15.75" thickBot="1" x14ac:dyDescent="0.3">
      <c r="A1289" s="51"/>
      <c r="B1289" s="51"/>
      <c r="C1289" s="51"/>
      <c r="D1289" s="51"/>
      <c r="E1289" s="51"/>
      <c r="F1289" s="51"/>
      <c r="G1289" s="56"/>
      <c r="H1289" s="55"/>
      <c r="I1289" s="55"/>
      <c r="J1289" s="55"/>
      <c r="K1289" s="55"/>
      <c r="L1289" s="55"/>
      <c r="M1289" s="55"/>
      <c r="N1289" s="55"/>
      <c r="O1289" s="55"/>
      <c r="P1289" s="55"/>
      <c r="Q1289" s="55"/>
      <c r="R1289" s="55"/>
      <c r="S1289" s="55"/>
      <c r="T1289" s="55"/>
      <c r="U1289" s="55"/>
      <c r="V1289" s="55"/>
      <c r="W1289" s="55"/>
      <c r="X1289" s="55"/>
      <c r="Y1289" s="55"/>
      <c r="Z1289" s="55"/>
      <c r="AA1289" s="55"/>
      <c r="AB1289" s="55"/>
      <c r="AC1289" s="56"/>
      <c r="AD1289" s="55"/>
      <c r="AE1289" s="55"/>
      <c r="AF1289" s="55"/>
      <c r="AG1289" s="55"/>
      <c r="AH1289" s="56"/>
      <c r="AI1289" s="55"/>
      <c r="AJ1289" s="55"/>
      <c r="AK1289" s="56"/>
      <c r="AL1289" s="56"/>
    </row>
    <row r="1290" spans="1:38" ht="15.75" thickBot="1" x14ac:dyDescent="0.3">
      <c r="A1290" s="51"/>
      <c r="B1290" s="51"/>
      <c r="C1290" s="51"/>
      <c r="D1290" s="51"/>
      <c r="E1290" s="51"/>
      <c r="F1290" s="51"/>
      <c r="G1290" s="54"/>
      <c r="H1290" s="53"/>
      <c r="I1290" s="53"/>
      <c r="J1290" s="53"/>
      <c r="K1290" s="54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3"/>
      <c r="AC1290" s="53"/>
      <c r="AD1290" s="53"/>
      <c r="AE1290" s="53"/>
      <c r="AF1290" s="53"/>
      <c r="AG1290" s="53"/>
      <c r="AH1290" s="54"/>
      <c r="AI1290" s="53"/>
      <c r="AJ1290" s="53"/>
      <c r="AK1290" s="54"/>
      <c r="AL1290" s="54"/>
    </row>
    <row r="1291" spans="1:38" ht="15.75" thickBot="1" x14ac:dyDescent="0.3">
      <c r="A1291" s="51"/>
      <c r="B1291" s="51"/>
      <c r="C1291" s="51"/>
      <c r="D1291" s="51"/>
      <c r="E1291" s="51"/>
      <c r="F1291" s="51"/>
      <c r="G1291" s="56"/>
      <c r="H1291" s="55"/>
      <c r="I1291" s="55"/>
      <c r="J1291" s="55"/>
      <c r="K1291" s="56"/>
      <c r="L1291" s="55"/>
      <c r="M1291" s="55"/>
      <c r="N1291" s="55"/>
      <c r="O1291" s="55"/>
      <c r="P1291" s="55"/>
      <c r="Q1291" s="55"/>
      <c r="R1291" s="55"/>
      <c r="S1291" s="55"/>
      <c r="T1291" s="55"/>
      <c r="U1291" s="55"/>
      <c r="V1291" s="55"/>
      <c r="W1291" s="55"/>
      <c r="X1291" s="55"/>
      <c r="Y1291" s="55"/>
      <c r="Z1291" s="55"/>
      <c r="AA1291" s="55"/>
      <c r="AB1291" s="55"/>
      <c r="AC1291" s="55"/>
      <c r="AD1291" s="55"/>
      <c r="AE1291" s="55"/>
      <c r="AF1291" s="55"/>
      <c r="AG1291" s="55"/>
      <c r="AH1291" s="56"/>
      <c r="AI1291" s="55"/>
      <c r="AJ1291" s="55"/>
      <c r="AK1291" s="56"/>
      <c r="AL1291" s="56"/>
    </row>
    <row r="1292" spans="1:38" ht="15.75" thickBot="1" x14ac:dyDescent="0.3">
      <c r="A1292" s="51"/>
      <c r="B1292" s="51"/>
      <c r="C1292" s="51"/>
      <c r="D1292" s="51"/>
      <c r="E1292" s="51"/>
      <c r="F1292" s="51"/>
      <c r="G1292" s="54"/>
      <c r="H1292" s="53"/>
      <c r="I1292" s="53"/>
      <c r="J1292" s="54"/>
      <c r="K1292" s="53"/>
      <c r="L1292" s="54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3"/>
      <c r="AC1292" s="53"/>
      <c r="AD1292" s="53"/>
      <c r="AE1292" s="53"/>
      <c r="AF1292" s="53"/>
      <c r="AG1292" s="53"/>
      <c r="AH1292" s="54"/>
      <c r="AI1292" s="53"/>
      <c r="AJ1292" s="53"/>
      <c r="AK1292" s="54"/>
      <c r="AL1292" s="54"/>
    </row>
    <row r="1293" spans="1:38" ht="15.75" thickBot="1" x14ac:dyDescent="0.3">
      <c r="A1293" s="51"/>
      <c r="B1293" s="51"/>
      <c r="C1293" s="51"/>
      <c r="D1293" s="51"/>
      <c r="E1293" s="51"/>
      <c r="F1293" s="51"/>
      <c r="G1293" s="56"/>
      <c r="H1293" s="55"/>
      <c r="I1293" s="55"/>
      <c r="J1293" s="148"/>
      <c r="K1293" s="55"/>
      <c r="L1293" s="56"/>
      <c r="M1293" s="55"/>
      <c r="N1293" s="55"/>
      <c r="O1293" s="55"/>
      <c r="P1293" s="55"/>
      <c r="Q1293" s="55"/>
      <c r="R1293" s="55"/>
      <c r="S1293" s="55"/>
      <c r="T1293" s="55"/>
      <c r="U1293" s="55"/>
      <c r="V1293" s="55"/>
      <c r="W1293" s="55"/>
      <c r="X1293" s="55"/>
      <c r="Y1293" s="55"/>
      <c r="Z1293" s="55"/>
      <c r="AA1293" s="55"/>
      <c r="AB1293" s="55"/>
      <c r="AC1293" s="55"/>
      <c r="AD1293" s="55"/>
      <c r="AE1293" s="55"/>
      <c r="AF1293" s="55"/>
      <c r="AG1293" s="55"/>
      <c r="AH1293" s="56"/>
      <c r="AI1293" s="55"/>
      <c r="AJ1293" s="55"/>
      <c r="AK1293" s="56"/>
      <c r="AL1293" s="56"/>
    </row>
    <row r="1294" spans="1:38" ht="15.75" thickBot="1" x14ac:dyDescent="0.3">
      <c r="A1294" s="51"/>
      <c r="B1294" s="51"/>
      <c r="C1294" s="51"/>
      <c r="D1294" s="51"/>
      <c r="E1294" s="51"/>
      <c r="F1294" s="51"/>
      <c r="G1294" s="54"/>
      <c r="H1294" s="53"/>
      <c r="I1294" s="54"/>
      <c r="J1294" s="53"/>
      <c r="K1294" s="53"/>
      <c r="L1294" s="53"/>
      <c r="M1294" s="54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3"/>
      <c r="AD1294" s="53"/>
      <c r="AE1294" s="53"/>
      <c r="AF1294" s="53"/>
      <c r="AG1294" s="53"/>
      <c r="AH1294" s="54"/>
      <c r="AI1294" s="53"/>
      <c r="AJ1294" s="53"/>
      <c r="AK1294" s="54"/>
      <c r="AL1294" s="54"/>
    </row>
    <row r="1295" spans="1:38" ht="15.75" thickBot="1" x14ac:dyDescent="0.3">
      <c r="A1295" s="51"/>
      <c r="B1295" s="51"/>
      <c r="C1295" s="51"/>
      <c r="D1295" s="51"/>
      <c r="E1295" s="51"/>
      <c r="F1295" s="51"/>
      <c r="G1295" s="56"/>
      <c r="H1295" s="55"/>
      <c r="I1295" s="148"/>
      <c r="J1295" s="55"/>
      <c r="K1295" s="55"/>
      <c r="L1295" s="55"/>
      <c r="M1295" s="56"/>
      <c r="N1295" s="55"/>
      <c r="O1295" s="55"/>
      <c r="P1295" s="55"/>
      <c r="Q1295" s="55"/>
      <c r="R1295" s="55"/>
      <c r="S1295" s="55"/>
      <c r="T1295" s="55"/>
      <c r="U1295" s="55"/>
      <c r="V1295" s="55"/>
      <c r="W1295" s="55"/>
      <c r="X1295" s="55"/>
      <c r="Y1295" s="55"/>
      <c r="Z1295" s="55"/>
      <c r="AA1295" s="55"/>
      <c r="AB1295" s="55"/>
      <c r="AC1295" s="55"/>
      <c r="AD1295" s="55"/>
      <c r="AE1295" s="55"/>
      <c r="AF1295" s="55"/>
      <c r="AG1295" s="55"/>
      <c r="AH1295" s="56"/>
      <c r="AI1295" s="55"/>
      <c r="AJ1295" s="55"/>
      <c r="AK1295" s="56"/>
      <c r="AL1295" s="56"/>
    </row>
    <row r="1296" spans="1:38" ht="15.75" thickBot="1" x14ac:dyDescent="0.3">
      <c r="A1296" s="51"/>
      <c r="B1296" s="51"/>
      <c r="C1296" s="51"/>
      <c r="D1296" s="51"/>
      <c r="E1296" s="51"/>
      <c r="F1296" s="51"/>
      <c r="G1296" s="54"/>
      <c r="H1296" s="53"/>
      <c r="I1296" s="53"/>
      <c r="J1296" s="53"/>
      <c r="K1296" s="53"/>
      <c r="L1296" s="53"/>
      <c r="M1296" s="53"/>
      <c r="N1296" s="53"/>
      <c r="O1296" s="53"/>
      <c r="P1296" s="53"/>
      <c r="Q1296" s="54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53"/>
      <c r="AC1296" s="53"/>
      <c r="AD1296" s="53"/>
      <c r="AE1296" s="53"/>
      <c r="AF1296" s="53"/>
      <c r="AG1296" s="53"/>
      <c r="AH1296" s="54"/>
      <c r="AI1296" s="53"/>
      <c r="AJ1296" s="53"/>
      <c r="AK1296" s="54"/>
      <c r="AL1296" s="54"/>
    </row>
    <row r="1297" spans="1:38" ht="15.75" thickBot="1" x14ac:dyDescent="0.3">
      <c r="A1297" s="51"/>
      <c r="B1297" s="51"/>
      <c r="C1297" s="51"/>
      <c r="D1297" s="51"/>
      <c r="E1297" s="51"/>
      <c r="F1297" s="51"/>
      <c r="G1297" s="56"/>
      <c r="H1297" s="55"/>
      <c r="I1297" s="55"/>
      <c r="J1297" s="55"/>
      <c r="K1297" s="55"/>
      <c r="L1297" s="55"/>
      <c r="M1297" s="55"/>
      <c r="N1297" s="55"/>
      <c r="O1297" s="55"/>
      <c r="P1297" s="55"/>
      <c r="Q1297" s="56"/>
      <c r="R1297" s="55"/>
      <c r="S1297" s="55"/>
      <c r="T1297" s="55"/>
      <c r="U1297" s="55"/>
      <c r="V1297" s="55"/>
      <c r="W1297" s="55"/>
      <c r="X1297" s="55"/>
      <c r="Y1297" s="55"/>
      <c r="Z1297" s="55"/>
      <c r="AA1297" s="55"/>
      <c r="AB1297" s="55"/>
      <c r="AC1297" s="55"/>
      <c r="AD1297" s="55"/>
      <c r="AE1297" s="55"/>
      <c r="AF1297" s="55"/>
      <c r="AG1297" s="55"/>
      <c r="AH1297" s="56"/>
      <c r="AI1297" s="55"/>
      <c r="AJ1297" s="55"/>
      <c r="AK1297" s="56"/>
      <c r="AL1297" s="56"/>
    </row>
    <row r="1298" spans="1:38" ht="15.75" thickBot="1" x14ac:dyDescent="0.3">
      <c r="A1298" s="51"/>
      <c r="B1298" s="51"/>
      <c r="C1298" s="51"/>
      <c r="D1298" s="51"/>
      <c r="E1298" s="51"/>
      <c r="F1298" s="51"/>
      <c r="G1298" s="54"/>
      <c r="H1298" s="53"/>
      <c r="I1298" s="53"/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4"/>
      <c r="AA1298" s="53"/>
      <c r="AB1298" s="53"/>
      <c r="AC1298" s="53"/>
      <c r="AD1298" s="53"/>
      <c r="AE1298" s="53"/>
      <c r="AF1298" s="53"/>
      <c r="AG1298" s="53"/>
      <c r="AH1298" s="54"/>
      <c r="AI1298" s="53"/>
      <c r="AJ1298" s="53"/>
      <c r="AK1298" s="54"/>
      <c r="AL1298" s="54"/>
    </row>
    <row r="1299" spans="1:38" ht="15.75" thickBot="1" x14ac:dyDescent="0.3">
      <c r="A1299" s="51"/>
      <c r="B1299" s="51"/>
      <c r="C1299" s="51"/>
      <c r="D1299" s="51"/>
      <c r="E1299" s="51"/>
      <c r="F1299" s="51"/>
      <c r="G1299" s="56"/>
      <c r="H1299" s="55"/>
      <c r="I1299" s="55"/>
      <c r="J1299" s="55"/>
      <c r="K1299" s="55"/>
      <c r="L1299" s="55"/>
      <c r="M1299" s="55"/>
      <c r="N1299" s="55"/>
      <c r="O1299" s="55"/>
      <c r="P1299" s="55"/>
      <c r="Q1299" s="55"/>
      <c r="R1299" s="55"/>
      <c r="S1299" s="55"/>
      <c r="T1299" s="55"/>
      <c r="U1299" s="55"/>
      <c r="V1299" s="55"/>
      <c r="W1299" s="55"/>
      <c r="X1299" s="55"/>
      <c r="Y1299" s="55"/>
      <c r="Z1299" s="56"/>
      <c r="AA1299" s="55"/>
      <c r="AB1299" s="55"/>
      <c r="AC1299" s="55"/>
      <c r="AD1299" s="55"/>
      <c r="AE1299" s="55"/>
      <c r="AF1299" s="55"/>
      <c r="AG1299" s="55"/>
      <c r="AH1299" s="56"/>
      <c r="AI1299" s="55"/>
      <c r="AJ1299" s="55"/>
      <c r="AK1299" s="56"/>
      <c r="AL1299" s="56"/>
    </row>
    <row r="1300" spans="1:38" ht="15.75" thickBot="1" x14ac:dyDescent="0.3">
      <c r="A1300" s="51"/>
      <c r="B1300" s="51"/>
      <c r="C1300" s="51"/>
      <c r="D1300" s="51"/>
      <c r="E1300" s="51"/>
      <c r="F1300" s="51"/>
      <c r="G1300" s="54"/>
      <c r="H1300" s="53"/>
      <c r="I1300" s="53"/>
      <c r="J1300" s="53"/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4"/>
      <c r="AB1300" s="53"/>
      <c r="AC1300" s="53"/>
      <c r="AD1300" s="53"/>
      <c r="AE1300" s="53"/>
      <c r="AF1300" s="53"/>
      <c r="AG1300" s="53"/>
      <c r="AH1300" s="54"/>
      <c r="AI1300" s="53"/>
      <c r="AJ1300" s="53"/>
      <c r="AK1300" s="54"/>
      <c r="AL1300" s="54"/>
    </row>
    <row r="1301" spans="1:38" ht="15.75" thickBot="1" x14ac:dyDescent="0.3">
      <c r="A1301" s="51"/>
      <c r="B1301" s="51"/>
      <c r="C1301" s="51"/>
      <c r="D1301" s="51"/>
      <c r="E1301" s="51"/>
      <c r="F1301" s="51"/>
      <c r="G1301" s="56"/>
      <c r="H1301" s="55"/>
      <c r="I1301" s="55"/>
      <c r="J1301" s="55"/>
      <c r="K1301" s="55"/>
      <c r="L1301" s="55"/>
      <c r="M1301" s="55"/>
      <c r="N1301" s="55"/>
      <c r="O1301" s="55"/>
      <c r="P1301" s="55"/>
      <c r="Q1301" s="55"/>
      <c r="R1301" s="55"/>
      <c r="S1301" s="55"/>
      <c r="T1301" s="55"/>
      <c r="U1301" s="55"/>
      <c r="V1301" s="55"/>
      <c r="W1301" s="55"/>
      <c r="X1301" s="55"/>
      <c r="Y1301" s="55"/>
      <c r="Z1301" s="55"/>
      <c r="AA1301" s="56"/>
      <c r="AB1301" s="55"/>
      <c r="AC1301" s="55"/>
      <c r="AD1301" s="55"/>
      <c r="AE1301" s="55"/>
      <c r="AF1301" s="55"/>
      <c r="AG1301" s="55"/>
      <c r="AH1301" s="56"/>
      <c r="AI1301" s="55"/>
      <c r="AJ1301" s="55"/>
      <c r="AK1301" s="56"/>
      <c r="AL1301" s="56"/>
    </row>
    <row r="1302" spans="1:38" ht="15.75" thickBot="1" x14ac:dyDescent="0.3">
      <c r="A1302" s="51"/>
      <c r="B1302" s="51"/>
      <c r="C1302" s="51"/>
      <c r="D1302" s="51"/>
      <c r="E1302" s="51"/>
      <c r="F1302" s="51"/>
      <c r="G1302" s="54"/>
      <c r="H1302" s="53"/>
      <c r="I1302" s="53"/>
      <c r="J1302" s="53"/>
      <c r="K1302" s="53"/>
      <c r="L1302" s="53"/>
      <c r="M1302" s="53"/>
      <c r="N1302" s="53"/>
      <c r="O1302" s="53"/>
      <c r="P1302" s="53"/>
      <c r="Q1302" s="53"/>
      <c r="R1302" s="54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3"/>
      <c r="AD1302" s="53"/>
      <c r="AE1302" s="53"/>
      <c r="AF1302" s="53"/>
      <c r="AG1302" s="53"/>
      <c r="AH1302" s="54"/>
      <c r="AI1302" s="53"/>
      <c r="AJ1302" s="53"/>
      <c r="AK1302" s="54"/>
      <c r="AL1302" s="54"/>
    </row>
    <row r="1303" spans="1:38" ht="15.75" thickBot="1" x14ac:dyDescent="0.3">
      <c r="A1303" s="51"/>
      <c r="B1303" s="51"/>
      <c r="C1303" s="51"/>
      <c r="D1303" s="51"/>
      <c r="E1303" s="51"/>
      <c r="F1303" s="51"/>
      <c r="G1303" s="56"/>
      <c r="H1303" s="55"/>
      <c r="I1303" s="55"/>
      <c r="J1303" s="55"/>
      <c r="K1303" s="55"/>
      <c r="L1303" s="55"/>
      <c r="M1303" s="55"/>
      <c r="N1303" s="55"/>
      <c r="O1303" s="55"/>
      <c r="P1303" s="55"/>
      <c r="Q1303" s="55"/>
      <c r="R1303" s="56"/>
      <c r="S1303" s="55"/>
      <c r="T1303" s="55"/>
      <c r="U1303" s="55"/>
      <c r="V1303" s="55"/>
      <c r="W1303" s="55"/>
      <c r="X1303" s="55"/>
      <c r="Y1303" s="55"/>
      <c r="Z1303" s="55"/>
      <c r="AA1303" s="55"/>
      <c r="AB1303" s="55"/>
      <c r="AC1303" s="55"/>
      <c r="AD1303" s="55"/>
      <c r="AE1303" s="55"/>
      <c r="AF1303" s="55"/>
      <c r="AG1303" s="55"/>
      <c r="AH1303" s="56"/>
      <c r="AI1303" s="55"/>
      <c r="AJ1303" s="55"/>
      <c r="AK1303" s="56"/>
      <c r="AL1303" s="56"/>
    </row>
    <row r="1304" spans="1:38" ht="15.75" thickBot="1" x14ac:dyDescent="0.3">
      <c r="A1304" s="51"/>
      <c r="B1304" s="51"/>
      <c r="C1304" s="51"/>
      <c r="D1304" s="51"/>
      <c r="E1304" s="51"/>
      <c r="F1304" s="51"/>
      <c r="G1304" s="54"/>
      <c r="H1304" s="53"/>
      <c r="I1304" s="53"/>
      <c r="J1304" s="53"/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4"/>
      <c r="AD1304" s="53"/>
      <c r="AE1304" s="53"/>
      <c r="AF1304" s="53"/>
      <c r="AG1304" s="53"/>
      <c r="AH1304" s="54"/>
      <c r="AI1304" s="53"/>
      <c r="AJ1304" s="53"/>
      <c r="AK1304" s="54"/>
      <c r="AL1304" s="54"/>
    </row>
    <row r="1305" spans="1:38" ht="15.75" thickBot="1" x14ac:dyDescent="0.3">
      <c r="A1305" s="51"/>
      <c r="B1305" s="51"/>
      <c r="C1305" s="51"/>
      <c r="D1305" s="51"/>
      <c r="E1305" s="51"/>
      <c r="F1305" s="51"/>
      <c r="G1305" s="56"/>
      <c r="H1305" s="55"/>
      <c r="I1305" s="55"/>
      <c r="J1305" s="55"/>
      <c r="K1305" s="55"/>
      <c r="L1305" s="55"/>
      <c r="M1305" s="55"/>
      <c r="N1305" s="55"/>
      <c r="O1305" s="55"/>
      <c r="P1305" s="55"/>
      <c r="Q1305" s="55"/>
      <c r="R1305" s="55"/>
      <c r="S1305" s="55"/>
      <c r="T1305" s="55"/>
      <c r="U1305" s="55"/>
      <c r="V1305" s="55"/>
      <c r="W1305" s="55"/>
      <c r="X1305" s="55"/>
      <c r="Y1305" s="55"/>
      <c r="Z1305" s="55"/>
      <c r="AA1305" s="55"/>
      <c r="AB1305" s="55"/>
      <c r="AC1305" s="56"/>
      <c r="AD1305" s="55"/>
      <c r="AE1305" s="55"/>
      <c r="AF1305" s="55"/>
      <c r="AG1305" s="55"/>
      <c r="AH1305" s="56"/>
      <c r="AI1305" s="55"/>
      <c r="AJ1305" s="55"/>
      <c r="AK1305" s="56"/>
      <c r="AL1305" s="56"/>
    </row>
    <row r="1306" spans="1:38" ht="15.75" thickBot="1" x14ac:dyDescent="0.3">
      <c r="A1306" s="51"/>
      <c r="B1306" s="51"/>
      <c r="C1306" s="51"/>
      <c r="D1306" s="51"/>
      <c r="E1306" s="51"/>
      <c r="F1306" s="51"/>
      <c r="G1306" s="54"/>
      <c r="H1306" s="53"/>
      <c r="I1306" s="53"/>
      <c r="J1306" s="53"/>
      <c r="K1306" s="54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3"/>
      <c r="AD1306" s="53"/>
      <c r="AE1306" s="53"/>
      <c r="AF1306" s="53"/>
      <c r="AG1306" s="53"/>
      <c r="AH1306" s="54"/>
      <c r="AI1306" s="53"/>
      <c r="AJ1306" s="53"/>
      <c r="AK1306" s="54"/>
      <c r="AL1306" s="54"/>
    </row>
    <row r="1307" spans="1:38" ht="15.75" thickBot="1" x14ac:dyDescent="0.3">
      <c r="A1307" s="51"/>
      <c r="B1307" s="51"/>
      <c r="C1307" s="51"/>
      <c r="D1307" s="51"/>
      <c r="E1307" s="51"/>
      <c r="F1307" s="51"/>
      <c r="G1307" s="56"/>
      <c r="H1307" s="55"/>
      <c r="I1307" s="55"/>
      <c r="J1307" s="55"/>
      <c r="K1307" s="56"/>
      <c r="L1307" s="55"/>
      <c r="M1307" s="55"/>
      <c r="N1307" s="55"/>
      <c r="O1307" s="55"/>
      <c r="P1307" s="55"/>
      <c r="Q1307" s="55"/>
      <c r="R1307" s="55"/>
      <c r="S1307" s="55"/>
      <c r="T1307" s="55"/>
      <c r="U1307" s="55"/>
      <c r="V1307" s="55"/>
      <c r="W1307" s="55"/>
      <c r="X1307" s="55"/>
      <c r="Y1307" s="55"/>
      <c r="Z1307" s="55"/>
      <c r="AA1307" s="55"/>
      <c r="AB1307" s="55"/>
      <c r="AC1307" s="55"/>
      <c r="AD1307" s="55"/>
      <c r="AE1307" s="55"/>
      <c r="AF1307" s="55"/>
      <c r="AG1307" s="55"/>
      <c r="AH1307" s="56"/>
      <c r="AI1307" s="55"/>
      <c r="AJ1307" s="55"/>
      <c r="AK1307" s="56"/>
      <c r="AL1307" s="56"/>
    </row>
    <row r="1308" spans="1:38" ht="15.75" thickBot="1" x14ac:dyDescent="0.3">
      <c r="A1308" s="51"/>
      <c r="B1308" s="51"/>
      <c r="C1308" s="51"/>
      <c r="D1308" s="51"/>
      <c r="E1308" s="51"/>
      <c r="F1308" s="51"/>
      <c r="G1308" s="54"/>
      <c r="H1308" s="53"/>
      <c r="I1308" s="53"/>
      <c r="J1308" s="53"/>
      <c r="K1308" s="53"/>
      <c r="L1308" s="54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D1308" s="53"/>
      <c r="AE1308" s="53"/>
      <c r="AF1308" s="53"/>
      <c r="AG1308" s="53"/>
      <c r="AH1308" s="54"/>
      <c r="AI1308" s="53"/>
      <c r="AJ1308" s="53"/>
      <c r="AK1308" s="54"/>
      <c r="AL1308" s="54"/>
    </row>
    <row r="1309" spans="1:38" ht="15.75" thickBot="1" x14ac:dyDescent="0.3">
      <c r="A1309" s="51"/>
      <c r="B1309" s="51"/>
      <c r="C1309" s="51"/>
      <c r="D1309" s="51"/>
      <c r="E1309" s="51"/>
      <c r="F1309" s="51"/>
      <c r="G1309" s="56"/>
      <c r="H1309" s="55"/>
      <c r="I1309" s="55"/>
      <c r="J1309" s="55"/>
      <c r="K1309" s="55"/>
      <c r="L1309" s="56"/>
      <c r="M1309" s="55"/>
      <c r="N1309" s="55"/>
      <c r="O1309" s="55"/>
      <c r="P1309" s="55"/>
      <c r="Q1309" s="55"/>
      <c r="R1309" s="55"/>
      <c r="S1309" s="55"/>
      <c r="T1309" s="55"/>
      <c r="U1309" s="55"/>
      <c r="V1309" s="55"/>
      <c r="W1309" s="55"/>
      <c r="X1309" s="55"/>
      <c r="Y1309" s="55"/>
      <c r="Z1309" s="55"/>
      <c r="AA1309" s="55"/>
      <c r="AB1309" s="55"/>
      <c r="AC1309" s="55"/>
      <c r="AD1309" s="55"/>
      <c r="AE1309" s="55"/>
      <c r="AF1309" s="55"/>
      <c r="AG1309" s="55"/>
      <c r="AH1309" s="56"/>
      <c r="AI1309" s="55"/>
      <c r="AJ1309" s="55"/>
      <c r="AK1309" s="56"/>
      <c r="AL1309" s="56"/>
    </row>
    <row r="1310" spans="1:38" ht="15.75" thickBot="1" x14ac:dyDescent="0.3">
      <c r="A1310" s="51"/>
      <c r="B1310" s="51"/>
      <c r="C1310" s="51"/>
      <c r="D1310" s="51"/>
      <c r="E1310" s="51"/>
      <c r="F1310" s="51"/>
      <c r="G1310" s="54"/>
      <c r="H1310" s="54"/>
      <c r="I1310" s="53"/>
      <c r="J1310" s="53"/>
      <c r="K1310" s="53"/>
      <c r="L1310" s="53"/>
      <c r="M1310" s="54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53"/>
      <c r="AD1310" s="53"/>
      <c r="AE1310" s="53"/>
      <c r="AF1310" s="53"/>
      <c r="AG1310" s="53"/>
      <c r="AH1310" s="54"/>
      <c r="AI1310" s="53"/>
      <c r="AJ1310" s="53"/>
      <c r="AK1310" s="54"/>
      <c r="AL1310" s="54"/>
    </row>
    <row r="1311" spans="1:38" ht="15.75" thickBot="1" x14ac:dyDescent="0.3">
      <c r="A1311" s="51"/>
      <c r="B1311" s="51"/>
      <c r="C1311" s="51"/>
      <c r="D1311" s="51"/>
      <c r="E1311" s="51"/>
      <c r="F1311" s="51"/>
      <c r="G1311" s="56"/>
      <c r="H1311" s="148"/>
      <c r="I1311" s="55"/>
      <c r="J1311" s="55"/>
      <c r="K1311" s="55"/>
      <c r="L1311" s="55"/>
      <c r="M1311" s="56"/>
      <c r="N1311" s="55"/>
      <c r="O1311" s="55"/>
      <c r="P1311" s="55"/>
      <c r="Q1311" s="55"/>
      <c r="R1311" s="55"/>
      <c r="S1311" s="55"/>
      <c r="T1311" s="55"/>
      <c r="U1311" s="55"/>
      <c r="V1311" s="55"/>
      <c r="W1311" s="55"/>
      <c r="X1311" s="55"/>
      <c r="Y1311" s="55"/>
      <c r="Z1311" s="55"/>
      <c r="AA1311" s="55"/>
      <c r="AB1311" s="55"/>
      <c r="AC1311" s="55"/>
      <c r="AD1311" s="55"/>
      <c r="AE1311" s="55"/>
      <c r="AF1311" s="55"/>
      <c r="AG1311" s="55"/>
      <c r="AH1311" s="56"/>
      <c r="AI1311" s="55"/>
      <c r="AJ1311" s="55"/>
      <c r="AK1311" s="56"/>
      <c r="AL1311" s="56"/>
    </row>
    <row r="1312" spans="1:38" ht="15.75" thickBot="1" x14ac:dyDescent="0.3">
      <c r="A1312" s="51"/>
      <c r="B1312" s="51"/>
      <c r="C1312" s="51"/>
      <c r="D1312" s="51"/>
      <c r="E1312" s="51"/>
      <c r="F1312" s="51"/>
      <c r="G1312" s="54"/>
      <c r="H1312" s="53"/>
      <c r="I1312" s="53"/>
      <c r="J1312" s="53"/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  <c r="Z1312" s="54"/>
      <c r="AA1312" s="53"/>
      <c r="AB1312" s="53"/>
      <c r="AC1312" s="53"/>
      <c r="AD1312" s="53"/>
      <c r="AE1312" s="53"/>
      <c r="AF1312" s="53"/>
      <c r="AG1312" s="53"/>
      <c r="AH1312" s="54"/>
      <c r="AI1312" s="53"/>
      <c r="AJ1312" s="53"/>
      <c r="AK1312" s="54"/>
      <c r="AL1312" s="54"/>
    </row>
    <row r="1313" spans="1:38" ht="15.75" thickBot="1" x14ac:dyDescent="0.3">
      <c r="A1313" s="51"/>
      <c r="B1313" s="51"/>
      <c r="C1313" s="51"/>
      <c r="D1313" s="51"/>
      <c r="E1313" s="51"/>
      <c r="F1313" s="51"/>
      <c r="G1313" s="56"/>
      <c r="H1313" s="55"/>
      <c r="I1313" s="55"/>
      <c r="J1313" s="55"/>
      <c r="K1313" s="55"/>
      <c r="L1313" s="55"/>
      <c r="M1313" s="55"/>
      <c r="N1313" s="55"/>
      <c r="O1313" s="55"/>
      <c r="P1313" s="55"/>
      <c r="Q1313" s="55"/>
      <c r="R1313" s="55"/>
      <c r="S1313" s="55"/>
      <c r="T1313" s="55"/>
      <c r="U1313" s="55"/>
      <c r="V1313" s="55"/>
      <c r="W1313" s="55"/>
      <c r="X1313" s="55"/>
      <c r="Y1313" s="55"/>
      <c r="Z1313" s="56"/>
      <c r="AA1313" s="55"/>
      <c r="AB1313" s="55"/>
      <c r="AC1313" s="55"/>
      <c r="AD1313" s="55"/>
      <c r="AE1313" s="55"/>
      <c r="AF1313" s="55"/>
      <c r="AG1313" s="55"/>
      <c r="AH1313" s="56"/>
      <c r="AI1313" s="55"/>
      <c r="AJ1313" s="55"/>
      <c r="AK1313" s="56"/>
      <c r="AL1313" s="56"/>
    </row>
    <row r="1314" spans="1:38" ht="15.75" thickBot="1" x14ac:dyDescent="0.3">
      <c r="A1314" s="51"/>
      <c r="B1314" s="51"/>
      <c r="C1314" s="51"/>
      <c r="D1314" s="51"/>
      <c r="E1314" s="51"/>
      <c r="F1314" s="51"/>
      <c r="G1314" s="54"/>
      <c r="H1314" s="53"/>
      <c r="I1314" s="53"/>
      <c r="J1314" s="53"/>
      <c r="K1314" s="53"/>
      <c r="L1314" s="53"/>
      <c r="M1314" s="53"/>
      <c r="N1314" s="53"/>
      <c r="O1314" s="53"/>
      <c r="P1314" s="53"/>
      <c r="Q1314" s="53"/>
      <c r="R1314" s="54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3"/>
      <c r="AC1314" s="53"/>
      <c r="AD1314" s="53"/>
      <c r="AE1314" s="53"/>
      <c r="AF1314" s="53"/>
      <c r="AG1314" s="53"/>
      <c r="AH1314" s="54"/>
      <c r="AI1314" s="53"/>
      <c r="AJ1314" s="53"/>
      <c r="AK1314" s="54"/>
      <c r="AL1314" s="54"/>
    </row>
    <row r="1315" spans="1:38" ht="15.75" thickBot="1" x14ac:dyDescent="0.3">
      <c r="A1315" s="51"/>
      <c r="B1315" s="51"/>
      <c r="C1315" s="51"/>
      <c r="D1315" s="51"/>
      <c r="E1315" s="51"/>
      <c r="F1315" s="51"/>
      <c r="G1315" s="56"/>
      <c r="H1315" s="55"/>
      <c r="I1315" s="55"/>
      <c r="J1315" s="55"/>
      <c r="K1315" s="55"/>
      <c r="L1315" s="55"/>
      <c r="M1315" s="55"/>
      <c r="N1315" s="55"/>
      <c r="O1315" s="55"/>
      <c r="P1315" s="55"/>
      <c r="Q1315" s="55"/>
      <c r="R1315" s="56"/>
      <c r="S1315" s="55"/>
      <c r="T1315" s="55"/>
      <c r="U1315" s="55"/>
      <c r="V1315" s="55"/>
      <c r="W1315" s="55"/>
      <c r="X1315" s="55"/>
      <c r="Y1315" s="55"/>
      <c r="Z1315" s="55"/>
      <c r="AA1315" s="55"/>
      <c r="AB1315" s="55"/>
      <c r="AC1315" s="55"/>
      <c r="AD1315" s="55"/>
      <c r="AE1315" s="55"/>
      <c r="AF1315" s="55"/>
      <c r="AG1315" s="55"/>
      <c r="AH1315" s="56"/>
      <c r="AI1315" s="55"/>
      <c r="AJ1315" s="55"/>
      <c r="AK1315" s="56"/>
      <c r="AL1315" s="56"/>
    </row>
    <row r="1316" spans="1:38" ht="15.75" thickBot="1" x14ac:dyDescent="0.3">
      <c r="A1316" s="51"/>
      <c r="B1316" s="51"/>
      <c r="C1316" s="51"/>
      <c r="D1316" s="51"/>
      <c r="E1316" s="51"/>
      <c r="F1316" s="51"/>
      <c r="G1316" s="54"/>
      <c r="H1316" s="53"/>
      <c r="I1316" s="53"/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53"/>
      <c r="AC1316" s="54"/>
      <c r="AD1316" s="53"/>
      <c r="AE1316" s="53"/>
      <c r="AF1316" s="53"/>
      <c r="AG1316" s="53"/>
      <c r="AH1316" s="54"/>
      <c r="AI1316" s="53"/>
      <c r="AJ1316" s="53"/>
      <c r="AK1316" s="54"/>
      <c r="AL1316" s="54"/>
    </row>
    <row r="1317" spans="1:38" ht="15.75" thickBot="1" x14ac:dyDescent="0.3">
      <c r="A1317" s="51"/>
      <c r="B1317" s="51"/>
      <c r="C1317" s="51"/>
      <c r="D1317" s="51"/>
      <c r="E1317" s="51"/>
      <c r="F1317" s="51"/>
      <c r="G1317" s="56"/>
      <c r="H1317" s="55"/>
      <c r="I1317" s="55"/>
      <c r="J1317" s="55"/>
      <c r="K1317" s="55"/>
      <c r="L1317" s="55"/>
      <c r="M1317" s="55"/>
      <c r="N1317" s="55"/>
      <c r="O1317" s="55"/>
      <c r="P1317" s="55"/>
      <c r="Q1317" s="55"/>
      <c r="R1317" s="55"/>
      <c r="S1317" s="55"/>
      <c r="T1317" s="55"/>
      <c r="U1317" s="55"/>
      <c r="V1317" s="55"/>
      <c r="W1317" s="55"/>
      <c r="X1317" s="55"/>
      <c r="Y1317" s="55"/>
      <c r="Z1317" s="55"/>
      <c r="AA1317" s="55"/>
      <c r="AB1317" s="55"/>
      <c r="AC1317" s="56"/>
      <c r="AD1317" s="55"/>
      <c r="AE1317" s="55"/>
      <c r="AF1317" s="55"/>
      <c r="AG1317" s="55"/>
      <c r="AH1317" s="56"/>
      <c r="AI1317" s="55"/>
      <c r="AJ1317" s="55"/>
      <c r="AK1317" s="56"/>
      <c r="AL1317" s="56"/>
    </row>
    <row r="1318" spans="1:38" ht="15.75" thickBot="1" x14ac:dyDescent="0.3">
      <c r="A1318" s="51"/>
      <c r="B1318" s="51"/>
      <c r="C1318" s="51"/>
      <c r="D1318" s="51"/>
      <c r="E1318" s="51"/>
      <c r="F1318" s="51"/>
      <c r="G1318" s="54"/>
      <c r="H1318" s="53"/>
      <c r="I1318" s="53"/>
      <c r="J1318" s="53"/>
      <c r="K1318" s="53"/>
      <c r="L1318" s="53"/>
      <c r="M1318" s="53"/>
      <c r="N1318" s="53"/>
      <c r="O1318" s="53"/>
      <c r="P1318" s="53"/>
      <c r="Q1318" s="54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53"/>
      <c r="AD1318" s="53"/>
      <c r="AE1318" s="53"/>
      <c r="AF1318" s="53"/>
      <c r="AG1318" s="53"/>
      <c r="AH1318" s="54"/>
      <c r="AI1318" s="53"/>
      <c r="AJ1318" s="53"/>
      <c r="AK1318" s="54"/>
      <c r="AL1318" s="54"/>
    </row>
    <row r="1319" spans="1:38" ht="15.75" thickBot="1" x14ac:dyDescent="0.3">
      <c r="A1319" s="51"/>
      <c r="B1319" s="51"/>
      <c r="C1319" s="51"/>
      <c r="D1319" s="51"/>
      <c r="E1319" s="51"/>
      <c r="F1319" s="51"/>
      <c r="G1319" s="56"/>
      <c r="H1319" s="55"/>
      <c r="I1319" s="55"/>
      <c r="J1319" s="55"/>
      <c r="K1319" s="55"/>
      <c r="L1319" s="55"/>
      <c r="M1319" s="55"/>
      <c r="N1319" s="55"/>
      <c r="O1319" s="55"/>
      <c r="P1319" s="55"/>
      <c r="Q1319" s="56"/>
      <c r="R1319" s="55"/>
      <c r="S1319" s="55"/>
      <c r="T1319" s="55"/>
      <c r="U1319" s="55"/>
      <c r="V1319" s="55"/>
      <c r="W1319" s="55"/>
      <c r="X1319" s="55"/>
      <c r="Y1319" s="55"/>
      <c r="Z1319" s="55"/>
      <c r="AA1319" s="55"/>
      <c r="AB1319" s="55"/>
      <c r="AC1319" s="55"/>
      <c r="AD1319" s="55"/>
      <c r="AE1319" s="55"/>
      <c r="AF1319" s="55"/>
      <c r="AG1319" s="55"/>
      <c r="AH1319" s="56"/>
      <c r="AI1319" s="55"/>
      <c r="AJ1319" s="55"/>
      <c r="AK1319" s="56"/>
      <c r="AL1319" s="56"/>
    </row>
    <row r="1320" spans="1:38" ht="15.75" thickBot="1" x14ac:dyDescent="0.3">
      <c r="A1320" s="51"/>
      <c r="B1320" s="51"/>
      <c r="C1320" s="51"/>
      <c r="D1320" s="51"/>
      <c r="E1320" s="51"/>
      <c r="F1320" s="51"/>
      <c r="G1320" s="54"/>
      <c r="H1320" s="54"/>
      <c r="I1320" s="53"/>
      <c r="J1320" s="53"/>
      <c r="K1320" s="53"/>
      <c r="L1320" s="53"/>
      <c r="M1320" s="54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3"/>
      <c r="AC1320" s="53"/>
      <c r="AD1320" s="53"/>
      <c r="AE1320" s="53"/>
      <c r="AF1320" s="53"/>
      <c r="AG1320" s="53"/>
      <c r="AH1320" s="54"/>
      <c r="AI1320" s="53"/>
      <c r="AJ1320" s="53"/>
      <c r="AK1320" s="54"/>
      <c r="AL1320" s="54"/>
    </row>
    <row r="1321" spans="1:38" ht="15.75" thickBot="1" x14ac:dyDescent="0.3">
      <c r="A1321" s="51"/>
      <c r="B1321" s="51"/>
      <c r="C1321" s="51"/>
      <c r="D1321" s="51"/>
      <c r="E1321" s="51"/>
      <c r="F1321" s="51"/>
      <c r="G1321" s="56"/>
      <c r="H1321" s="148"/>
      <c r="I1321" s="55"/>
      <c r="J1321" s="55"/>
      <c r="K1321" s="55"/>
      <c r="L1321" s="55"/>
      <c r="M1321" s="56"/>
      <c r="N1321" s="55"/>
      <c r="O1321" s="55"/>
      <c r="P1321" s="55"/>
      <c r="Q1321" s="55"/>
      <c r="R1321" s="55"/>
      <c r="S1321" s="55"/>
      <c r="T1321" s="55"/>
      <c r="U1321" s="55"/>
      <c r="V1321" s="55"/>
      <c r="W1321" s="55"/>
      <c r="X1321" s="55"/>
      <c r="Y1321" s="55"/>
      <c r="Z1321" s="55"/>
      <c r="AA1321" s="55"/>
      <c r="AB1321" s="55"/>
      <c r="AC1321" s="55"/>
      <c r="AD1321" s="55"/>
      <c r="AE1321" s="55"/>
      <c r="AF1321" s="55"/>
      <c r="AG1321" s="55"/>
      <c r="AH1321" s="56"/>
      <c r="AI1321" s="55"/>
      <c r="AJ1321" s="55"/>
      <c r="AK1321" s="56"/>
      <c r="AL1321" s="56"/>
    </row>
    <row r="1322" spans="1:38" ht="15.75" thickBot="1" x14ac:dyDescent="0.3">
      <c r="A1322" s="51"/>
      <c r="B1322" s="51"/>
      <c r="C1322" s="51"/>
      <c r="D1322" s="51"/>
      <c r="E1322" s="51"/>
      <c r="F1322" s="51"/>
      <c r="G1322" s="54"/>
      <c r="H1322" s="53"/>
      <c r="I1322" s="53"/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4"/>
      <c r="AB1322" s="53"/>
      <c r="AC1322" s="53"/>
      <c r="AD1322" s="53"/>
      <c r="AE1322" s="53"/>
      <c r="AF1322" s="53"/>
      <c r="AG1322" s="53"/>
      <c r="AH1322" s="54"/>
      <c r="AI1322" s="53"/>
      <c r="AJ1322" s="53"/>
      <c r="AK1322" s="54"/>
      <c r="AL1322" s="54"/>
    </row>
    <row r="1323" spans="1:38" ht="15.75" thickBot="1" x14ac:dyDescent="0.3">
      <c r="A1323" s="51"/>
      <c r="B1323" s="51"/>
      <c r="C1323" s="51"/>
      <c r="D1323" s="51"/>
      <c r="E1323" s="51"/>
      <c r="F1323" s="51"/>
      <c r="G1323" s="56"/>
      <c r="H1323" s="55"/>
      <c r="I1323" s="55"/>
      <c r="J1323" s="55"/>
      <c r="K1323" s="55"/>
      <c r="L1323" s="55"/>
      <c r="M1323" s="55"/>
      <c r="N1323" s="55"/>
      <c r="O1323" s="55"/>
      <c r="P1323" s="55"/>
      <c r="Q1323" s="55"/>
      <c r="R1323" s="55"/>
      <c r="S1323" s="55"/>
      <c r="T1323" s="55"/>
      <c r="U1323" s="55"/>
      <c r="V1323" s="55"/>
      <c r="W1323" s="55"/>
      <c r="X1323" s="55"/>
      <c r="Y1323" s="55"/>
      <c r="Z1323" s="55"/>
      <c r="AA1323" s="56"/>
      <c r="AB1323" s="55"/>
      <c r="AC1323" s="55"/>
      <c r="AD1323" s="55"/>
      <c r="AE1323" s="55"/>
      <c r="AF1323" s="55"/>
      <c r="AG1323" s="55"/>
      <c r="AH1323" s="56"/>
      <c r="AI1323" s="55"/>
      <c r="AJ1323" s="55"/>
      <c r="AK1323" s="56"/>
      <c r="AL1323" s="56"/>
    </row>
    <row r="1324" spans="1:38" ht="15.75" thickBot="1" x14ac:dyDescent="0.3">
      <c r="A1324" s="51"/>
      <c r="B1324" s="51"/>
      <c r="C1324" s="51"/>
      <c r="D1324" s="51"/>
      <c r="E1324" s="51"/>
      <c r="F1324" s="51"/>
      <c r="G1324" s="54"/>
      <c r="H1324" s="53"/>
      <c r="I1324" s="53"/>
      <c r="J1324" s="53"/>
      <c r="K1324" s="54"/>
      <c r="L1324" s="53"/>
      <c r="M1324" s="53"/>
      <c r="N1324" s="53"/>
      <c r="O1324" s="53"/>
      <c r="P1324" s="53"/>
      <c r="Q1324" s="53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53"/>
      <c r="AC1324" s="53"/>
      <c r="AD1324" s="53"/>
      <c r="AE1324" s="53"/>
      <c r="AF1324" s="53"/>
      <c r="AG1324" s="53"/>
      <c r="AH1324" s="54"/>
      <c r="AI1324" s="53"/>
      <c r="AJ1324" s="53"/>
      <c r="AK1324" s="54"/>
      <c r="AL1324" s="54"/>
    </row>
    <row r="1325" spans="1:38" ht="15.75" thickBot="1" x14ac:dyDescent="0.3">
      <c r="A1325" s="51"/>
      <c r="B1325" s="51"/>
      <c r="C1325" s="51"/>
      <c r="D1325" s="51"/>
      <c r="E1325" s="51"/>
      <c r="F1325" s="51"/>
      <c r="G1325" s="56"/>
      <c r="H1325" s="55"/>
      <c r="I1325" s="55"/>
      <c r="J1325" s="55"/>
      <c r="K1325" s="56"/>
      <c r="L1325" s="55"/>
      <c r="M1325" s="55"/>
      <c r="N1325" s="55"/>
      <c r="O1325" s="55"/>
      <c r="P1325" s="55"/>
      <c r="Q1325" s="55"/>
      <c r="R1325" s="55"/>
      <c r="S1325" s="55"/>
      <c r="T1325" s="55"/>
      <c r="U1325" s="55"/>
      <c r="V1325" s="55"/>
      <c r="W1325" s="55"/>
      <c r="X1325" s="55"/>
      <c r="Y1325" s="55"/>
      <c r="Z1325" s="55"/>
      <c r="AA1325" s="55"/>
      <c r="AB1325" s="55"/>
      <c r="AC1325" s="55"/>
      <c r="AD1325" s="55"/>
      <c r="AE1325" s="55"/>
      <c r="AF1325" s="55"/>
      <c r="AG1325" s="55"/>
      <c r="AH1325" s="56"/>
      <c r="AI1325" s="55"/>
      <c r="AJ1325" s="55"/>
      <c r="AK1325" s="56"/>
      <c r="AL1325" s="56"/>
    </row>
    <row r="1326" spans="1:38" ht="15.75" thickBot="1" x14ac:dyDescent="0.3">
      <c r="A1326" s="51"/>
      <c r="B1326" s="51"/>
      <c r="C1326" s="51"/>
      <c r="D1326" s="51"/>
      <c r="E1326" s="51"/>
      <c r="F1326" s="51"/>
      <c r="G1326" s="54"/>
      <c r="H1326" s="53"/>
      <c r="I1326" s="53"/>
      <c r="J1326" s="53"/>
      <c r="K1326" s="53"/>
      <c r="L1326" s="53"/>
      <c r="M1326" s="53"/>
      <c r="N1326" s="53"/>
      <c r="O1326" s="53"/>
      <c r="P1326" s="53"/>
      <c r="Q1326" s="54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53"/>
      <c r="AC1326" s="53"/>
      <c r="AD1326" s="53"/>
      <c r="AE1326" s="53"/>
      <c r="AF1326" s="53"/>
      <c r="AG1326" s="53"/>
      <c r="AH1326" s="54"/>
      <c r="AI1326" s="53"/>
      <c r="AJ1326" s="53"/>
      <c r="AK1326" s="54"/>
      <c r="AL1326" s="54"/>
    </row>
    <row r="1327" spans="1:38" ht="15.75" thickBot="1" x14ac:dyDescent="0.3">
      <c r="A1327" s="51"/>
      <c r="B1327" s="51"/>
      <c r="C1327" s="51"/>
      <c r="D1327" s="51"/>
      <c r="E1327" s="51"/>
      <c r="F1327" s="51"/>
      <c r="G1327" s="56"/>
      <c r="H1327" s="55"/>
      <c r="I1327" s="55"/>
      <c r="J1327" s="55"/>
      <c r="K1327" s="55"/>
      <c r="L1327" s="55"/>
      <c r="M1327" s="55"/>
      <c r="N1327" s="55"/>
      <c r="O1327" s="55"/>
      <c r="P1327" s="55"/>
      <c r="Q1327" s="56"/>
      <c r="R1327" s="55"/>
      <c r="S1327" s="55"/>
      <c r="T1327" s="55"/>
      <c r="U1327" s="55"/>
      <c r="V1327" s="55"/>
      <c r="W1327" s="55"/>
      <c r="X1327" s="55"/>
      <c r="Y1327" s="55"/>
      <c r="Z1327" s="55"/>
      <c r="AA1327" s="55"/>
      <c r="AB1327" s="55"/>
      <c r="AC1327" s="55"/>
      <c r="AD1327" s="55"/>
      <c r="AE1327" s="55"/>
      <c r="AF1327" s="55"/>
      <c r="AG1327" s="55"/>
      <c r="AH1327" s="56"/>
      <c r="AI1327" s="55"/>
      <c r="AJ1327" s="55"/>
      <c r="AK1327" s="56"/>
      <c r="AL1327" s="56"/>
    </row>
    <row r="1328" spans="1:38" ht="15.75" thickBot="1" x14ac:dyDescent="0.3">
      <c r="A1328" s="51"/>
      <c r="B1328" s="51"/>
      <c r="C1328" s="51"/>
      <c r="D1328" s="51"/>
      <c r="E1328" s="51"/>
      <c r="F1328" s="51"/>
      <c r="G1328" s="54"/>
      <c r="H1328" s="53"/>
      <c r="I1328" s="53"/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4"/>
      <c r="U1328" s="53"/>
      <c r="V1328" s="53"/>
      <c r="W1328" s="53"/>
      <c r="X1328" s="53"/>
      <c r="Y1328" s="53"/>
      <c r="Z1328" s="53"/>
      <c r="AA1328" s="53"/>
      <c r="AB1328" s="53"/>
      <c r="AC1328" s="53"/>
      <c r="AD1328" s="53"/>
      <c r="AE1328" s="53"/>
      <c r="AF1328" s="53"/>
      <c r="AG1328" s="53"/>
      <c r="AH1328" s="54"/>
      <c r="AI1328" s="53"/>
      <c r="AJ1328" s="53"/>
      <c r="AK1328" s="54"/>
      <c r="AL1328" s="54"/>
    </row>
    <row r="1329" spans="1:38" ht="15.75" thickBot="1" x14ac:dyDescent="0.3">
      <c r="A1329" s="51"/>
      <c r="B1329" s="51"/>
      <c r="C1329" s="51"/>
      <c r="D1329" s="51"/>
      <c r="E1329" s="51"/>
      <c r="F1329" s="51"/>
      <c r="G1329" s="56"/>
      <c r="H1329" s="55"/>
      <c r="I1329" s="55"/>
      <c r="J1329" s="55"/>
      <c r="K1329" s="55"/>
      <c r="L1329" s="55"/>
      <c r="M1329" s="55"/>
      <c r="N1329" s="55"/>
      <c r="O1329" s="55"/>
      <c r="P1329" s="55"/>
      <c r="Q1329" s="55"/>
      <c r="R1329" s="55"/>
      <c r="S1329" s="55"/>
      <c r="T1329" s="56"/>
      <c r="U1329" s="55"/>
      <c r="V1329" s="55"/>
      <c r="W1329" s="55"/>
      <c r="X1329" s="55"/>
      <c r="Y1329" s="55"/>
      <c r="Z1329" s="55"/>
      <c r="AA1329" s="55"/>
      <c r="AB1329" s="55"/>
      <c r="AC1329" s="55"/>
      <c r="AD1329" s="55"/>
      <c r="AE1329" s="55"/>
      <c r="AF1329" s="55"/>
      <c r="AG1329" s="55"/>
      <c r="AH1329" s="56"/>
      <c r="AI1329" s="55"/>
      <c r="AJ1329" s="55"/>
      <c r="AK1329" s="56"/>
      <c r="AL1329" s="56"/>
    </row>
    <row r="1330" spans="1:38" ht="15.75" thickBot="1" x14ac:dyDescent="0.3">
      <c r="A1330" s="51"/>
      <c r="B1330" s="51"/>
      <c r="C1330" s="51"/>
      <c r="D1330" s="51"/>
      <c r="E1330" s="51"/>
      <c r="F1330" s="51"/>
      <c r="G1330" s="54"/>
      <c r="H1330" s="54"/>
      <c r="I1330" s="53"/>
      <c r="J1330" s="53"/>
      <c r="K1330" s="53"/>
      <c r="L1330" s="53"/>
      <c r="M1330" s="54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D1330" s="53"/>
      <c r="AE1330" s="53"/>
      <c r="AF1330" s="53"/>
      <c r="AG1330" s="53"/>
      <c r="AH1330" s="54"/>
      <c r="AI1330" s="53"/>
      <c r="AJ1330" s="53"/>
      <c r="AK1330" s="54"/>
      <c r="AL1330" s="54"/>
    </row>
    <row r="1331" spans="1:38" ht="15.75" thickBot="1" x14ac:dyDescent="0.3">
      <c r="A1331" s="51"/>
      <c r="B1331" s="51"/>
      <c r="C1331" s="51"/>
      <c r="D1331" s="51"/>
      <c r="E1331" s="51"/>
      <c r="F1331" s="51"/>
      <c r="G1331" s="56"/>
      <c r="H1331" s="56"/>
      <c r="I1331" s="55"/>
      <c r="J1331" s="55"/>
      <c r="K1331" s="55"/>
      <c r="L1331" s="55"/>
      <c r="M1331" s="56"/>
      <c r="N1331" s="55"/>
      <c r="O1331" s="55"/>
      <c r="P1331" s="55"/>
      <c r="Q1331" s="55"/>
      <c r="R1331" s="55"/>
      <c r="S1331" s="55"/>
      <c r="T1331" s="55"/>
      <c r="U1331" s="55"/>
      <c r="V1331" s="55"/>
      <c r="W1331" s="55"/>
      <c r="X1331" s="55"/>
      <c r="Y1331" s="55"/>
      <c r="Z1331" s="55"/>
      <c r="AA1331" s="55"/>
      <c r="AB1331" s="55"/>
      <c r="AC1331" s="55"/>
      <c r="AD1331" s="55"/>
      <c r="AE1331" s="55"/>
      <c r="AF1331" s="55"/>
      <c r="AG1331" s="55"/>
      <c r="AH1331" s="56"/>
      <c r="AI1331" s="55"/>
      <c r="AJ1331" s="55"/>
      <c r="AK1331" s="56"/>
      <c r="AL1331" s="56"/>
    </row>
    <row r="1332" spans="1:38" ht="15.75" thickBot="1" x14ac:dyDescent="0.3">
      <c r="A1332" s="51"/>
      <c r="B1332" s="51"/>
      <c r="C1332" s="51"/>
      <c r="D1332" s="51"/>
      <c r="E1332" s="51"/>
      <c r="F1332" s="51"/>
      <c r="G1332" s="54"/>
      <c r="H1332" s="147"/>
      <c r="I1332" s="53"/>
      <c r="J1332" s="53"/>
      <c r="K1332" s="53"/>
      <c r="L1332" s="53"/>
      <c r="M1332" s="54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D1332" s="53"/>
      <c r="AE1332" s="53"/>
      <c r="AF1332" s="53"/>
      <c r="AG1332" s="53"/>
      <c r="AH1332" s="54"/>
      <c r="AI1332" s="53"/>
      <c r="AJ1332" s="53"/>
      <c r="AK1332" s="54"/>
      <c r="AL1332" s="54"/>
    </row>
    <row r="1333" spans="1:38" ht="15.75" thickBot="1" x14ac:dyDescent="0.3">
      <c r="A1333" s="51"/>
      <c r="B1333" s="51"/>
      <c r="C1333" s="51"/>
      <c r="D1333" s="51"/>
      <c r="E1333" s="51"/>
      <c r="F1333" s="51"/>
      <c r="G1333" s="56"/>
      <c r="H1333" s="55"/>
      <c r="I1333" s="55"/>
      <c r="J1333" s="55"/>
      <c r="K1333" s="55"/>
      <c r="L1333" s="55"/>
      <c r="M1333" s="55"/>
      <c r="N1333" s="55"/>
      <c r="O1333" s="55"/>
      <c r="P1333" s="55"/>
      <c r="Q1333" s="55"/>
      <c r="R1333" s="55"/>
      <c r="S1333" s="55"/>
      <c r="T1333" s="55"/>
      <c r="U1333" s="55"/>
      <c r="V1333" s="55"/>
      <c r="W1333" s="55"/>
      <c r="X1333" s="55"/>
      <c r="Y1333" s="55"/>
      <c r="Z1333" s="55"/>
      <c r="AA1333" s="56"/>
      <c r="AB1333" s="55"/>
      <c r="AC1333" s="55"/>
      <c r="AD1333" s="55"/>
      <c r="AE1333" s="55"/>
      <c r="AF1333" s="55"/>
      <c r="AG1333" s="55"/>
      <c r="AH1333" s="56"/>
      <c r="AI1333" s="55"/>
      <c r="AJ1333" s="55"/>
      <c r="AK1333" s="56"/>
      <c r="AL1333" s="56"/>
    </row>
    <row r="1334" spans="1:38" ht="15.75" thickBot="1" x14ac:dyDescent="0.3">
      <c r="A1334" s="51"/>
      <c r="B1334" s="51"/>
      <c r="C1334" s="51"/>
      <c r="D1334" s="51"/>
      <c r="E1334" s="51"/>
      <c r="F1334" s="51"/>
      <c r="G1334" s="54"/>
      <c r="H1334" s="53"/>
      <c r="I1334" s="53"/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4"/>
      <c r="AB1334" s="53"/>
      <c r="AC1334" s="53"/>
      <c r="AD1334" s="53"/>
      <c r="AE1334" s="53"/>
      <c r="AF1334" s="53"/>
      <c r="AG1334" s="53"/>
      <c r="AH1334" s="54"/>
      <c r="AI1334" s="53"/>
      <c r="AJ1334" s="53"/>
      <c r="AK1334" s="54"/>
      <c r="AL1334" s="54"/>
    </row>
    <row r="1335" spans="1:38" ht="15.75" thickBot="1" x14ac:dyDescent="0.3">
      <c r="A1335" s="51"/>
      <c r="B1335" s="51"/>
      <c r="C1335" s="51"/>
      <c r="D1335" s="51"/>
      <c r="E1335" s="51"/>
      <c r="F1335" s="51"/>
      <c r="G1335" s="56"/>
      <c r="H1335" s="55"/>
      <c r="I1335" s="55"/>
      <c r="J1335" s="55"/>
      <c r="K1335" s="55"/>
      <c r="L1335" s="55"/>
      <c r="M1335" s="55"/>
      <c r="N1335" s="55"/>
      <c r="O1335" s="55"/>
      <c r="P1335" s="55"/>
      <c r="Q1335" s="55"/>
      <c r="R1335" s="55"/>
      <c r="S1335" s="55"/>
      <c r="T1335" s="55"/>
      <c r="U1335" s="56"/>
      <c r="V1335" s="55"/>
      <c r="W1335" s="55"/>
      <c r="X1335" s="55"/>
      <c r="Y1335" s="55"/>
      <c r="Z1335" s="55"/>
      <c r="AA1335" s="55"/>
      <c r="AB1335" s="55"/>
      <c r="AC1335" s="55"/>
      <c r="AD1335" s="55"/>
      <c r="AE1335" s="55"/>
      <c r="AF1335" s="55"/>
      <c r="AG1335" s="55"/>
      <c r="AH1335" s="56"/>
      <c r="AI1335" s="55"/>
      <c r="AJ1335" s="55"/>
      <c r="AK1335" s="56"/>
      <c r="AL1335" s="56"/>
    </row>
    <row r="1336" spans="1:38" ht="15.75" thickBot="1" x14ac:dyDescent="0.3">
      <c r="A1336" s="51"/>
      <c r="B1336" s="51"/>
      <c r="C1336" s="51"/>
      <c r="D1336" s="51"/>
      <c r="E1336" s="51"/>
      <c r="F1336" s="51"/>
      <c r="G1336" s="54"/>
      <c r="H1336" s="53"/>
      <c r="I1336" s="53"/>
      <c r="J1336" s="53"/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4"/>
      <c r="V1336" s="53"/>
      <c r="W1336" s="53"/>
      <c r="X1336" s="53"/>
      <c r="Y1336" s="53"/>
      <c r="Z1336" s="53"/>
      <c r="AA1336" s="53"/>
      <c r="AB1336" s="53"/>
      <c r="AC1336" s="53"/>
      <c r="AD1336" s="53"/>
      <c r="AE1336" s="53"/>
      <c r="AF1336" s="53"/>
      <c r="AG1336" s="53"/>
      <c r="AH1336" s="54"/>
      <c r="AI1336" s="53"/>
      <c r="AJ1336" s="53"/>
      <c r="AK1336" s="54"/>
      <c r="AL1336" s="54"/>
    </row>
    <row r="1337" spans="1:38" ht="15.75" thickBot="1" x14ac:dyDescent="0.3">
      <c r="A1337" s="51"/>
      <c r="B1337" s="51"/>
      <c r="C1337" s="51"/>
      <c r="D1337" s="51"/>
      <c r="E1337" s="51"/>
      <c r="F1337" s="51"/>
      <c r="G1337" s="56"/>
      <c r="H1337" s="55"/>
      <c r="I1337" s="55"/>
      <c r="J1337" s="55"/>
      <c r="K1337" s="55"/>
      <c r="L1337" s="55"/>
      <c r="M1337" s="55"/>
      <c r="N1337" s="56"/>
      <c r="O1337" s="55"/>
      <c r="P1337" s="55"/>
      <c r="Q1337" s="55"/>
      <c r="R1337" s="55"/>
      <c r="S1337" s="55"/>
      <c r="T1337" s="55"/>
      <c r="U1337" s="55"/>
      <c r="V1337" s="55"/>
      <c r="W1337" s="55"/>
      <c r="X1337" s="55"/>
      <c r="Y1337" s="55"/>
      <c r="Z1337" s="55"/>
      <c r="AA1337" s="55"/>
      <c r="AB1337" s="55"/>
      <c r="AC1337" s="55"/>
      <c r="AD1337" s="55"/>
      <c r="AE1337" s="55"/>
      <c r="AF1337" s="55"/>
      <c r="AG1337" s="55"/>
      <c r="AH1337" s="56"/>
      <c r="AI1337" s="55"/>
      <c r="AJ1337" s="55"/>
      <c r="AK1337" s="56"/>
      <c r="AL1337" s="56"/>
    </row>
    <row r="1338" spans="1:38" ht="15.75" thickBot="1" x14ac:dyDescent="0.3">
      <c r="A1338" s="51"/>
      <c r="B1338" s="51"/>
      <c r="C1338" s="51"/>
      <c r="D1338" s="51"/>
      <c r="E1338" s="51"/>
      <c r="F1338" s="51"/>
      <c r="G1338" s="54"/>
      <c r="H1338" s="53"/>
      <c r="I1338" s="53"/>
      <c r="J1338" s="53"/>
      <c r="K1338" s="53"/>
      <c r="L1338" s="53"/>
      <c r="M1338" s="53"/>
      <c r="N1338" s="54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D1338" s="53"/>
      <c r="AE1338" s="53"/>
      <c r="AF1338" s="53"/>
      <c r="AG1338" s="53"/>
      <c r="AH1338" s="54"/>
      <c r="AI1338" s="53"/>
      <c r="AJ1338" s="53"/>
      <c r="AK1338" s="54"/>
      <c r="AL1338" s="54"/>
    </row>
    <row r="1339" spans="1:38" ht="15.75" thickBot="1" x14ac:dyDescent="0.3">
      <c r="A1339" s="51"/>
      <c r="B1339" s="51"/>
      <c r="C1339" s="51"/>
      <c r="D1339" s="51"/>
      <c r="E1339" s="51"/>
      <c r="F1339" s="51"/>
      <c r="G1339" s="56"/>
      <c r="H1339" s="55"/>
      <c r="I1339" s="55"/>
      <c r="J1339" s="55"/>
      <c r="K1339" s="56"/>
      <c r="L1339" s="55"/>
      <c r="M1339" s="55"/>
      <c r="N1339" s="55"/>
      <c r="O1339" s="55"/>
      <c r="P1339" s="55"/>
      <c r="Q1339" s="55"/>
      <c r="R1339" s="55"/>
      <c r="S1339" s="55"/>
      <c r="T1339" s="55"/>
      <c r="U1339" s="55"/>
      <c r="V1339" s="55"/>
      <c r="W1339" s="55"/>
      <c r="X1339" s="55"/>
      <c r="Y1339" s="55"/>
      <c r="Z1339" s="55"/>
      <c r="AA1339" s="55"/>
      <c r="AB1339" s="55"/>
      <c r="AC1339" s="55"/>
      <c r="AD1339" s="55"/>
      <c r="AE1339" s="55"/>
      <c r="AF1339" s="55"/>
      <c r="AG1339" s="55"/>
      <c r="AH1339" s="56"/>
      <c r="AI1339" s="55"/>
      <c r="AJ1339" s="55"/>
      <c r="AK1339" s="56"/>
      <c r="AL1339" s="56"/>
    </row>
    <row r="1340" spans="1:38" ht="15.75" thickBot="1" x14ac:dyDescent="0.3">
      <c r="A1340" s="51"/>
      <c r="B1340" s="51"/>
      <c r="C1340" s="51"/>
      <c r="D1340" s="51"/>
      <c r="E1340" s="51"/>
      <c r="F1340" s="51"/>
      <c r="G1340" s="54"/>
      <c r="H1340" s="53"/>
      <c r="I1340" s="53"/>
      <c r="J1340" s="53"/>
      <c r="K1340" s="54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D1340" s="53"/>
      <c r="AE1340" s="53"/>
      <c r="AF1340" s="53"/>
      <c r="AG1340" s="53"/>
      <c r="AH1340" s="54"/>
      <c r="AI1340" s="53"/>
      <c r="AJ1340" s="53"/>
      <c r="AK1340" s="54"/>
      <c r="AL1340" s="54"/>
    </row>
    <row r="1341" spans="1:38" ht="15.75" thickBot="1" x14ac:dyDescent="0.3">
      <c r="A1341" s="51"/>
      <c r="B1341" s="51"/>
      <c r="C1341" s="51"/>
      <c r="D1341" s="51"/>
      <c r="E1341" s="51"/>
      <c r="F1341" s="51"/>
      <c r="G1341" s="56"/>
      <c r="H1341" s="55"/>
      <c r="I1341" s="55"/>
      <c r="J1341" s="55"/>
      <c r="K1341" s="55"/>
      <c r="L1341" s="55"/>
      <c r="M1341" s="55"/>
      <c r="N1341" s="55"/>
      <c r="O1341" s="55"/>
      <c r="P1341" s="55"/>
      <c r="Q1341" s="55"/>
      <c r="R1341" s="55"/>
      <c r="S1341" s="55"/>
      <c r="T1341" s="55"/>
      <c r="U1341" s="55"/>
      <c r="V1341" s="55"/>
      <c r="W1341" s="56"/>
      <c r="X1341" s="55"/>
      <c r="Y1341" s="55"/>
      <c r="Z1341" s="55"/>
      <c r="AA1341" s="55"/>
      <c r="AB1341" s="55"/>
      <c r="AC1341" s="55"/>
      <c r="AD1341" s="55"/>
      <c r="AE1341" s="55"/>
      <c r="AF1341" s="55"/>
      <c r="AG1341" s="55"/>
      <c r="AH1341" s="56"/>
      <c r="AI1341" s="55"/>
      <c r="AJ1341" s="55"/>
      <c r="AK1341" s="56"/>
      <c r="AL1341" s="56"/>
    </row>
    <row r="1342" spans="1:38" ht="15.75" thickBot="1" x14ac:dyDescent="0.3">
      <c r="A1342" s="51"/>
      <c r="B1342" s="51"/>
      <c r="C1342" s="51"/>
      <c r="D1342" s="51"/>
      <c r="E1342" s="51"/>
      <c r="F1342" s="51"/>
      <c r="G1342" s="54"/>
      <c r="H1342" s="53"/>
      <c r="I1342" s="53"/>
      <c r="J1342" s="53"/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4"/>
      <c r="X1342" s="53"/>
      <c r="Y1342" s="53"/>
      <c r="Z1342" s="53"/>
      <c r="AA1342" s="53"/>
      <c r="AB1342" s="53"/>
      <c r="AC1342" s="53"/>
      <c r="AD1342" s="53"/>
      <c r="AE1342" s="53"/>
      <c r="AF1342" s="53"/>
      <c r="AG1342" s="53"/>
      <c r="AH1342" s="54"/>
      <c r="AI1342" s="53"/>
      <c r="AJ1342" s="53"/>
      <c r="AK1342" s="54"/>
      <c r="AL1342" s="54"/>
    </row>
    <row r="1343" spans="1:38" ht="15.75" thickBot="1" x14ac:dyDescent="0.3">
      <c r="A1343" s="51"/>
      <c r="B1343" s="51"/>
      <c r="C1343" s="51"/>
      <c r="D1343" s="51"/>
      <c r="E1343" s="51"/>
      <c r="F1343" s="51"/>
      <c r="G1343" s="56"/>
      <c r="H1343" s="55"/>
      <c r="I1343" s="55"/>
      <c r="J1343" s="55"/>
      <c r="K1343" s="55"/>
      <c r="L1343" s="55"/>
      <c r="M1343" s="55"/>
      <c r="N1343" s="55"/>
      <c r="O1343" s="55"/>
      <c r="P1343" s="55"/>
      <c r="Q1343" s="55"/>
      <c r="R1343" s="55"/>
      <c r="S1343" s="55"/>
      <c r="T1343" s="55"/>
      <c r="U1343" s="55"/>
      <c r="V1343" s="55"/>
      <c r="W1343" s="55"/>
      <c r="X1343" s="56"/>
      <c r="Y1343" s="55"/>
      <c r="Z1343" s="55"/>
      <c r="AA1343" s="55"/>
      <c r="AB1343" s="55"/>
      <c r="AC1343" s="55"/>
      <c r="AD1343" s="55"/>
      <c r="AE1343" s="55"/>
      <c r="AF1343" s="55"/>
      <c r="AG1343" s="55"/>
      <c r="AH1343" s="56"/>
      <c r="AI1343" s="55"/>
      <c r="AJ1343" s="55"/>
      <c r="AK1343" s="56"/>
      <c r="AL1343" s="56"/>
    </row>
    <row r="1344" spans="1:38" ht="15.75" thickBot="1" x14ac:dyDescent="0.3">
      <c r="A1344" s="51"/>
      <c r="B1344" s="51"/>
      <c r="C1344" s="51"/>
      <c r="D1344" s="51"/>
      <c r="E1344" s="51"/>
      <c r="F1344" s="51"/>
      <c r="G1344" s="54"/>
      <c r="H1344" s="53"/>
      <c r="I1344" s="53"/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4"/>
      <c r="Y1344" s="53"/>
      <c r="Z1344" s="53"/>
      <c r="AA1344" s="53"/>
      <c r="AB1344" s="53"/>
      <c r="AC1344" s="53"/>
      <c r="AD1344" s="53"/>
      <c r="AE1344" s="53"/>
      <c r="AF1344" s="53"/>
      <c r="AG1344" s="53"/>
      <c r="AH1344" s="54"/>
      <c r="AI1344" s="53"/>
      <c r="AJ1344" s="53"/>
      <c r="AK1344" s="54"/>
      <c r="AL1344" s="54"/>
    </row>
    <row r="1345" spans="1:38" ht="15.75" thickBot="1" x14ac:dyDescent="0.3">
      <c r="A1345" s="51"/>
      <c r="B1345" s="51"/>
      <c r="C1345" s="51"/>
      <c r="D1345" s="51"/>
      <c r="E1345" s="51"/>
      <c r="F1345" s="51"/>
      <c r="G1345" s="56"/>
      <c r="H1345" s="55"/>
      <c r="I1345" s="55"/>
      <c r="J1345" s="55"/>
      <c r="K1345" s="56"/>
      <c r="L1345" s="55"/>
      <c r="M1345" s="55"/>
      <c r="N1345" s="55"/>
      <c r="O1345" s="55"/>
      <c r="P1345" s="55"/>
      <c r="Q1345" s="55"/>
      <c r="R1345" s="55"/>
      <c r="S1345" s="55"/>
      <c r="T1345" s="55"/>
      <c r="U1345" s="55"/>
      <c r="V1345" s="55"/>
      <c r="W1345" s="55"/>
      <c r="X1345" s="55"/>
      <c r="Y1345" s="55"/>
      <c r="Z1345" s="55"/>
      <c r="AA1345" s="55"/>
      <c r="AB1345" s="55"/>
      <c r="AC1345" s="55"/>
      <c r="AD1345" s="55"/>
      <c r="AE1345" s="55"/>
      <c r="AF1345" s="55"/>
      <c r="AG1345" s="55"/>
      <c r="AH1345" s="56"/>
      <c r="AI1345" s="55"/>
      <c r="AJ1345" s="55"/>
      <c r="AK1345" s="56"/>
      <c r="AL1345" s="56"/>
    </row>
    <row r="1346" spans="1:38" ht="15.75" thickBot="1" x14ac:dyDescent="0.3">
      <c r="A1346" s="51"/>
      <c r="B1346" s="51"/>
      <c r="C1346" s="51"/>
      <c r="D1346" s="51"/>
      <c r="E1346" s="51"/>
      <c r="F1346" s="51"/>
      <c r="G1346" s="54"/>
      <c r="H1346" s="53"/>
      <c r="I1346" s="53"/>
      <c r="J1346" s="53"/>
      <c r="K1346" s="54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D1346" s="53"/>
      <c r="AE1346" s="53"/>
      <c r="AF1346" s="53"/>
      <c r="AG1346" s="53"/>
      <c r="AH1346" s="54"/>
      <c r="AI1346" s="53"/>
      <c r="AJ1346" s="53"/>
      <c r="AK1346" s="54"/>
      <c r="AL1346" s="54"/>
    </row>
    <row r="1347" spans="1:38" ht="15.75" thickBot="1" x14ac:dyDescent="0.3">
      <c r="A1347" s="51"/>
      <c r="B1347" s="51"/>
      <c r="C1347" s="51"/>
      <c r="D1347" s="51"/>
      <c r="E1347" s="51"/>
      <c r="F1347" s="51"/>
      <c r="G1347" s="56"/>
      <c r="H1347" s="56"/>
      <c r="I1347" s="55"/>
      <c r="J1347" s="55"/>
      <c r="K1347" s="55"/>
      <c r="L1347" s="55"/>
      <c r="M1347" s="56"/>
      <c r="N1347" s="55"/>
      <c r="O1347" s="55"/>
      <c r="P1347" s="55"/>
      <c r="Q1347" s="55"/>
      <c r="R1347" s="55"/>
      <c r="S1347" s="55"/>
      <c r="T1347" s="55"/>
      <c r="U1347" s="55"/>
      <c r="V1347" s="55"/>
      <c r="W1347" s="55"/>
      <c r="X1347" s="55"/>
      <c r="Y1347" s="55"/>
      <c r="Z1347" s="55"/>
      <c r="AA1347" s="55"/>
      <c r="AB1347" s="55"/>
      <c r="AC1347" s="55"/>
      <c r="AD1347" s="55"/>
      <c r="AE1347" s="55"/>
      <c r="AF1347" s="55"/>
      <c r="AG1347" s="55"/>
      <c r="AH1347" s="56"/>
      <c r="AI1347" s="55"/>
      <c r="AJ1347" s="55"/>
      <c r="AK1347" s="56"/>
      <c r="AL1347" s="56"/>
    </row>
    <row r="1348" spans="1:38" ht="15.75" thickBot="1" x14ac:dyDescent="0.3">
      <c r="A1348" s="51"/>
      <c r="B1348" s="51"/>
      <c r="C1348" s="51"/>
      <c r="D1348" s="51"/>
      <c r="E1348" s="51"/>
      <c r="F1348" s="51"/>
      <c r="G1348" s="54"/>
      <c r="H1348" s="147"/>
      <c r="I1348" s="53"/>
      <c r="J1348" s="53"/>
      <c r="K1348" s="53"/>
      <c r="L1348" s="53"/>
      <c r="M1348" s="54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D1348" s="53"/>
      <c r="AE1348" s="53"/>
      <c r="AF1348" s="53"/>
      <c r="AG1348" s="53"/>
      <c r="AH1348" s="54"/>
      <c r="AI1348" s="53"/>
      <c r="AJ1348" s="53"/>
      <c r="AK1348" s="54"/>
      <c r="AL1348" s="54"/>
    </row>
    <row r="1349" spans="1:38" ht="15.75" thickBot="1" x14ac:dyDescent="0.3">
      <c r="A1349" s="51"/>
      <c r="B1349" s="51"/>
      <c r="C1349" s="51"/>
      <c r="D1349" s="51"/>
      <c r="E1349" s="51"/>
      <c r="F1349" s="51"/>
      <c r="G1349" s="56"/>
      <c r="H1349" s="55"/>
      <c r="I1349" s="55"/>
      <c r="J1349" s="55"/>
      <c r="K1349" s="55"/>
      <c r="L1349" s="55"/>
      <c r="M1349" s="55"/>
      <c r="N1349" s="55"/>
      <c r="O1349" s="55"/>
      <c r="P1349" s="55"/>
      <c r="Q1349" s="55"/>
      <c r="R1349" s="55"/>
      <c r="S1349" s="55"/>
      <c r="T1349" s="55"/>
      <c r="U1349" s="55"/>
      <c r="V1349" s="55"/>
      <c r="W1349" s="55"/>
      <c r="X1349" s="55"/>
      <c r="Y1349" s="55"/>
      <c r="Z1349" s="56"/>
      <c r="AA1349" s="55"/>
      <c r="AB1349" s="55"/>
      <c r="AC1349" s="55"/>
      <c r="AD1349" s="55"/>
      <c r="AE1349" s="55"/>
      <c r="AF1349" s="55"/>
      <c r="AG1349" s="55"/>
      <c r="AH1349" s="56"/>
      <c r="AI1349" s="55"/>
      <c r="AJ1349" s="55"/>
      <c r="AK1349" s="56"/>
      <c r="AL1349" s="56"/>
    </row>
    <row r="1350" spans="1:38" ht="15.75" thickBot="1" x14ac:dyDescent="0.3">
      <c r="A1350" s="51"/>
      <c r="B1350" s="51"/>
      <c r="C1350" s="51"/>
      <c r="D1350" s="51"/>
      <c r="E1350" s="51"/>
      <c r="F1350" s="51"/>
      <c r="G1350" s="54"/>
      <c r="H1350" s="53"/>
      <c r="I1350" s="53"/>
      <c r="J1350" s="53"/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4"/>
      <c r="AA1350" s="53"/>
      <c r="AB1350" s="53"/>
      <c r="AC1350" s="53"/>
      <c r="AD1350" s="53"/>
      <c r="AE1350" s="53"/>
      <c r="AF1350" s="53"/>
      <c r="AG1350" s="53"/>
      <c r="AH1350" s="54"/>
      <c r="AI1350" s="53"/>
      <c r="AJ1350" s="53"/>
      <c r="AK1350" s="54"/>
      <c r="AL1350" s="54"/>
    </row>
    <row r="1351" spans="1:38" ht="15.75" thickBot="1" x14ac:dyDescent="0.3">
      <c r="A1351" s="51"/>
      <c r="B1351" s="51"/>
      <c r="C1351" s="51"/>
      <c r="D1351" s="51"/>
      <c r="E1351" s="51"/>
      <c r="F1351" s="51"/>
      <c r="G1351" s="56"/>
      <c r="H1351" s="55"/>
      <c r="I1351" s="55"/>
      <c r="J1351" s="55"/>
      <c r="K1351" s="55"/>
      <c r="L1351" s="55"/>
      <c r="M1351" s="55"/>
      <c r="N1351" s="55"/>
      <c r="O1351" s="55"/>
      <c r="P1351" s="55"/>
      <c r="Q1351" s="55"/>
      <c r="R1351" s="55"/>
      <c r="S1351" s="55"/>
      <c r="T1351" s="55"/>
      <c r="U1351" s="55"/>
      <c r="V1351" s="55"/>
      <c r="W1351" s="55"/>
      <c r="X1351" s="55"/>
      <c r="Y1351" s="55"/>
      <c r="Z1351" s="55"/>
      <c r="AA1351" s="56"/>
      <c r="AB1351" s="55"/>
      <c r="AC1351" s="55"/>
      <c r="AD1351" s="55"/>
      <c r="AE1351" s="55"/>
      <c r="AF1351" s="55"/>
      <c r="AG1351" s="55"/>
      <c r="AH1351" s="56"/>
      <c r="AI1351" s="55"/>
      <c r="AJ1351" s="55"/>
      <c r="AK1351" s="56"/>
      <c r="AL1351" s="56"/>
    </row>
    <row r="1352" spans="1:38" ht="15.75" thickBot="1" x14ac:dyDescent="0.3">
      <c r="A1352" s="51"/>
      <c r="B1352" s="51"/>
      <c r="C1352" s="51"/>
      <c r="D1352" s="51"/>
      <c r="E1352" s="51"/>
      <c r="F1352" s="51"/>
      <c r="G1352" s="54"/>
      <c r="H1352" s="53"/>
      <c r="I1352" s="53"/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4"/>
      <c r="AB1352" s="53"/>
      <c r="AC1352" s="53"/>
      <c r="AD1352" s="53"/>
      <c r="AE1352" s="53"/>
      <c r="AF1352" s="53"/>
      <c r="AG1352" s="53"/>
      <c r="AH1352" s="54"/>
      <c r="AI1352" s="53"/>
      <c r="AJ1352" s="53"/>
      <c r="AK1352" s="54"/>
      <c r="AL1352" s="54"/>
    </row>
    <row r="1353" spans="1:38" ht="15.75" thickBot="1" x14ac:dyDescent="0.3">
      <c r="A1353" s="51"/>
      <c r="B1353" s="51"/>
      <c r="C1353" s="51"/>
      <c r="D1353" s="51"/>
      <c r="E1353" s="51"/>
      <c r="F1353" s="51"/>
      <c r="G1353" s="56"/>
      <c r="H1353" s="55"/>
      <c r="I1353" s="55"/>
      <c r="J1353" s="55"/>
      <c r="K1353" s="55"/>
      <c r="L1353" s="55"/>
      <c r="M1353" s="55"/>
      <c r="N1353" s="55"/>
      <c r="O1353" s="55"/>
      <c r="P1353" s="55"/>
      <c r="Q1353" s="55"/>
      <c r="R1353" s="56"/>
      <c r="S1353" s="55"/>
      <c r="T1353" s="55"/>
      <c r="U1353" s="55"/>
      <c r="V1353" s="55"/>
      <c r="W1353" s="55"/>
      <c r="X1353" s="55"/>
      <c r="Y1353" s="55"/>
      <c r="Z1353" s="55"/>
      <c r="AA1353" s="55"/>
      <c r="AB1353" s="55"/>
      <c r="AC1353" s="55"/>
      <c r="AD1353" s="55"/>
      <c r="AE1353" s="55"/>
      <c r="AF1353" s="55"/>
      <c r="AG1353" s="55"/>
      <c r="AH1353" s="56"/>
      <c r="AI1353" s="55"/>
      <c r="AJ1353" s="55"/>
      <c r="AK1353" s="56"/>
      <c r="AL1353" s="56"/>
    </row>
    <row r="1354" spans="1:38" ht="15.75" thickBot="1" x14ac:dyDescent="0.3">
      <c r="A1354" s="51"/>
      <c r="B1354" s="51"/>
      <c r="C1354" s="51"/>
      <c r="D1354" s="51"/>
      <c r="E1354" s="51"/>
      <c r="F1354" s="51"/>
      <c r="G1354" s="54"/>
      <c r="H1354" s="53"/>
      <c r="I1354" s="53"/>
      <c r="J1354" s="53"/>
      <c r="K1354" s="53"/>
      <c r="L1354" s="53"/>
      <c r="M1354" s="53"/>
      <c r="N1354" s="53"/>
      <c r="O1354" s="53"/>
      <c r="P1354" s="53"/>
      <c r="Q1354" s="53"/>
      <c r="R1354" s="54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3"/>
      <c r="AC1354" s="53"/>
      <c r="AD1354" s="53"/>
      <c r="AE1354" s="53"/>
      <c r="AF1354" s="53"/>
      <c r="AG1354" s="53"/>
      <c r="AH1354" s="54"/>
      <c r="AI1354" s="53"/>
      <c r="AJ1354" s="53"/>
      <c r="AK1354" s="54"/>
      <c r="AL1354" s="54"/>
    </row>
    <row r="1355" spans="1:38" ht="15.75" thickBot="1" x14ac:dyDescent="0.3">
      <c r="A1355" s="51"/>
      <c r="B1355" s="51"/>
      <c r="C1355" s="51"/>
      <c r="D1355" s="51"/>
      <c r="E1355" s="51"/>
      <c r="F1355" s="51"/>
      <c r="G1355" s="56"/>
      <c r="H1355" s="55"/>
      <c r="I1355" s="55"/>
      <c r="J1355" s="55"/>
      <c r="K1355" s="55"/>
      <c r="L1355" s="55"/>
      <c r="M1355" s="55"/>
      <c r="N1355" s="55"/>
      <c r="O1355" s="55"/>
      <c r="P1355" s="55"/>
      <c r="Q1355" s="55"/>
      <c r="R1355" s="55"/>
      <c r="S1355" s="55"/>
      <c r="T1355" s="55"/>
      <c r="U1355" s="55"/>
      <c r="V1355" s="55"/>
      <c r="W1355" s="55"/>
      <c r="X1355" s="55"/>
      <c r="Y1355" s="55"/>
      <c r="Z1355" s="55"/>
      <c r="AA1355" s="55"/>
      <c r="AB1355" s="55"/>
      <c r="AC1355" s="56"/>
      <c r="AD1355" s="55"/>
      <c r="AE1355" s="55"/>
      <c r="AF1355" s="55"/>
      <c r="AG1355" s="55"/>
      <c r="AH1355" s="56"/>
      <c r="AI1355" s="55"/>
      <c r="AJ1355" s="55"/>
      <c r="AK1355" s="56"/>
      <c r="AL1355" s="56"/>
    </row>
    <row r="1356" spans="1:38" ht="15.75" thickBot="1" x14ac:dyDescent="0.3">
      <c r="A1356" s="51"/>
      <c r="B1356" s="51"/>
      <c r="C1356" s="51"/>
      <c r="D1356" s="51"/>
      <c r="E1356" s="51"/>
      <c r="F1356" s="51"/>
      <c r="G1356" s="54"/>
      <c r="H1356" s="53"/>
      <c r="I1356" s="53"/>
      <c r="J1356" s="53"/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4"/>
      <c r="AD1356" s="53"/>
      <c r="AE1356" s="53"/>
      <c r="AF1356" s="53"/>
      <c r="AG1356" s="53"/>
      <c r="AH1356" s="54"/>
      <c r="AI1356" s="53"/>
      <c r="AJ1356" s="53"/>
      <c r="AK1356" s="54"/>
      <c r="AL1356" s="54"/>
    </row>
    <row r="1357" spans="1:38" ht="15.75" thickBot="1" x14ac:dyDescent="0.3">
      <c r="A1357" s="51"/>
      <c r="B1357" s="51"/>
      <c r="C1357" s="51"/>
      <c r="D1357" s="51"/>
      <c r="E1357" s="51"/>
      <c r="F1357" s="51"/>
      <c r="G1357" s="56"/>
      <c r="H1357" s="55"/>
      <c r="I1357" s="55"/>
      <c r="J1357" s="55"/>
      <c r="K1357" s="56"/>
      <c r="L1357" s="55"/>
      <c r="M1357" s="55"/>
      <c r="N1357" s="55"/>
      <c r="O1357" s="55"/>
      <c r="P1357" s="55"/>
      <c r="Q1357" s="55"/>
      <c r="R1357" s="55"/>
      <c r="S1357" s="55"/>
      <c r="T1357" s="55"/>
      <c r="U1357" s="55"/>
      <c r="V1357" s="55"/>
      <c r="W1357" s="55"/>
      <c r="X1357" s="55"/>
      <c r="Y1357" s="55"/>
      <c r="Z1357" s="55"/>
      <c r="AA1357" s="55"/>
      <c r="AB1357" s="55"/>
      <c r="AC1357" s="55"/>
      <c r="AD1357" s="55"/>
      <c r="AE1357" s="55"/>
      <c r="AF1357" s="55"/>
      <c r="AG1357" s="55"/>
      <c r="AH1357" s="56"/>
      <c r="AI1357" s="55"/>
      <c r="AJ1357" s="55"/>
      <c r="AK1357" s="56"/>
      <c r="AL1357" s="56"/>
    </row>
    <row r="1358" spans="1:38" ht="15.75" thickBot="1" x14ac:dyDescent="0.3">
      <c r="A1358" s="51"/>
      <c r="B1358" s="51"/>
      <c r="C1358" s="51"/>
      <c r="D1358" s="51"/>
      <c r="E1358" s="51"/>
      <c r="F1358" s="51"/>
      <c r="G1358" s="54"/>
      <c r="H1358" s="53"/>
      <c r="I1358" s="53"/>
      <c r="J1358" s="53"/>
      <c r="K1358" s="54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3"/>
      <c r="AD1358" s="53"/>
      <c r="AE1358" s="53"/>
      <c r="AF1358" s="53"/>
      <c r="AG1358" s="53"/>
      <c r="AH1358" s="54"/>
      <c r="AI1358" s="53"/>
      <c r="AJ1358" s="53"/>
      <c r="AK1358" s="54"/>
      <c r="AL1358" s="54"/>
    </row>
    <row r="1359" spans="1:38" ht="15.75" thickBot="1" x14ac:dyDescent="0.3">
      <c r="A1359" s="51"/>
      <c r="B1359" s="51"/>
      <c r="C1359" s="51"/>
      <c r="D1359" s="51"/>
      <c r="E1359" s="51"/>
      <c r="F1359" s="51"/>
      <c r="G1359" s="56"/>
      <c r="H1359" s="56"/>
      <c r="I1359" s="55"/>
      <c r="J1359" s="55"/>
      <c r="K1359" s="55"/>
      <c r="L1359" s="55"/>
      <c r="M1359" s="56"/>
      <c r="N1359" s="55"/>
      <c r="O1359" s="55"/>
      <c r="P1359" s="55"/>
      <c r="Q1359" s="55"/>
      <c r="R1359" s="55"/>
      <c r="S1359" s="55"/>
      <c r="T1359" s="55"/>
      <c r="U1359" s="55"/>
      <c r="V1359" s="55"/>
      <c r="W1359" s="55"/>
      <c r="X1359" s="55"/>
      <c r="Y1359" s="55"/>
      <c r="Z1359" s="55"/>
      <c r="AA1359" s="55"/>
      <c r="AB1359" s="55"/>
      <c r="AC1359" s="55"/>
      <c r="AD1359" s="55"/>
      <c r="AE1359" s="55"/>
      <c r="AF1359" s="55"/>
      <c r="AG1359" s="55"/>
      <c r="AH1359" s="56"/>
      <c r="AI1359" s="55"/>
      <c r="AJ1359" s="55"/>
      <c r="AK1359" s="56"/>
      <c r="AL1359" s="56"/>
    </row>
    <row r="1360" spans="1:38" ht="15.75" thickBot="1" x14ac:dyDescent="0.3">
      <c r="A1360" s="51"/>
      <c r="B1360" s="51"/>
      <c r="C1360" s="51"/>
      <c r="D1360" s="51"/>
      <c r="E1360" s="51"/>
      <c r="F1360" s="51"/>
      <c r="G1360" s="54"/>
      <c r="H1360" s="147"/>
      <c r="I1360" s="53"/>
      <c r="J1360" s="53"/>
      <c r="K1360" s="53"/>
      <c r="L1360" s="53"/>
      <c r="M1360" s="54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D1360" s="53"/>
      <c r="AE1360" s="53"/>
      <c r="AF1360" s="53"/>
      <c r="AG1360" s="53"/>
      <c r="AH1360" s="54"/>
      <c r="AI1360" s="53"/>
      <c r="AJ1360" s="53"/>
      <c r="AK1360" s="54"/>
      <c r="AL1360" s="54"/>
    </row>
    <row r="1361" spans="1:38" ht="15.75" thickBot="1" x14ac:dyDescent="0.3">
      <c r="A1361" s="51"/>
      <c r="B1361" s="51"/>
      <c r="C1361" s="51"/>
      <c r="D1361" s="51"/>
      <c r="E1361" s="51"/>
      <c r="F1361" s="51"/>
      <c r="G1361" s="56"/>
      <c r="H1361" s="55"/>
      <c r="I1361" s="55"/>
      <c r="J1361" s="55"/>
      <c r="K1361" s="55"/>
      <c r="L1361" s="55"/>
      <c r="M1361" s="55"/>
      <c r="N1361" s="55"/>
      <c r="O1361" s="55"/>
      <c r="P1361" s="55"/>
      <c r="Q1361" s="55"/>
      <c r="R1361" s="55"/>
      <c r="S1361" s="55"/>
      <c r="T1361" s="55"/>
      <c r="U1361" s="55"/>
      <c r="V1361" s="55"/>
      <c r="W1361" s="55"/>
      <c r="X1361" s="55"/>
      <c r="Y1361" s="55"/>
      <c r="Z1361" s="56"/>
      <c r="AA1361" s="55"/>
      <c r="AB1361" s="55"/>
      <c r="AC1361" s="55"/>
      <c r="AD1361" s="55"/>
      <c r="AE1361" s="55"/>
      <c r="AF1361" s="55"/>
      <c r="AG1361" s="55"/>
      <c r="AH1361" s="56"/>
      <c r="AI1361" s="55"/>
      <c r="AJ1361" s="55"/>
      <c r="AK1361" s="56"/>
      <c r="AL1361" s="56"/>
    </row>
    <row r="1362" spans="1:38" ht="15.75" thickBot="1" x14ac:dyDescent="0.3">
      <c r="A1362" s="51"/>
      <c r="B1362" s="51"/>
      <c r="C1362" s="51"/>
      <c r="D1362" s="51"/>
      <c r="E1362" s="51"/>
      <c r="F1362" s="51"/>
      <c r="G1362" s="54"/>
      <c r="H1362" s="53"/>
      <c r="I1362" s="53"/>
      <c r="J1362" s="53"/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4"/>
      <c r="AA1362" s="53"/>
      <c r="AB1362" s="53"/>
      <c r="AC1362" s="53"/>
      <c r="AD1362" s="53"/>
      <c r="AE1362" s="53"/>
      <c r="AF1362" s="53"/>
      <c r="AG1362" s="53"/>
      <c r="AH1362" s="54"/>
      <c r="AI1362" s="53"/>
      <c r="AJ1362" s="53"/>
      <c r="AK1362" s="54"/>
      <c r="AL1362" s="54"/>
    </row>
    <row r="1363" spans="1:38" ht="15.75" thickBot="1" x14ac:dyDescent="0.3">
      <c r="A1363" s="51"/>
      <c r="B1363" s="51"/>
      <c r="C1363" s="51"/>
      <c r="D1363" s="51"/>
      <c r="E1363" s="51"/>
      <c r="F1363" s="51"/>
      <c r="G1363" s="56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  <c r="V1363" s="55"/>
      <c r="W1363" s="55"/>
      <c r="X1363" s="55"/>
      <c r="Y1363" s="55"/>
      <c r="Z1363" s="55"/>
      <c r="AA1363" s="56"/>
      <c r="AB1363" s="55"/>
      <c r="AC1363" s="55"/>
      <c r="AD1363" s="55"/>
      <c r="AE1363" s="55"/>
      <c r="AF1363" s="55"/>
      <c r="AG1363" s="55"/>
      <c r="AH1363" s="56"/>
      <c r="AI1363" s="55"/>
      <c r="AJ1363" s="55"/>
      <c r="AK1363" s="56"/>
      <c r="AL1363" s="56"/>
    </row>
    <row r="1364" spans="1:38" ht="15.75" thickBot="1" x14ac:dyDescent="0.3">
      <c r="A1364" s="51"/>
      <c r="B1364" s="51"/>
      <c r="C1364" s="51"/>
      <c r="D1364" s="51"/>
      <c r="E1364" s="51"/>
      <c r="F1364" s="51"/>
      <c r="G1364" s="54"/>
      <c r="H1364" s="53"/>
      <c r="I1364" s="53"/>
      <c r="J1364" s="53"/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4"/>
      <c r="AB1364" s="53"/>
      <c r="AC1364" s="53"/>
      <c r="AD1364" s="53"/>
      <c r="AE1364" s="53"/>
      <c r="AF1364" s="53"/>
      <c r="AG1364" s="53"/>
      <c r="AH1364" s="54"/>
      <c r="AI1364" s="53"/>
      <c r="AJ1364" s="53"/>
      <c r="AK1364" s="54"/>
      <c r="AL1364" s="54"/>
    </row>
    <row r="1365" spans="1:38" ht="15.75" thickBot="1" x14ac:dyDescent="0.3">
      <c r="A1365" s="51"/>
      <c r="B1365" s="51"/>
      <c r="C1365" s="51"/>
      <c r="D1365" s="51"/>
      <c r="E1365" s="51"/>
      <c r="F1365" s="51"/>
      <c r="G1365" s="56"/>
      <c r="H1365" s="55"/>
      <c r="I1365" s="55"/>
      <c r="J1365" s="55"/>
      <c r="K1365" s="55"/>
      <c r="L1365" s="55"/>
      <c r="M1365" s="55"/>
      <c r="N1365" s="55"/>
      <c r="O1365" s="55"/>
      <c r="P1365" s="55"/>
      <c r="Q1365" s="55"/>
      <c r="R1365" s="56"/>
      <c r="S1365" s="55"/>
      <c r="T1365" s="55"/>
      <c r="U1365" s="55"/>
      <c r="V1365" s="55"/>
      <c r="W1365" s="55"/>
      <c r="X1365" s="55"/>
      <c r="Y1365" s="55"/>
      <c r="Z1365" s="55"/>
      <c r="AA1365" s="55"/>
      <c r="AB1365" s="55"/>
      <c r="AC1365" s="55"/>
      <c r="AD1365" s="55"/>
      <c r="AE1365" s="55"/>
      <c r="AF1365" s="55"/>
      <c r="AG1365" s="55"/>
      <c r="AH1365" s="56"/>
      <c r="AI1365" s="55"/>
      <c r="AJ1365" s="55"/>
      <c r="AK1365" s="56"/>
      <c r="AL1365" s="56"/>
    </row>
    <row r="1366" spans="1:38" ht="15.75" thickBot="1" x14ac:dyDescent="0.3">
      <c r="A1366" s="51"/>
      <c r="B1366" s="51"/>
      <c r="C1366" s="51"/>
      <c r="D1366" s="51"/>
      <c r="E1366" s="51"/>
      <c r="F1366" s="51"/>
      <c r="G1366" s="54"/>
      <c r="H1366" s="53"/>
      <c r="I1366" s="53"/>
      <c r="J1366" s="53"/>
      <c r="K1366" s="53"/>
      <c r="L1366" s="53"/>
      <c r="M1366" s="53"/>
      <c r="N1366" s="53"/>
      <c r="O1366" s="53"/>
      <c r="P1366" s="53"/>
      <c r="Q1366" s="53"/>
      <c r="R1366" s="54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3"/>
      <c r="AD1366" s="53"/>
      <c r="AE1366" s="53"/>
      <c r="AF1366" s="53"/>
      <c r="AG1366" s="53"/>
      <c r="AH1366" s="54"/>
      <c r="AI1366" s="53"/>
      <c r="AJ1366" s="53"/>
      <c r="AK1366" s="54"/>
      <c r="AL1366" s="54"/>
    </row>
    <row r="1367" spans="1:38" ht="15.75" thickBot="1" x14ac:dyDescent="0.3">
      <c r="A1367" s="51"/>
      <c r="B1367" s="51"/>
      <c r="C1367" s="51"/>
      <c r="D1367" s="51"/>
      <c r="E1367" s="51"/>
      <c r="F1367" s="51"/>
      <c r="G1367" s="56"/>
      <c r="H1367" s="55"/>
      <c r="I1367" s="55"/>
      <c r="J1367" s="55"/>
      <c r="K1367" s="55"/>
      <c r="L1367" s="55"/>
      <c r="M1367" s="55"/>
      <c r="N1367" s="55"/>
      <c r="O1367" s="55"/>
      <c r="P1367" s="55"/>
      <c r="Q1367" s="55"/>
      <c r="R1367" s="55"/>
      <c r="S1367" s="55"/>
      <c r="T1367" s="55"/>
      <c r="U1367" s="55"/>
      <c r="V1367" s="55"/>
      <c r="W1367" s="55"/>
      <c r="X1367" s="55"/>
      <c r="Y1367" s="55"/>
      <c r="Z1367" s="55"/>
      <c r="AA1367" s="55"/>
      <c r="AB1367" s="55"/>
      <c r="AC1367" s="56"/>
      <c r="AD1367" s="55"/>
      <c r="AE1367" s="55"/>
      <c r="AF1367" s="55"/>
      <c r="AG1367" s="55"/>
      <c r="AH1367" s="56"/>
      <c r="AI1367" s="55"/>
      <c r="AJ1367" s="55"/>
      <c r="AK1367" s="56"/>
      <c r="AL1367" s="56"/>
    </row>
    <row r="1368" spans="1:38" ht="15.75" thickBot="1" x14ac:dyDescent="0.3">
      <c r="A1368" s="51"/>
      <c r="B1368" s="51"/>
      <c r="C1368" s="51"/>
      <c r="D1368" s="51"/>
      <c r="E1368" s="51"/>
      <c r="F1368" s="51"/>
      <c r="G1368" s="54"/>
      <c r="H1368" s="53"/>
      <c r="I1368" s="53"/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54"/>
      <c r="AD1368" s="53"/>
      <c r="AE1368" s="53"/>
      <c r="AF1368" s="53"/>
      <c r="AG1368" s="53"/>
      <c r="AH1368" s="54"/>
      <c r="AI1368" s="53"/>
      <c r="AJ1368" s="53"/>
      <c r="AK1368" s="54"/>
      <c r="AL1368" s="54"/>
    </row>
    <row r="1369" spans="1:38" ht="15.75" thickBot="1" x14ac:dyDescent="0.3">
      <c r="A1369" s="51"/>
      <c r="B1369" s="51"/>
      <c r="C1369" s="51"/>
      <c r="D1369" s="51"/>
      <c r="E1369" s="51"/>
      <c r="F1369" s="51"/>
      <c r="G1369" s="56"/>
      <c r="H1369" s="55"/>
      <c r="I1369" s="55"/>
      <c r="J1369" s="55"/>
      <c r="K1369" s="56"/>
      <c r="L1369" s="55"/>
      <c r="M1369" s="55"/>
      <c r="N1369" s="55"/>
      <c r="O1369" s="55"/>
      <c r="P1369" s="55"/>
      <c r="Q1369" s="55"/>
      <c r="R1369" s="55"/>
      <c r="S1369" s="55"/>
      <c r="T1369" s="55"/>
      <c r="U1369" s="55"/>
      <c r="V1369" s="55"/>
      <c r="W1369" s="55"/>
      <c r="X1369" s="55"/>
      <c r="Y1369" s="55"/>
      <c r="Z1369" s="55"/>
      <c r="AA1369" s="55"/>
      <c r="AB1369" s="55"/>
      <c r="AC1369" s="55"/>
      <c r="AD1369" s="55"/>
      <c r="AE1369" s="55"/>
      <c r="AF1369" s="55"/>
      <c r="AG1369" s="55"/>
      <c r="AH1369" s="56"/>
      <c r="AI1369" s="55"/>
      <c r="AJ1369" s="55"/>
      <c r="AK1369" s="56"/>
      <c r="AL1369" s="56"/>
    </row>
    <row r="1370" spans="1:38" ht="15.75" thickBot="1" x14ac:dyDescent="0.3">
      <c r="A1370" s="51"/>
      <c r="B1370" s="51"/>
      <c r="C1370" s="51"/>
      <c r="D1370" s="51"/>
      <c r="E1370" s="51"/>
      <c r="F1370" s="51"/>
      <c r="G1370" s="54"/>
      <c r="H1370" s="53"/>
      <c r="I1370" s="53"/>
      <c r="J1370" s="53"/>
      <c r="K1370" s="54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3"/>
      <c r="AC1370" s="53"/>
      <c r="AD1370" s="53"/>
      <c r="AE1370" s="53"/>
      <c r="AF1370" s="53"/>
      <c r="AG1370" s="53"/>
      <c r="AH1370" s="54"/>
      <c r="AI1370" s="53"/>
      <c r="AJ1370" s="53"/>
      <c r="AK1370" s="54"/>
      <c r="AL1370" s="54"/>
    </row>
    <row r="1371" spans="1:38" ht="15.75" thickBot="1" x14ac:dyDescent="0.3">
      <c r="A1371" s="51"/>
      <c r="B1371" s="51"/>
      <c r="C1371" s="51"/>
      <c r="D1371" s="51"/>
      <c r="E1371" s="51"/>
      <c r="F1371" s="51"/>
      <c r="G1371" s="56"/>
      <c r="H1371" s="56"/>
      <c r="I1371" s="55"/>
      <c r="J1371" s="55"/>
      <c r="K1371" s="55"/>
      <c r="L1371" s="55"/>
      <c r="M1371" s="56"/>
      <c r="N1371" s="55"/>
      <c r="O1371" s="55"/>
      <c r="P1371" s="55"/>
      <c r="Q1371" s="55"/>
      <c r="R1371" s="55"/>
      <c r="S1371" s="55"/>
      <c r="T1371" s="55"/>
      <c r="U1371" s="55"/>
      <c r="V1371" s="55"/>
      <c r="W1371" s="55"/>
      <c r="X1371" s="55"/>
      <c r="Y1371" s="55"/>
      <c r="Z1371" s="55"/>
      <c r="AA1371" s="55"/>
      <c r="AB1371" s="55"/>
      <c r="AC1371" s="55"/>
      <c r="AD1371" s="55"/>
      <c r="AE1371" s="55"/>
      <c r="AF1371" s="55"/>
      <c r="AG1371" s="55"/>
      <c r="AH1371" s="56"/>
      <c r="AI1371" s="55"/>
      <c r="AJ1371" s="55"/>
      <c r="AK1371" s="56"/>
      <c r="AL1371" s="56"/>
    </row>
    <row r="1372" spans="1:38" ht="15.75" thickBot="1" x14ac:dyDescent="0.3">
      <c r="A1372" s="51"/>
      <c r="B1372" s="51"/>
      <c r="C1372" s="51"/>
      <c r="D1372" s="51"/>
      <c r="E1372" s="51"/>
      <c r="F1372" s="51"/>
      <c r="G1372" s="54"/>
      <c r="H1372" s="147"/>
      <c r="I1372" s="53"/>
      <c r="J1372" s="53"/>
      <c r="K1372" s="53"/>
      <c r="L1372" s="53"/>
      <c r="M1372" s="54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3"/>
      <c r="AD1372" s="53"/>
      <c r="AE1372" s="53"/>
      <c r="AF1372" s="53"/>
      <c r="AG1372" s="53"/>
      <c r="AH1372" s="54"/>
      <c r="AI1372" s="53"/>
      <c r="AJ1372" s="53"/>
      <c r="AK1372" s="54"/>
      <c r="AL1372" s="54"/>
    </row>
    <row r="1373" spans="1:38" ht="15.75" thickBot="1" x14ac:dyDescent="0.3">
      <c r="A1373" s="51"/>
      <c r="B1373" s="51"/>
      <c r="C1373" s="51"/>
      <c r="D1373" s="51"/>
      <c r="E1373" s="51"/>
      <c r="F1373" s="51"/>
      <c r="G1373" s="56"/>
      <c r="H1373" s="55"/>
      <c r="I1373" s="55"/>
      <c r="J1373" s="55"/>
      <c r="K1373" s="55"/>
      <c r="L1373" s="55"/>
      <c r="M1373" s="55"/>
      <c r="N1373" s="55"/>
      <c r="O1373" s="55"/>
      <c r="P1373" s="55"/>
      <c r="Q1373" s="55"/>
      <c r="R1373" s="55"/>
      <c r="S1373" s="55"/>
      <c r="T1373" s="55"/>
      <c r="U1373" s="55"/>
      <c r="V1373" s="55"/>
      <c r="W1373" s="55"/>
      <c r="X1373" s="55"/>
      <c r="Y1373" s="55"/>
      <c r="Z1373" s="56"/>
      <c r="AA1373" s="55"/>
      <c r="AB1373" s="55"/>
      <c r="AC1373" s="55"/>
      <c r="AD1373" s="55"/>
      <c r="AE1373" s="55"/>
      <c r="AF1373" s="55"/>
      <c r="AG1373" s="55"/>
      <c r="AH1373" s="56"/>
      <c r="AI1373" s="55"/>
      <c r="AJ1373" s="55"/>
      <c r="AK1373" s="56"/>
      <c r="AL1373" s="56"/>
    </row>
    <row r="1374" spans="1:38" ht="15.75" thickBot="1" x14ac:dyDescent="0.3">
      <c r="A1374" s="51"/>
      <c r="B1374" s="51"/>
      <c r="C1374" s="51"/>
      <c r="D1374" s="51"/>
      <c r="E1374" s="51"/>
      <c r="F1374" s="51"/>
      <c r="G1374" s="54"/>
      <c r="H1374" s="53"/>
      <c r="I1374" s="53"/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4"/>
      <c r="AA1374" s="53"/>
      <c r="AB1374" s="53"/>
      <c r="AC1374" s="53"/>
      <c r="AD1374" s="53"/>
      <c r="AE1374" s="53"/>
      <c r="AF1374" s="53"/>
      <c r="AG1374" s="53"/>
      <c r="AH1374" s="54"/>
      <c r="AI1374" s="53"/>
      <c r="AJ1374" s="53"/>
      <c r="AK1374" s="54"/>
      <c r="AL1374" s="54"/>
    </row>
    <row r="1375" spans="1:38" ht="15.75" thickBot="1" x14ac:dyDescent="0.3">
      <c r="A1375" s="51"/>
      <c r="B1375" s="51"/>
      <c r="C1375" s="51"/>
      <c r="D1375" s="51"/>
      <c r="E1375" s="51"/>
      <c r="F1375" s="51"/>
      <c r="G1375" s="56"/>
      <c r="H1375" s="55"/>
      <c r="I1375" s="55"/>
      <c r="J1375" s="55"/>
      <c r="K1375" s="55"/>
      <c r="L1375" s="55"/>
      <c r="M1375" s="55"/>
      <c r="N1375" s="55"/>
      <c r="O1375" s="55"/>
      <c r="P1375" s="55"/>
      <c r="Q1375" s="55"/>
      <c r="R1375" s="55"/>
      <c r="S1375" s="55"/>
      <c r="T1375" s="55"/>
      <c r="U1375" s="55"/>
      <c r="V1375" s="55"/>
      <c r="W1375" s="55"/>
      <c r="X1375" s="55"/>
      <c r="Y1375" s="55"/>
      <c r="Z1375" s="55"/>
      <c r="AA1375" s="56"/>
      <c r="AB1375" s="55"/>
      <c r="AC1375" s="55"/>
      <c r="AD1375" s="55"/>
      <c r="AE1375" s="55"/>
      <c r="AF1375" s="55"/>
      <c r="AG1375" s="55"/>
      <c r="AH1375" s="56"/>
      <c r="AI1375" s="55"/>
      <c r="AJ1375" s="55"/>
      <c r="AK1375" s="56"/>
      <c r="AL1375" s="56"/>
    </row>
    <row r="1376" spans="1:38" ht="15.75" thickBot="1" x14ac:dyDescent="0.3">
      <c r="A1376" s="51"/>
      <c r="B1376" s="51"/>
      <c r="C1376" s="51"/>
      <c r="D1376" s="51"/>
      <c r="E1376" s="51"/>
      <c r="F1376" s="51"/>
      <c r="G1376" s="54"/>
      <c r="H1376" s="53"/>
      <c r="I1376" s="53"/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4"/>
      <c r="AB1376" s="53"/>
      <c r="AC1376" s="53"/>
      <c r="AD1376" s="53"/>
      <c r="AE1376" s="53"/>
      <c r="AF1376" s="53"/>
      <c r="AG1376" s="53"/>
      <c r="AH1376" s="54"/>
      <c r="AI1376" s="53"/>
      <c r="AJ1376" s="53"/>
      <c r="AK1376" s="54"/>
      <c r="AL1376" s="54"/>
    </row>
    <row r="1377" spans="1:38" ht="15.75" thickBot="1" x14ac:dyDescent="0.3">
      <c r="A1377" s="51"/>
      <c r="B1377" s="51"/>
      <c r="C1377" s="51"/>
      <c r="D1377" s="51"/>
      <c r="E1377" s="51"/>
      <c r="F1377" s="51"/>
      <c r="G1377" s="56"/>
      <c r="H1377" s="55"/>
      <c r="I1377" s="55"/>
      <c r="J1377" s="55"/>
      <c r="K1377" s="55"/>
      <c r="L1377" s="55"/>
      <c r="M1377" s="55"/>
      <c r="N1377" s="55"/>
      <c r="O1377" s="55"/>
      <c r="P1377" s="55"/>
      <c r="Q1377" s="55"/>
      <c r="R1377" s="56"/>
      <c r="S1377" s="55"/>
      <c r="T1377" s="55"/>
      <c r="U1377" s="55"/>
      <c r="V1377" s="55"/>
      <c r="W1377" s="55"/>
      <c r="X1377" s="55"/>
      <c r="Y1377" s="55"/>
      <c r="Z1377" s="55"/>
      <c r="AA1377" s="55"/>
      <c r="AB1377" s="55"/>
      <c r="AC1377" s="55"/>
      <c r="AD1377" s="55"/>
      <c r="AE1377" s="55"/>
      <c r="AF1377" s="55"/>
      <c r="AG1377" s="55"/>
      <c r="AH1377" s="56"/>
      <c r="AI1377" s="55"/>
      <c r="AJ1377" s="55"/>
      <c r="AK1377" s="56"/>
      <c r="AL1377" s="56"/>
    </row>
    <row r="1378" spans="1:38" ht="15.75" thickBot="1" x14ac:dyDescent="0.3">
      <c r="A1378" s="51"/>
      <c r="B1378" s="51"/>
      <c r="C1378" s="51"/>
      <c r="D1378" s="51"/>
      <c r="E1378" s="51"/>
      <c r="F1378" s="51"/>
      <c r="G1378" s="54"/>
      <c r="H1378" s="53"/>
      <c r="I1378" s="53"/>
      <c r="J1378" s="53"/>
      <c r="K1378" s="53"/>
      <c r="L1378" s="53"/>
      <c r="M1378" s="53"/>
      <c r="N1378" s="53"/>
      <c r="O1378" s="53"/>
      <c r="P1378" s="53"/>
      <c r="Q1378" s="53"/>
      <c r="R1378" s="54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3"/>
      <c r="AD1378" s="53"/>
      <c r="AE1378" s="53"/>
      <c r="AF1378" s="53"/>
      <c r="AG1378" s="53"/>
      <c r="AH1378" s="54"/>
      <c r="AI1378" s="53"/>
      <c r="AJ1378" s="53"/>
      <c r="AK1378" s="54"/>
      <c r="AL1378" s="54"/>
    </row>
    <row r="1379" spans="1:38" ht="15.75" thickBot="1" x14ac:dyDescent="0.3">
      <c r="A1379" s="51"/>
      <c r="B1379" s="51"/>
      <c r="C1379" s="51"/>
      <c r="D1379" s="51"/>
      <c r="E1379" s="51"/>
      <c r="F1379" s="51"/>
      <c r="G1379" s="56"/>
      <c r="H1379" s="55"/>
      <c r="I1379" s="55"/>
      <c r="J1379" s="55"/>
      <c r="K1379" s="55"/>
      <c r="L1379" s="55"/>
      <c r="M1379" s="55"/>
      <c r="N1379" s="55"/>
      <c r="O1379" s="55"/>
      <c r="P1379" s="55"/>
      <c r="Q1379" s="55"/>
      <c r="R1379" s="55"/>
      <c r="S1379" s="55"/>
      <c r="T1379" s="55"/>
      <c r="U1379" s="55"/>
      <c r="V1379" s="55"/>
      <c r="W1379" s="55"/>
      <c r="X1379" s="55"/>
      <c r="Y1379" s="55"/>
      <c r="Z1379" s="55"/>
      <c r="AA1379" s="55"/>
      <c r="AB1379" s="55"/>
      <c r="AC1379" s="56"/>
      <c r="AD1379" s="55"/>
      <c r="AE1379" s="55"/>
      <c r="AF1379" s="55"/>
      <c r="AG1379" s="55"/>
      <c r="AH1379" s="56"/>
      <c r="AI1379" s="55"/>
      <c r="AJ1379" s="55"/>
      <c r="AK1379" s="56"/>
      <c r="AL1379" s="56"/>
    </row>
    <row r="1380" spans="1:38" ht="15.75" thickBot="1" x14ac:dyDescent="0.3">
      <c r="A1380" s="51"/>
      <c r="B1380" s="51"/>
      <c r="C1380" s="51"/>
      <c r="D1380" s="51"/>
      <c r="E1380" s="51"/>
      <c r="F1380" s="51"/>
      <c r="G1380" s="54"/>
      <c r="H1380" s="53"/>
      <c r="I1380" s="53"/>
      <c r="J1380" s="53"/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4"/>
      <c r="AD1380" s="53"/>
      <c r="AE1380" s="53"/>
      <c r="AF1380" s="53"/>
      <c r="AG1380" s="53"/>
      <c r="AH1380" s="54"/>
      <c r="AI1380" s="53"/>
      <c r="AJ1380" s="53"/>
      <c r="AK1380" s="54"/>
      <c r="AL1380" s="54"/>
    </row>
    <row r="1381" spans="1:38" ht="15.75" thickBot="1" x14ac:dyDescent="0.3">
      <c r="A1381" s="51"/>
      <c r="B1381" s="51"/>
      <c r="C1381" s="51"/>
      <c r="D1381" s="51"/>
      <c r="E1381" s="51"/>
      <c r="F1381" s="51"/>
      <c r="G1381" s="56"/>
      <c r="H1381" s="55"/>
      <c r="I1381" s="55"/>
      <c r="J1381" s="55"/>
      <c r="K1381" s="56"/>
      <c r="L1381" s="55"/>
      <c r="M1381" s="55"/>
      <c r="N1381" s="55"/>
      <c r="O1381" s="55"/>
      <c r="P1381" s="55"/>
      <c r="Q1381" s="55"/>
      <c r="R1381" s="55"/>
      <c r="S1381" s="55"/>
      <c r="T1381" s="55"/>
      <c r="U1381" s="55"/>
      <c r="V1381" s="55"/>
      <c r="W1381" s="55"/>
      <c r="X1381" s="55"/>
      <c r="Y1381" s="55"/>
      <c r="Z1381" s="55"/>
      <c r="AA1381" s="55"/>
      <c r="AB1381" s="55"/>
      <c r="AC1381" s="55"/>
      <c r="AD1381" s="55"/>
      <c r="AE1381" s="55"/>
      <c r="AF1381" s="55"/>
      <c r="AG1381" s="55"/>
      <c r="AH1381" s="56"/>
      <c r="AI1381" s="55"/>
      <c r="AJ1381" s="55"/>
      <c r="AK1381" s="56"/>
      <c r="AL1381" s="56"/>
    </row>
    <row r="1382" spans="1:38" ht="15.75" thickBot="1" x14ac:dyDescent="0.3">
      <c r="A1382" s="51"/>
      <c r="B1382" s="51"/>
      <c r="C1382" s="51"/>
      <c r="D1382" s="51"/>
      <c r="E1382" s="51"/>
      <c r="F1382" s="51"/>
      <c r="G1382" s="54"/>
      <c r="H1382" s="53"/>
      <c r="I1382" s="53"/>
      <c r="J1382" s="53"/>
      <c r="K1382" s="54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3"/>
      <c r="AD1382" s="53"/>
      <c r="AE1382" s="53"/>
      <c r="AF1382" s="53"/>
      <c r="AG1382" s="53"/>
      <c r="AH1382" s="54"/>
      <c r="AI1382" s="53"/>
      <c r="AJ1382" s="53"/>
      <c r="AK1382" s="54"/>
      <c r="AL1382" s="54"/>
    </row>
    <row r="1383" spans="1:38" ht="15.75" thickBot="1" x14ac:dyDescent="0.3">
      <c r="A1383" s="51"/>
      <c r="B1383" s="51"/>
      <c r="C1383" s="51"/>
      <c r="D1383" s="51"/>
      <c r="E1383" s="51"/>
      <c r="F1383" s="51"/>
      <c r="G1383" s="56"/>
      <c r="H1383" s="56"/>
      <c r="I1383" s="55"/>
      <c r="J1383" s="55"/>
      <c r="K1383" s="55"/>
      <c r="L1383" s="55"/>
      <c r="M1383" s="56"/>
      <c r="N1383" s="55"/>
      <c r="O1383" s="55"/>
      <c r="P1383" s="55"/>
      <c r="Q1383" s="55"/>
      <c r="R1383" s="55"/>
      <c r="S1383" s="55"/>
      <c r="T1383" s="55"/>
      <c r="U1383" s="55"/>
      <c r="V1383" s="55"/>
      <c r="W1383" s="55"/>
      <c r="X1383" s="55"/>
      <c r="Y1383" s="55"/>
      <c r="Z1383" s="55"/>
      <c r="AA1383" s="55"/>
      <c r="AB1383" s="55"/>
      <c r="AC1383" s="55"/>
      <c r="AD1383" s="55"/>
      <c r="AE1383" s="55"/>
      <c r="AF1383" s="55"/>
      <c r="AG1383" s="55"/>
      <c r="AH1383" s="56"/>
      <c r="AI1383" s="55"/>
      <c r="AJ1383" s="55"/>
      <c r="AK1383" s="56"/>
      <c r="AL1383" s="56"/>
    </row>
    <row r="1384" spans="1:38" ht="15.75" thickBot="1" x14ac:dyDescent="0.3">
      <c r="A1384" s="51"/>
      <c r="B1384" s="51"/>
      <c r="C1384" s="51"/>
      <c r="D1384" s="51"/>
      <c r="E1384" s="51"/>
      <c r="F1384" s="51"/>
      <c r="G1384" s="54"/>
      <c r="H1384" s="147"/>
      <c r="I1384" s="53"/>
      <c r="J1384" s="53"/>
      <c r="K1384" s="53"/>
      <c r="L1384" s="53"/>
      <c r="M1384" s="54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3"/>
      <c r="AD1384" s="53"/>
      <c r="AE1384" s="53"/>
      <c r="AF1384" s="53"/>
      <c r="AG1384" s="53"/>
      <c r="AH1384" s="54"/>
      <c r="AI1384" s="53"/>
      <c r="AJ1384" s="53"/>
      <c r="AK1384" s="54"/>
      <c r="AL1384" s="54"/>
    </row>
    <row r="1385" spans="1:38" ht="15.75" thickBot="1" x14ac:dyDescent="0.3">
      <c r="A1385" s="51"/>
      <c r="B1385" s="51"/>
      <c r="C1385" s="51"/>
      <c r="D1385" s="51"/>
      <c r="E1385" s="51"/>
      <c r="F1385" s="51"/>
      <c r="G1385" s="56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/>
      <c r="S1385" s="55"/>
      <c r="T1385" s="55"/>
      <c r="U1385" s="55"/>
      <c r="V1385" s="55"/>
      <c r="W1385" s="55"/>
      <c r="X1385" s="55"/>
      <c r="Y1385" s="55"/>
      <c r="Z1385" s="56"/>
      <c r="AA1385" s="55"/>
      <c r="AB1385" s="55"/>
      <c r="AC1385" s="55"/>
      <c r="AD1385" s="55"/>
      <c r="AE1385" s="55"/>
      <c r="AF1385" s="55"/>
      <c r="AG1385" s="55"/>
      <c r="AH1385" s="56"/>
      <c r="AI1385" s="55"/>
      <c r="AJ1385" s="55"/>
      <c r="AK1385" s="56"/>
      <c r="AL1385" s="56"/>
    </row>
    <row r="1386" spans="1:38" ht="15.75" thickBot="1" x14ac:dyDescent="0.3">
      <c r="A1386" s="51"/>
      <c r="B1386" s="51"/>
      <c r="C1386" s="51"/>
      <c r="D1386" s="51"/>
      <c r="E1386" s="51"/>
      <c r="F1386" s="51"/>
      <c r="G1386" s="54"/>
      <c r="H1386" s="53"/>
      <c r="I1386" s="53"/>
      <c r="J1386" s="53"/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4"/>
      <c r="AA1386" s="53"/>
      <c r="AB1386" s="53"/>
      <c r="AC1386" s="53"/>
      <c r="AD1386" s="53"/>
      <c r="AE1386" s="53"/>
      <c r="AF1386" s="53"/>
      <c r="AG1386" s="53"/>
      <c r="AH1386" s="54"/>
      <c r="AI1386" s="53"/>
      <c r="AJ1386" s="53"/>
      <c r="AK1386" s="54"/>
      <c r="AL1386" s="54"/>
    </row>
    <row r="1387" spans="1:38" ht="15.75" thickBot="1" x14ac:dyDescent="0.3">
      <c r="A1387" s="51"/>
      <c r="B1387" s="51"/>
      <c r="C1387" s="51"/>
      <c r="D1387" s="51"/>
      <c r="E1387" s="51"/>
      <c r="F1387" s="51"/>
      <c r="G1387" s="56"/>
      <c r="H1387" s="55"/>
      <c r="I1387" s="55"/>
      <c r="J1387" s="55"/>
      <c r="K1387" s="55"/>
      <c r="L1387" s="55"/>
      <c r="M1387" s="55"/>
      <c r="N1387" s="55"/>
      <c r="O1387" s="55"/>
      <c r="P1387" s="55"/>
      <c r="Q1387" s="55"/>
      <c r="R1387" s="55"/>
      <c r="S1387" s="55"/>
      <c r="T1387" s="55"/>
      <c r="U1387" s="55"/>
      <c r="V1387" s="55"/>
      <c r="W1387" s="55"/>
      <c r="X1387" s="55"/>
      <c r="Y1387" s="55"/>
      <c r="Z1387" s="55"/>
      <c r="AA1387" s="56"/>
      <c r="AB1387" s="55"/>
      <c r="AC1387" s="55"/>
      <c r="AD1387" s="55"/>
      <c r="AE1387" s="55"/>
      <c r="AF1387" s="55"/>
      <c r="AG1387" s="55"/>
      <c r="AH1387" s="56"/>
      <c r="AI1387" s="55"/>
      <c r="AJ1387" s="55"/>
      <c r="AK1387" s="56"/>
      <c r="AL1387" s="56"/>
    </row>
    <row r="1388" spans="1:38" ht="15.75" thickBot="1" x14ac:dyDescent="0.3">
      <c r="A1388" s="51"/>
      <c r="B1388" s="51"/>
      <c r="C1388" s="51"/>
      <c r="D1388" s="51"/>
      <c r="E1388" s="51"/>
      <c r="F1388" s="51"/>
      <c r="G1388" s="54"/>
      <c r="H1388" s="53"/>
      <c r="I1388" s="53"/>
      <c r="J1388" s="53"/>
      <c r="K1388" s="53"/>
      <c r="L1388" s="53"/>
      <c r="M1388" s="53"/>
      <c r="N1388" s="53"/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4"/>
      <c r="AB1388" s="53"/>
      <c r="AC1388" s="53"/>
      <c r="AD1388" s="53"/>
      <c r="AE1388" s="53"/>
      <c r="AF1388" s="53"/>
      <c r="AG1388" s="53"/>
      <c r="AH1388" s="54"/>
      <c r="AI1388" s="53"/>
      <c r="AJ1388" s="53"/>
      <c r="AK1388" s="54"/>
      <c r="AL1388" s="54"/>
    </row>
    <row r="1389" spans="1:38" ht="15.75" thickBot="1" x14ac:dyDescent="0.3">
      <c r="A1389" s="51"/>
      <c r="B1389" s="51"/>
      <c r="C1389" s="51"/>
      <c r="D1389" s="51"/>
      <c r="E1389" s="51"/>
      <c r="F1389" s="51"/>
      <c r="G1389" s="56"/>
      <c r="H1389" s="55"/>
      <c r="I1389" s="55"/>
      <c r="J1389" s="55"/>
      <c r="K1389" s="55"/>
      <c r="L1389" s="55"/>
      <c r="M1389" s="55"/>
      <c r="N1389" s="55"/>
      <c r="O1389" s="55"/>
      <c r="P1389" s="55"/>
      <c r="Q1389" s="55"/>
      <c r="R1389" s="56"/>
      <c r="S1389" s="55"/>
      <c r="T1389" s="55"/>
      <c r="U1389" s="55"/>
      <c r="V1389" s="55"/>
      <c r="W1389" s="55"/>
      <c r="X1389" s="55"/>
      <c r="Y1389" s="55"/>
      <c r="Z1389" s="55"/>
      <c r="AA1389" s="55"/>
      <c r="AB1389" s="55"/>
      <c r="AC1389" s="55"/>
      <c r="AD1389" s="55"/>
      <c r="AE1389" s="55"/>
      <c r="AF1389" s="55"/>
      <c r="AG1389" s="55"/>
      <c r="AH1389" s="56"/>
      <c r="AI1389" s="55"/>
      <c r="AJ1389" s="55"/>
      <c r="AK1389" s="56"/>
      <c r="AL1389" s="56"/>
    </row>
    <row r="1390" spans="1:38" ht="15.75" thickBot="1" x14ac:dyDescent="0.3">
      <c r="A1390" s="51"/>
      <c r="B1390" s="51"/>
      <c r="C1390" s="51"/>
      <c r="D1390" s="51"/>
      <c r="E1390" s="51"/>
      <c r="F1390" s="51"/>
      <c r="G1390" s="54"/>
      <c r="H1390" s="53"/>
      <c r="I1390" s="53"/>
      <c r="J1390" s="53"/>
      <c r="K1390" s="53"/>
      <c r="L1390" s="53"/>
      <c r="M1390" s="53"/>
      <c r="N1390" s="53"/>
      <c r="O1390" s="53"/>
      <c r="P1390" s="53"/>
      <c r="Q1390" s="53"/>
      <c r="R1390" s="54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3"/>
      <c r="AC1390" s="53"/>
      <c r="AD1390" s="53"/>
      <c r="AE1390" s="53"/>
      <c r="AF1390" s="53"/>
      <c r="AG1390" s="53"/>
      <c r="AH1390" s="54"/>
      <c r="AI1390" s="53"/>
      <c r="AJ1390" s="53"/>
      <c r="AK1390" s="54"/>
      <c r="AL1390" s="54"/>
    </row>
    <row r="1391" spans="1:38" ht="15.75" thickBot="1" x14ac:dyDescent="0.3">
      <c r="A1391" s="51"/>
      <c r="B1391" s="51"/>
      <c r="C1391" s="51"/>
      <c r="D1391" s="51"/>
      <c r="E1391" s="51"/>
      <c r="F1391" s="51"/>
      <c r="G1391" s="56"/>
      <c r="H1391" s="55"/>
      <c r="I1391" s="55"/>
      <c r="J1391" s="55"/>
      <c r="K1391" s="55"/>
      <c r="L1391" s="55"/>
      <c r="M1391" s="55"/>
      <c r="N1391" s="55"/>
      <c r="O1391" s="55"/>
      <c r="P1391" s="55"/>
      <c r="Q1391" s="55"/>
      <c r="R1391" s="55"/>
      <c r="S1391" s="55"/>
      <c r="T1391" s="55"/>
      <c r="U1391" s="55"/>
      <c r="V1391" s="55"/>
      <c r="W1391" s="55"/>
      <c r="X1391" s="55"/>
      <c r="Y1391" s="55"/>
      <c r="Z1391" s="55"/>
      <c r="AA1391" s="55"/>
      <c r="AB1391" s="55"/>
      <c r="AC1391" s="56"/>
      <c r="AD1391" s="55"/>
      <c r="AE1391" s="55"/>
      <c r="AF1391" s="55"/>
      <c r="AG1391" s="55"/>
      <c r="AH1391" s="56"/>
      <c r="AI1391" s="55"/>
      <c r="AJ1391" s="55"/>
      <c r="AK1391" s="56"/>
      <c r="AL1391" s="56"/>
    </row>
    <row r="1392" spans="1:38" ht="15.75" thickBot="1" x14ac:dyDescent="0.3">
      <c r="A1392" s="51"/>
      <c r="B1392" s="51"/>
      <c r="C1392" s="51"/>
      <c r="D1392" s="51"/>
      <c r="E1392" s="51"/>
      <c r="F1392" s="51"/>
      <c r="G1392" s="54"/>
      <c r="H1392" s="53"/>
      <c r="I1392" s="53"/>
      <c r="J1392" s="53"/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4"/>
      <c r="AD1392" s="53"/>
      <c r="AE1392" s="53"/>
      <c r="AF1392" s="53"/>
      <c r="AG1392" s="53"/>
      <c r="AH1392" s="54"/>
      <c r="AI1392" s="53"/>
      <c r="AJ1392" s="53"/>
      <c r="AK1392" s="54"/>
      <c r="AL1392" s="54"/>
    </row>
    <row r="1393" spans="1:38" ht="15.75" thickBot="1" x14ac:dyDescent="0.3">
      <c r="A1393" s="51"/>
      <c r="B1393" s="51"/>
      <c r="C1393" s="51"/>
      <c r="D1393" s="51"/>
      <c r="E1393" s="51"/>
      <c r="F1393" s="51"/>
      <c r="G1393" s="56"/>
      <c r="H1393" s="55"/>
      <c r="I1393" s="55"/>
      <c r="J1393" s="55"/>
      <c r="K1393" s="56"/>
      <c r="L1393" s="55"/>
      <c r="M1393" s="55"/>
      <c r="N1393" s="55"/>
      <c r="O1393" s="55"/>
      <c r="P1393" s="55"/>
      <c r="Q1393" s="55"/>
      <c r="R1393" s="55"/>
      <c r="S1393" s="55"/>
      <c r="T1393" s="55"/>
      <c r="U1393" s="55"/>
      <c r="V1393" s="55"/>
      <c r="W1393" s="55"/>
      <c r="X1393" s="55"/>
      <c r="Y1393" s="55"/>
      <c r="Z1393" s="55"/>
      <c r="AA1393" s="55"/>
      <c r="AB1393" s="55"/>
      <c r="AC1393" s="55"/>
      <c r="AD1393" s="55"/>
      <c r="AE1393" s="55"/>
      <c r="AF1393" s="55"/>
      <c r="AG1393" s="55"/>
      <c r="AH1393" s="56"/>
      <c r="AI1393" s="55"/>
      <c r="AJ1393" s="55"/>
      <c r="AK1393" s="56"/>
      <c r="AL1393" s="56"/>
    </row>
    <row r="1394" spans="1:38" ht="15.75" thickBot="1" x14ac:dyDescent="0.3">
      <c r="A1394" s="51"/>
      <c r="B1394" s="51"/>
      <c r="C1394" s="51"/>
      <c r="D1394" s="51"/>
      <c r="E1394" s="51"/>
      <c r="F1394" s="51"/>
      <c r="G1394" s="54"/>
      <c r="H1394" s="53"/>
      <c r="I1394" s="53"/>
      <c r="J1394" s="53"/>
      <c r="K1394" s="54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3"/>
      <c r="AD1394" s="53"/>
      <c r="AE1394" s="53"/>
      <c r="AF1394" s="53"/>
      <c r="AG1394" s="53"/>
      <c r="AH1394" s="54"/>
      <c r="AI1394" s="53"/>
      <c r="AJ1394" s="53"/>
      <c r="AK1394" s="54"/>
      <c r="AL1394" s="54"/>
    </row>
    <row r="1395" spans="1:38" ht="15.75" thickBot="1" x14ac:dyDescent="0.3">
      <c r="A1395" s="51"/>
      <c r="B1395" s="51"/>
      <c r="C1395" s="51"/>
      <c r="D1395" s="51"/>
      <c r="E1395" s="51"/>
      <c r="F1395" s="51"/>
      <c r="G1395" s="56"/>
      <c r="H1395" s="56"/>
      <c r="I1395" s="55"/>
      <c r="J1395" s="55"/>
      <c r="K1395" s="55"/>
      <c r="L1395" s="55"/>
      <c r="M1395" s="56"/>
      <c r="N1395" s="55"/>
      <c r="O1395" s="55"/>
      <c r="P1395" s="55"/>
      <c r="Q1395" s="55"/>
      <c r="R1395" s="55"/>
      <c r="S1395" s="55"/>
      <c r="T1395" s="55"/>
      <c r="U1395" s="55"/>
      <c r="V1395" s="55"/>
      <c r="W1395" s="55"/>
      <c r="X1395" s="55"/>
      <c r="Y1395" s="55"/>
      <c r="Z1395" s="55"/>
      <c r="AA1395" s="55"/>
      <c r="AB1395" s="55"/>
      <c r="AC1395" s="55"/>
      <c r="AD1395" s="55"/>
      <c r="AE1395" s="55"/>
      <c r="AF1395" s="55"/>
      <c r="AG1395" s="55"/>
      <c r="AH1395" s="56"/>
      <c r="AI1395" s="55"/>
      <c r="AJ1395" s="55"/>
      <c r="AK1395" s="56"/>
      <c r="AL1395" s="56"/>
    </row>
    <row r="1396" spans="1:38" ht="15.75" thickBot="1" x14ac:dyDescent="0.3">
      <c r="A1396" s="51"/>
      <c r="B1396" s="51"/>
      <c r="C1396" s="51"/>
      <c r="D1396" s="51"/>
      <c r="E1396" s="51"/>
      <c r="F1396" s="51"/>
      <c r="G1396" s="54"/>
      <c r="H1396" s="147"/>
      <c r="I1396" s="53"/>
      <c r="J1396" s="53"/>
      <c r="K1396" s="53"/>
      <c r="L1396" s="53"/>
      <c r="M1396" s="54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3"/>
      <c r="AD1396" s="53"/>
      <c r="AE1396" s="53"/>
      <c r="AF1396" s="53"/>
      <c r="AG1396" s="53"/>
      <c r="AH1396" s="54"/>
      <c r="AI1396" s="53"/>
      <c r="AJ1396" s="53"/>
      <c r="AK1396" s="54"/>
      <c r="AL1396" s="54"/>
    </row>
    <row r="1397" spans="1:38" ht="15.75" thickBot="1" x14ac:dyDescent="0.3">
      <c r="A1397" s="51"/>
      <c r="B1397" s="51"/>
      <c r="C1397" s="51"/>
      <c r="D1397" s="51"/>
      <c r="E1397" s="51"/>
      <c r="F1397" s="51"/>
      <c r="G1397" s="56"/>
      <c r="H1397" s="55"/>
      <c r="I1397" s="55"/>
      <c r="J1397" s="55"/>
      <c r="K1397" s="55"/>
      <c r="L1397" s="55"/>
      <c r="M1397" s="55"/>
      <c r="N1397" s="55"/>
      <c r="O1397" s="55"/>
      <c r="P1397" s="55"/>
      <c r="Q1397" s="55"/>
      <c r="R1397" s="55"/>
      <c r="S1397" s="55"/>
      <c r="T1397" s="55"/>
      <c r="U1397" s="55"/>
      <c r="V1397" s="55"/>
      <c r="W1397" s="55"/>
      <c r="X1397" s="55"/>
      <c r="Y1397" s="55"/>
      <c r="Z1397" s="56"/>
      <c r="AA1397" s="55"/>
      <c r="AB1397" s="55"/>
      <c r="AC1397" s="55"/>
      <c r="AD1397" s="55"/>
      <c r="AE1397" s="55"/>
      <c r="AF1397" s="55"/>
      <c r="AG1397" s="55"/>
      <c r="AH1397" s="56"/>
      <c r="AI1397" s="55"/>
      <c r="AJ1397" s="55"/>
      <c r="AK1397" s="56"/>
      <c r="AL1397" s="56"/>
    </row>
    <row r="1398" spans="1:38" ht="15.75" thickBot="1" x14ac:dyDescent="0.3">
      <c r="A1398" s="51"/>
      <c r="B1398" s="51"/>
      <c r="C1398" s="51"/>
      <c r="D1398" s="51"/>
      <c r="E1398" s="51"/>
      <c r="F1398" s="51"/>
      <c r="G1398" s="54"/>
      <c r="H1398" s="53"/>
      <c r="I1398" s="53"/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4"/>
      <c r="AA1398" s="53"/>
      <c r="AB1398" s="53"/>
      <c r="AC1398" s="53"/>
      <c r="AD1398" s="53"/>
      <c r="AE1398" s="53"/>
      <c r="AF1398" s="53"/>
      <c r="AG1398" s="53"/>
      <c r="AH1398" s="54"/>
      <c r="AI1398" s="53"/>
      <c r="AJ1398" s="53"/>
      <c r="AK1398" s="54"/>
      <c r="AL1398" s="54"/>
    </row>
    <row r="1399" spans="1:38" ht="15.75" thickBot="1" x14ac:dyDescent="0.3">
      <c r="A1399" s="51"/>
      <c r="B1399" s="51"/>
      <c r="C1399" s="51"/>
      <c r="D1399" s="51"/>
      <c r="E1399" s="51"/>
      <c r="F1399" s="51"/>
      <c r="G1399" s="56"/>
      <c r="H1399" s="55"/>
      <c r="I1399" s="55"/>
      <c r="J1399" s="55"/>
      <c r="K1399" s="55"/>
      <c r="L1399" s="55"/>
      <c r="M1399" s="55"/>
      <c r="N1399" s="55"/>
      <c r="O1399" s="55"/>
      <c r="P1399" s="55"/>
      <c r="Q1399" s="55"/>
      <c r="R1399" s="55"/>
      <c r="S1399" s="55"/>
      <c r="T1399" s="55"/>
      <c r="U1399" s="55"/>
      <c r="V1399" s="55"/>
      <c r="W1399" s="55"/>
      <c r="X1399" s="55"/>
      <c r="Y1399" s="55"/>
      <c r="Z1399" s="55"/>
      <c r="AA1399" s="56"/>
      <c r="AB1399" s="55"/>
      <c r="AC1399" s="55"/>
      <c r="AD1399" s="55"/>
      <c r="AE1399" s="55"/>
      <c r="AF1399" s="55"/>
      <c r="AG1399" s="55"/>
      <c r="AH1399" s="56"/>
      <c r="AI1399" s="55"/>
      <c r="AJ1399" s="55"/>
      <c r="AK1399" s="56"/>
      <c r="AL1399" s="56"/>
    </row>
    <row r="1400" spans="1:38" ht="15.75" thickBot="1" x14ac:dyDescent="0.3">
      <c r="A1400" s="51"/>
      <c r="B1400" s="51"/>
      <c r="C1400" s="51"/>
      <c r="D1400" s="51"/>
      <c r="E1400" s="51"/>
      <c r="F1400" s="51"/>
      <c r="G1400" s="54"/>
      <c r="H1400" s="53"/>
      <c r="I1400" s="53"/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4"/>
      <c r="AB1400" s="53"/>
      <c r="AC1400" s="53"/>
      <c r="AD1400" s="53"/>
      <c r="AE1400" s="53"/>
      <c r="AF1400" s="53"/>
      <c r="AG1400" s="53"/>
      <c r="AH1400" s="54"/>
      <c r="AI1400" s="53"/>
      <c r="AJ1400" s="53"/>
      <c r="AK1400" s="54"/>
      <c r="AL1400" s="54"/>
    </row>
    <row r="1401" spans="1:38" ht="15.75" thickBot="1" x14ac:dyDescent="0.3">
      <c r="A1401" s="51"/>
      <c r="B1401" s="51"/>
      <c r="C1401" s="51"/>
      <c r="D1401" s="51"/>
      <c r="E1401" s="51"/>
      <c r="F1401" s="51"/>
      <c r="G1401" s="56"/>
      <c r="H1401" s="55"/>
      <c r="I1401" s="55"/>
      <c r="J1401" s="55"/>
      <c r="K1401" s="55"/>
      <c r="L1401" s="55"/>
      <c r="M1401" s="55"/>
      <c r="N1401" s="55"/>
      <c r="O1401" s="55"/>
      <c r="P1401" s="55"/>
      <c r="Q1401" s="55"/>
      <c r="R1401" s="56"/>
      <c r="S1401" s="55"/>
      <c r="T1401" s="55"/>
      <c r="U1401" s="55"/>
      <c r="V1401" s="55"/>
      <c r="W1401" s="55"/>
      <c r="X1401" s="55"/>
      <c r="Y1401" s="55"/>
      <c r="Z1401" s="55"/>
      <c r="AA1401" s="55"/>
      <c r="AB1401" s="55"/>
      <c r="AC1401" s="55"/>
      <c r="AD1401" s="55"/>
      <c r="AE1401" s="55"/>
      <c r="AF1401" s="55"/>
      <c r="AG1401" s="55"/>
      <c r="AH1401" s="56"/>
      <c r="AI1401" s="55"/>
      <c r="AJ1401" s="55"/>
      <c r="AK1401" s="56"/>
      <c r="AL1401" s="56"/>
    </row>
    <row r="1402" spans="1:38" ht="15.75" thickBot="1" x14ac:dyDescent="0.3">
      <c r="A1402" s="51"/>
      <c r="B1402" s="51"/>
      <c r="C1402" s="51"/>
      <c r="D1402" s="51"/>
      <c r="E1402" s="51"/>
      <c r="F1402" s="51"/>
      <c r="G1402" s="54"/>
      <c r="H1402" s="53"/>
      <c r="I1402" s="53"/>
      <c r="J1402" s="53"/>
      <c r="K1402" s="53"/>
      <c r="L1402" s="53"/>
      <c r="M1402" s="53"/>
      <c r="N1402" s="53"/>
      <c r="O1402" s="53"/>
      <c r="P1402" s="53"/>
      <c r="Q1402" s="53"/>
      <c r="R1402" s="54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3"/>
      <c r="AD1402" s="53"/>
      <c r="AE1402" s="53"/>
      <c r="AF1402" s="53"/>
      <c r="AG1402" s="53"/>
      <c r="AH1402" s="54"/>
      <c r="AI1402" s="53"/>
      <c r="AJ1402" s="53"/>
      <c r="AK1402" s="54"/>
      <c r="AL1402" s="54"/>
    </row>
    <row r="1403" spans="1:38" ht="15.75" thickBot="1" x14ac:dyDescent="0.3">
      <c r="A1403" s="51"/>
      <c r="B1403" s="51"/>
      <c r="C1403" s="51"/>
      <c r="D1403" s="51"/>
      <c r="E1403" s="51"/>
      <c r="F1403" s="51"/>
      <c r="G1403" s="56"/>
      <c r="H1403" s="55"/>
      <c r="I1403" s="55"/>
      <c r="J1403" s="55"/>
      <c r="K1403" s="55"/>
      <c r="L1403" s="55"/>
      <c r="M1403" s="55"/>
      <c r="N1403" s="55"/>
      <c r="O1403" s="55"/>
      <c r="P1403" s="55"/>
      <c r="Q1403" s="55"/>
      <c r="R1403" s="55"/>
      <c r="S1403" s="55"/>
      <c r="T1403" s="55"/>
      <c r="U1403" s="55"/>
      <c r="V1403" s="55"/>
      <c r="W1403" s="55"/>
      <c r="X1403" s="55"/>
      <c r="Y1403" s="55"/>
      <c r="Z1403" s="55"/>
      <c r="AA1403" s="55"/>
      <c r="AB1403" s="55"/>
      <c r="AC1403" s="56"/>
      <c r="AD1403" s="55"/>
      <c r="AE1403" s="55"/>
      <c r="AF1403" s="55"/>
      <c r="AG1403" s="55"/>
      <c r="AH1403" s="56"/>
      <c r="AI1403" s="55"/>
      <c r="AJ1403" s="55"/>
      <c r="AK1403" s="56"/>
      <c r="AL1403" s="56"/>
    </row>
    <row r="1404" spans="1:38" ht="15.75" thickBot="1" x14ac:dyDescent="0.3">
      <c r="A1404" s="51"/>
      <c r="B1404" s="51"/>
      <c r="C1404" s="51"/>
      <c r="D1404" s="51"/>
      <c r="E1404" s="51"/>
      <c r="F1404" s="51"/>
      <c r="G1404" s="54"/>
      <c r="H1404" s="53"/>
      <c r="I1404" s="53"/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53"/>
      <c r="AC1404" s="54"/>
      <c r="AD1404" s="53"/>
      <c r="AE1404" s="53"/>
      <c r="AF1404" s="53"/>
      <c r="AG1404" s="53"/>
      <c r="AH1404" s="54"/>
      <c r="AI1404" s="53"/>
      <c r="AJ1404" s="53"/>
      <c r="AK1404" s="54"/>
      <c r="AL1404" s="54"/>
    </row>
    <row r="1405" spans="1:38" ht="15.75" thickBot="1" x14ac:dyDescent="0.3">
      <c r="A1405" s="51"/>
      <c r="B1405" s="51"/>
      <c r="C1405" s="51"/>
      <c r="D1405" s="51"/>
      <c r="E1405" s="51"/>
      <c r="F1405" s="51"/>
      <c r="G1405" s="56"/>
      <c r="H1405" s="55"/>
      <c r="I1405" s="55"/>
      <c r="J1405" s="55"/>
      <c r="K1405" s="56"/>
      <c r="L1405" s="55"/>
      <c r="M1405" s="55"/>
      <c r="N1405" s="55"/>
      <c r="O1405" s="55"/>
      <c r="P1405" s="55"/>
      <c r="Q1405" s="55"/>
      <c r="R1405" s="55"/>
      <c r="S1405" s="55"/>
      <c r="T1405" s="55"/>
      <c r="U1405" s="55"/>
      <c r="V1405" s="55"/>
      <c r="W1405" s="55"/>
      <c r="X1405" s="55"/>
      <c r="Y1405" s="55"/>
      <c r="Z1405" s="55"/>
      <c r="AA1405" s="55"/>
      <c r="AB1405" s="55"/>
      <c r="AC1405" s="55"/>
      <c r="AD1405" s="55"/>
      <c r="AE1405" s="55"/>
      <c r="AF1405" s="55"/>
      <c r="AG1405" s="55"/>
      <c r="AH1405" s="56"/>
      <c r="AI1405" s="55"/>
      <c r="AJ1405" s="55"/>
      <c r="AK1405" s="56"/>
      <c r="AL1405" s="56"/>
    </row>
    <row r="1406" spans="1:38" ht="15.75" thickBot="1" x14ac:dyDescent="0.3">
      <c r="A1406" s="51"/>
      <c r="B1406" s="51"/>
      <c r="C1406" s="51"/>
      <c r="D1406" s="51"/>
      <c r="E1406" s="51"/>
      <c r="F1406" s="51"/>
      <c r="G1406" s="54"/>
      <c r="H1406" s="53"/>
      <c r="I1406" s="53"/>
      <c r="J1406" s="53"/>
      <c r="K1406" s="54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53"/>
      <c r="AD1406" s="53"/>
      <c r="AE1406" s="53"/>
      <c r="AF1406" s="53"/>
      <c r="AG1406" s="53"/>
      <c r="AH1406" s="54"/>
      <c r="AI1406" s="53"/>
      <c r="AJ1406" s="53"/>
      <c r="AK1406" s="54"/>
      <c r="AL1406" s="54"/>
    </row>
    <row r="1407" spans="1:38" ht="15.75" thickBot="1" x14ac:dyDescent="0.3">
      <c r="A1407" s="51"/>
      <c r="B1407" s="51"/>
      <c r="C1407" s="51"/>
      <c r="D1407" s="51"/>
      <c r="E1407" s="51"/>
      <c r="F1407" s="51"/>
      <c r="G1407" s="56"/>
      <c r="H1407" s="56"/>
      <c r="I1407" s="55"/>
      <c r="J1407" s="55"/>
      <c r="K1407" s="55"/>
      <c r="L1407" s="55"/>
      <c r="M1407" s="56"/>
      <c r="N1407" s="55"/>
      <c r="O1407" s="55"/>
      <c r="P1407" s="55"/>
      <c r="Q1407" s="55"/>
      <c r="R1407" s="55"/>
      <c r="S1407" s="55"/>
      <c r="T1407" s="55"/>
      <c r="U1407" s="55"/>
      <c r="V1407" s="55"/>
      <c r="W1407" s="55"/>
      <c r="X1407" s="55"/>
      <c r="Y1407" s="55"/>
      <c r="Z1407" s="55"/>
      <c r="AA1407" s="55"/>
      <c r="AB1407" s="55"/>
      <c r="AC1407" s="55"/>
      <c r="AD1407" s="55"/>
      <c r="AE1407" s="55"/>
      <c r="AF1407" s="55"/>
      <c r="AG1407" s="55"/>
      <c r="AH1407" s="56"/>
      <c r="AI1407" s="55"/>
      <c r="AJ1407" s="55"/>
      <c r="AK1407" s="56"/>
      <c r="AL1407" s="56"/>
    </row>
    <row r="1408" spans="1:38" ht="15.75" thickBot="1" x14ac:dyDescent="0.3">
      <c r="A1408" s="51"/>
      <c r="B1408" s="51"/>
      <c r="C1408" s="51"/>
      <c r="D1408" s="51"/>
      <c r="E1408" s="51"/>
      <c r="F1408" s="51"/>
      <c r="G1408" s="54"/>
      <c r="H1408" s="147"/>
      <c r="I1408" s="53"/>
      <c r="J1408" s="53"/>
      <c r="K1408" s="53"/>
      <c r="L1408" s="53"/>
      <c r="M1408" s="54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3"/>
      <c r="AD1408" s="53"/>
      <c r="AE1408" s="53"/>
      <c r="AF1408" s="53"/>
      <c r="AG1408" s="53"/>
      <c r="AH1408" s="54"/>
      <c r="AI1408" s="53"/>
      <c r="AJ1408" s="53"/>
      <c r="AK1408" s="54"/>
      <c r="AL1408" s="54"/>
    </row>
    <row r="1409" spans="1:38" ht="15.75" thickBot="1" x14ac:dyDescent="0.3">
      <c r="A1409" s="51"/>
      <c r="B1409" s="51"/>
      <c r="C1409" s="51"/>
      <c r="D1409" s="51"/>
      <c r="E1409" s="51"/>
      <c r="F1409" s="51"/>
      <c r="G1409" s="56"/>
      <c r="H1409" s="55"/>
      <c r="I1409" s="55"/>
      <c r="J1409" s="55"/>
      <c r="K1409" s="55"/>
      <c r="L1409" s="55"/>
      <c r="M1409" s="55"/>
      <c r="N1409" s="55"/>
      <c r="O1409" s="55"/>
      <c r="P1409" s="55"/>
      <c r="Q1409" s="55"/>
      <c r="R1409" s="55"/>
      <c r="S1409" s="55"/>
      <c r="T1409" s="55"/>
      <c r="U1409" s="55"/>
      <c r="V1409" s="55"/>
      <c r="W1409" s="55"/>
      <c r="X1409" s="55"/>
      <c r="Y1409" s="55"/>
      <c r="Z1409" s="56"/>
      <c r="AA1409" s="55"/>
      <c r="AB1409" s="55"/>
      <c r="AC1409" s="55"/>
      <c r="AD1409" s="55"/>
      <c r="AE1409" s="55"/>
      <c r="AF1409" s="55"/>
      <c r="AG1409" s="55"/>
      <c r="AH1409" s="56"/>
      <c r="AI1409" s="55"/>
      <c r="AJ1409" s="55"/>
      <c r="AK1409" s="56"/>
      <c r="AL1409" s="56"/>
    </row>
    <row r="1410" spans="1:38" ht="15.75" thickBot="1" x14ac:dyDescent="0.3">
      <c r="A1410" s="51"/>
      <c r="B1410" s="51"/>
      <c r="C1410" s="51"/>
      <c r="D1410" s="51"/>
      <c r="E1410" s="51"/>
      <c r="F1410" s="51"/>
      <c r="G1410" s="54"/>
      <c r="H1410" s="53"/>
      <c r="I1410" s="53"/>
      <c r="J1410" s="53"/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4"/>
      <c r="AA1410" s="53"/>
      <c r="AB1410" s="53"/>
      <c r="AC1410" s="53"/>
      <c r="AD1410" s="53"/>
      <c r="AE1410" s="53"/>
      <c r="AF1410" s="53"/>
      <c r="AG1410" s="53"/>
      <c r="AH1410" s="54"/>
      <c r="AI1410" s="53"/>
      <c r="AJ1410" s="53"/>
      <c r="AK1410" s="54"/>
      <c r="AL1410" s="54"/>
    </row>
    <row r="1411" spans="1:38" ht="15.75" thickBot="1" x14ac:dyDescent="0.3">
      <c r="A1411" s="51"/>
      <c r="B1411" s="51"/>
      <c r="C1411" s="51"/>
      <c r="D1411" s="51"/>
      <c r="E1411" s="51"/>
      <c r="F1411" s="51"/>
      <c r="G1411" s="56"/>
      <c r="H1411" s="55"/>
      <c r="I1411" s="55"/>
      <c r="J1411" s="55"/>
      <c r="K1411" s="55"/>
      <c r="L1411" s="55"/>
      <c r="M1411" s="55"/>
      <c r="N1411" s="55"/>
      <c r="O1411" s="55"/>
      <c r="P1411" s="55"/>
      <c r="Q1411" s="55"/>
      <c r="R1411" s="55"/>
      <c r="S1411" s="55"/>
      <c r="T1411" s="55"/>
      <c r="U1411" s="55"/>
      <c r="V1411" s="55"/>
      <c r="W1411" s="55"/>
      <c r="X1411" s="55"/>
      <c r="Y1411" s="55"/>
      <c r="Z1411" s="55"/>
      <c r="AA1411" s="56"/>
      <c r="AB1411" s="55"/>
      <c r="AC1411" s="55"/>
      <c r="AD1411" s="55"/>
      <c r="AE1411" s="55"/>
      <c r="AF1411" s="55"/>
      <c r="AG1411" s="55"/>
      <c r="AH1411" s="56"/>
      <c r="AI1411" s="55"/>
      <c r="AJ1411" s="55"/>
      <c r="AK1411" s="56"/>
      <c r="AL1411" s="56"/>
    </row>
    <row r="1412" spans="1:38" ht="15.75" thickBot="1" x14ac:dyDescent="0.3">
      <c r="A1412" s="51"/>
      <c r="B1412" s="51"/>
      <c r="C1412" s="51"/>
      <c r="D1412" s="51"/>
      <c r="E1412" s="51"/>
      <c r="F1412" s="51"/>
      <c r="G1412" s="54"/>
      <c r="H1412" s="53"/>
      <c r="I1412" s="53"/>
      <c r="J1412" s="53"/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4"/>
      <c r="AB1412" s="53"/>
      <c r="AC1412" s="53"/>
      <c r="AD1412" s="53"/>
      <c r="AE1412" s="53"/>
      <c r="AF1412" s="53"/>
      <c r="AG1412" s="53"/>
      <c r="AH1412" s="54"/>
      <c r="AI1412" s="53"/>
      <c r="AJ1412" s="53"/>
      <c r="AK1412" s="54"/>
      <c r="AL1412" s="54"/>
    </row>
    <row r="1413" spans="1:38" ht="15.75" thickBot="1" x14ac:dyDescent="0.3">
      <c r="A1413" s="51"/>
      <c r="B1413" s="51"/>
      <c r="C1413" s="51"/>
      <c r="D1413" s="51"/>
      <c r="E1413" s="51"/>
      <c r="F1413" s="51"/>
      <c r="G1413" s="56"/>
      <c r="H1413" s="55"/>
      <c r="I1413" s="55"/>
      <c r="J1413" s="55"/>
      <c r="K1413" s="55"/>
      <c r="L1413" s="55"/>
      <c r="M1413" s="55"/>
      <c r="N1413" s="55"/>
      <c r="O1413" s="55"/>
      <c r="P1413" s="55"/>
      <c r="Q1413" s="55"/>
      <c r="R1413" s="55"/>
      <c r="S1413" s="55"/>
      <c r="T1413" s="55"/>
      <c r="U1413" s="55"/>
      <c r="V1413" s="55"/>
      <c r="W1413" s="55"/>
      <c r="X1413" s="55"/>
      <c r="Y1413" s="56"/>
      <c r="Z1413" s="55"/>
      <c r="AA1413" s="55"/>
      <c r="AB1413" s="55"/>
      <c r="AC1413" s="55"/>
      <c r="AD1413" s="55"/>
      <c r="AE1413" s="55"/>
      <c r="AF1413" s="55"/>
      <c r="AG1413" s="55"/>
      <c r="AH1413" s="56"/>
      <c r="AI1413" s="55"/>
      <c r="AJ1413" s="55"/>
      <c r="AK1413" s="56"/>
      <c r="AL1413" s="56"/>
    </row>
    <row r="1414" spans="1:38" ht="15.75" thickBot="1" x14ac:dyDescent="0.3">
      <c r="A1414" s="51"/>
      <c r="B1414" s="51"/>
      <c r="C1414" s="51"/>
      <c r="D1414" s="51"/>
      <c r="E1414" s="51"/>
      <c r="F1414" s="51"/>
      <c r="G1414" s="54"/>
      <c r="H1414" s="53"/>
      <c r="I1414" s="53"/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4"/>
      <c r="Z1414" s="53"/>
      <c r="AA1414" s="53"/>
      <c r="AB1414" s="53"/>
      <c r="AC1414" s="53"/>
      <c r="AD1414" s="53"/>
      <c r="AE1414" s="53"/>
      <c r="AF1414" s="53"/>
      <c r="AG1414" s="53"/>
      <c r="AH1414" s="54"/>
      <c r="AI1414" s="53"/>
      <c r="AJ1414" s="53"/>
      <c r="AK1414" s="54"/>
      <c r="AL1414" s="54"/>
    </row>
    <row r="1415" spans="1:38" ht="15.75" thickBot="1" x14ac:dyDescent="0.3">
      <c r="A1415" s="51"/>
      <c r="B1415" s="51"/>
      <c r="C1415" s="51"/>
      <c r="D1415" s="51"/>
      <c r="E1415" s="51"/>
      <c r="F1415" s="51"/>
      <c r="G1415" s="56"/>
      <c r="H1415" s="55"/>
      <c r="I1415" s="55"/>
      <c r="J1415" s="55"/>
      <c r="K1415" s="56"/>
      <c r="L1415" s="55"/>
      <c r="M1415" s="55"/>
      <c r="N1415" s="55"/>
      <c r="O1415" s="55"/>
      <c r="P1415" s="55"/>
      <c r="Q1415" s="55"/>
      <c r="R1415" s="55"/>
      <c r="S1415" s="55"/>
      <c r="T1415" s="55"/>
      <c r="U1415" s="55"/>
      <c r="V1415" s="55"/>
      <c r="W1415" s="55"/>
      <c r="X1415" s="55"/>
      <c r="Y1415" s="55"/>
      <c r="Z1415" s="55"/>
      <c r="AA1415" s="55"/>
      <c r="AB1415" s="55"/>
      <c r="AC1415" s="55"/>
      <c r="AD1415" s="55"/>
      <c r="AE1415" s="55"/>
      <c r="AF1415" s="55"/>
      <c r="AG1415" s="55"/>
      <c r="AH1415" s="56"/>
      <c r="AI1415" s="55"/>
      <c r="AJ1415" s="55"/>
      <c r="AK1415" s="56"/>
      <c r="AL1415" s="56"/>
    </row>
    <row r="1416" spans="1:38" ht="15.75" thickBot="1" x14ac:dyDescent="0.3">
      <c r="A1416" s="51"/>
      <c r="B1416" s="51"/>
      <c r="C1416" s="51"/>
      <c r="D1416" s="51"/>
      <c r="E1416" s="51"/>
      <c r="F1416" s="51"/>
      <c r="G1416" s="54"/>
      <c r="H1416" s="53"/>
      <c r="I1416" s="53"/>
      <c r="J1416" s="53"/>
      <c r="K1416" s="54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3"/>
      <c r="AD1416" s="53"/>
      <c r="AE1416" s="53"/>
      <c r="AF1416" s="53"/>
      <c r="AG1416" s="53"/>
      <c r="AH1416" s="54"/>
      <c r="AI1416" s="53"/>
      <c r="AJ1416" s="53"/>
      <c r="AK1416" s="54"/>
      <c r="AL1416" s="54"/>
    </row>
    <row r="1417" spans="1:38" ht="15.75" thickBot="1" x14ac:dyDescent="0.3">
      <c r="A1417" s="51"/>
      <c r="B1417" s="51"/>
      <c r="C1417" s="51"/>
      <c r="D1417" s="51"/>
      <c r="E1417" s="51"/>
      <c r="F1417" s="51"/>
      <c r="G1417" s="54"/>
      <c r="H1417" s="53"/>
      <c r="I1417" s="53"/>
      <c r="J1417" s="53"/>
      <c r="K1417" s="54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/>
      <c r="AD1417" s="53"/>
      <c r="AE1417" s="53"/>
      <c r="AF1417" s="53"/>
      <c r="AG1417" s="53"/>
      <c r="AH1417" s="54"/>
      <c r="AI1417" s="53"/>
      <c r="AJ1417" s="53"/>
      <c r="AK1417" s="54"/>
      <c r="AL1417" s="54"/>
    </row>
    <row r="1418" spans="1:38" ht="15.75" thickBot="1" x14ac:dyDescent="0.3">
      <c r="A1418" s="51"/>
      <c r="B1418" s="51"/>
      <c r="C1418" s="51"/>
      <c r="D1418" s="51"/>
      <c r="E1418" s="51"/>
      <c r="F1418" s="51"/>
      <c r="G1418" s="56"/>
      <c r="H1418" s="55"/>
      <c r="I1418" s="55"/>
      <c r="J1418" s="55"/>
      <c r="K1418" s="56"/>
      <c r="L1418" s="55"/>
      <c r="M1418" s="55"/>
      <c r="N1418" s="55"/>
      <c r="O1418" s="55"/>
      <c r="P1418" s="55"/>
      <c r="Q1418" s="55"/>
      <c r="R1418" s="55"/>
      <c r="S1418" s="55"/>
      <c r="T1418" s="55"/>
      <c r="U1418" s="55"/>
      <c r="V1418" s="55"/>
      <c r="W1418" s="55"/>
      <c r="X1418" s="55"/>
      <c r="Y1418" s="55"/>
      <c r="Z1418" s="55"/>
      <c r="AA1418" s="55"/>
      <c r="AB1418" s="55"/>
      <c r="AC1418" s="55"/>
      <c r="AD1418" s="55"/>
      <c r="AE1418" s="55"/>
      <c r="AF1418" s="55"/>
      <c r="AG1418" s="55"/>
      <c r="AH1418" s="56"/>
      <c r="AI1418" s="55"/>
      <c r="AJ1418" s="55"/>
      <c r="AK1418" s="56"/>
      <c r="AL1418" s="56"/>
    </row>
    <row r="1419" spans="1:38" ht="15.75" thickBot="1" x14ac:dyDescent="0.3">
      <c r="A1419" s="51"/>
      <c r="B1419" s="51"/>
      <c r="C1419" s="51"/>
      <c r="D1419" s="51"/>
      <c r="E1419" s="51"/>
      <c r="F1419" s="51"/>
      <c r="G1419" s="54"/>
      <c r="H1419" s="54"/>
      <c r="I1419" s="53"/>
      <c r="J1419" s="53"/>
      <c r="K1419" s="53"/>
      <c r="L1419" s="53"/>
      <c r="M1419" s="54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/>
      <c r="AD1419" s="53"/>
      <c r="AE1419" s="53"/>
      <c r="AF1419" s="53"/>
      <c r="AG1419" s="53"/>
      <c r="AH1419" s="54"/>
      <c r="AI1419" s="53"/>
      <c r="AJ1419" s="53"/>
      <c r="AK1419" s="54"/>
      <c r="AL1419" s="54"/>
    </row>
    <row r="1420" spans="1:38" ht="15.75" thickBot="1" x14ac:dyDescent="0.3">
      <c r="A1420" s="51"/>
      <c r="B1420" s="51"/>
      <c r="C1420" s="51"/>
      <c r="D1420" s="51"/>
      <c r="E1420" s="51"/>
      <c r="F1420" s="51"/>
      <c r="G1420" s="56"/>
      <c r="H1420" s="148"/>
      <c r="I1420" s="55"/>
      <c r="J1420" s="55"/>
      <c r="K1420" s="55"/>
      <c r="L1420" s="55"/>
      <c r="M1420" s="56"/>
      <c r="N1420" s="55"/>
      <c r="O1420" s="55"/>
      <c r="P1420" s="55"/>
      <c r="Q1420" s="55"/>
      <c r="R1420" s="55"/>
      <c r="S1420" s="55"/>
      <c r="T1420" s="55"/>
      <c r="U1420" s="55"/>
      <c r="V1420" s="55"/>
      <c r="W1420" s="55"/>
      <c r="X1420" s="55"/>
      <c r="Y1420" s="55"/>
      <c r="Z1420" s="55"/>
      <c r="AA1420" s="55"/>
      <c r="AB1420" s="55"/>
      <c r="AC1420" s="55"/>
      <c r="AD1420" s="55"/>
      <c r="AE1420" s="55"/>
      <c r="AF1420" s="55"/>
      <c r="AG1420" s="55"/>
      <c r="AH1420" s="56"/>
      <c r="AI1420" s="55"/>
      <c r="AJ1420" s="55"/>
      <c r="AK1420" s="56"/>
      <c r="AL1420" s="56"/>
    </row>
    <row r="1421" spans="1:38" ht="15.75" thickBot="1" x14ac:dyDescent="0.3">
      <c r="A1421" s="51"/>
      <c r="B1421" s="51"/>
      <c r="C1421" s="51"/>
      <c r="D1421" s="51"/>
      <c r="E1421" s="51"/>
      <c r="F1421" s="51"/>
      <c r="G1421" s="54"/>
      <c r="H1421" s="53"/>
      <c r="I1421" s="53"/>
      <c r="J1421" s="53"/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4"/>
      <c r="AA1421" s="53"/>
      <c r="AB1421" s="53"/>
      <c r="AC1421" s="53"/>
      <c r="AD1421" s="53"/>
      <c r="AE1421" s="53"/>
      <c r="AF1421" s="53"/>
      <c r="AG1421" s="53"/>
      <c r="AH1421" s="54"/>
      <c r="AI1421" s="53"/>
      <c r="AJ1421" s="53"/>
      <c r="AK1421" s="54"/>
      <c r="AL1421" s="54"/>
    </row>
    <row r="1422" spans="1:38" ht="15.75" thickBot="1" x14ac:dyDescent="0.3">
      <c r="A1422" s="51"/>
      <c r="B1422" s="51"/>
      <c r="C1422" s="51"/>
      <c r="D1422" s="51"/>
      <c r="E1422" s="51"/>
      <c r="F1422" s="51"/>
      <c r="G1422" s="56"/>
      <c r="H1422" s="55"/>
      <c r="I1422" s="55"/>
      <c r="J1422" s="55"/>
      <c r="K1422" s="55"/>
      <c r="L1422" s="55"/>
      <c r="M1422" s="55"/>
      <c r="N1422" s="55"/>
      <c r="O1422" s="55"/>
      <c r="P1422" s="55"/>
      <c r="Q1422" s="55"/>
      <c r="R1422" s="55"/>
      <c r="S1422" s="55"/>
      <c r="T1422" s="55"/>
      <c r="U1422" s="55"/>
      <c r="V1422" s="55"/>
      <c r="W1422" s="55"/>
      <c r="X1422" s="55"/>
      <c r="Y1422" s="55"/>
      <c r="Z1422" s="56"/>
      <c r="AA1422" s="55"/>
      <c r="AB1422" s="55"/>
      <c r="AC1422" s="55"/>
      <c r="AD1422" s="55"/>
      <c r="AE1422" s="55"/>
      <c r="AF1422" s="55"/>
      <c r="AG1422" s="55"/>
      <c r="AH1422" s="56"/>
      <c r="AI1422" s="55"/>
      <c r="AJ1422" s="55"/>
      <c r="AK1422" s="56"/>
      <c r="AL1422" s="56"/>
    </row>
    <row r="1423" spans="1:38" ht="15.75" thickBot="1" x14ac:dyDescent="0.3">
      <c r="A1423" s="51"/>
      <c r="B1423" s="51"/>
      <c r="C1423" s="51"/>
      <c r="D1423" s="51"/>
      <c r="E1423" s="51"/>
      <c r="F1423" s="51"/>
      <c r="G1423" s="54"/>
      <c r="H1423" s="53"/>
      <c r="I1423" s="53"/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4"/>
      <c r="AB1423" s="53"/>
      <c r="AC1423" s="53"/>
      <c r="AD1423" s="53"/>
      <c r="AE1423" s="53"/>
      <c r="AF1423" s="53"/>
      <c r="AG1423" s="53"/>
      <c r="AH1423" s="54"/>
      <c r="AI1423" s="53"/>
      <c r="AJ1423" s="53"/>
      <c r="AK1423" s="54"/>
      <c r="AL1423" s="54"/>
    </row>
    <row r="1424" spans="1:38" ht="15.75" thickBot="1" x14ac:dyDescent="0.3">
      <c r="A1424" s="51"/>
      <c r="B1424" s="51"/>
      <c r="C1424" s="51"/>
      <c r="D1424" s="51"/>
      <c r="E1424" s="51"/>
      <c r="F1424" s="51"/>
      <c r="G1424" s="56"/>
      <c r="H1424" s="55"/>
      <c r="I1424" s="55"/>
      <c r="J1424" s="55"/>
      <c r="K1424" s="55"/>
      <c r="L1424" s="55"/>
      <c r="M1424" s="55"/>
      <c r="N1424" s="55"/>
      <c r="O1424" s="55"/>
      <c r="P1424" s="55"/>
      <c r="Q1424" s="55"/>
      <c r="R1424" s="55"/>
      <c r="S1424" s="55"/>
      <c r="T1424" s="55"/>
      <c r="U1424" s="55"/>
      <c r="V1424" s="55"/>
      <c r="W1424" s="55"/>
      <c r="X1424" s="55"/>
      <c r="Y1424" s="55"/>
      <c r="Z1424" s="55"/>
      <c r="AA1424" s="56"/>
      <c r="AB1424" s="55"/>
      <c r="AC1424" s="55"/>
      <c r="AD1424" s="55"/>
      <c r="AE1424" s="55"/>
      <c r="AF1424" s="55"/>
      <c r="AG1424" s="55"/>
      <c r="AH1424" s="56"/>
      <c r="AI1424" s="55"/>
      <c r="AJ1424" s="55"/>
      <c r="AK1424" s="56"/>
      <c r="AL1424" s="56"/>
    </row>
    <row r="1425" spans="1:38" ht="15.75" thickBot="1" x14ac:dyDescent="0.3">
      <c r="A1425" s="51"/>
      <c r="B1425" s="51"/>
      <c r="C1425" s="51"/>
      <c r="D1425" s="51"/>
      <c r="E1425" s="51"/>
      <c r="F1425" s="51"/>
      <c r="G1425" s="54"/>
      <c r="H1425" s="53"/>
      <c r="I1425" s="53"/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4"/>
      <c r="Z1425" s="53"/>
      <c r="AA1425" s="53"/>
      <c r="AB1425" s="53"/>
      <c r="AC1425" s="53"/>
      <c r="AD1425" s="53"/>
      <c r="AE1425" s="53"/>
      <c r="AF1425" s="53"/>
      <c r="AG1425" s="53"/>
      <c r="AH1425" s="54"/>
      <c r="AI1425" s="53"/>
      <c r="AJ1425" s="53"/>
      <c r="AK1425" s="54"/>
      <c r="AL1425" s="54"/>
    </row>
    <row r="1426" spans="1:38" ht="15.75" thickBot="1" x14ac:dyDescent="0.3">
      <c r="A1426" s="51"/>
      <c r="B1426" s="51"/>
      <c r="C1426" s="51"/>
      <c r="D1426" s="51"/>
      <c r="E1426" s="51"/>
      <c r="F1426" s="51"/>
      <c r="G1426" s="56"/>
      <c r="H1426" s="55"/>
      <c r="I1426" s="55"/>
      <c r="J1426" s="55"/>
      <c r="K1426" s="55"/>
      <c r="L1426" s="55"/>
      <c r="M1426" s="55"/>
      <c r="N1426" s="55"/>
      <c r="O1426" s="55"/>
      <c r="P1426" s="55"/>
      <c r="Q1426" s="55"/>
      <c r="R1426" s="55"/>
      <c r="S1426" s="55"/>
      <c r="T1426" s="55"/>
      <c r="U1426" s="55"/>
      <c r="V1426" s="55"/>
      <c r="W1426" s="55"/>
      <c r="X1426" s="55"/>
      <c r="Y1426" s="56"/>
      <c r="Z1426" s="55"/>
      <c r="AA1426" s="55"/>
      <c r="AB1426" s="55"/>
      <c r="AC1426" s="55"/>
      <c r="AD1426" s="55"/>
      <c r="AE1426" s="55"/>
      <c r="AF1426" s="55"/>
      <c r="AG1426" s="55"/>
      <c r="AH1426" s="56"/>
      <c r="AI1426" s="55"/>
      <c r="AJ1426" s="55"/>
      <c r="AK1426" s="56"/>
      <c r="AL1426" s="56"/>
    </row>
    <row r="1427" spans="1:38" ht="15.75" thickBot="1" x14ac:dyDescent="0.3">
      <c r="A1427" s="51"/>
      <c r="B1427" s="51"/>
      <c r="C1427" s="51"/>
      <c r="D1427" s="51"/>
      <c r="E1427" s="51"/>
      <c r="F1427" s="51"/>
      <c r="G1427" s="54"/>
      <c r="H1427" s="53"/>
      <c r="I1427" s="53"/>
      <c r="J1427" s="53"/>
      <c r="K1427" s="54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D1427" s="53"/>
      <c r="AE1427" s="53"/>
      <c r="AF1427" s="53"/>
      <c r="AG1427" s="53"/>
      <c r="AH1427" s="54"/>
      <c r="AI1427" s="53"/>
      <c r="AJ1427" s="53"/>
      <c r="AK1427" s="54"/>
      <c r="AL1427" s="54"/>
    </row>
    <row r="1428" spans="1:38" ht="15.75" thickBot="1" x14ac:dyDescent="0.3">
      <c r="A1428" s="51"/>
      <c r="B1428" s="51"/>
      <c r="C1428" s="51"/>
      <c r="D1428" s="51"/>
      <c r="E1428" s="51"/>
      <c r="F1428" s="51"/>
      <c r="G1428" s="56"/>
      <c r="H1428" s="55"/>
      <c r="I1428" s="55"/>
      <c r="J1428" s="55"/>
      <c r="K1428" s="56"/>
      <c r="L1428" s="55"/>
      <c r="M1428" s="55"/>
      <c r="N1428" s="55"/>
      <c r="O1428" s="55"/>
      <c r="P1428" s="55"/>
      <c r="Q1428" s="55"/>
      <c r="R1428" s="55"/>
      <c r="S1428" s="55"/>
      <c r="T1428" s="55"/>
      <c r="U1428" s="55"/>
      <c r="V1428" s="55"/>
      <c r="W1428" s="55"/>
      <c r="X1428" s="55"/>
      <c r="Y1428" s="55"/>
      <c r="Z1428" s="55"/>
      <c r="AA1428" s="55"/>
      <c r="AB1428" s="55"/>
      <c r="AC1428" s="55"/>
      <c r="AD1428" s="55"/>
      <c r="AE1428" s="55"/>
      <c r="AF1428" s="55"/>
      <c r="AG1428" s="55"/>
      <c r="AH1428" s="56"/>
      <c r="AI1428" s="55"/>
      <c r="AJ1428" s="55"/>
      <c r="AK1428" s="56"/>
      <c r="AL1428" s="56"/>
    </row>
    <row r="1429" spans="1:38" ht="15.75" thickBot="1" x14ac:dyDescent="0.3">
      <c r="A1429" s="51"/>
      <c r="B1429" s="51"/>
      <c r="C1429" s="51"/>
      <c r="D1429" s="51"/>
      <c r="E1429" s="51"/>
      <c r="F1429" s="51"/>
      <c r="G1429" s="54"/>
      <c r="H1429" s="53"/>
      <c r="I1429" s="53"/>
      <c r="J1429" s="53"/>
      <c r="K1429" s="53"/>
      <c r="L1429" s="53"/>
      <c r="M1429" s="53"/>
      <c r="N1429" s="53"/>
      <c r="O1429" s="53"/>
      <c r="P1429" s="53"/>
      <c r="Q1429" s="53"/>
      <c r="R1429" s="53"/>
      <c r="S1429" s="53"/>
      <c r="T1429" s="54"/>
      <c r="U1429" s="53"/>
      <c r="V1429" s="53"/>
      <c r="W1429" s="53"/>
      <c r="X1429" s="53"/>
      <c r="Y1429" s="53"/>
      <c r="Z1429" s="53"/>
      <c r="AA1429" s="53"/>
      <c r="AB1429" s="53"/>
      <c r="AC1429" s="53"/>
      <c r="AD1429" s="53"/>
      <c r="AE1429" s="53"/>
      <c r="AF1429" s="53"/>
      <c r="AG1429" s="53"/>
      <c r="AH1429" s="54"/>
      <c r="AI1429" s="53"/>
      <c r="AJ1429" s="53"/>
      <c r="AK1429" s="54"/>
      <c r="AL1429" s="54"/>
    </row>
    <row r="1430" spans="1:38" ht="15.75" thickBot="1" x14ac:dyDescent="0.3">
      <c r="A1430" s="51"/>
      <c r="B1430" s="51"/>
      <c r="C1430" s="51"/>
      <c r="D1430" s="51"/>
      <c r="E1430" s="51"/>
      <c r="F1430" s="51"/>
      <c r="G1430" s="56"/>
      <c r="H1430" s="55"/>
      <c r="I1430" s="55"/>
      <c r="J1430" s="55"/>
      <c r="K1430" s="55"/>
      <c r="L1430" s="55"/>
      <c r="M1430" s="55"/>
      <c r="N1430" s="55"/>
      <c r="O1430" s="55"/>
      <c r="P1430" s="55"/>
      <c r="Q1430" s="55"/>
      <c r="R1430" s="55"/>
      <c r="S1430" s="55"/>
      <c r="T1430" s="56"/>
      <c r="U1430" s="55"/>
      <c r="V1430" s="55"/>
      <c r="W1430" s="55"/>
      <c r="X1430" s="55"/>
      <c r="Y1430" s="55"/>
      <c r="Z1430" s="55"/>
      <c r="AA1430" s="55"/>
      <c r="AB1430" s="55"/>
      <c r="AC1430" s="55"/>
      <c r="AD1430" s="55"/>
      <c r="AE1430" s="55"/>
      <c r="AF1430" s="55"/>
      <c r="AG1430" s="55"/>
      <c r="AH1430" s="56"/>
      <c r="AI1430" s="55"/>
      <c r="AJ1430" s="55"/>
      <c r="AK1430" s="56"/>
      <c r="AL1430" s="56"/>
    </row>
    <row r="1431" spans="1:38" ht="15.75" thickBot="1" x14ac:dyDescent="0.3">
      <c r="A1431" s="51"/>
      <c r="B1431" s="51"/>
      <c r="C1431" s="51"/>
      <c r="D1431" s="51"/>
      <c r="E1431" s="51"/>
      <c r="F1431" s="51"/>
      <c r="G1431" s="54"/>
      <c r="H1431" s="53"/>
      <c r="I1431" s="53"/>
      <c r="J1431" s="53"/>
      <c r="K1431" s="54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/>
      <c r="AD1431" s="53"/>
      <c r="AE1431" s="53"/>
      <c r="AF1431" s="53"/>
      <c r="AG1431" s="53"/>
      <c r="AH1431" s="54"/>
      <c r="AI1431" s="53"/>
      <c r="AJ1431" s="53"/>
      <c r="AK1431" s="54"/>
      <c r="AL1431" s="54"/>
    </row>
    <row r="1432" spans="1:38" ht="15.75" thickBot="1" x14ac:dyDescent="0.3">
      <c r="A1432" s="51"/>
      <c r="B1432" s="51"/>
      <c r="C1432" s="51"/>
      <c r="D1432" s="51"/>
      <c r="E1432" s="51"/>
      <c r="F1432" s="51"/>
      <c r="G1432" s="56"/>
      <c r="H1432" s="55"/>
      <c r="I1432" s="55"/>
      <c r="J1432" s="55"/>
      <c r="K1432" s="56"/>
      <c r="L1432" s="55"/>
      <c r="M1432" s="55"/>
      <c r="N1432" s="55"/>
      <c r="O1432" s="55"/>
      <c r="P1432" s="55"/>
      <c r="Q1432" s="55"/>
      <c r="R1432" s="55"/>
      <c r="S1432" s="55"/>
      <c r="T1432" s="55"/>
      <c r="U1432" s="55"/>
      <c r="V1432" s="55"/>
      <c r="W1432" s="55"/>
      <c r="X1432" s="55"/>
      <c r="Y1432" s="55"/>
      <c r="Z1432" s="55"/>
      <c r="AA1432" s="55"/>
      <c r="AB1432" s="55"/>
      <c r="AC1432" s="55"/>
      <c r="AD1432" s="55"/>
      <c r="AE1432" s="55"/>
      <c r="AF1432" s="55"/>
      <c r="AG1432" s="55"/>
      <c r="AH1432" s="56"/>
      <c r="AI1432" s="55"/>
      <c r="AJ1432" s="55"/>
      <c r="AK1432" s="56"/>
      <c r="AL1432" s="56"/>
    </row>
    <row r="1433" spans="1:38" ht="15.75" thickBot="1" x14ac:dyDescent="0.3">
      <c r="A1433" s="51"/>
      <c r="B1433" s="51"/>
      <c r="C1433" s="51"/>
      <c r="D1433" s="51"/>
      <c r="E1433" s="51"/>
      <c r="F1433" s="51"/>
      <c r="G1433" s="56"/>
      <c r="H1433" s="55"/>
      <c r="I1433" s="55"/>
      <c r="J1433" s="55"/>
      <c r="K1433" s="56"/>
      <c r="L1433" s="55"/>
      <c r="M1433" s="55"/>
      <c r="N1433" s="55"/>
      <c r="O1433" s="55"/>
      <c r="P1433" s="55"/>
      <c r="Q1433" s="55"/>
      <c r="R1433" s="55"/>
      <c r="S1433" s="55"/>
      <c r="T1433" s="55"/>
      <c r="U1433" s="55"/>
      <c r="V1433" s="55"/>
      <c r="W1433" s="55"/>
      <c r="X1433" s="55"/>
      <c r="Y1433" s="55"/>
      <c r="Z1433" s="55"/>
      <c r="AA1433" s="55"/>
      <c r="AB1433" s="55"/>
      <c r="AC1433" s="55"/>
      <c r="AD1433" s="55"/>
      <c r="AE1433" s="55"/>
      <c r="AF1433" s="55"/>
      <c r="AG1433" s="55"/>
      <c r="AH1433" s="56"/>
      <c r="AI1433" s="55"/>
      <c r="AJ1433" s="55"/>
      <c r="AK1433" s="56"/>
      <c r="AL1433" s="56"/>
    </row>
    <row r="1434" spans="1:38" ht="15.75" thickBot="1" x14ac:dyDescent="0.3">
      <c r="A1434" s="51"/>
      <c r="B1434" s="51"/>
      <c r="C1434" s="51"/>
      <c r="D1434" s="51"/>
      <c r="E1434" s="51"/>
      <c r="F1434" s="51"/>
      <c r="G1434" s="54"/>
      <c r="H1434" s="53"/>
      <c r="I1434" s="53"/>
      <c r="J1434" s="53"/>
      <c r="K1434" s="54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3"/>
      <c r="AD1434" s="53"/>
      <c r="AE1434" s="53"/>
      <c r="AF1434" s="53"/>
      <c r="AG1434" s="53"/>
      <c r="AH1434" s="54"/>
      <c r="AI1434" s="53"/>
      <c r="AJ1434" s="53"/>
      <c r="AK1434" s="54"/>
      <c r="AL1434" s="54"/>
    </row>
    <row r="1435" spans="1:38" ht="15.75" thickBot="1" x14ac:dyDescent="0.3">
      <c r="A1435" s="51"/>
      <c r="B1435" s="51"/>
      <c r="C1435" s="51"/>
      <c r="D1435" s="51"/>
      <c r="E1435" s="51"/>
      <c r="F1435" s="51"/>
      <c r="G1435" s="56"/>
      <c r="H1435" s="56"/>
      <c r="I1435" s="55"/>
      <c r="J1435" s="55"/>
      <c r="K1435" s="55"/>
      <c r="L1435" s="55"/>
      <c r="M1435" s="56"/>
      <c r="N1435" s="55"/>
      <c r="O1435" s="55"/>
      <c r="P1435" s="55"/>
      <c r="Q1435" s="55"/>
      <c r="R1435" s="55"/>
      <c r="S1435" s="55"/>
      <c r="T1435" s="55"/>
      <c r="U1435" s="55"/>
      <c r="V1435" s="55"/>
      <c r="W1435" s="55"/>
      <c r="X1435" s="55"/>
      <c r="Y1435" s="55"/>
      <c r="Z1435" s="55"/>
      <c r="AA1435" s="55"/>
      <c r="AB1435" s="55"/>
      <c r="AC1435" s="55"/>
      <c r="AD1435" s="55"/>
      <c r="AE1435" s="55"/>
      <c r="AF1435" s="55"/>
      <c r="AG1435" s="55"/>
      <c r="AH1435" s="56"/>
      <c r="AI1435" s="55"/>
      <c r="AJ1435" s="55"/>
      <c r="AK1435" s="56"/>
      <c r="AL1435" s="56"/>
    </row>
    <row r="1436" spans="1:38" ht="15.75" thickBot="1" x14ac:dyDescent="0.3">
      <c r="A1436" s="51"/>
      <c r="B1436" s="51"/>
      <c r="C1436" s="51"/>
      <c r="D1436" s="51"/>
      <c r="E1436" s="51"/>
      <c r="F1436" s="51"/>
      <c r="G1436" s="54"/>
      <c r="H1436" s="147"/>
      <c r="I1436" s="53"/>
      <c r="J1436" s="53"/>
      <c r="K1436" s="53"/>
      <c r="L1436" s="53"/>
      <c r="M1436" s="54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3"/>
      <c r="AD1436" s="53"/>
      <c r="AE1436" s="53"/>
      <c r="AF1436" s="53"/>
      <c r="AG1436" s="53"/>
      <c r="AH1436" s="54"/>
      <c r="AI1436" s="53"/>
      <c r="AJ1436" s="53"/>
      <c r="AK1436" s="54"/>
      <c r="AL1436" s="54"/>
    </row>
    <row r="1437" spans="1:38" ht="15.75" thickBot="1" x14ac:dyDescent="0.3">
      <c r="A1437" s="51"/>
      <c r="B1437" s="51"/>
      <c r="C1437" s="51"/>
      <c r="D1437" s="51"/>
      <c r="E1437" s="51"/>
      <c r="F1437" s="51"/>
      <c r="G1437" s="56"/>
      <c r="H1437" s="55"/>
      <c r="I1437" s="55"/>
      <c r="J1437" s="55"/>
      <c r="K1437" s="55"/>
      <c r="L1437" s="55"/>
      <c r="M1437" s="55"/>
      <c r="N1437" s="55"/>
      <c r="O1437" s="55"/>
      <c r="P1437" s="55"/>
      <c r="Q1437" s="55"/>
      <c r="R1437" s="55"/>
      <c r="S1437" s="55"/>
      <c r="T1437" s="55"/>
      <c r="U1437" s="55"/>
      <c r="V1437" s="55"/>
      <c r="W1437" s="55"/>
      <c r="X1437" s="55"/>
      <c r="Y1437" s="55"/>
      <c r="Z1437" s="56"/>
      <c r="AA1437" s="55"/>
      <c r="AB1437" s="55"/>
      <c r="AC1437" s="55"/>
      <c r="AD1437" s="55"/>
      <c r="AE1437" s="55"/>
      <c r="AF1437" s="55"/>
      <c r="AG1437" s="55"/>
      <c r="AH1437" s="56"/>
      <c r="AI1437" s="55"/>
      <c r="AJ1437" s="55"/>
      <c r="AK1437" s="56"/>
      <c r="AL1437" s="56"/>
    </row>
    <row r="1438" spans="1:38" ht="15.75" thickBot="1" x14ac:dyDescent="0.3">
      <c r="A1438" s="51"/>
      <c r="B1438" s="51"/>
      <c r="C1438" s="51"/>
      <c r="D1438" s="51"/>
      <c r="E1438" s="51"/>
      <c r="F1438" s="51"/>
      <c r="G1438" s="54"/>
      <c r="H1438" s="53"/>
      <c r="I1438" s="53"/>
      <c r="J1438" s="53"/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4"/>
      <c r="AA1438" s="53"/>
      <c r="AB1438" s="53"/>
      <c r="AC1438" s="53"/>
      <c r="AD1438" s="53"/>
      <c r="AE1438" s="53"/>
      <c r="AF1438" s="53"/>
      <c r="AG1438" s="53"/>
      <c r="AH1438" s="54"/>
      <c r="AI1438" s="53"/>
      <c r="AJ1438" s="53"/>
      <c r="AK1438" s="54"/>
      <c r="AL1438" s="54"/>
    </row>
    <row r="1439" spans="1:38" ht="15.75" thickBot="1" x14ac:dyDescent="0.3">
      <c r="A1439" s="51"/>
      <c r="B1439" s="51"/>
      <c r="C1439" s="51"/>
      <c r="D1439" s="51"/>
      <c r="E1439" s="51"/>
      <c r="F1439" s="51"/>
      <c r="G1439" s="56"/>
      <c r="H1439" s="55"/>
      <c r="I1439" s="55"/>
      <c r="J1439" s="55"/>
      <c r="K1439" s="55"/>
      <c r="L1439" s="55"/>
      <c r="M1439" s="55"/>
      <c r="N1439" s="55"/>
      <c r="O1439" s="55"/>
      <c r="P1439" s="55"/>
      <c r="Q1439" s="55"/>
      <c r="R1439" s="55"/>
      <c r="S1439" s="55"/>
      <c r="T1439" s="55"/>
      <c r="U1439" s="55"/>
      <c r="V1439" s="55"/>
      <c r="W1439" s="55"/>
      <c r="X1439" s="55"/>
      <c r="Y1439" s="55"/>
      <c r="Z1439" s="55"/>
      <c r="AA1439" s="56"/>
      <c r="AB1439" s="55"/>
      <c r="AC1439" s="55"/>
      <c r="AD1439" s="55"/>
      <c r="AE1439" s="55"/>
      <c r="AF1439" s="55"/>
      <c r="AG1439" s="55"/>
      <c r="AH1439" s="56"/>
      <c r="AI1439" s="55"/>
      <c r="AJ1439" s="55"/>
      <c r="AK1439" s="56"/>
      <c r="AL1439" s="56"/>
    </row>
    <row r="1440" spans="1:38" ht="15.75" thickBot="1" x14ac:dyDescent="0.3">
      <c r="A1440" s="51"/>
      <c r="B1440" s="51"/>
      <c r="C1440" s="51"/>
      <c r="D1440" s="51"/>
      <c r="E1440" s="51"/>
      <c r="F1440" s="51"/>
      <c r="G1440" s="54"/>
      <c r="H1440" s="53"/>
      <c r="I1440" s="53"/>
      <c r="J1440" s="53"/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4"/>
      <c r="AB1440" s="53"/>
      <c r="AC1440" s="53"/>
      <c r="AD1440" s="53"/>
      <c r="AE1440" s="53"/>
      <c r="AF1440" s="53"/>
      <c r="AG1440" s="53"/>
      <c r="AH1440" s="54"/>
      <c r="AI1440" s="53"/>
      <c r="AJ1440" s="53"/>
      <c r="AK1440" s="54"/>
      <c r="AL1440" s="54"/>
    </row>
    <row r="1441" spans="1:38" ht="15.75" thickBot="1" x14ac:dyDescent="0.3">
      <c r="A1441" s="51"/>
      <c r="B1441" s="51"/>
      <c r="C1441" s="51"/>
      <c r="D1441" s="51"/>
      <c r="E1441" s="51"/>
      <c r="F1441" s="51"/>
      <c r="G1441" s="56"/>
      <c r="H1441" s="55"/>
      <c r="I1441" s="55"/>
      <c r="J1441" s="55"/>
      <c r="K1441" s="55"/>
      <c r="L1441" s="55"/>
      <c r="M1441" s="55"/>
      <c r="N1441" s="55"/>
      <c r="O1441" s="55"/>
      <c r="P1441" s="55"/>
      <c r="Q1441" s="55"/>
      <c r="R1441" s="55"/>
      <c r="S1441" s="55"/>
      <c r="T1441" s="55"/>
      <c r="U1441" s="55"/>
      <c r="V1441" s="55"/>
      <c r="W1441" s="55"/>
      <c r="X1441" s="55"/>
      <c r="Y1441" s="56"/>
      <c r="Z1441" s="55"/>
      <c r="AA1441" s="55"/>
      <c r="AB1441" s="55"/>
      <c r="AC1441" s="55"/>
      <c r="AD1441" s="55"/>
      <c r="AE1441" s="55"/>
      <c r="AF1441" s="55"/>
      <c r="AG1441" s="55"/>
      <c r="AH1441" s="56"/>
      <c r="AI1441" s="55"/>
      <c r="AJ1441" s="55"/>
      <c r="AK1441" s="56"/>
      <c r="AL1441" s="56"/>
    </row>
    <row r="1442" spans="1:38" ht="15.75" thickBot="1" x14ac:dyDescent="0.3">
      <c r="A1442" s="51"/>
      <c r="B1442" s="51"/>
      <c r="C1442" s="51"/>
      <c r="D1442" s="51"/>
      <c r="E1442" s="51"/>
      <c r="F1442" s="51"/>
      <c r="G1442" s="54"/>
      <c r="H1442" s="53"/>
      <c r="I1442" s="53"/>
      <c r="J1442" s="53"/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4"/>
      <c r="Z1442" s="53"/>
      <c r="AA1442" s="53"/>
      <c r="AB1442" s="53"/>
      <c r="AC1442" s="53"/>
      <c r="AD1442" s="53"/>
      <c r="AE1442" s="53"/>
      <c r="AF1442" s="53"/>
      <c r="AG1442" s="53"/>
      <c r="AH1442" s="54"/>
      <c r="AI1442" s="53"/>
      <c r="AJ1442" s="53"/>
      <c r="AK1442" s="54"/>
      <c r="AL1442" s="54"/>
    </row>
    <row r="1443" spans="1:38" ht="15.75" thickBot="1" x14ac:dyDescent="0.3">
      <c r="A1443" s="51"/>
      <c r="B1443" s="51"/>
      <c r="C1443" s="51"/>
      <c r="D1443" s="51"/>
      <c r="E1443" s="51"/>
      <c r="F1443" s="51"/>
      <c r="G1443" s="56"/>
      <c r="H1443" s="55"/>
      <c r="I1443" s="55"/>
      <c r="J1443" s="55"/>
      <c r="K1443" s="56"/>
      <c r="L1443" s="55"/>
      <c r="M1443" s="55"/>
      <c r="N1443" s="55"/>
      <c r="O1443" s="55"/>
      <c r="P1443" s="55"/>
      <c r="Q1443" s="55"/>
      <c r="R1443" s="55"/>
      <c r="S1443" s="55"/>
      <c r="T1443" s="55"/>
      <c r="U1443" s="55"/>
      <c r="V1443" s="55"/>
      <c r="W1443" s="55"/>
      <c r="X1443" s="55"/>
      <c r="Y1443" s="55"/>
      <c r="Z1443" s="55"/>
      <c r="AA1443" s="55"/>
      <c r="AB1443" s="55"/>
      <c r="AC1443" s="55"/>
      <c r="AD1443" s="55"/>
      <c r="AE1443" s="55"/>
      <c r="AF1443" s="55"/>
      <c r="AG1443" s="55"/>
      <c r="AH1443" s="56"/>
      <c r="AI1443" s="55"/>
      <c r="AJ1443" s="55"/>
      <c r="AK1443" s="56"/>
      <c r="AL1443" s="56"/>
    </row>
    <row r="1444" spans="1:38" ht="15.75" thickBot="1" x14ac:dyDescent="0.3">
      <c r="A1444" s="51"/>
      <c r="B1444" s="51"/>
      <c r="C1444" s="51"/>
      <c r="D1444" s="51"/>
      <c r="E1444" s="51"/>
      <c r="F1444" s="51"/>
      <c r="G1444" s="54"/>
      <c r="H1444" s="53"/>
      <c r="I1444" s="53"/>
      <c r="J1444" s="53"/>
      <c r="K1444" s="54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3"/>
      <c r="AD1444" s="53"/>
      <c r="AE1444" s="53"/>
      <c r="AF1444" s="53"/>
      <c r="AG1444" s="53"/>
      <c r="AH1444" s="54"/>
      <c r="AI1444" s="53"/>
      <c r="AJ1444" s="53"/>
      <c r="AK1444" s="54"/>
      <c r="AL1444" s="54"/>
    </row>
    <row r="1445" spans="1:38" ht="15.75" thickBot="1" x14ac:dyDescent="0.3">
      <c r="A1445" s="51"/>
      <c r="B1445" s="51"/>
      <c r="C1445" s="51"/>
      <c r="D1445" s="51"/>
      <c r="E1445" s="51"/>
      <c r="F1445" s="51"/>
      <c r="G1445" s="54"/>
      <c r="H1445" s="53"/>
      <c r="I1445" s="53"/>
      <c r="J1445" s="53"/>
      <c r="K1445" s="54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/>
      <c r="AD1445" s="53"/>
      <c r="AE1445" s="53"/>
      <c r="AF1445" s="53"/>
      <c r="AG1445" s="53"/>
      <c r="AH1445" s="54"/>
      <c r="AI1445" s="53"/>
      <c r="AJ1445" s="53"/>
      <c r="AK1445" s="54"/>
      <c r="AL1445" s="54"/>
    </row>
    <row r="1446" spans="1:38" ht="15.75" thickBot="1" x14ac:dyDescent="0.3">
      <c r="A1446" s="51"/>
      <c r="B1446" s="51"/>
      <c r="C1446" s="51"/>
      <c r="D1446" s="51"/>
      <c r="E1446" s="51"/>
      <c r="F1446" s="51"/>
      <c r="G1446" s="56"/>
      <c r="H1446" s="55"/>
      <c r="I1446" s="55"/>
      <c r="J1446" s="55"/>
      <c r="K1446" s="56"/>
      <c r="L1446" s="55"/>
      <c r="M1446" s="55"/>
      <c r="N1446" s="55"/>
      <c r="O1446" s="55"/>
      <c r="P1446" s="55"/>
      <c r="Q1446" s="55"/>
      <c r="R1446" s="55"/>
      <c r="S1446" s="55"/>
      <c r="T1446" s="55"/>
      <c r="U1446" s="55"/>
      <c r="V1446" s="55"/>
      <c r="W1446" s="55"/>
      <c r="X1446" s="55"/>
      <c r="Y1446" s="55"/>
      <c r="Z1446" s="55"/>
      <c r="AA1446" s="55"/>
      <c r="AB1446" s="55"/>
      <c r="AC1446" s="55"/>
      <c r="AD1446" s="55"/>
      <c r="AE1446" s="55"/>
      <c r="AF1446" s="55"/>
      <c r="AG1446" s="55"/>
      <c r="AH1446" s="56"/>
      <c r="AI1446" s="55"/>
      <c r="AJ1446" s="55"/>
      <c r="AK1446" s="56"/>
      <c r="AL1446" s="56"/>
    </row>
    <row r="1447" spans="1:38" ht="15.75" thickBot="1" x14ac:dyDescent="0.3">
      <c r="A1447" s="51"/>
      <c r="B1447" s="51"/>
      <c r="C1447" s="51"/>
      <c r="D1447" s="51"/>
      <c r="E1447" s="51"/>
      <c r="F1447" s="51"/>
      <c r="G1447" s="54"/>
      <c r="H1447" s="54"/>
      <c r="I1447" s="53"/>
      <c r="J1447" s="53"/>
      <c r="K1447" s="53"/>
      <c r="L1447" s="53"/>
      <c r="M1447" s="54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/>
      <c r="AD1447" s="53"/>
      <c r="AE1447" s="53"/>
      <c r="AF1447" s="53"/>
      <c r="AG1447" s="53"/>
      <c r="AH1447" s="54"/>
      <c r="AI1447" s="53"/>
      <c r="AJ1447" s="53"/>
      <c r="AK1447" s="54"/>
      <c r="AL1447" s="54"/>
    </row>
    <row r="1448" spans="1:38" ht="15.75" thickBot="1" x14ac:dyDescent="0.3">
      <c r="A1448" s="51"/>
      <c r="B1448" s="51"/>
      <c r="C1448" s="51"/>
      <c r="D1448" s="51"/>
      <c r="E1448" s="51"/>
      <c r="F1448" s="51"/>
      <c r="G1448" s="56"/>
      <c r="H1448" s="148"/>
      <c r="I1448" s="55"/>
      <c r="J1448" s="55"/>
      <c r="K1448" s="55"/>
      <c r="L1448" s="55"/>
      <c r="M1448" s="56"/>
      <c r="N1448" s="55"/>
      <c r="O1448" s="55"/>
      <c r="P1448" s="55"/>
      <c r="Q1448" s="55"/>
      <c r="R1448" s="55"/>
      <c r="S1448" s="55"/>
      <c r="T1448" s="55"/>
      <c r="U1448" s="55"/>
      <c r="V1448" s="55"/>
      <c r="W1448" s="55"/>
      <c r="X1448" s="55"/>
      <c r="Y1448" s="55"/>
      <c r="Z1448" s="55"/>
      <c r="AA1448" s="55"/>
      <c r="AB1448" s="55"/>
      <c r="AC1448" s="55"/>
      <c r="AD1448" s="55"/>
      <c r="AE1448" s="55"/>
      <c r="AF1448" s="55"/>
      <c r="AG1448" s="55"/>
      <c r="AH1448" s="56"/>
      <c r="AI1448" s="55"/>
      <c r="AJ1448" s="55"/>
      <c r="AK1448" s="56"/>
      <c r="AL1448" s="56"/>
    </row>
    <row r="1449" spans="1:38" ht="15.75" thickBot="1" x14ac:dyDescent="0.3">
      <c r="A1449" s="51"/>
      <c r="B1449" s="51"/>
      <c r="C1449" s="51"/>
      <c r="D1449" s="51"/>
      <c r="E1449" s="51"/>
      <c r="F1449" s="51"/>
      <c r="G1449" s="54"/>
      <c r="H1449" s="53"/>
      <c r="I1449" s="53"/>
      <c r="J1449" s="53"/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4"/>
      <c r="AA1449" s="53"/>
      <c r="AB1449" s="53"/>
      <c r="AC1449" s="53"/>
      <c r="AD1449" s="53"/>
      <c r="AE1449" s="53"/>
      <c r="AF1449" s="53"/>
      <c r="AG1449" s="53"/>
      <c r="AH1449" s="54"/>
      <c r="AI1449" s="53"/>
      <c r="AJ1449" s="53"/>
      <c r="AK1449" s="54"/>
      <c r="AL1449" s="54"/>
    </row>
    <row r="1450" spans="1:38" ht="15.75" thickBot="1" x14ac:dyDescent="0.3">
      <c r="A1450" s="51"/>
      <c r="B1450" s="51"/>
      <c r="C1450" s="51"/>
      <c r="D1450" s="51"/>
      <c r="E1450" s="51"/>
      <c r="F1450" s="51"/>
      <c r="G1450" s="56"/>
      <c r="H1450" s="55"/>
      <c r="I1450" s="55"/>
      <c r="J1450" s="55"/>
      <c r="K1450" s="55"/>
      <c r="L1450" s="55"/>
      <c r="M1450" s="55"/>
      <c r="N1450" s="55"/>
      <c r="O1450" s="55"/>
      <c r="P1450" s="55"/>
      <c r="Q1450" s="55"/>
      <c r="R1450" s="55"/>
      <c r="S1450" s="55"/>
      <c r="T1450" s="55"/>
      <c r="U1450" s="55"/>
      <c r="V1450" s="55"/>
      <c r="W1450" s="55"/>
      <c r="X1450" s="55"/>
      <c r="Y1450" s="55"/>
      <c r="Z1450" s="56"/>
      <c r="AA1450" s="55"/>
      <c r="AB1450" s="55"/>
      <c r="AC1450" s="55"/>
      <c r="AD1450" s="55"/>
      <c r="AE1450" s="55"/>
      <c r="AF1450" s="55"/>
      <c r="AG1450" s="55"/>
      <c r="AH1450" s="56"/>
      <c r="AI1450" s="55"/>
      <c r="AJ1450" s="55"/>
      <c r="AK1450" s="56"/>
      <c r="AL1450" s="56"/>
    </row>
    <row r="1451" spans="1:38" ht="15.75" thickBot="1" x14ac:dyDescent="0.3">
      <c r="A1451" s="51"/>
      <c r="B1451" s="51"/>
      <c r="C1451" s="51"/>
      <c r="D1451" s="51"/>
      <c r="E1451" s="51"/>
      <c r="F1451" s="51"/>
      <c r="G1451" s="54"/>
      <c r="H1451" s="53"/>
      <c r="I1451" s="53"/>
      <c r="J1451" s="53"/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4"/>
      <c r="AB1451" s="53"/>
      <c r="AC1451" s="53"/>
      <c r="AD1451" s="53"/>
      <c r="AE1451" s="53"/>
      <c r="AF1451" s="53"/>
      <c r="AG1451" s="53"/>
      <c r="AH1451" s="54"/>
      <c r="AI1451" s="53"/>
      <c r="AJ1451" s="53"/>
      <c r="AK1451" s="54"/>
      <c r="AL1451" s="54"/>
    </row>
    <row r="1452" spans="1:38" ht="15.75" thickBot="1" x14ac:dyDescent="0.3">
      <c r="A1452" s="51"/>
      <c r="B1452" s="51"/>
      <c r="C1452" s="51"/>
      <c r="D1452" s="51"/>
      <c r="E1452" s="51"/>
      <c r="F1452" s="51"/>
      <c r="G1452" s="56"/>
      <c r="H1452" s="55"/>
      <c r="I1452" s="55"/>
      <c r="J1452" s="55"/>
      <c r="K1452" s="55"/>
      <c r="L1452" s="55"/>
      <c r="M1452" s="55"/>
      <c r="N1452" s="55"/>
      <c r="O1452" s="55"/>
      <c r="P1452" s="55"/>
      <c r="Q1452" s="55"/>
      <c r="R1452" s="55"/>
      <c r="S1452" s="55"/>
      <c r="T1452" s="55"/>
      <c r="U1452" s="55"/>
      <c r="V1452" s="55"/>
      <c r="W1452" s="55"/>
      <c r="X1452" s="55"/>
      <c r="Y1452" s="55"/>
      <c r="Z1452" s="55"/>
      <c r="AA1452" s="56"/>
      <c r="AB1452" s="55"/>
      <c r="AC1452" s="55"/>
      <c r="AD1452" s="55"/>
      <c r="AE1452" s="55"/>
      <c r="AF1452" s="55"/>
      <c r="AG1452" s="55"/>
      <c r="AH1452" s="56"/>
      <c r="AI1452" s="55"/>
      <c r="AJ1452" s="55"/>
      <c r="AK1452" s="56"/>
      <c r="AL1452" s="56"/>
    </row>
    <row r="1453" spans="1:38" ht="15.75" thickBot="1" x14ac:dyDescent="0.3">
      <c r="A1453" s="51"/>
      <c r="B1453" s="51"/>
      <c r="C1453" s="51"/>
      <c r="D1453" s="51"/>
      <c r="E1453" s="51"/>
      <c r="F1453" s="51"/>
      <c r="G1453" s="54"/>
      <c r="H1453" s="53"/>
      <c r="I1453" s="53"/>
      <c r="J1453" s="53"/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4"/>
      <c r="Z1453" s="53"/>
      <c r="AA1453" s="53"/>
      <c r="AB1453" s="53"/>
      <c r="AC1453" s="53"/>
      <c r="AD1453" s="53"/>
      <c r="AE1453" s="53"/>
      <c r="AF1453" s="53"/>
      <c r="AG1453" s="53"/>
      <c r="AH1453" s="54"/>
      <c r="AI1453" s="53"/>
      <c r="AJ1453" s="53"/>
      <c r="AK1453" s="54"/>
      <c r="AL1453" s="54"/>
    </row>
    <row r="1454" spans="1:38" ht="15.75" thickBot="1" x14ac:dyDescent="0.3">
      <c r="A1454" s="51"/>
      <c r="B1454" s="51"/>
      <c r="C1454" s="51"/>
      <c r="D1454" s="51"/>
      <c r="E1454" s="51"/>
      <c r="F1454" s="51"/>
      <c r="G1454" s="56"/>
      <c r="H1454" s="55"/>
      <c r="I1454" s="55"/>
      <c r="J1454" s="55"/>
      <c r="K1454" s="55"/>
      <c r="L1454" s="55"/>
      <c r="M1454" s="55"/>
      <c r="N1454" s="55"/>
      <c r="O1454" s="55"/>
      <c r="P1454" s="55"/>
      <c r="Q1454" s="55"/>
      <c r="R1454" s="55"/>
      <c r="S1454" s="55"/>
      <c r="T1454" s="55"/>
      <c r="U1454" s="55"/>
      <c r="V1454" s="55"/>
      <c r="W1454" s="55"/>
      <c r="X1454" s="55"/>
      <c r="Y1454" s="56"/>
      <c r="Z1454" s="55"/>
      <c r="AA1454" s="55"/>
      <c r="AB1454" s="55"/>
      <c r="AC1454" s="55"/>
      <c r="AD1454" s="55"/>
      <c r="AE1454" s="55"/>
      <c r="AF1454" s="55"/>
      <c r="AG1454" s="55"/>
      <c r="AH1454" s="56"/>
      <c r="AI1454" s="55"/>
      <c r="AJ1454" s="55"/>
      <c r="AK1454" s="56"/>
      <c r="AL1454" s="56"/>
    </row>
    <row r="1455" spans="1:38" ht="15.75" thickBot="1" x14ac:dyDescent="0.3">
      <c r="A1455" s="51"/>
      <c r="B1455" s="51"/>
      <c r="C1455" s="51"/>
      <c r="D1455" s="51"/>
      <c r="E1455" s="51"/>
      <c r="F1455" s="51"/>
      <c r="G1455" s="54"/>
      <c r="H1455" s="53"/>
      <c r="I1455" s="53"/>
      <c r="J1455" s="53"/>
      <c r="K1455" s="54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D1455" s="53"/>
      <c r="AE1455" s="53"/>
      <c r="AF1455" s="53"/>
      <c r="AG1455" s="53"/>
      <c r="AH1455" s="54"/>
      <c r="AI1455" s="53"/>
      <c r="AJ1455" s="53"/>
      <c r="AK1455" s="54"/>
      <c r="AL1455" s="54"/>
    </row>
    <row r="1456" spans="1:38" ht="15.75" thickBot="1" x14ac:dyDescent="0.3">
      <c r="A1456" s="51"/>
      <c r="B1456" s="51"/>
      <c r="C1456" s="51"/>
      <c r="D1456" s="51"/>
      <c r="E1456" s="51"/>
      <c r="F1456" s="51"/>
      <c r="G1456" s="56"/>
      <c r="H1456" s="55"/>
      <c r="I1456" s="55"/>
      <c r="J1456" s="55"/>
      <c r="K1456" s="56"/>
      <c r="L1456" s="55"/>
      <c r="M1456" s="55"/>
      <c r="N1456" s="55"/>
      <c r="O1456" s="55"/>
      <c r="P1456" s="55"/>
      <c r="Q1456" s="55"/>
      <c r="R1456" s="55"/>
      <c r="S1456" s="55"/>
      <c r="T1456" s="55"/>
      <c r="U1456" s="55"/>
      <c r="V1456" s="55"/>
      <c r="W1456" s="55"/>
      <c r="X1456" s="55"/>
      <c r="Y1456" s="55"/>
      <c r="Z1456" s="55"/>
      <c r="AA1456" s="55"/>
      <c r="AB1456" s="55"/>
      <c r="AC1456" s="55"/>
      <c r="AD1456" s="55"/>
      <c r="AE1456" s="55"/>
      <c r="AF1456" s="55"/>
      <c r="AG1456" s="55"/>
      <c r="AH1456" s="56"/>
      <c r="AI1456" s="55"/>
      <c r="AJ1456" s="55"/>
      <c r="AK1456" s="56"/>
      <c r="AL1456" s="56"/>
    </row>
    <row r="1457" spans="1:38" ht="15.75" thickBot="1" x14ac:dyDescent="0.3">
      <c r="A1457" s="51"/>
      <c r="B1457" s="51"/>
      <c r="C1457" s="51"/>
      <c r="D1457" s="51"/>
      <c r="E1457" s="51"/>
      <c r="F1457" s="51"/>
      <c r="G1457" s="54"/>
      <c r="H1457" s="54"/>
      <c r="I1457" s="53"/>
      <c r="J1457" s="53"/>
      <c r="K1457" s="53"/>
      <c r="L1457" s="53"/>
      <c r="M1457" s="54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D1457" s="53"/>
      <c r="AE1457" s="53"/>
      <c r="AF1457" s="53"/>
      <c r="AG1457" s="53"/>
      <c r="AH1457" s="54"/>
      <c r="AI1457" s="53"/>
      <c r="AJ1457" s="53"/>
      <c r="AK1457" s="54"/>
      <c r="AL1457" s="54"/>
    </row>
    <row r="1458" spans="1:38" ht="15.75" thickBot="1" x14ac:dyDescent="0.3">
      <c r="A1458" s="51"/>
      <c r="B1458" s="51"/>
      <c r="C1458" s="51"/>
      <c r="D1458" s="51"/>
      <c r="E1458" s="51"/>
      <c r="F1458" s="51"/>
      <c r="G1458" s="56"/>
      <c r="H1458" s="148"/>
      <c r="I1458" s="55"/>
      <c r="J1458" s="55"/>
      <c r="K1458" s="55"/>
      <c r="L1458" s="55"/>
      <c r="M1458" s="56"/>
      <c r="N1458" s="55"/>
      <c r="O1458" s="55"/>
      <c r="P1458" s="55"/>
      <c r="Q1458" s="55"/>
      <c r="R1458" s="55"/>
      <c r="S1458" s="55"/>
      <c r="T1458" s="55"/>
      <c r="U1458" s="55"/>
      <c r="V1458" s="55"/>
      <c r="W1458" s="55"/>
      <c r="X1458" s="55"/>
      <c r="Y1458" s="55"/>
      <c r="Z1458" s="55"/>
      <c r="AA1458" s="55"/>
      <c r="AB1458" s="55"/>
      <c r="AC1458" s="55"/>
      <c r="AD1458" s="55"/>
      <c r="AE1458" s="55"/>
      <c r="AF1458" s="55"/>
      <c r="AG1458" s="55"/>
      <c r="AH1458" s="56"/>
      <c r="AI1458" s="55"/>
      <c r="AJ1458" s="55"/>
      <c r="AK1458" s="56"/>
      <c r="AL1458" s="56"/>
    </row>
    <row r="1459" spans="1:38" ht="15.75" thickBot="1" x14ac:dyDescent="0.3">
      <c r="A1459" s="51"/>
      <c r="B1459" s="51"/>
      <c r="C1459" s="51"/>
      <c r="D1459" s="51"/>
      <c r="E1459" s="51"/>
      <c r="F1459" s="51"/>
      <c r="G1459" s="54"/>
      <c r="H1459" s="53"/>
      <c r="I1459" s="53"/>
      <c r="J1459" s="53"/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4"/>
      <c r="AB1459" s="53"/>
      <c r="AC1459" s="53"/>
      <c r="AD1459" s="53"/>
      <c r="AE1459" s="53"/>
      <c r="AF1459" s="53"/>
      <c r="AG1459" s="53"/>
      <c r="AH1459" s="54"/>
      <c r="AI1459" s="53"/>
      <c r="AJ1459" s="53"/>
      <c r="AK1459" s="54"/>
      <c r="AL1459" s="54"/>
    </row>
    <row r="1460" spans="1:38" ht="15.75" thickBot="1" x14ac:dyDescent="0.3">
      <c r="A1460" s="51"/>
      <c r="B1460" s="51"/>
      <c r="C1460" s="51"/>
      <c r="D1460" s="51"/>
      <c r="E1460" s="51"/>
      <c r="F1460" s="51"/>
      <c r="G1460" s="56"/>
      <c r="H1460" s="55"/>
      <c r="I1460" s="55"/>
      <c r="J1460" s="55"/>
      <c r="K1460" s="55"/>
      <c r="L1460" s="55"/>
      <c r="M1460" s="55"/>
      <c r="N1460" s="55"/>
      <c r="O1460" s="55"/>
      <c r="P1460" s="55"/>
      <c r="Q1460" s="55"/>
      <c r="R1460" s="55"/>
      <c r="S1460" s="55"/>
      <c r="T1460" s="55"/>
      <c r="U1460" s="55"/>
      <c r="V1460" s="55"/>
      <c r="W1460" s="55"/>
      <c r="X1460" s="55"/>
      <c r="Y1460" s="55"/>
      <c r="Z1460" s="55"/>
      <c r="AA1460" s="56"/>
      <c r="AB1460" s="55"/>
      <c r="AC1460" s="55"/>
      <c r="AD1460" s="55"/>
      <c r="AE1460" s="55"/>
      <c r="AF1460" s="55"/>
      <c r="AG1460" s="55"/>
      <c r="AH1460" s="56"/>
      <c r="AI1460" s="55"/>
      <c r="AJ1460" s="55"/>
      <c r="AK1460" s="56"/>
      <c r="AL1460" s="56"/>
    </row>
    <row r="1461" spans="1:38" ht="15.75" thickBot="1" x14ac:dyDescent="0.3">
      <c r="A1461" s="51"/>
      <c r="B1461" s="51"/>
      <c r="C1461" s="51"/>
      <c r="D1461" s="51"/>
      <c r="E1461" s="51"/>
      <c r="F1461" s="51"/>
      <c r="G1461" s="54"/>
      <c r="H1461" s="53"/>
      <c r="I1461" s="53"/>
      <c r="J1461" s="53"/>
      <c r="K1461" s="53"/>
      <c r="L1461" s="53"/>
      <c r="M1461" s="53"/>
      <c r="N1461" s="54"/>
      <c r="O1461" s="53"/>
      <c r="P1461" s="53"/>
      <c r="Q1461" s="53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53"/>
      <c r="AC1461" s="53"/>
      <c r="AD1461" s="53"/>
      <c r="AE1461" s="53"/>
      <c r="AF1461" s="53"/>
      <c r="AG1461" s="53"/>
      <c r="AH1461" s="54"/>
      <c r="AI1461" s="53"/>
      <c r="AJ1461" s="53"/>
      <c r="AK1461" s="54"/>
      <c r="AL1461" s="54"/>
    </row>
    <row r="1462" spans="1:38" ht="15.75" thickBot="1" x14ac:dyDescent="0.3">
      <c r="A1462" s="51"/>
      <c r="B1462" s="51"/>
      <c r="C1462" s="51"/>
      <c r="D1462" s="51"/>
      <c r="E1462" s="51"/>
      <c r="F1462" s="51"/>
      <c r="G1462" s="56"/>
      <c r="H1462" s="55"/>
      <c r="I1462" s="55"/>
      <c r="J1462" s="55"/>
      <c r="K1462" s="55"/>
      <c r="L1462" s="55"/>
      <c r="M1462" s="55"/>
      <c r="N1462" s="56"/>
      <c r="O1462" s="55"/>
      <c r="P1462" s="55"/>
      <c r="Q1462" s="55"/>
      <c r="R1462" s="55"/>
      <c r="S1462" s="55"/>
      <c r="T1462" s="55"/>
      <c r="U1462" s="55"/>
      <c r="V1462" s="55"/>
      <c r="W1462" s="55"/>
      <c r="X1462" s="55"/>
      <c r="Y1462" s="55"/>
      <c r="Z1462" s="55"/>
      <c r="AA1462" s="55"/>
      <c r="AB1462" s="55"/>
      <c r="AC1462" s="55"/>
      <c r="AD1462" s="55"/>
      <c r="AE1462" s="55"/>
      <c r="AF1462" s="55"/>
      <c r="AG1462" s="55"/>
      <c r="AH1462" s="56"/>
      <c r="AI1462" s="55"/>
      <c r="AJ1462" s="55"/>
      <c r="AK1462" s="56"/>
      <c r="AL1462" s="56"/>
    </row>
    <row r="1463" spans="1:38" ht="15.75" thickBot="1" x14ac:dyDescent="0.3">
      <c r="A1463" s="51"/>
      <c r="B1463" s="51"/>
      <c r="C1463" s="51"/>
      <c r="D1463" s="51"/>
      <c r="E1463" s="51"/>
      <c r="F1463" s="51"/>
      <c r="G1463" s="54"/>
      <c r="H1463" s="53"/>
      <c r="I1463" s="53"/>
      <c r="J1463" s="53"/>
      <c r="K1463" s="54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3"/>
      <c r="AD1463" s="53"/>
      <c r="AE1463" s="53"/>
      <c r="AF1463" s="53"/>
      <c r="AG1463" s="53"/>
      <c r="AH1463" s="54"/>
      <c r="AI1463" s="53"/>
      <c r="AJ1463" s="53"/>
      <c r="AK1463" s="54"/>
      <c r="AL1463" s="54"/>
    </row>
    <row r="1464" spans="1:38" ht="15.75" thickBot="1" x14ac:dyDescent="0.3">
      <c r="A1464" s="51"/>
      <c r="B1464" s="51"/>
      <c r="C1464" s="51"/>
      <c r="D1464" s="51"/>
      <c r="E1464" s="51"/>
      <c r="F1464" s="51"/>
      <c r="G1464" s="56"/>
      <c r="H1464" s="55"/>
      <c r="I1464" s="55"/>
      <c r="J1464" s="55"/>
      <c r="K1464" s="56"/>
      <c r="L1464" s="55"/>
      <c r="M1464" s="55"/>
      <c r="N1464" s="55"/>
      <c r="O1464" s="55"/>
      <c r="P1464" s="55"/>
      <c r="Q1464" s="55"/>
      <c r="R1464" s="55"/>
      <c r="S1464" s="55"/>
      <c r="T1464" s="55"/>
      <c r="U1464" s="55"/>
      <c r="V1464" s="55"/>
      <c r="W1464" s="55"/>
      <c r="X1464" s="55"/>
      <c r="Y1464" s="55"/>
      <c r="Z1464" s="55"/>
      <c r="AA1464" s="55"/>
      <c r="AB1464" s="55"/>
      <c r="AC1464" s="55"/>
      <c r="AD1464" s="55"/>
      <c r="AE1464" s="55"/>
      <c r="AF1464" s="55"/>
      <c r="AG1464" s="55"/>
      <c r="AH1464" s="56"/>
      <c r="AI1464" s="55"/>
      <c r="AJ1464" s="55"/>
      <c r="AK1464" s="56"/>
      <c r="AL1464" s="56"/>
    </row>
    <row r="1465" spans="1:38" ht="15.75" thickBot="1" x14ac:dyDescent="0.3">
      <c r="A1465" s="51"/>
      <c r="B1465" s="51"/>
      <c r="C1465" s="51"/>
      <c r="D1465" s="51"/>
      <c r="E1465" s="51"/>
      <c r="F1465" s="51"/>
      <c r="G1465" s="54"/>
      <c r="H1465" s="53"/>
      <c r="I1465" s="53"/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4"/>
      <c r="U1465" s="53"/>
      <c r="V1465" s="53"/>
      <c r="W1465" s="53"/>
      <c r="X1465" s="53"/>
      <c r="Y1465" s="53"/>
      <c r="Z1465" s="53"/>
      <c r="AA1465" s="53"/>
      <c r="AB1465" s="53"/>
      <c r="AC1465" s="53"/>
      <c r="AD1465" s="53"/>
      <c r="AE1465" s="53"/>
      <c r="AF1465" s="53"/>
      <c r="AG1465" s="53"/>
      <c r="AH1465" s="54"/>
      <c r="AI1465" s="53"/>
      <c r="AJ1465" s="53"/>
      <c r="AK1465" s="54"/>
      <c r="AL1465" s="54"/>
    </row>
    <row r="1466" spans="1:38" ht="15.75" thickBot="1" x14ac:dyDescent="0.3">
      <c r="A1466" s="51"/>
      <c r="B1466" s="51"/>
      <c r="C1466" s="51"/>
      <c r="D1466" s="51"/>
      <c r="E1466" s="51"/>
      <c r="F1466" s="51"/>
      <c r="G1466" s="56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56"/>
      <c r="U1466" s="55"/>
      <c r="V1466" s="55"/>
      <c r="W1466" s="55"/>
      <c r="X1466" s="55"/>
      <c r="Y1466" s="55"/>
      <c r="Z1466" s="55"/>
      <c r="AA1466" s="55"/>
      <c r="AB1466" s="55"/>
      <c r="AC1466" s="55"/>
      <c r="AD1466" s="55"/>
      <c r="AE1466" s="55"/>
      <c r="AF1466" s="55"/>
      <c r="AG1466" s="55"/>
      <c r="AH1466" s="56"/>
      <c r="AI1466" s="55"/>
      <c r="AJ1466" s="55"/>
      <c r="AK1466" s="56"/>
      <c r="AL1466" s="56"/>
    </row>
    <row r="1467" spans="1:38" ht="15.75" thickBot="1" x14ac:dyDescent="0.3">
      <c r="A1467" s="51"/>
      <c r="B1467" s="51"/>
      <c r="C1467" s="51"/>
      <c r="D1467" s="51"/>
      <c r="E1467" s="51"/>
      <c r="F1467" s="51"/>
      <c r="G1467" s="54"/>
      <c r="H1467" s="54"/>
      <c r="I1467" s="53"/>
      <c r="J1467" s="53"/>
      <c r="K1467" s="53"/>
      <c r="L1467" s="53"/>
      <c r="M1467" s="54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D1467" s="53"/>
      <c r="AE1467" s="53"/>
      <c r="AF1467" s="53"/>
      <c r="AG1467" s="53"/>
      <c r="AH1467" s="54"/>
      <c r="AI1467" s="53"/>
      <c r="AJ1467" s="53"/>
      <c r="AK1467" s="54"/>
      <c r="AL1467" s="54"/>
    </row>
    <row r="1468" spans="1:38" ht="15.75" thickBot="1" x14ac:dyDescent="0.3">
      <c r="A1468" s="51"/>
      <c r="B1468" s="51"/>
      <c r="C1468" s="51"/>
      <c r="D1468" s="51"/>
      <c r="E1468" s="51"/>
      <c r="F1468" s="51"/>
      <c r="G1468" s="56"/>
      <c r="H1468" s="56"/>
      <c r="I1468" s="55"/>
      <c r="J1468" s="55"/>
      <c r="K1468" s="55"/>
      <c r="L1468" s="55"/>
      <c r="M1468" s="56"/>
      <c r="N1468" s="55"/>
      <c r="O1468" s="55"/>
      <c r="P1468" s="55"/>
      <c r="Q1468" s="55"/>
      <c r="R1468" s="55"/>
      <c r="S1468" s="55"/>
      <c r="T1468" s="55"/>
      <c r="U1468" s="55"/>
      <c r="V1468" s="55"/>
      <c r="W1468" s="55"/>
      <c r="X1468" s="55"/>
      <c r="Y1468" s="55"/>
      <c r="Z1468" s="55"/>
      <c r="AA1468" s="55"/>
      <c r="AB1468" s="55"/>
      <c r="AC1468" s="55"/>
      <c r="AD1468" s="55"/>
      <c r="AE1468" s="55"/>
      <c r="AF1468" s="55"/>
      <c r="AG1468" s="55"/>
      <c r="AH1468" s="56"/>
      <c r="AI1468" s="55"/>
      <c r="AJ1468" s="55"/>
      <c r="AK1468" s="56"/>
      <c r="AL1468" s="56"/>
    </row>
    <row r="1469" spans="1:38" ht="15.75" thickBot="1" x14ac:dyDescent="0.3">
      <c r="A1469" s="51"/>
      <c r="B1469" s="51"/>
      <c r="C1469" s="51"/>
      <c r="D1469" s="51"/>
      <c r="E1469" s="51"/>
      <c r="F1469" s="51"/>
      <c r="G1469" s="54"/>
      <c r="H1469" s="147"/>
      <c r="I1469" s="53"/>
      <c r="J1469" s="53"/>
      <c r="K1469" s="53"/>
      <c r="L1469" s="53"/>
      <c r="M1469" s="54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D1469" s="53"/>
      <c r="AE1469" s="53"/>
      <c r="AF1469" s="53"/>
      <c r="AG1469" s="53"/>
      <c r="AH1469" s="54"/>
      <c r="AI1469" s="53"/>
      <c r="AJ1469" s="53"/>
      <c r="AK1469" s="54"/>
      <c r="AL1469" s="54"/>
    </row>
    <row r="1470" spans="1:38" ht="15.75" thickBot="1" x14ac:dyDescent="0.3">
      <c r="A1470" s="51"/>
      <c r="B1470" s="51"/>
      <c r="C1470" s="51"/>
      <c r="D1470" s="51"/>
      <c r="E1470" s="51"/>
      <c r="F1470" s="51"/>
      <c r="G1470" s="56"/>
      <c r="H1470" s="55"/>
      <c r="I1470" s="55"/>
      <c r="J1470" s="55"/>
      <c r="K1470" s="55"/>
      <c r="L1470" s="55"/>
      <c r="M1470" s="55"/>
      <c r="N1470" s="55"/>
      <c r="O1470" s="55"/>
      <c r="P1470" s="55"/>
      <c r="Q1470" s="55"/>
      <c r="R1470" s="55"/>
      <c r="S1470" s="55"/>
      <c r="T1470" s="55"/>
      <c r="U1470" s="55"/>
      <c r="V1470" s="55"/>
      <c r="W1470" s="55"/>
      <c r="X1470" s="55"/>
      <c r="Y1470" s="55"/>
      <c r="Z1470" s="55"/>
      <c r="AA1470" s="56"/>
      <c r="AB1470" s="55"/>
      <c r="AC1470" s="55"/>
      <c r="AD1470" s="55"/>
      <c r="AE1470" s="55"/>
      <c r="AF1470" s="55"/>
      <c r="AG1470" s="55"/>
      <c r="AH1470" s="56"/>
      <c r="AI1470" s="55"/>
      <c r="AJ1470" s="55"/>
      <c r="AK1470" s="56"/>
      <c r="AL1470" s="56"/>
    </row>
    <row r="1471" spans="1:38" ht="15.75" thickBot="1" x14ac:dyDescent="0.3">
      <c r="A1471" s="51"/>
      <c r="B1471" s="51"/>
      <c r="C1471" s="51"/>
      <c r="D1471" s="51"/>
      <c r="E1471" s="51"/>
      <c r="F1471" s="51"/>
      <c r="G1471" s="54"/>
      <c r="H1471" s="53"/>
      <c r="I1471" s="53"/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4"/>
      <c r="AB1471" s="53"/>
      <c r="AC1471" s="53"/>
      <c r="AD1471" s="53"/>
      <c r="AE1471" s="53"/>
      <c r="AF1471" s="53"/>
      <c r="AG1471" s="53"/>
      <c r="AH1471" s="54"/>
      <c r="AI1471" s="53"/>
      <c r="AJ1471" s="53"/>
      <c r="AK1471" s="54"/>
      <c r="AL1471" s="54"/>
    </row>
    <row r="1472" spans="1:38" ht="15.75" thickBot="1" x14ac:dyDescent="0.3">
      <c r="A1472" s="51"/>
      <c r="B1472" s="51"/>
      <c r="C1472" s="51"/>
      <c r="D1472" s="51"/>
      <c r="E1472" s="51"/>
      <c r="F1472" s="51"/>
      <c r="G1472" s="56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55"/>
      <c r="S1472" s="55"/>
      <c r="T1472" s="55"/>
      <c r="U1472" s="56"/>
      <c r="V1472" s="55"/>
      <c r="W1472" s="55"/>
      <c r="X1472" s="55"/>
      <c r="Y1472" s="55"/>
      <c r="Z1472" s="55"/>
      <c r="AA1472" s="55"/>
      <c r="AB1472" s="55"/>
      <c r="AC1472" s="55"/>
      <c r="AD1472" s="55"/>
      <c r="AE1472" s="55"/>
      <c r="AF1472" s="55"/>
      <c r="AG1472" s="55"/>
      <c r="AH1472" s="56"/>
      <c r="AI1472" s="55"/>
      <c r="AJ1472" s="55"/>
      <c r="AK1472" s="56"/>
      <c r="AL1472" s="56"/>
    </row>
    <row r="1473" spans="1:38" ht="15.75" thickBot="1" x14ac:dyDescent="0.3">
      <c r="A1473" s="51"/>
      <c r="B1473" s="51"/>
      <c r="C1473" s="51"/>
      <c r="D1473" s="51"/>
      <c r="E1473" s="51"/>
      <c r="F1473" s="51"/>
      <c r="G1473" s="54"/>
      <c r="H1473" s="53"/>
      <c r="I1473" s="53"/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4"/>
      <c r="V1473" s="53"/>
      <c r="W1473" s="53"/>
      <c r="X1473" s="53"/>
      <c r="Y1473" s="53"/>
      <c r="Z1473" s="53"/>
      <c r="AA1473" s="53"/>
      <c r="AB1473" s="53"/>
      <c r="AC1473" s="53"/>
      <c r="AD1473" s="53"/>
      <c r="AE1473" s="53"/>
      <c r="AF1473" s="53"/>
      <c r="AG1473" s="53"/>
      <c r="AH1473" s="54"/>
      <c r="AI1473" s="53"/>
      <c r="AJ1473" s="53"/>
      <c r="AK1473" s="54"/>
      <c r="AL1473" s="54"/>
    </row>
    <row r="1474" spans="1:38" ht="15.75" thickBot="1" x14ac:dyDescent="0.3">
      <c r="A1474" s="51"/>
      <c r="B1474" s="51"/>
      <c r="C1474" s="51"/>
      <c r="D1474" s="51"/>
      <c r="E1474" s="51"/>
      <c r="F1474" s="51"/>
      <c r="G1474" s="56"/>
      <c r="H1474" s="55"/>
      <c r="I1474" s="55"/>
      <c r="J1474" s="55"/>
      <c r="K1474" s="55"/>
      <c r="L1474" s="55"/>
      <c r="M1474" s="55"/>
      <c r="N1474" s="56"/>
      <c r="O1474" s="55"/>
      <c r="P1474" s="55"/>
      <c r="Q1474" s="55"/>
      <c r="R1474" s="55"/>
      <c r="S1474" s="55"/>
      <c r="T1474" s="55"/>
      <c r="U1474" s="55"/>
      <c r="V1474" s="55"/>
      <c r="W1474" s="55"/>
      <c r="X1474" s="55"/>
      <c r="Y1474" s="55"/>
      <c r="Z1474" s="55"/>
      <c r="AA1474" s="55"/>
      <c r="AB1474" s="55"/>
      <c r="AC1474" s="55"/>
      <c r="AD1474" s="55"/>
      <c r="AE1474" s="55"/>
      <c r="AF1474" s="55"/>
      <c r="AG1474" s="55"/>
      <c r="AH1474" s="56"/>
      <c r="AI1474" s="55"/>
      <c r="AJ1474" s="55"/>
      <c r="AK1474" s="56"/>
      <c r="AL1474" s="56"/>
    </row>
    <row r="1475" spans="1:38" ht="15.75" thickBot="1" x14ac:dyDescent="0.3">
      <c r="A1475" s="51"/>
      <c r="B1475" s="51"/>
      <c r="C1475" s="51"/>
      <c r="D1475" s="51"/>
      <c r="E1475" s="51"/>
      <c r="F1475" s="51"/>
      <c r="G1475" s="54"/>
      <c r="H1475" s="53"/>
      <c r="I1475" s="53"/>
      <c r="J1475" s="53"/>
      <c r="K1475" s="53"/>
      <c r="L1475" s="53"/>
      <c r="M1475" s="53"/>
      <c r="N1475" s="54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D1475" s="53"/>
      <c r="AE1475" s="53"/>
      <c r="AF1475" s="53"/>
      <c r="AG1475" s="53"/>
      <c r="AH1475" s="54"/>
      <c r="AI1475" s="53"/>
      <c r="AJ1475" s="53"/>
      <c r="AK1475" s="54"/>
      <c r="AL1475" s="54"/>
    </row>
    <row r="1476" spans="1:38" ht="15.75" thickBot="1" x14ac:dyDescent="0.3">
      <c r="A1476" s="51"/>
      <c r="B1476" s="51"/>
      <c r="C1476" s="51"/>
      <c r="D1476" s="51"/>
      <c r="E1476" s="51"/>
      <c r="F1476" s="51"/>
      <c r="G1476" s="56"/>
      <c r="H1476" s="55"/>
      <c r="I1476" s="55"/>
      <c r="J1476" s="55"/>
      <c r="K1476" s="56"/>
      <c r="L1476" s="55"/>
      <c r="M1476" s="55"/>
      <c r="N1476" s="55"/>
      <c r="O1476" s="55"/>
      <c r="P1476" s="55"/>
      <c r="Q1476" s="55"/>
      <c r="R1476" s="55"/>
      <c r="S1476" s="55"/>
      <c r="T1476" s="55"/>
      <c r="U1476" s="55"/>
      <c r="V1476" s="55"/>
      <c r="W1476" s="55"/>
      <c r="X1476" s="55"/>
      <c r="Y1476" s="55"/>
      <c r="Z1476" s="55"/>
      <c r="AA1476" s="55"/>
      <c r="AB1476" s="55"/>
      <c r="AC1476" s="55"/>
      <c r="AD1476" s="55"/>
      <c r="AE1476" s="55"/>
      <c r="AF1476" s="55"/>
      <c r="AG1476" s="55"/>
      <c r="AH1476" s="56"/>
      <c r="AI1476" s="55"/>
      <c r="AJ1476" s="55"/>
      <c r="AK1476" s="56"/>
      <c r="AL1476" s="56"/>
    </row>
    <row r="1477" spans="1:38" ht="15.75" thickBot="1" x14ac:dyDescent="0.3">
      <c r="A1477" s="51"/>
      <c r="B1477" s="51"/>
      <c r="C1477" s="51"/>
      <c r="D1477" s="51"/>
      <c r="E1477" s="51"/>
      <c r="F1477" s="51"/>
      <c r="G1477" s="54"/>
      <c r="H1477" s="53"/>
      <c r="I1477" s="53"/>
      <c r="J1477" s="53"/>
      <c r="K1477" s="54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D1477" s="53"/>
      <c r="AE1477" s="53"/>
      <c r="AF1477" s="53"/>
      <c r="AG1477" s="53"/>
      <c r="AH1477" s="54"/>
      <c r="AI1477" s="53"/>
      <c r="AJ1477" s="53"/>
      <c r="AK1477" s="54"/>
      <c r="AL1477" s="54"/>
    </row>
    <row r="1478" spans="1:38" ht="15.75" thickBot="1" x14ac:dyDescent="0.3">
      <c r="A1478" s="51"/>
      <c r="B1478" s="51"/>
      <c r="C1478" s="51"/>
      <c r="D1478" s="51"/>
      <c r="E1478" s="51"/>
      <c r="F1478" s="51"/>
      <c r="G1478" s="56"/>
      <c r="H1478" s="55"/>
      <c r="I1478" s="55"/>
      <c r="J1478" s="55"/>
      <c r="K1478" s="55"/>
      <c r="L1478" s="55"/>
      <c r="M1478" s="55"/>
      <c r="N1478" s="55"/>
      <c r="O1478" s="55"/>
      <c r="P1478" s="55"/>
      <c r="Q1478" s="55"/>
      <c r="R1478" s="55"/>
      <c r="S1478" s="55"/>
      <c r="T1478" s="55"/>
      <c r="U1478" s="55"/>
      <c r="V1478" s="55"/>
      <c r="W1478" s="56"/>
      <c r="X1478" s="55"/>
      <c r="Y1478" s="55"/>
      <c r="Z1478" s="55"/>
      <c r="AA1478" s="55"/>
      <c r="AB1478" s="55"/>
      <c r="AC1478" s="55"/>
      <c r="AD1478" s="55"/>
      <c r="AE1478" s="55"/>
      <c r="AF1478" s="55"/>
      <c r="AG1478" s="55"/>
      <c r="AH1478" s="56"/>
      <c r="AI1478" s="55"/>
      <c r="AJ1478" s="55"/>
      <c r="AK1478" s="56"/>
      <c r="AL1478" s="56"/>
    </row>
    <row r="1479" spans="1:38" ht="15.75" thickBot="1" x14ac:dyDescent="0.3">
      <c r="A1479" s="51"/>
      <c r="B1479" s="51"/>
      <c r="C1479" s="51"/>
      <c r="D1479" s="51"/>
      <c r="E1479" s="51"/>
      <c r="F1479" s="51"/>
      <c r="G1479" s="54"/>
      <c r="H1479" s="53"/>
      <c r="I1479" s="53"/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4"/>
      <c r="X1479" s="53"/>
      <c r="Y1479" s="53"/>
      <c r="Z1479" s="53"/>
      <c r="AA1479" s="53"/>
      <c r="AB1479" s="53"/>
      <c r="AC1479" s="53"/>
      <c r="AD1479" s="53"/>
      <c r="AE1479" s="53"/>
      <c r="AF1479" s="53"/>
      <c r="AG1479" s="53"/>
      <c r="AH1479" s="54"/>
      <c r="AI1479" s="53"/>
      <c r="AJ1479" s="53"/>
      <c r="AK1479" s="54"/>
      <c r="AL1479" s="54"/>
    </row>
    <row r="1480" spans="1:38" ht="15.75" thickBot="1" x14ac:dyDescent="0.3">
      <c r="A1480" s="51"/>
      <c r="B1480" s="51"/>
      <c r="C1480" s="51"/>
      <c r="D1480" s="51"/>
      <c r="E1480" s="51"/>
      <c r="F1480" s="51"/>
      <c r="G1480" s="56"/>
      <c r="H1480" s="55"/>
      <c r="I1480" s="55"/>
      <c r="J1480" s="55"/>
      <c r="K1480" s="55"/>
      <c r="L1480" s="55"/>
      <c r="M1480" s="55"/>
      <c r="N1480" s="55"/>
      <c r="O1480" s="55"/>
      <c r="P1480" s="55"/>
      <c r="Q1480" s="55"/>
      <c r="R1480" s="55"/>
      <c r="S1480" s="55"/>
      <c r="T1480" s="55"/>
      <c r="U1480" s="55"/>
      <c r="V1480" s="55"/>
      <c r="W1480" s="55"/>
      <c r="X1480" s="56"/>
      <c r="Y1480" s="55"/>
      <c r="Z1480" s="55"/>
      <c r="AA1480" s="55"/>
      <c r="AB1480" s="55"/>
      <c r="AC1480" s="55"/>
      <c r="AD1480" s="55"/>
      <c r="AE1480" s="55"/>
      <c r="AF1480" s="55"/>
      <c r="AG1480" s="55"/>
      <c r="AH1480" s="56"/>
      <c r="AI1480" s="55"/>
      <c r="AJ1480" s="55"/>
      <c r="AK1480" s="56"/>
      <c r="AL1480" s="56"/>
    </row>
    <row r="1481" spans="1:38" ht="15.75" thickBot="1" x14ac:dyDescent="0.3">
      <c r="A1481" s="51"/>
      <c r="B1481" s="51"/>
      <c r="C1481" s="51"/>
      <c r="D1481" s="51"/>
      <c r="E1481" s="51"/>
      <c r="F1481" s="51"/>
      <c r="G1481" s="54"/>
      <c r="H1481" s="53"/>
      <c r="I1481" s="53"/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4"/>
      <c r="Y1481" s="53"/>
      <c r="Z1481" s="53"/>
      <c r="AA1481" s="53"/>
      <c r="AB1481" s="53"/>
      <c r="AC1481" s="53"/>
      <c r="AD1481" s="53"/>
      <c r="AE1481" s="53"/>
      <c r="AF1481" s="53"/>
      <c r="AG1481" s="53"/>
      <c r="AH1481" s="54"/>
      <c r="AI1481" s="53"/>
      <c r="AJ1481" s="53"/>
      <c r="AK1481" s="54"/>
      <c r="AL1481" s="54"/>
    </row>
    <row r="1482" spans="1:38" ht="15.75" thickBot="1" x14ac:dyDescent="0.3">
      <c r="A1482" s="51"/>
      <c r="B1482" s="51"/>
      <c r="C1482" s="51"/>
      <c r="D1482" s="51"/>
      <c r="E1482" s="51"/>
      <c r="F1482" s="51"/>
      <c r="G1482" s="54"/>
      <c r="H1482" s="54"/>
      <c r="I1482" s="53"/>
      <c r="J1482" s="53"/>
      <c r="K1482" s="53"/>
      <c r="L1482" s="53"/>
      <c r="M1482" s="54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3"/>
      <c r="AD1482" s="53"/>
      <c r="AE1482" s="53"/>
      <c r="AF1482" s="53"/>
      <c r="AG1482" s="53"/>
      <c r="AH1482" s="54"/>
      <c r="AI1482" s="53"/>
      <c r="AJ1482" s="53"/>
      <c r="AK1482" s="54"/>
      <c r="AL1482" s="54"/>
    </row>
    <row r="1483" spans="1:38" ht="15.75" thickBot="1" x14ac:dyDescent="0.3">
      <c r="A1483" s="51"/>
      <c r="B1483" s="51"/>
      <c r="C1483" s="51"/>
      <c r="D1483" s="51"/>
      <c r="E1483" s="51"/>
      <c r="F1483" s="51"/>
      <c r="G1483" s="56"/>
      <c r="H1483" s="148"/>
      <c r="I1483" s="55"/>
      <c r="J1483" s="55"/>
      <c r="K1483" s="55"/>
      <c r="L1483" s="55"/>
      <c r="M1483" s="56"/>
      <c r="N1483" s="55"/>
      <c r="O1483" s="55"/>
      <c r="P1483" s="55"/>
      <c r="Q1483" s="55"/>
      <c r="R1483" s="55"/>
      <c r="S1483" s="55"/>
      <c r="T1483" s="55"/>
      <c r="U1483" s="55"/>
      <c r="V1483" s="55"/>
      <c r="W1483" s="55"/>
      <c r="X1483" s="55"/>
      <c r="Y1483" s="55"/>
      <c r="Z1483" s="55"/>
      <c r="AA1483" s="55"/>
      <c r="AB1483" s="55"/>
      <c r="AC1483" s="55"/>
      <c r="AD1483" s="55"/>
      <c r="AE1483" s="55"/>
      <c r="AF1483" s="55"/>
      <c r="AG1483" s="55"/>
      <c r="AH1483" s="56"/>
      <c r="AI1483" s="55"/>
      <c r="AJ1483" s="55"/>
      <c r="AK1483" s="56"/>
      <c r="AL1483" s="56"/>
    </row>
    <row r="1484" spans="1:38" ht="15.75" thickBot="1" x14ac:dyDescent="0.3">
      <c r="A1484" s="51"/>
      <c r="B1484" s="51"/>
      <c r="C1484" s="51"/>
      <c r="D1484" s="51"/>
      <c r="E1484" s="51"/>
      <c r="F1484" s="51"/>
      <c r="G1484" s="54"/>
      <c r="H1484" s="53"/>
      <c r="I1484" s="53"/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4"/>
      <c r="AB1484" s="53"/>
      <c r="AC1484" s="53"/>
      <c r="AD1484" s="53"/>
      <c r="AE1484" s="53"/>
      <c r="AF1484" s="53"/>
      <c r="AG1484" s="53"/>
      <c r="AH1484" s="54"/>
      <c r="AI1484" s="53"/>
      <c r="AJ1484" s="53"/>
      <c r="AK1484" s="54"/>
      <c r="AL1484" s="54"/>
    </row>
    <row r="1485" spans="1:38" ht="15.75" thickBot="1" x14ac:dyDescent="0.3">
      <c r="A1485" s="51"/>
      <c r="B1485" s="51"/>
      <c r="C1485" s="51"/>
      <c r="D1485" s="51"/>
      <c r="E1485" s="51"/>
      <c r="F1485" s="51"/>
      <c r="G1485" s="56"/>
      <c r="H1485" s="55"/>
      <c r="I1485" s="55"/>
      <c r="J1485" s="55"/>
      <c r="K1485" s="55"/>
      <c r="L1485" s="55"/>
      <c r="M1485" s="55"/>
      <c r="N1485" s="55"/>
      <c r="O1485" s="55"/>
      <c r="P1485" s="55"/>
      <c r="Q1485" s="55"/>
      <c r="R1485" s="55"/>
      <c r="S1485" s="55"/>
      <c r="T1485" s="55"/>
      <c r="U1485" s="55"/>
      <c r="V1485" s="55"/>
      <c r="W1485" s="55"/>
      <c r="X1485" s="55"/>
      <c r="Y1485" s="55"/>
      <c r="Z1485" s="55"/>
      <c r="AA1485" s="56"/>
      <c r="AB1485" s="55"/>
      <c r="AC1485" s="55"/>
      <c r="AD1485" s="55"/>
      <c r="AE1485" s="55"/>
      <c r="AF1485" s="55"/>
      <c r="AG1485" s="55"/>
      <c r="AH1485" s="56"/>
      <c r="AI1485" s="55"/>
      <c r="AJ1485" s="55"/>
      <c r="AK1485" s="56"/>
      <c r="AL1485" s="56"/>
    </row>
    <row r="1486" spans="1:38" ht="15.75" thickBot="1" x14ac:dyDescent="0.3">
      <c r="A1486" s="51"/>
      <c r="B1486" s="51"/>
      <c r="C1486" s="51"/>
      <c r="D1486" s="51"/>
      <c r="E1486" s="51"/>
      <c r="F1486" s="51"/>
      <c r="G1486" s="54"/>
      <c r="H1486" s="53"/>
      <c r="I1486" s="53"/>
      <c r="J1486" s="53"/>
      <c r="K1486" s="54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3"/>
      <c r="AC1486" s="53"/>
      <c r="AD1486" s="53"/>
      <c r="AE1486" s="53"/>
      <c r="AF1486" s="53"/>
      <c r="AG1486" s="53"/>
      <c r="AH1486" s="54"/>
      <c r="AI1486" s="53"/>
      <c r="AJ1486" s="53"/>
      <c r="AK1486" s="54"/>
      <c r="AL1486" s="54"/>
    </row>
    <row r="1487" spans="1:38" ht="15.75" thickBot="1" x14ac:dyDescent="0.3">
      <c r="A1487" s="51"/>
      <c r="B1487" s="51"/>
      <c r="C1487" s="51"/>
      <c r="D1487" s="51"/>
      <c r="E1487" s="51"/>
      <c r="F1487" s="51"/>
      <c r="G1487" s="56"/>
      <c r="H1487" s="55"/>
      <c r="I1487" s="55"/>
      <c r="J1487" s="55"/>
      <c r="K1487" s="56"/>
      <c r="L1487" s="55"/>
      <c r="M1487" s="55"/>
      <c r="N1487" s="55"/>
      <c r="O1487" s="55"/>
      <c r="P1487" s="55"/>
      <c r="Q1487" s="55"/>
      <c r="R1487" s="55"/>
      <c r="S1487" s="55"/>
      <c r="T1487" s="55"/>
      <c r="U1487" s="55"/>
      <c r="V1487" s="55"/>
      <c r="W1487" s="55"/>
      <c r="X1487" s="55"/>
      <c r="Y1487" s="55"/>
      <c r="Z1487" s="55"/>
      <c r="AA1487" s="55"/>
      <c r="AB1487" s="55"/>
      <c r="AC1487" s="55"/>
      <c r="AD1487" s="55"/>
      <c r="AE1487" s="55"/>
      <c r="AF1487" s="55"/>
      <c r="AG1487" s="55"/>
      <c r="AH1487" s="56"/>
      <c r="AI1487" s="55"/>
      <c r="AJ1487" s="55"/>
      <c r="AK1487" s="56"/>
      <c r="AL1487" s="56"/>
    </row>
    <row r="1488" spans="1:38" ht="15.75" thickBot="1" x14ac:dyDescent="0.3">
      <c r="A1488" s="51"/>
      <c r="B1488" s="51"/>
      <c r="C1488" s="51"/>
      <c r="D1488" s="51"/>
      <c r="E1488" s="51"/>
      <c r="F1488" s="51"/>
      <c r="G1488" s="56"/>
      <c r="H1488" s="55"/>
      <c r="I1488" s="55"/>
      <c r="J1488" s="55"/>
      <c r="K1488" s="55"/>
      <c r="L1488" s="55"/>
      <c r="M1488" s="55"/>
      <c r="N1488" s="55"/>
      <c r="O1488" s="55"/>
      <c r="P1488" s="55"/>
      <c r="Q1488" s="55"/>
      <c r="R1488" s="55"/>
      <c r="S1488" s="55"/>
      <c r="T1488" s="56"/>
      <c r="U1488" s="55"/>
      <c r="V1488" s="55"/>
      <c r="W1488" s="55"/>
      <c r="X1488" s="55"/>
      <c r="Y1488" s="55"/>
      <c r="Z1488" s="55"/>
      <c r="AA1488" s="55"/>
      <c r="AB1488" s="55"/>
      <c r="AC1488" s="55"/>
      <c r="AD1488" s="55"/>
      <c r="AE1488" s="55"/>
      <c r="AF1488" s="55"/>
      <c r="AG1488" s="55"/>
      <c r="AH1488" s="56"/>
      <c r="AI1488" s="55"/>
      <c r="AJ1488" s="55"/>
      <c r="AK1488" s="56"/>
      <c r="AL1488" s="56"/>
    </row>
    <row r="1489" spans="1:38" ht="15.75" thickBot="1" x14ac:dyDescent="0.3">
      <c r="A1489" s="51"/>
      <c r="B1489" s="51"/>
      <c r="C1489" s="51"/>
      <c r="D1489" s="51"/>
      <c r="E1489" s="51"/>
      <c r="F1489" s="51"/>
      <c r="G1489" s="54"/>
      <c r="H1489" s="53"/>
      <c r="I1489" s="53"/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4"/>
      <c r="U1489" s="53"/>
      <c r="V1489" s="53"/>
      <c r="W1489" s="53"/>
      <c r="X1489" s="53"/>
      <c r="Y1489" s="53"/>
      <c r="Z1489" s="53"/>
      <c r="AA1489" s="53"/>
      <c r="AB1489" s="53"/>
      <c r="AC1489" s="53"/>
      <c r="AD1489" s="53"/>
      <c r="AE1489" s="53"/>
      <c r="AF1489" s="53"/>
      <c r="AG1489" s="53"/>
      <c r="AH1489" s="54"/>
      <c r="AI1489" s="53"/>
      <c r="AJ1489" s="53"/>
      <c r="AK1489" s="54"/>
      <c r="AL1489" s="54"/>
    </row>
    <row r="1490" spans="1:38" ht="15.75" thickBot="1" x14ac:dyDescent="0.3">
      <c r="A1490" s="51"/>
      <c r="B1490" s="51"/>
      <c r="C1490" s="51"/>
      <c r="D1490" s="51"/>
      <c r="E1490" s="51"/>
      <c r="F1490" s="51"/>
      <c r="G1490" s="56"/>
      <c r="H1490" s="55"/>
      <c r="I1490" s="55"/>
      <c r="J1490" s="55"/>
      <c r="K1490" s="55"/>
      <c r="L1490" s="55"/>
      <c r="M1490" s="55"/>
      <c r="N1490" s="55"/>
      <c r="O1490" s="55"/>
      <c r="P1490" s="55"/>
      <c r="Q1490" s="55"/>
      <c r="R1490" s="55"/>
      <c r="S1490" s="55"/>
      <c r="T1490" s="55"/>
      <c r="U1490" s="56"/>
      <c r="V1490" s="55"/>
      <c r="W1490" s="55"/>
      <c r="X1490" s="55"/>
      <c r="Y1490" s="55"/>
      <c r="Z1490" s="55"/>
      <c r="AA1490" s="55"/>
      <c r="AB1490" s="55"/>
      <c r="AC1490" s="55"/>
      <c r="AD1490" s="55"/>
      <c r="AE1490" s="55"/>
      <c r="AF1490" s="55"/>
      <c r="AG1490" s="55"/>
      <c r="AH1490" s="56"/>
      <c r="AI1490" s="55"/>
      <c r="AJ1490" s="55"/>
      <c r="AK1490" s="56"/>
      <c r="AL1490" s="56"/>
    </row>
    <row r="1491" spans="1:38" ht="15.75" thickBot="1" x14ac:dyDescent="0.3">
      <c r="A1491" s="51"/>
      <c r="B1491" s="51"/>
      <c r="C1491" s="51"/>
      <c r="D1491" s="51"/>
      <c r="E1491" s="51"/>
      <c r="F1491" s="51"/>
      <c r="G1491" s="54"/>
      <c r="H1491" s="53"/>
      <c r="I1491" s="53"/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3"/>
      <c r="U1491" s="54"/>
      <c r="V1491" s="53"/>
      <c r="W1491" s="53"/>
      <c r="X1491" s="53"/>
      <c r="Y1491" s="53"/>
      <c r="Z1491" s="53"/>
      <c r="AA1491" s="53"/>
      <c r="AB1491" s="53"/>
      <c r="AC1491" s="53"/>
      <c r="AD1491" s="53"/>
      <c r="AE1491" s="53"/>
      <c r="AF1491" s="53"/>
      <c r="AG1491" s="53"/>
      <c r="AH1491" s="54"/>
      <c r="AI1491" s="53"/>
      <c r="AJ1491" s="53"/>
      <c r="AK1491" s="54"/>
      <c r="AL1491" s="54"/>
    </row>
    <row r="1492" spans="1:38" ht="15.75" thickBot="1" x14ac:dyDescent="0.3">
      <c r="A1492" s="51"/>
      <c r="B1492" s="51"/>
      <c r="C1492" s="51"/>
      <c r="D1492" s="51"/>
      <c r="E1492" s="51"/>
      <c r="F1492" s="51"/>
      <c r="G1492" s="56"/>
      <c r="H1492" s="55"/>
      <c r="I1492" s="55"/>
      <c r="J1492" s="55"/>
      <c r="K1492" s="56"/>
      <c r="L1492" s="55"/>
      <c r="M1492" s="55"/>
      <c r="N1492" s="55"/>
      <c r="O1492" s="55"/>
      <c r="P1492" s="55"/>
      <c r="Q1492" s="55"/>
      <c r="R1492" s="55"/>
      <c r="S1492" s="55"/>
      <c r="T1492" s="55"/>
      <c r="U1492" s="55"/>
      <c r="V1492" s="55"/>
      <c r="W1492" s="55"/>
      <c r="X1492" s="55"/>
      <c r="Y1492" s="55"/>
      <c r="Z1492" s="55"/>
      <c r="AA1492" s="55"/>
      <c r="AB1492" s="55"/>
      <c r="AC1492" s="55"/>
      <c r="AD1492" s="55"/>
      <c r="AE1492" s="55"/>
      <c r="AF1492" s="55"/>
      <c r="AG1492" s="55"/>
      <c r="AH1492" s="56"/>
      <c r="AI1492" s="55"/>
      <c r="AJ1492" s="55"/>
      <c r="AK1492" s="56"/>
      <c r="AL1492" s="56"/>
    </row>
    <row r="1493" spans="1:38" ht="15.75" thickBot="1" x14ac:dyDescent="0.3">
      <c r="A1493" s="51"/>
      <c r="B1493" s="51"/>
      <c r="C1493" s="51"/>
      <c r="D1493" s="51"/>
      <c r="E1493" s="51"/>
      <c r="F1493" s="51"/>
      <c r="G1493" s="54"/>
      <c r="H1493" s="53"/>
      <c r="I1493" s="53"/>
      <c r="J1493" s="53"/>
      <c r="K1493" s="54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3"/>
      <c r="AD1493" s="53"/>
      <c r="AE1493" s="53"/>
      <c r="AF1493" s="53"/>
      <c r="AG1493" s="53"/>
      <c r="AH1493" s="54"/>
      <c r="AI1493" s="53"/>
      <c r="AJ1493" s="53"/>
      <c r="AK1493" s="54"/>
      <c r="AL1493" s="54"/>
    </row>
    <row r="1494" spans="1:38" ht="15.75" thickBot="1" x14ac:dyDescent="0.3">
      <c r="A1494" s="51"/>
      <c r="B1494" s="51"/>
      <c r="C1494" s="51"/>
      <c r="D1494" s="51"/>
      <c r="E1494" s="51"/>
      <c r="F1494" s="51"/>
      <c r="G1494" s="56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55"/>
      <c r="U1494" s="55"/>
      <c r="V1494" s="55"/>
      <c r="W1494" s="56"/>
      <c r="X1494" s="55"/>
      <c r="Y1494" s="55"/>
      <c r="Z1494" s="55"/>
      <c r="AA1494" s="55"/>
      <c r="AB1494" s="55"/>
      <c r="AC1494" s="55"/>
      <c r="AD1494" s="55"/>
      <c r="AE1494" s="55"/>
      <c r="AF1494" s="55"/>
      <c r="AG1494" s="55"/>
      <c r="AH1494" s="56"/>
      <c r="AI1494" s="55"/>
      <c r="AJ1494" s="55"/>
      <c r="AK1494" s="56"/>
      <c r="AL1494" s="56"/>
    </row>
    <row r="1495" spans="1:38" ht="15.75" thickBot="1" x14ac:dyDescent="0.3">
      <c r="A1495" s="51"/>
      <c r="B1495" s="51"/>
      <c r="C1495" s="51"/>
      <c r="D1495" s="51"/>
      <c r="E1495" s="51"/>
      <c r="F1495" s="51"/>
      <c r="G1495" s="54"/>
      <c r="H1495" s="53"/>
      <c r="I1495" s="53"/>
      <c r="J1495" s="53"/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4"/>
      <c r="X1495" s="53"/>
      <c r="Y1495" s="53"/>
      <c r="Z1495" s="53"/>
      <c r="AA1495" s="53"/>
      <c r="AB1495" s="53"/>
      <c r="AC1495" s="53"/>
      <c r="AD1495" s="53"/>
      <c r="AE1495" s="53"/>
      <c r="AF1495" s="53"/>
      <c r="AG1495" s="53"/>
      <c r="AH1495" s="54"/>
      <c r="AI1495" s="53"/>
      <c r="AJ1495" s="53"/>
      <c r="AK1495" s="54"/>
      <c r="AL1495" s="54"/>
    </row>
    <row r="1496" spans="1:38" ht="15.75" thickBot="1" x14ac:dyDescent="0.3">
      <c r="A1496" s="51"/>
      <c r="B1496" s="51"/>
      <c r="C1496" s="51"/>
      <c r="D1496" s="51"/>
      <c r="E1496" s="51"/>
      <c r="F1496" s="51"/>
      <c r="G1496" s="56"/>
      <c r="H1496" s="55"/>
      <c r="I1496" s="55"/>
      <c r="J1496" s="55"/>
      <c r="K1496" s="55"/>
      <c r="L1496" s="55"/>
      <c r="M1496" s="55"/>
      <c r="N1496" s="55"/>
      <c r="O1496" s="55"/>
      <c r="P1496" s="55"/>
      <c r="Q1496" s="55"/>
      <c r="R1496" s="55"/>
      <c r="S1496" s="55"/>
      <c r="T1496" s="55"/>
      <c r="U1496" s="55"/>
      <c r="V1496" s="55"/>
      <c r="W1496" s="55"/>
      <c r="X1496" s="56"/>
      <c r="Y1496" s="55"/>
      <c r="Z1496" s="55"/>
      <c r="AA1496" s="55"/>
      <c r="AB1496" s="55"/>
      <c r="AC1496" s="55"/>
      <c r="AD1496" s="55"/>
      <c r="AE1496" s="55"/>
      <c r="AF1496" s="55"/>
      <c r="AG1496" s="55"/>
      <c r="AH1496" s="56"/>
      <c r="AI1496" s="55"/>
      <c r="AJ1496" s="55"/>
      <c r="AK1496" s="56"/>
      <c r="AL1496" s="56"/>
    </row>
    <row r="1497" spans="1:38" ht="15.75" thickBot="1" x14ac:dyDescent="0.3">
      <c r="A1497" s="51"/>
      <c r="B1497" s="51"/>
      <c r="C1497" s="51"/>
      <c r="D1497" s="51"/>
      <c r="E1497" s="51"/>
      <c r="F1497" s="51"/>
      <c r="G1497" s="54"/>
      <c r="H1497" s="53"/>
      <c r="I1497" s="53"/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4"/>
      <c r="Y1497" s="53"/>
      <c r="Z1497" s="53"/>
      <c r="AA1497" s="53"/>
      <c r="AB1497" s="53"/>
      <c r="AC1497" s="53"/>
      <c r="AD1497" s="53"/>
      <c r="AE1497" s="53"/>
      <c r="AF1497" s="53"/>
      <c r="AG1497" s="53"/>
      <c r="AH1497" s="54"/>
      <c r="AI1497" s="53"/>
      <c r="AJ1497" s="53"/>
      <c r="AK1497" s="54"/>
      <c r="AL1497" s="54"/>
    </row>
    <row r="1498" spans="1:38" ht="15.75" thickBot="1" x14ac:dyDescent="0.3">
      <c r="A1498" s="51"/>
      <c r="B1498" s="51"/>
      <c r="C1498" s="51"/>
      <c r="D1498" s="51"/>
      <c r="E1498" s="51"/>
      <c r="F1498" s="51"/>
      <c r="G1498" s="54"/>
      <c r="H1498" s="53"/>
      <c r="I1498" s="53"/>
      <c r="J1498" s="53"/>
      <c r="K1498" s="54"/>
      <c r="L1498" s="53"/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53"/>
      <c r="AD1498" s="53"/>
      <c r="AE1498" s="53"/>
      <c r="AF1498" s="53"/>
      <c r="AG1498" s="53"/>
      <c r="AH1498" s="54"/>
      <c r="AI1498" s="53"/>
      <c r="AJ1498" s="53"/>
      <c r="AK1498" s="54"/>
      <c r="AL1498" s="54"/>
    </row>
    <row r="1499" spans="1:38" ht="15.75" thickBot="1" x14ac:dyDescent="0.3">
      <c r="A1499" s="51"/>
      <c r="B1499" s="51"/>
      <c r="C1499" s="51"/>
      <c r="D1499" s="51"/>
      <c r="E1499" s="51"/>
      <c r="F1499" s="51"/>
      <c r="G1499" s="56"/>
      <c r="H1499" s="55"/>
      <c r="I1499" s="55"/>
      <c r="J1499" s="55"/>
      <c r="K1499" s="56"/>
      <c r="L1499" s="55"/>
      <c r="M1499" s="55"/>
      <c r="N1499" s="55"/>
      <c r="O1499" s="55"/>
      <c r="P1499" s="55"/>
      <c r="Q1499" s="55"/>
      <c r="R1499" s="55"/>
      <c r="S1499" s="55"/>
      <c r="T1499" s="55"/>
      <c r="U1499" s="55"/>
      <c r="V1499" s="55"/>
      <c r="W1499" s="55"/>
      <c r="X1499" s="55"/>
      <c r="Y1499" s="55"/>
      <c r="Z1499" s="55"/>
      <c r="AA1499" s="55"/>
      <c r="AB1499" s="55"/>
      <c r="AC1499" s="55"/>
      <c r="AD1499" s="55"/>
      <c r="AE1499" s="55"/>
      <c r="AF1499" s="55"/>
      <c r="AG1499" s="55"/>
      <c r="AH1499" s="56"/>
      <c r="AI1499" s="55"/>
      <c r="AJ1499" s="55"/>
      <c r="AK1499" s="56"/>
      <c r="AL1499" s="56"/>
    </row>
    <row r="1500" spans="1:38" ht="15.75" thickBot="1" x14ac:dyDescent="0.3">
      <c r="A1500" s="51"/>
      <c r="B1500" s="51"/>
      <c r="C1500" s="51"/>
      <c r="D1500" s="51"/>
      <c r="E1500" s="51"/>
      <c r="F1500" s="51"/>
      <c r="G1500" s="54"/>
      <c r="H1500" s="53"/>
      <c r="I1500" s="53"/>
      <c r="J1500" s="53"/>
      <c r="K1500" s="53"/>
      <c r="L1500" s="54"/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3"/>
      <c r="AD1500" s="53"/>
      <c r="AE1500" s="53"/>
      <c r="AF1500" s="53"/>
      <c r="AG1500" s="53"/>
      <c r="AH1500" s="54"/>
      <c r="AI1500" s="53"/>
      <c r="AJ1500" s="53"/>
      <c r="AK1500" s="54"/>
      <c r="AL1500" s="54"/>
    </row>
    <row r="1501" spans="1:38" ht="15.75" thickBot="1" x14ac:dyDescent="0.3">
      <c r="A1501" s="51"/>
      <c r="B1501" s="51"/>
      <c r="C1501" s="51"/>
      <c r="D1501" s="51"/>
      <c r="E1501" s="51"/>
      <c r="F1501" s="51"/>
      <c r="G1501" s="56"/>
      <c r="H1501" s="55"/>
      <c r="I1501" s="55"/>
      <c r="J1501" s="55"/>
      <c r="K1501" s="55"/>
      <c r="L1501" s="56"/>
      <c r="M1501" s="55"/>
      <c r="N1501" s="55"/>
      <c r="O1501" s="55"/>
      <c r="P1501" s="55"/>
      <c r="Q1501" s="55"/>
      <c r="R1501" s="55"/>
      <c r="S1501" s="55"/>
      <c r="T1501" s="55"/>
      <c r="U1501" s="55"/>
      <c r="V1501" s="55"/>
      <c r="W1501" s="55"/>
      <c r="X1501" s="55"/>
      <c r="Y1501" s="55"/>
      <c r="Z1501" s="55"/>
      <c r="AA1501" s="55"/>
      <c r="AB1501" s="55"/>
      <c r="AC1501" s="55"/>
      <c r="AD1501" s="55"/>
      <c r="AE1501" s="55"/>
      <c r="AF1501" s="55"/>
      <c r="AG1501" s="55"/>
      <c r="AH1501" s="56"/>
      <c r="AI1501" s="55"/>
      <c r="AJ1501" s="55"/>
      <c r="AK1501" s="56"/>
      <c r="AL1501" s="56"/>
    </row>
    <row r="1502" spans="1:38" ht="15.75" thickBot="1" x14ac:dyDescent="0.3">
      <c r="A1502" s="51"/>
      <c r="B1502" s="51"/>
      <c r="C1502" s="51"/>
      <c r="D1502" s="51"/>
      <c r="E1502" s="51"/>
      <c r="F1502" s="51"/>
      <c r="G1502" s="54"/>
      <c r="H1502" s="54"/>
      <c r="I1502" s="53"/>
      <c r="J1502" s="53"/>
      <c r="K1502" s="53"/>
      <c r="L1502" s="53"/>
      <c r="M1502" s="54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3"/>
      <c r="AD1502" s="53"/>
      <c r="AE1502" s="53"/>
      <c r="AF1502" s="53"/>
      <c r="AG1502" s="53"/>
      <c r="AH1502" s="54"/>
      <c r="AI1502" s="53"/>
      <c r="AJ1502" s="53"/>
      <c r="AK1502" s="54"/>
      <c r="AL1502" s="54"/>
    </row>
    <row r="1503" spans="1:38" ht="15.75" thickBot="1" x14ac:dyDescent="0.3">
      <c r="A1503" s="51"/>
      <c r="B1503" s="51"/>
      <c r="C1503" s="51"/>
      <c r="D1503" s="51"/>
      <c r="E1503" s="51"/>
      <c r="F1503" s="51"/>
      <c r="G1503" s="56"/>
      <c r="H1503" s="148"/>
      <c r="I1503" s="55"/>
      <c r="J1503" s="55"/>
      <c r="K1503" s="55"/>
      <c r="L1503" s="55"/>
      <c r="M1503" s="56"/>
      <c r="N1503" s="55"/>
      <c r="O1503" s="55"/>
      <c r="P1503" s="55"/>
      <c r="Q1503" s="55"/>
      <c r="R1503" s="55"/>
      <c r="S1503" s="55"/>
      <c r="T1503" s="55"/>
      <c r="U1503" s="55"/>
      <c r="V1503" s="55"/>
      <c r="W1503" s="55"/>
      <c r="X1503" s="55"/>
      <c r="Y1503" s="55"/>
      <c r="Z1503" s="55"/>
      <c r="AA1503" s="55"/>
      <c r="AB1503" s="55"/>
      <c r="AC1503" s="55"/>
      <c r="AD1503" s="55"/>
      <c r="AE1503" s="55"/>
      <c r="AF1503" s="55"/>
      <c r="AG1503" s="55"/>
      <c r="AH1503" s="56"/>
      <c r="AI1503" s="55"/>
      <c r="AJ1503" s="55"/>
      <c r="AK1503" s="56"/>
      <c r="AL1503" s="56"/>
    </row>
    <row r="1504" spans="1:38" ht="15.75" thickBot="1" x14ac:dyDescent="0.3">
      <c r="A1504" s="51"/>
      <c r="B1504" s="51"/>
      <c r="C1504" s="51"/>
      <c r="D1504" s="51"/>
      <c r="E1504" s="51"/>
      <c r="F1504" s="51"/>
      <c r="G1504" s="54"/>
      <c r="H1504" s="53"/>
      <c r="I1504" s="53"/>
      <c r="J1504" s="53"/>
      <c r="K1504" s="53"/>
      <c r="L1504" s="53"/>
      <c r="M1504" s="53"/>
      <c r="N1504" s="53"/>
      <c r="O1504" s="53"/>
      <c r="P1504" s="53"/>
      <c r="Q1504" s="53"/>
      <c r="R1504" s="53"/>
      <c r="S1504" s="53"/>
      <c r="T1504" s="53"/>
      <c r="U1504" s="53"/>
      <c r="V1504" s="53"/>
      <c r="W1504" s="53"/>
      <c r="X1504" s="53"/>
      <c r="Y1504" s="53"/>
      <c r="Z1504" s="54"/>
      <c r="AA1504" s="53"/>
      <c r="AB1504" s="53"/>
      <c r="AC1504" s="53"/>
      <c r="AD1504" s="53"/>
      <c r="AE1504" s="53"/>
      <c r="AF1504" s="53"/>
      <c r="AG1504" s="53"/>
      <c r="AH1504" s="54"/>
      <c r="AI1504" s="53"/>
      <c r="AJ1504" s="53"/>
      <c r="AK1504" s="54"/>
      <c r="AL1504" s="54"/>
    </row>
    <row r="1505" spans="1:38" ht="15.75" thickBot="1" x14ac:dyDescent="0.3">
      <c r="A1505" s="51"/>
      <c r="B1505" s="51"/>
      <c r="C1505" s="51"/>
      <c r="D1505" s="51"/>
      <c r="E1505" s="51"/>
      <c r="F1505" s="51"/>
      <c r="G1505" s="56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/>
      <c r="R1505" s="55"/>
      <c r="S1505" s="55"/>
      <c r="T1505" s="55"/>
      <c r="U1505" s="55"/>
      <c r="V1505" s="55"/>
      <c r="W1505" s="55"/>
      <c r="X1505" s="55"/>
      <c r="Y1505" s="55"/>
      <c r="Z1505" s="56"/>
      <c r="AA1505" s="55"/>
      <c r="AB1505" s="55"/>
      <c r="AC1505" s="55"/>
      <c r="AD1505" s="55"/>
      <c r="AE1505" s="55"/>
      <c r="AF1505" s="55"/>
      <c r="AG1505" s="55"/>
      <c r="AH1505" s="56"/>
      <c r="AI1505" s="55"/>
      <c r="AJ1505" s="55"/>
      <c r="AK1505" s="56"/>
      <c r="AL1505" s="56"/>
    </row>
    <row r="1506" spans="1:38" ht="15.75" thickBot="1" x14ac:dyDescent="0.3">
      <c r="A1506" s="51"/>
      <c r="B1506" s="51"/>
      <c r="C1506" s="51"/>
      <c r="D1506" s="51"/>
      <c r="E1506" s="51"/>
      <c r="F1506" s="51"/>
      <c r="G1506" s="54"/>
      <c r="H1506" s="53"/>
      <c r="I1506" s="53"/>
      <c r="J1506" s="53"/>
      <c r="K1506" s="53"/>
      <c r="L1506" s="53"/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4"/>
      <c r="AB1506" s="53"/>
      <c r="AC1506" s="53"/>
      <c r="AD1506" s="53"/>
      <c r="AE1506" s="53"/>
      <c r="AF1506" s="53"/>
      <c r="AG1506" s="53"/>
      <c r="AH1506" s="54"/>
      <c r="AI1506" s="53"/>
      <c r="AJ1506" s="53"/>
      <c r="AK1506" s="54"/>
      <c r="AL1506" s="54"/>
    </row>
    <row r="1507" spans="1:38" ht="15.75" thickBot="1" x14ac:dyDescent="0.3">
      <c r="A1507" s="51"/>
      <c r="B1507" s="51"/>
      <c r="C1507" s="51"/>
      <c r="D1507" s="51"/>
      <c r="E1507" s="51"/>
      <c r="F1507" s="51"/>
      <c r="G1507" s="56"/>
      <c r="H1507" s="55"/>
      <c r="I1507" s="55"/>
      <c r="J1507" s="55"/>
      <c r="K1507" s="55"/>
      <c r="L1507" s="55"/>
      <c r="M1507" s="55"/>
      <c r="N1507" s="55"/>
      <c r="O1507" s="55"/>
      <c r="P1507" s="55"/>
      <c r="Q1507" s="55"/>
      <c r="R1507" s="55"/>
      <c r="S1507" s="55"/>
      <c r="T1507" s="55"/>
      <c r="U1507" s="55"/>
      <c r="V1507" s="55"/>
      <c r="W1507" s="55"/>
      <c r="X1507" s="55"/>
      <c r="Y1507" s="55"/>
      <c r="Z1507" s="55"/>
      <c r="AA1507" s="56"/>
      <c r="AB1507" s="55"/>
      <c r="AC1507" s="55"/>
      <c r="AD1507" s="55"/>
      <c r="AE1507" s="55"/>
      <c r="AF1507" s="55"/>
      <c r="AG1507" s="55"/>
      <c r="AH1507" s="56"/>
      <c r="AI1507" s="55"/>
      <c r="AJ1507" s="55"/>
      <c r="AK1507" s="56"/>
      <c r="AL1507" s="56"/>
    </row>
    <row r="1508" spans="1:38" ht="15.75" thickBot="1" x14ac:dyDescent="0.3">
      <c r="A1508" s="51"/>
      <c r="B1508" s="51"/>
      <c r="C1508" s="51"/>
      <c r="D1508" s="51"/>
      <c r="E1508" s="51"/>
      <c r="F1508" s="51"/>
      <c r="G1508" s="54"/>
      <c r="H1508" s="53"/>
      <c r="I1508" s="53"/>
      <c r="J1508" s="53"/>
      <c r="K1508" s="53"/>
      <c r="L1508" s="53"/>
      <c r="M1508" s="53"/>
      <c r="N1508" s="53"/>
      <c r="O1508" s="53"/>
      <c r="P1508" s="53"/>
      <c r="Q1508" s="53"/>
      <c r="R1508" s="54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3"/>
      <c r="AD1508" s="53"/>
      <c r="AE1508" s="53"/>
      <c r="AF1508" s="53"/>
      <c r="AG1508" s="53"/>
      <c r="AH1508" s="54"/>
      <c r="AI1508" s="53"/>
      <c r="AJ1508" s="53"/>
      <c r="AK1508" s="54"/>
      <c r="AL1508" s="54"/>
    </row>
    <row r="1509" spans="1:38" ht="15.75" thickBot="1" x14ac:dyDescent="0.3">
      <c r="A1509" s="51"/>
      <c r="B1509" s="51"/>
      <c r="C1509" s="51"/>
      <c r="D1509" s="51"/>
      <c r="E1509" s="51"/>
      <c r="F1509" s="51"/>
      <c r="G1509" s="56"/>
      <c r="H1509" s="55"/>
      <c r="I1509" s="55"/>
      <c r="J1509" s="55"/>
      <c r="K1509" s="55"/>
      <c r="L1509" s="55"/>
      <c r="M1509" s="55"/>
      <c r="N1509" s="55"/>
      <c r="O1509" s="55"/>
      <c r="P1509" s="55"/>
      <c r="Q1509" s="55"/>
      <c r="R1509" s="56"/>
      <c r="S1509" s="55"/>
      <c r="T1509" s="55"/>
      <c r="U1509" s="55"/>
      <c r="V1509" s="55"/>
      <c r="W1509" s="55"/>
      <c r="X1509" s="55"/>
      <c r="Y1509" s="55"/>
      <c r="Z1509" s="55"/>
      <c r="AA1509" s="55"/>
      <c r="AB1509" s="55"/>
      <c r="AC1509" s="55"/>
      <c r="AD1509" s="55"/>
      <c r="AE1509" s="55"/>
      <c r="AF1509" s="55"/>
      <c r="AG1509" s="55"/>
      <c r="AH1509" s="56"/>
      <c r="AI1509" s="55"/>
      <c r="AJ1509" s="55"/>
      <c r="AK1509" s="56"/>
      <c r="AL1509" s="56"/>
    </row>
    <row r="1510" spans="1:38" ht="15.75" thickBot="1" x14ac:dyDescent="0.3">
      <c r="A1510" s="51"/>
      <c r="B1510" s="51"/>
      <c r="C1510" s="51"/>
      <c r="D1510" s="51"/>
      <c r="E1510" s="51"/>
      <c r="F1510" s="51"/>
      <c r="G1510" s="54"/>
      <c r="H1510" s="53"/>
      <c r="I1510" s="53"/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53"/>
      <c r="AC1510" s="54"/>
      <c r="AD1510" s="53"/>
      <c r="AE1510" s="53"/>
      <c r="AF1510" s="53"/>
      <c r="AG1510" s="53"/>
      <c r="AH1510" s="54"/>
      <c r="AI1510" s="53"/>
      <c r="AJ1510" s="53"/>
      <c r="AK1510" s="54"/>
      <c r="AL1510" s="54"/>
    </row>
    <row r="1511" spans="1:38" ht="15.75" thickBot="1" x14ac:dyDescent="0.3">
      <c r="A1511" s="51"/>
      <c r="B1511" s="51"/>
      <c r="C1511" s="51"/>
      <c r="D1511" s="51"/>
      <c r="E1511" s="51"/>
      <c r="F1511" s="51"/>
      <c r="G1511" s="56"/>
      <c r="H1511" s="55"/>
      <c r="I1511" s="55"/>
      <c r="J1511" s="55"/>
      <c r="K1511" s="55"/>
      <c r="L1511" s="55"/>
      <c r="M1511" s="55"/>
      <c r="N1511" s="55"/>
      <c r="O1511" s="55"/>
      <c r="P1511" s="55"/>
      <c r="Q1511" s="55"/>
      <c r="R1511" s="55"/>
      <c r="S1511" s="55"/>
      <c r="T1511" s="55"/>
      <c r="U1511" s="55"/>
      <c r="V1511" s="55"/>
      <c r="W1511" s="55"/>
      <c r="X1511" s="55"/>
      <c r="Y1511" s="55"/>
      <c r="Z1511" s="55"/>
      <c r="AA1511" s="55"/>
      <c r="AB1511" s="55"/>
      <c r="AC1511" s="56"/>
      <c r="AD1511" s="55"/>
      <c r="AE1511" s="55"/>
      <c r="AF1511" s="55"/>
      <c r="AG1511" s="55"/>
      <c r="AH1511" s="56"/>
      <c r="AI1511" s="55"/>
      <c r="AJ1511" s="55"/>
      <c r="AK1511" s="56"/>
      <c r="AL1511" s="56"/>
    </row>
    <row r="1512" spans="1:38" ht="15.75" thickBot="1" x14ac:dyDescent="0.3">
      <c r="A1512" s="51"/>
      <c r="B1512" s="51"/>
      <c r="C1512" s="51"/>
      <c r="D1512" s="51"/>
      <c r="E1512" s="51"/>
      <c r="F1512" s="51"/>
      <c r="G1512" s="56"/>
      <c r="H1512" s="55"/>
      <c r="I1512" s="55"/>
      <c r="J1512" s="55"/>
      <c r="K1512" s="56"/>
      <c r="L1512" s="55"/>
      <c r="M1512" s="55"/>
      <c r="N1512" s="55"/>
      <c r="O1512" s="55"/>
      <c r="P1512" s="55"/>
      <c r="Q1512" s="55"/>
      <c r="R1512" s="55"/>
      <c r="S1512" s="55"/>
      <c r="T1512" s="55"/>
      <c r="U1512" s="55"/>
      <c r="V1512" s="55"/>
      <c r="W1512" s="55"/>
      <c r="X1512" s="55"/>
      <c r="Y1512" s="55"/>
      <c r="Z1512" s="55"/>
      <c r="AA1512" s="55"/>
      <c r="AB1512" s="55"/>
      <c r="AC1512" s="55"/>
      <c r="AD1512" s="55"/>
      <c r="AE1512" s="55"/>
      <c r="AF1512" s="55"/>
      <c r="AG1512" s="55"/>
      <c r="AH1512" s="56"/>
      <c r="AI1512" s="55"/>
      <c r="AJ1512" s="55"/>
      <c r="AK1512" s="56"/>
      <c r="AL1512" s="56"/>
    </row>
    <row r="1513" spans="1:38" ht="15.75" thickBot="1" x14ac:dyDescent="0.3">
      <c r="A1513" s="51"/>
      <c r="B1513" s="51"/>
      <c r="C1513" s="51"/>
      <c r="D1513" s="51"/>
      <c r="E1513" s="51"/>
      <c r="F1513" s="51"/>
      <c r="G1513" s="54"/>
      <c r="H1513" s="53"/>
      <c r="I1513" s="53"/>
      <c r="J1513" s="53"/>
      <c r="K1513" s="54"/>
      <c r="L1513" s="53"/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  <c r="AD1513" s="53"/>
      <c r="AE1513" s="53"/>
      <c r="AF1513" s="53"/>
      <c r="AG1513" s="53"/>
      <c r="AH1513" s="54"/>
      <c r="AI1513" s="53"/>
      <c r="AJ1513" s="53"/>
      <c r="AK1513" s="54"/>
      <c r="AL1513" s="54"/>
    </row>
    <row r="1514" spans="1:38" ht="15.75" thickBot="1" x14ac:dyDescent="0.3">
      <c r="A1514" s="51"/>
      <c r="B1514" s="51"/>
      <c r="C1514" s="51"/>
      <c r="D1514" s="51"/>
      <c r="E1514" s="51"/>
      <c r="F1514" s="51"/>
      <c r="G1514" s="56"/>
      <c r="H1514" s="56"/>
      <c r="I1514" s="55"/>
      <c r="J1514" s="55"/>
      <c r="K1514" s="55"/>
      <c r="L1514" s="55"/>
      <c r="M1514" s="56"/>
      <c r="N1514" s="55"/>
      <c r="O1514" s="55"/>
      <c r="P1514" s="55"/>
      <c r="Q1514" s="55"/>
      <c r="R1514" s="55"/>
      <c r="S1514" s="55"/>
      <c r="T1514" s="55"/>
      <c r="U1514" s="55"/>
      <c r="V1514" s="55"/>
      <c r="W1514" s="55"/>
      <c r="X1514" s="55"/>
      <c r="Y1514" s="55"/>
      <c r="Z1514" s="55"/>
      <c r="AA1514" s="55"/>
      <c r="AB1514" s="55"/>
      <c r="AC1514" s="55"/>
      <c r="AD1514" s="55"/>
      <c r="AE1514" s="55"/>
      <c r="AF1514" s="55"/>
      <c r="AG1514" s="55"/>
      <c r="AH1514" s="56"/>
      <c r="AI1514" s="55"/>
      <c r="AJ1514" s="55"/>
      <c r="AK1514" s="56"/>
      <c r="AL1514" s="56"/>
    </row>
    <row r="1515" spans="1:38" ht="15.75" thickBot="1" x14ac:dyDescent="0.3">
      <c r="A1515" s="51"/>
      <c r="B1515" s="51"/>
      <c r="C1515" s="51"/>
      <c r="D1515" s="51"/>
      <c r="E1515" s="51"/>
      <c r="F1515" s="51"/>
      <c r="G1515" s="54"/>
      <c r="H1515" s="147"/>
      <c r="I1515" s="53"/>
      <c r="J1515" s="53"/>
      <c r="K1515" s="53"/>
      <c r="L1515" s="53"/>
      <c r="M1515" s="54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  <c r="AE1515" s="53"/>
      <c r="AF1515" s="53"/>
      <c r="AG1515" s="53"/>
      <c r="AH1515" s="54"/>
      <c r="AI1515" s="53"/>
      <c r="AJ1515" s="53"/>
      <c r="AK1515" s="54"/>
      <c r="AL1515" s="54"/>
    </row>
    <row r="1516" spans="1:38" ht="15.75" thickBot="1" x14ac:dyDescent="0.3">
      <c r="A1516" s="51"/>
      <c r="B1516" s="51"/>
      <c r="C1516" s="51"/>
      <c r="D1516" s="51"/>
      <c r="E1516" s="51"/>
      <c r="F1516" s="51"/>
      <c r="G1516" s="56"/>
      <c r="H1516" s="55"/>
      <c r="I1516" s="55"/>
      <c r="J1516" s="55"/>
      <c r="K1516" s="55"/>
      <c r="L1516" s="55"/>
      <c r="M1516" s="55"/>
      <c r="N1516" s="55"/>
      <c r="O1516" s="55"/>
      <c r="P1516" s="55"/>
      <c r="Q1516" s="56"/>
      <c r="R1516" s="55"/>
      <c r="S1516" s="55"/>
      <c r="T1516" s="55"/>
      <c r="U1516" s="55"/>
      <c r="V1516" s="55"/>
      <c r="W1516" s="55"/>
      <c r="X1516" s="55"/>
      <c r="Y1516" s="55"/>
      <c r="Z1516" s="55"/>
      <c r="AA1516" s="55"/>
      <c r="AB1516" s="55"/>
      <c r="AC1516" s="55"/>
      <c r="AD1516" s="55"/>
      <c r="AE1516" s="55"/>
      <c r="AF1516" s="55"/>
      <c r="AG1516" s="55"/>
      <c r="AH1516" s="56"/>
      <c r="AI1516" s="55"/>
      <c r="AJ1516" s="55"/>
      <c r="AK1516" s="56"/>
      <c r="AL1516" s="56"/>
    </row>
    <row r="1517" spans="1:38" ht="15.75" thickBot="1" x14ac:dyDescent="0.3">
      <c r="A1517" s="51"/>
      <c r="B1517" s="51"/>
      <c r="C1517" s="51"/>
      <c r="D1517" s="51"/>
      <c r="E1517" s="51"/>
      <c r="F1517" s="51"/>
      <c r="G1517" s="54"/>
      <c r="H1517" s="53"/>
      <c r="I1517" s="53"/>
      <c r="J1517" s="53"/>
      <c r="K1517" s="53"/>
      <c r="L1517" s="53"/>
      <c r="M1517" s="53"/>
      <c r="N1517" s="53"/>
      <c r="O1517" s="53"/>
      <c r="P1517" s="53"/>
      <c r="Q1517" s="54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3"/>
      <c r="AD1517" s="53"/>
      <c r="AE1517" s="53"/>
      <c r="AF1517" s="53"/>
      <c r="AG1517" s="53"/>
      <c r="AH1517" s="54"/>
      <c r="AI1517" s="53"/>
      <c r="AJ1517" s="53"/>
      <c r="AK1517" s="54"/>
      <c r="AL1517" s="54"/>
    </row>
    <row r="1518" spans="1:38" ht="15.75" thickBot="1" x14ac:dyDescent="0.3">
      <c r="A1518" s="51"/>
      <c r="B1518" s="51"/>
      <c r="C1518" s="51"/>
      <c r="D1518" s="51"/>
      <c r="E1518" s="51"/>
      <c r="F1518" s="51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/>
      <c r="Q1518" s="55"/>
      <c r="R1518" s="55"/>
      <c r="S1518" s="55"/>
      <c r="T1518" s="55"/>
      <c r="U1518" s="55"/>
      <c r="V1518" s="55"/>
      <c r="W1518" s="55"/>
      <c r="X1518" s="55"/>
      <c r="Y1518" s="55"/>
      <c r="Z1518" s="55"/>
      <c r="AA1518" s="55"/>
      <c r="AB1518" s="55"/>
      <c r="AC1518" s="55"/>
      <c r="AD1518" s="55"/>
      <c r="AE1518" s="55"/>
      <c r="AF1518" s="56"/>
      <c r="AG1518" s="55"/>
      <c r="AH1518" s="56"/>
      <c r="AI1518" s="55"/>
      <c r="AJ1518" s="55"/>
      <c r="AK1518" s="56"/>
      <c r="AL1518" s="56"/>
    </row>
    <row r="1519" spans="1:38" ht="15.75" thickBot="1" x14ac:dyDescent="0.3">
      <c r="A1519" s="51"/>
      <c r="B1519" s="51"/>
      <c r="C1519" s="51"/>
      <c r="D1519" s="51"/>
      <c r="E1519" s="51"/>
      <c r="F1519" s="51"/>
      <c r="G1519" s="53"/>
      <c r="H1519" s="53"/>
      <c r="I1519" s="53"/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  <c r="AB1519" s="53"/>
      <c r="AC1519" s="53"/>
      <c r="AD1519" s="53"/>
      <c r="AE1519" s="53"/>
      <c r="AF1519" s="54"/>
      <c r="AG1519" s="53"/>
      <c r="AH1519" s="54"/>
      <c r="AI1519" s="53"/>
      <c r="AJ1519" s="53"/>
      <c r="AK1519" s="54"/>
      <c r="AL1519" s="54"/>
    </row>
    <row r="1520" spans="1:38" ht="15.75" thickBot="1" x14ac:dyDescent="0.3">
      <c r="A1520" s="51"/>
      <c r="B1520" s="51"/>
      <c r="C1520" s="51"/>
      <c r="D1520" s="51"/>
      <c r="E1520" s="51"/>
      <c r="F1520" s="51"/>
      <c r="G1520" s="56"/>
      <c r="H1520" s="55"/>
      <c r="I1520" s="55"/>
      <c r="J1520" s="55"/>
      <c r="K1520" s="55"/>
      <c r="L1520" s="55"/>
      <c r="M1520" s="55"/>
      <c r="N1520" s="55"/>
      <c r="O1520" s="55"/>
      <c r="P1520" s="55"/>
      <c r="Q1520" s="55"/>
      <c r="R1520" s="55"/>
      <c r="S1520" s="55"/>
      <c r="T1520" s="55"/>
      <c r="U1520" s="55"/>
      <c r="V1520" s="55"/>
      <c r="W1520" s="55"/>
      <c r="X1520" s="55"/>
      <c r="Y1520" s="55"/>
      <c r="Z1520" s="56"/>
      <c r="AA1520" s="55"/>
      <c r="AB1520" s="55"/>
      <c r="AC1520" s="55"/>
      <c r="AD1520" s="55"/>
      <c r="AE1520" s="55"/>
      <c r="AF1520" s="55"/>
      <c r="AG1520" s="55"/>
      <c r="AH1520" s="56"/>
      <c r="AI1520" s="55"/>
      <c r="AJ1520" s="55"/>
      <c r="AK1520" s="56"/>
      <c r="AL1520" s="56"/>
    </row>
    <row r="1521" spans="1:38" ht="15.75" thickBot="1" x14ac:dyDescent="0.3">
      <c r="A1521" s="51"/>
      <c r="B1521" s="51"/>
      <c r="C1521" s="51"/>
      <c r="D1521" s="51"/>
      <c r="E1521" s="51"/>
      <c r="F1521" s="51"/>
      <c r="G1521" s="54"/>
      <c r="H1521" s="53"/>
      <c r="I1521" s="53"/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3"/>
      <c r="U1521" s="53"/>
      <c r="V1521" s="53"/>
      <c r="W1521" s="53"/>
      <c r="X1521" s="53"/>
      <c r="Y1521" s="53"/>
      <c r="Z1521" s="54"/>
      <c r="AA1521" s="53"/>
      <c r="AB1521" s="53"/>
      <c r="AC1521" s="53"/>
      <c r="AD1521" s="53"/>
      <c r="AE1521" s="53"/>
      <c r="AF1521" s="53"/>
      <c r="AG1521" s="53"/>
      <c r="AH1521" s="54"/>
      <c r="AI1521" s="53"/>
      <c r="AJ1521" s="53"/>
      <c r="AK1521" s="54"/>
      <c r="AL1521" s="54"/>
    </row>
    <row r="1522" spans="1:38" ht="15.75" thickBot="1" x14ac:dyDescent="0.3">
      <c r="A1522" s="51"/>
      <c r="B1522" s="51"/>
      <c r="C1522" s="51"/>
      <c r="D1522" s="51"/>
      <c r="E1522" s="51"/>
      <c r="F1522" s="51"/>
      <c r="G1522" s="56"/>
      <c r="H1522" s="55"/>
      <c r="I1522" s="55"/>
      <c r="J1522" s="55"/>
      <c r="K1522" s="55"/>
      <c r="L1522" s="55"/>
      <c r="M1522" s="55"/>
      <c r="N1522" s="55"/>
      <c r="O1522" s="55"/>
      <c r="P1522" s="55"/>
      <c r="Q1522" s="55"/>
      <c r="R1522" s="55"/>
      <c r="S1522" s="55"/>
      <c r="T1522" s="55"/>
      <c r="U1522" s="55"/>
      <c r="V1522" s="55"/>
      <c r="W1522" s="55"/>
      <c r="X1522" s="55"/>
      <c r="Y1522" s="55"/>
      <c r="Z1522" s="55"/>
      <c r="AA1522" s="56"/>
      <c r="AB1522" s="55"/>
      <c r="AC1522" s="55"/>
      <c r="AD1522" s="55"/>
      <c r="AE1522" s="55"/>
      <c r="AF1522" s="55"/>
      <c r="AG1522" s="55"/>
      <c r="AH1522" s="56"/>
      <c r="AI1522" s="55"/>
      <c r="AJ1522" s="55"/>
      <c r="AK1522" s="56"/>
      <c r="AL1522" s="56"/>
    </row>
    <row r="1523" spans="1:38" ht="15.75" thickBot="1" x14ac:dyDescent="0.3">
      <c r="A1523" s="51"/>
      <c r="B1523" s="51"/>
      <c r="C1523" s="51"/>
      <c r="D1523" s="51"/>
      <c r="E1523" s="51"/>
      <c r="F1523" s="51"/>
      <c r="G1523" s="54"/>
      <c r="H1523" s="53"/>
      <c r="I1523" s="53"/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4"/>
      <c r="AB1523" s="53"/>
      <c r="AC1523" s="53"/>
      <c r="AD1523" s="53"/>
      <c r="AE1523" s="53"/>
      <c r="AF1523" s="53"/>
      <c r="AG1523" s="53"/>
      <c r="AH1523" s="54"/>
      <c r="AI1523" s="53"/>
      <c r="AJ1523" s="53"/>
      <c r="AK1523" s="54"/>
      <c r="AL1523" s="54"/>
    </row>
    <row r="1524" spans="1:38" ht="15.75" thickBot="1" x14ac:dyDescent="0.3">
      <c r="A1524" s="51"/>
      <c r="B1524" s="51"/>
      <c r="C1524" s="51"/>
      <c r="D1524" s="51"/>
      <c r="E1524" s="51"/>
      <c r="F1524" s="51"/>
      <c r="G1524" s="56"/>
      <c r="H1524" s="55"/>
      <c r="I1524" s="55"/>
      <c r="J1524" s="55"/>
      <c r="K1524" s="55"/>
      <c r="L1524" s="55"/>
      <c r="M1524" s="55"/>
      <c r="N1524" s="55"/>
      <c r="O1524" s="55"/>
      <c r="P1524" s="55"/>
      <c r="Q1524" s="55"/>
      <c r="R1524" s="56"/>
      <c r="S1524" s="55"/>
      <c r="T1524" s="55"/>
      <c r="U1524" s="55"/>
      <c r="V1524" s="55"/>
      <c r="W1524" s="55"/>
      <c r="X1524" s="55"/>
      <c r="Y1524" s="55"/>
      <c r="Z1524" s="55"/>
      <c r="AA1524" s="55"/>
      <c r="AB1524" s="55"/>
      <c r="AC1524" s="55"/>
      <c r="AD1524" s="55"/>
      <c r="AE1524" s="55"/>
      <c r="AF1524" s="55"/>
      <c r="AG1524" s="55"/>
      <c r="AH1524" s="56"/>
      <c r="AI1524" s="55"/>
      <c r="AJ1524" s="55"/>
      <c r="AK1524" s="56"/>
      <c r="AL1524" s="56"/>
    </row>
    <row r="1525" spans="1:38" ht="15.75" thickBot="1" x14ac:dyDescent="0.3">
      <c r="A1525" s="51"/>
      <c r="B1525" s="51"/>
      <c r="C1525" s="51"/>
      <c r="D1525" s="51"/>
      <c r="E1525" s="51"/>
      <c r="F1525" s="51"/>
      <c r="G1525" s="54"/>
      <c r="H1525" s="53"/>
      <c r="I1525" s="53"/>
      <c r="J1525" s="53"/>
      <c r="K1525" s="53"/>
      <c r="L1525" s="53"/>
      <c r="M1525" s="53"/>
      <c r="N1525" s="53"/>
      <c r="O1525" s="53"/>
      <c r="P1525" s="53"/>
      <c r="Q1525" s="53"/>
      <c r="R1525" s="54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  <c r="AD1525" s="53"/>
      <c r="AE1525" s="53"/>
      <c r="AF1525" s="53"/>
      <c r="AG1525" s="53"/>
      <c r="AH1525" s="54"/>
      <c r="AI1525" s="53"/>
      <c r="AJ1525" s="53"/>
      <c r="AK1525" s="54"/>
      <c r="AL1525" s="54"/>
    </row>
    <row r="1526" spans="1:38" ht="15.75" thickBot="1" x14ac:dyDescent="0.3">
      <c r="A1526" s="51"/>
      <c r="B1526" s="51"/>
      <c r="C1526" s="51"/>
      <c r="D1526" s="51"/>
      <c r="E1526" s="51"/>
      <c r="F1526" s="51"/>
      <c r="G1526" s="56"/>
      <c r="H1526" s="55"/>
      <c r="I1526" s="55"/>
      <c r="J1526" s="55"/>
      <c r="K1526" s="55"/>
      <c r="L1526" s="55"/>
      <c r="M1526" s="55"/>
      <c r="N1526" s="55"/>
      <c r="O1526" s="55"/>
      <c r="P1526" s="55"/>
      <c r="Q1526" s="55"/>
      <c r="R1526" s="55"/>
      <c r="S1526" s="55"/>
      <c r="T1526" s="55"/>
      <c r="U1526" s="55"/>
      <c r="V1526" s="55"/>
      <c r="W1526" s="55"/>
      <c r="X1526" s="55"/>
      <c r="Y1526" s="55"/>
      <c r="Z1526" s="55"/>
      <c r="AA1526" s="55"/>
      <c r="AB1526" s="55"/>
      <c r="AC1526" s="56"/>
      <c r="AD1526" s="55"/>
      <c r="AE1526" s="55"/>
      <c r="AF1526" s="55"/>
      <c r="AG1526" s="55"/>
      <c r="AH1526" s="56"/>
      <c r="AI1526" s="55"/>
      <c r="AJ1526" s="55"/>
      <c r="AK1526" s="56"/>
      <c r="AL1526" s="56"/>
    </row>
    <row r="1527" spans="1:38" ht="15.75" thickBot="1" x14ac:dyDescent="0.3">
      <c r="A1527" s="51"/>
      <c r="B1527" s="51"/>
      <c r="C1527" s="51"/>
      <c r="D1527" s="51"/>
      <c r="E1527" s="51"/>
      <c r="F1527" s="51"/>
      <c r="G1527" s="54"/>
      <c r="H1527" s="53"/>
      <c r="I1527" s="53"/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4"/>
      <c r="AD1527" s="53"/>
      <c r="AE1527" s="53"/>
      <c r="AF1527" s="53"/>
      <c r="AG1527" s="53"/>
      <c r="AH1527" s="54"/>
      <c r="AI1527" s="53"/>
      <c r="AJ1527" s="53"/>
      <c r="AK1527" s="54"/>
      <c r="AL1527" s="54"/>
    </row>
    <row r="1528" spans="1:38" ht="15.75" thickBot="1" x14ac:dyDescent="0.3">
      <c r="A1528" s="51"/>
      <c r="B1528" s="51"/>
      <c r="C1528" s="51"/>
      <c r="D1528" s="51"/>
      <c r="E1528" s="51"/>
      <c r="F1528" s="51"/>
      <c r="G1528" s="56"/>
      <c r="H1528" s="55"/>
      <c r="I1528" s="55"/>
      <c r="J1528" s="55"/>
      <c r="K1528" s="55"/>
      <c r="L1528" s="55"/>
      <c r="M1528" s="55"/>
      <c r="N1528" s="55"/>
      <c r="O1528" s="55"/>
      <c r="P1528" s="55"/>
      <c r="Q1528" s="55"/>
      <c r="R1528" s="55"/>
      <c r="S1528" s="55"/>
      <c r="T1528" s="55"/>
      <c r="U1528" s="55"/>
      <c r="V1528" s="55"/>
      <c r="W1528" s="55"/>
      <c r="X1528" s="55"/>
      <c r="Y1528" s="55"/>
      <c r="Z1528" s="55"/>
      <c r="AA1528" s="55"/>
      <c r="AB1528" s="56"/>
      <c r="AC1528" s="55"/>
      <c r="AD1528" s="55"/>
      <c r="AE1528" s="55"/>
      <c r="AF1528" s="55"/>
      <c r="AG1528" s="55"/>
      <c r="AH1528" s="56"/>
      <c r="AI1528" s="55"/>
      <c r="AJ1528" s="55"/>
      <c r="AK1528" s="56"/>
      <c r="AL1528" s="56"/>
    </row>
    <row r="1529" spans="1:38" ht="15.75" thickBot="1" x14ac:dyDescent="0.3">
      <c r="A1529" s="51"/>
      <c r="B1529" s="51"/>
      <c r="C1529" s="51"/>
      <c r="D1529" s="51"/>
      <c r="E1529" s="51"/>
      <c r="F1529" s="51"/>
      <c r="G1529" s="54"/>
      <c r="H1529" s="53"/>
      <c r="I1529" s="53"/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54"/>
      <c r="AC1529" s="53"/>
      <c r="AD1529" s="53"/>
      <c r="AE1529" s="53"/>
      <c r="AF1529" s="53"/>
      <c r="AG1529" s="53"/>
      <c r="AH1529" s="54"/>
      <c r="AI1529" s="53"/>
      <c r="AJ1529" s="53"/>
      <c r="AK1529" s="54"/>
      <c r="AL1529" s="54"/>
    </row>
    <row r="1530" spans="1:38" ht="15.75" thickBot="1" x14ac:dyDescent="0.3">
      <c r="A1530" s="51"/>
      <c r="B1530" s="51"/>
      <c r="C1530" s="51"/>
      <c r="D1530" s="51"/>
      <c r="E1530" s="51"/>
      <c r="F1530" s="51"/>
      <c r="G1530" s="56"/>
      <c r="H1530" s="55"/>
      <c r="I1530" s="55"/>
      <c r="J1530" s="55"/>
      <c r="K1530" s="56"/>
      <c r="L1530" s="55"/>
      <c r="M1530" s="55"/>
      <c r="N1530" s="55"/>
      <c r="O1530" s="55"/>
      <c r="P1530" s="55"/>
      <c r="Q1530" s="55"/>
      <c r="R1530" s="55"/>
      <c r="S1530" s="55"/>
      <c r="T1530" s="55"/>
      <c r="U1530" s="55"/>
      <c r="V1530" s="55"/>
      <c r="W1530" s="55"/>
      <c r="X1530" s="55"/>
      <c r="Y1530" s="55"/>
      <c r="Z1530" s="55"/>
      <c r="AA1530" s="55"/>
      <c r="AB1530" s="55"/>
      <c r="AC1530" s="55"/>
      <c r="AD1530" s="55"/>
      <c r="AE1530" s="55"/>
      <c r="AF1530" s="55"/>
      <c r="AG1530" s="55"/>
      <c r="AH1530" s="56"/>
      <c r="AI1530" s="55"/>
      <c r="AJ1530" s="55"/>
      <c r="AK1530" s="56"/>
      <c r="AL1530" s="56"/>
    </row>
    <row r="1531" spans="1:38" ht="15.75" thickBot="1" x14ac:dyDescent="0.3">
      <c r="A1531" s="51"/>
      <c r="B1531" s="51"/>
      <c r="C1531" s="51"/>
      <c r="D1531" s="51"/>
      <c r="E1531" s="51"/>
      <c r="F1531" s="51"/>
      <c r="G1531" s="54"/>
      <c r="H1531" s="53"/>
      <c r="I1531" s="53"/>
      <c r="J1531" s="53"/>
      <c r="K1531" s="54"/>
      <c r="L1531" s="53"/>
      <c r="M1531" s="53"/>
      <c r="N1531" s="53"/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D1531" s="53"/>
      <c r="AE1531" s="53"/>
      <c r="AF1531" s="53"/>
      <c r="AG1531" s="53"/>
      <c r="AH1531" s="54"/>
      <c r="AI1531" s="53"/>
      <c r="AJ1531" s="53"/>
      <c r="AK1531" s="54"/>
      <c r="AL1531" s="54"/>
    </row>
    <row r="1532" spans="1:38" ht="15.75" thickBot="1" x14ac:dyDescent="0.3">
      <c r="A1532" s="51"/>
      <c r="B1532" s="51"/>
      <c r="C1532" s="51"/>
      <c r="D1532" s="51"/>
      <c r="E1532" s="51"/>
      <c r="F1532" s="51"/>
      <c r="G1532" s="56"/>
      <c r="H1532" s="56"/>
      <c r="I1532" s="55"/>
      <c r="J1532" s="55"/>
      <c r="K1532" s="55"/>
      <c r="L1532" s="55"/>
      <c r="M1532" s="56"/>
      <c r="N1532" s="55"/>
      <c r="O1532" s="55"/>
      <c r="P1532" s="55"/>
      <c r="Q1532" s="55"/>
      <c r="R1532" s="55"/>
      <c r="S1532" s="55"/>
      <c r="T1532" s="55"/>
      <c r="U1532" s="55"/>
      <c r="V1532" s="55"/>
      <c r="W1532" s="55"/>
      <c r="X1532" s="55"/>
      <c r="Y1532" s="55"/>
      <c r="Z1532" s="55"/>
      <c r="AA1532" s="55"/>
      <c r="AB1532" s="55"/>
      <c r="AC1532" s="55"/>
      <c r="AD1532" s="55"/>
      <c r="AE1532" s="55"/>
      <c r="AF1532" s="55"/>
      <c r="AG1532" s="55"/>
      <c r="AH1532" s="56"/>
      <c r="AI1532" s="55"/>
      <c r="AJ1532" s="55"/>
      <c r="AK1532" s="56"/>
      <c r="AL1532" s="56"/>
    </row>
    <row r="1533" spans="1:38" ht="15.75" thickBot="1" x14ac:dyDescent="0.3">
      <c r="A1533" s="51"/>
      <c r="B1533" s="51"/>
      <c r="C1533" s="51"/>
      <c r="D1533" s="51"/>
      <c r="E1533" s="51"/>
      <c r="F1533" s="51"/>
      <c r="G1533" s="54"/>
      <c r="H1533" s="147"/>
      <c r="I1533" s="53"/>
      <c r="J1533" s="53"/>
      <c r="K1533" s="53"/>
      <c r="L1533" s="53"/>
      <c r="M1533" s="54"/>
      <c r="N1533" s="53"/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3"/>
      <c r="AD1533" s="53"/>
      <c r="AE1533" s="53"/>
      <c r="AF1533" s="53"/>
      <c r="AG1533" s="53"/>
      <c r="AH1533" s="54"/>
      <c r="AI1533" s="53"/>
      <c r="AJ1533" s="53"/>
      <c r="AK1533" s="54"/>
      <c r="AL1533" s="54"/>
    </row>
    <row r="1534" spans="1:38" ht="15.75" thickBot="1" x14ac:dyDescent="0.3">
      <c r="A1534" s="51"/>
      <c r="B1534" s="51"/>
      <c r="C1534" s="51"/>
      <c r="D1534" s="51"/>
      <c r="E1534" s="51"/>
      <c r="F1534" s="51"/>
      <c r="G1534" s="56"/>
      <c r="H1534" s="55"/>
      <c r="I1534" s="55"/>
      <c r="J1534" s="55"/>
      <c r="K1534" s="55"/>
      <c r="L1534" s="55"/>
      <c r="M1534" s="55"/>
      <c r="N1534" s="55"/>
      <c r="O1534" s="55"/>
      <c r="P1534" s="55"/>
      <c r="Q1534" s="56"/>
      <c r="R1534" s="55"/>
      <c r="S1534" s="55"/>
      <c r="T1534" s="55"/>
      <c r="U1534" s="55"/>
      <c r="V1534" s="55"/>
      <c r="W1534" s="55"/>
      <c r="X1534" s="55"/>
      <c r="Y1534" s="55"/>
      <c r="Z1534" s="55"/>
      <c r="AA1534" s="55"/>
      <c r="AB1534" s="55"/>
      <c r="AC1534" s="55"/>
      <c r="AD1534" s="55"/>
      <c r="AE1534" s="55"/>
      <c r="AF1534" s="55"/>
      <c r="AG1534" s="55"/>
      <c r="AH1534" s="56"/>
      <c r="AI1534" s="55"/>
      <c r="AJ1534" s="55"/>
      <c r="AK1534" s="56"/>
      <c r="AL1534" s="56"/>
    </row>
    <row r="1535" spans="1:38" ht="15.75" thickBot="1" x14ac:dyDescent="0.3">
      <c r="A1535" s="51"/>
      <c r="B1535" s="51"/>
      <c r="C1535" s="51"/>
      <c r="D1535" s="51"/>
      <c r="E1535" s="51"/>
      <c r="F1535" s="51"/>
      <c r="G1535" s="54"/>
      <c r="H1535" s="53"/>
      <c r="I1535" s="53"/>
      <c r="J1535" s="53"/>
      <c r="K1535" s="53"/>
      <c r="L1535" s="53"/>
      <c r="M1535" s="53"/>
      <c r="N1535" s="53"/>
      <c r="O1535" s="53"/>
      <c r="P1535" s="53"/>
      <c r="Q1535" s="54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3"/>
      <c r="AD1535" s="53"/>
      <c r="AE1535" s="53"/>
      <c r="AF1535" s="53"/>
      <c r="AG1535" s="53"/>
      <c r="AH1535" s="54"/>
      <c r="AI1535" s="53"/>
      <c r="AJ1535" s="53"/>
      <c r="AK1535" s="54"/>
      <c r="AL1535" s="54"/>
    </row>
    <row r="1536" spans="1:38" ht="15.75" thickBot="1" x14ac:dyDescent="0.3">
      <c r="A1536" s="51"/>
      <c r="B1536" s="51"/>
      <c r="C1536" s="51"/>
      <c r="D1536" s="51"/>
      <c r="E1536" s="51"/>
      <c r="F1536" s="51"/>
      <c r="G1536" s="55"/>
      <c r="H1536" s="55"/>
      <c r="I1536" s="55"/>
      <c r="J1536" s="55"/>
      <c r="K1536" s="55"/>
      <c r="L1536" s="55"/>
      <c r="M1536" s="55"/>
      <c r="N1536" s="55"/>
      <c r="O1536" s="55"/>
      <c r="P1536" s="55"/>
      <c r="Q1536" s="55"/>
      <c r="R1536" s="55"/>
      <c r="S1536" s="55"/>
      <c r="T1536" s="55"/>
      <c r="U1536" s="55"/>
      <c r="V1536" s="55"/>
      <c r="W1536" s="55"/>
      <c r="X1536" s="55"/>
      <c r="Y1536" s="55"/>
      <c r="Z1536" s="55"/>
      <c r="AA1536" s="55"/>
      <c r="AB1536" s="55"/>
      <c r="AC1536" s="55"/>
      <c r="AD1536" s="55"/>
      <c r="AE1536" s="55"/>
      <c r="AF1536" s="56"/>
      <c r="AG1536" s="55"/>
      <c r="AH1536" s="56"/>
      <c r="AI1536" s="55"/>
      <c r="AJ1536" s="55"/>
      <c r="AK1536" s="56"/>
      <c r="AL1536" s="56"/>
    </row>
    <row r="1537" spans="1:38" ht="15.75" thickBot="1" x14ac:dyDescent="0.3">
      <c r="A1537" s="51"/>
      <c r="B1537" s="51"/>
      <c r="C1537" s="51"/>
      <c r="D1537" s="51"/>
      <c r="E1537" s="51"/>
      <c r="F1537" s="51"/>
      <c r="G1537" s="53"/>
      <c r="H1537" s="53"/>
      <c r="I1537" s="53"/>
      <c r="J1537" s="53"/>
      <c r="K1537" s="53"/>
      <c r="L1537" s="53"/>
      <c r="M1537" s="53"/>
      <c r="N1537" s="53"/>
      <c r="O1537" s="53"/>
      <c r="P1537" s="53"/>
      <c r="Q1537" s="53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3"/>
      <c r="AD1537" s="53"/>
      <c r="AE1537" s="53"/>
      <c r="AF1537" s="54"/>
      <c r="AG1537" s="53"/>
      <c r="AH1537" s="54"/>
      <c r="AI1537" s="53"/>
      <c r="AJ1537" s="53"/>
      <c r="AK1537" s="54"/>
      <c r="AL1537" s="54"/>
    </row>
    <row r="1538" spans="1:38" ht="15.75" thickBot="1" x14ac:dyDescent="0.3">
      <c r="A1538" s="51"/>
      <c r="B1538" s="51"/>
      <c r="C1538" s="51"/>
      <c r="D1538" s="51"/>
      <c r="E1538" s="51"/>
      <c r="F1538" s="51"/>
      <c r="G1538" s="56"/>
      <c r="H1538" s="55"/>
      <c r="I1538" s="55"/>
      <c r="J1538" s="55"/>
      <c r="K1538" s="55"/>
      <c r="L1538" s="55"/>
      <c r="M1538" s="55"/>
      <c r="N1538" s="55"/>
      <c r="O1538" s="55"/>
      <c r="P1538" s="55"/>
      <c r="Q1538" s="55"/>
      <c r="R1538" s="55"/>
      <c r="S1538" s="55"/>
      <c r="T1538" s="55"/>
      <c r="U1538" s="55"/>
      <c r="V1538" s="55"/>
      <c r="W1538" s="55"/>
      <c r="X1538" s="55"/>
      <c r="Y1538" s="55"/>
      <c r="Z1538" s="56"/>
      <c r="AA1538" s="55"/>
      <c r="AB1538" s="55"/>
      <c r="AC1538" s="55"/>
      <c r="AD1538" s="55"/>
      <c r="AE1538" s="55"/>
      <c r="AF1538" s="55"/>
      <c r="AG1538" s="55"/>
      <c r="AH1538" s="56"/>
      <c r="AI1538" s="55"/>
      <c r="AJ1538" s="55"/>
      <c r="AK1538" s="56"/>
      <c r="AL1538" s="56"/>
    </row>
    <row r="1539" spans="1:38" ht="15.75" thickBot="1" x14ac:dyDescent="0.3">
      <c r="A1539" s="51"/>
      <c r="B1539" s="51"/>
      <c r="C1539" s="51"/>
      <c r="D1539" s="51"/>
      <c r="E1539" s="51"/>
      <c r="F1539" s="51"/>
      <c r="G1539" s="54"/>
      <c r="H1539" s="53"/>
      <c r="I1539" s="53"/>
      <c r="J1539" s="53"/>
      <c r="K1539" s="53"/>
      <c r="L1539" s="53"/>
      <c r="M1539" s="53"/>
      <c r="N1539" s="53"/>
      <c r="O1539" s="53"/>
      <c r="P1539" s="53"/>
      <c r="Q1539" s="53"/>
      <c r="R1539" s="53"/>
      <c r="S1539" s="53"/>
      <c r="T1539" s="53"/>
      <c r="U1539" s="53"/>
      <c r="V1539" s="53"/>
      <c r="W1539" s="53"/>
      <c r="X1539" s="53"/>
      <c r="Y1539" s="53"/>
      <c r="Z1539" s="54"/>
      <c r="AA1539" s="53"/>
      <c r="AB1539" s="53"/>
      <c r="AC1539" s="53"/>
      <c r="AD1539" s="53"/>
      <c r="AE1539" s="53"/>
      <c r="AF1539" s="53"/>
      <c r="AG1539" s="53"/>
      <c r="AH1539" s="54"/>
      <c r="AI1539" s="53"/>
      <c r="AJ1539" s="53"/>
      <c r="AK1539" s="54"/>
      <c r="AL1539" s="54"/>
    </row>
    <row r="1540" spans="1:38" ht="15.75" thickBot="1" x14ac:dyDescent="0.3">
      <c r="A1540" s="51"/>
      <c r="B1540" s="51"/>
      <c r="C1540" s="51"/>
      <c r="D1540" s="51"/>
      <c r="E1540" s="51"/>
      <c r="F1540" s="51"/>
      <c r="G1540" s="56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/>
      <c r="S1540" s="55"/>
      <c r="T1540" s="55"/>
      <c r="U1540" s="55"/>
      <c r="V1540" s="55"/>
      <c r="W1540" s="55"/>
      <c r="X1540" s="55"/>
      <c r="Y1540" s="55"/>
      <c r="Z1540" s="55"/>
      <c r="AA1540" s="56"/>
      <c r="AB1540" s="55"/>
      <c r="AC1540" s="55"/>
      <c r="AD1540" s="55"/>
      <c r="AE1540" s="55"/>
      <c r="AF1540" s="55"/>
      <c r="AG1540" s="55"/>
      <c r="AH1540" s="56"/>
      <c r="AI1540" s="55"/>
      <c r="AJ1540" s="55"/>
      <c r="AK1540" s="56"/>
      <c r="AL1540" s="56"/>
    </row>
    <row r="1541" spans="1:38" ht="15.75" thickBot="1" x14ac:dyDescent="0.3">
      <c r="A1541" s="51"/>
      <c r="B1541" s="51"/>
      <c r="C1541" s="51"/>
      <c r="D1541" s="51"/>
      <c r="E1541" s="51"/>
      <c r="F1541" s="51"/>
      <c r="G1541" s="54"/>
      <c r="H1541" s="53"/>
      <c r="I1541" s="53"/>
      <c r="J1541" s="53"/>
      <c r="K1541" s="53"/>
      <c r="L1541" s="53"/>
      <c r="M1541" s="53"/>
      <c r="N1541" s="53"/>
      <c r="O1541" s="53"/>
      <c r="P1541" s="53"/>
      <c r="Q1541" s="53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4"/>
      <c r="AB1541" s="53"/>
      <c r="AC1541" s="53"/>
      <c r="AD1541" s="53"/>
      <c r="AE1541" s="53"/>
      <c r="AF1541" s="53"/>
      <c r="AG1541" s="53"/>
      <c r="AH1541" s="54"/>
      <c r="AI1541" s="53"/>
      <c r="AJ1541" s="53"/>
      <c r="AK1541" s="54"/>
      <c r="AL1541" s="54"/>
    </row>
    <row r="1542" spans="1:38" ht="15.75" thickBot="1" x14ac:dyDescent="0.3">
      <c r="A1542" s="51"/>
      <c r="B1542" s="51"/>
      <c r="C1542" s="51"/>
      <c r="D1542" s="51"/>
      <c r="E1542" s="51"/>
      <c r="F1542" s="51"/>
      <c r="G1542" s="56"/>
      <c r="H1542" s="55"/>
      <c r="I1542" s="55"/>
      <c r="J1542" s="55"/>
      <c r="K1542" s="55"/>
      <c r="L1542" s="55"/>
      <c r="M1542" s="55"/>
      <c r="N1542" s="55"/>
      <c r="O1542" s="55"/>
      <c r="P1542" s="55"/>
      <c r="Q1542" s="55"/>
      <c r="R1542" s="56"/>
      <c r="S1542" s="55"/>
      <c r="T1542" s="55"/>
      <c r="U1542" s="55"/>
      <c r="V1542" s="55"/>
      <c r="W1542" s="55"/>
      <c r="X1542" s="55"/>
      <c r="Y1542" s="55"/>
      <c r="Z1542" s="55"/>
      <c r="AA1542" s="55"/>
      <c r="AB1542" s="55"/>
      <c r="AC1542" s="55"/>
      <c r="AD1542" s="55"/>
      <c r="AE1542" s="55"/>
      <c r="AF1542" s="55"/>
      <c r="AG1542" s="55"/>
      <c r="AH1542" s="56"/>
      <c r="AI1542" s="55"/>
      <c r="AJ1542" s="55"/>
      <c r="AK1542" s="56"/>
      <c r="AL1542" s="56"/>
    </row>
    <row r="1543" spans="1:38" ht="15.75" thickBot="1" x14ac:dyDescent="0.3">
      <c r="A1543" s="51"/>
      <c r="B1543" s="51"/>
      <c r="C1543" s="51"/>
      <c r="D1543" s="51"/>
      <c r="E1543" s="51"/>
      <c r="F1543" s="51"/>
      <c r="G1543" s="54"/>
      <c r="H1543" s="53"/>
      <c r="I1543" s="53"/>
      <c r="J1543" s="53"/>
      <c r="K1543" s="53"/>
      <c r="L1543" s="53"/>
      <c r="M1543" s="53"/>
      <c r="N1543" s="53"/>
      <c r="O1543" s="53"/>
      <c r="P1543" s="53"/>
      <c r="Q1543" s="53"/>
      <c r="R1543" s="54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3"/>
      <c r="AF1543" s="53"/>
      <c r="AG1543" s="53"/>
      <c r="AH1543" s="54"/>
      <c r="AI1543" s="53"/>
      <c r="AJ1543" s="53"/>
      <c r="AK1543" s="54"/>
      <c r="AL1543" s="54"/>
    </row>
    <row r="1544" spans="1:38" ht="15.75" thickBot="1" x14ac:dyDescent="0.3">
      <c r="A1544" s="51"/>
      <c r="B1544" s="51"/>
      <c r="C1544" s="51"/>
      <c r="D1544" s="51"/>
      <c r="E1544" s="51"/>
      <c r="F1544" s="51"/>
      <c r="G1544" s="56"/>
      <c r="H1544" s="55"/>
      <c r="I1544" s="55"/>
      <c r="J1544" s="55"/>
      <c r="K1544" s="55"/>
      <c r="L1544" s="55"/>
      <c r="M1544" s="55"/>
      <c r="N1544" s="55"/>
      <c r="O1544" s="55"/>
      <c r="P1544" s="55"/>
      <c r="Q1544" s="55"/>
      <c r="R1544" s="55"/>
      <c r="S1544" s="55"/>
      <c r="T1544" s="55"/>
      <c r="U1544" s="55"/>
      <c r="V1544" s="55"/>
      <c r="W1544" s="55"/>
      <c r="X1544" s="55"/>
      <c r="Y1544" s="55"/>
      <c r="Z1544" s="55"/>
      <c r="AA1544" s="55"/>
      <c r="AB1544" s="55"/>
      <c r="AC1544" s="56"/>
      <c r="AD1544" s="55"/>
      <c r="AE1544" s="55"/>
      <c r="AF1544" s="55"/>
      <c r="AG1544" s="55"/>
      <c r="AH1544" s="56"/>
      <c r="AI1544" s="55"/>
      <c r="AJ1544" s="55"/>
      <c r="AK1544" s="56"/>
      <c r="AL1544" s="56"/>
    </row>
    <row r="1545" spans="1:38" ht="15.75" thickBot="1" x14ac:dyDescent="0.3">
      <c r="A1545" s="51"/>
      <c r="B1545" s="51"/>
      <c r="C1545" s="51"/>
      <c r="D1545" s="51"/>
      <c r="E1545" s="51"/>
      <c r="F1545" s="51"/>
      <c r="G1545" s="54"/>
      <c r="H1545" s="53"/>
      <c r="I1545" s="53"/>
      <c r="J1545" s="53"/>
      <c r="K1545" s="53"/>
      <c r="L1545" s="53"/>
      <c r="M1545" s="53"/>
      <c r="N1545" s="53"/>
      <c r="O1545" s="53"/>
      <c r="P1545" s="53"/>
      <c r="Q1545" s="53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4"/>
      <c r="AD1545" s="53"/>
      <c r="AE1545" s="53"/>
      <c r="AF1545" s="53"/>
      <c r="AG1545" s="53"/>
      <c r="AH1545" s="54"/>
      <c r="AI1545" s="53"/>
      <c r="AJ1545" s="53"/>
      <c r="AK1545" s="54"/>
      <c r="AL1545" s="54"/>
    </row>
    <row r="1546" spans="1:38" ht="15.75" thickBot="1" x14ac:dyDescent="0.3">
      <c r="A1546" s="51"/>
      <c r="B1546" s="51"/>
      <c r="C1546" s="51"/>
      <c r="D1546" s="51"/>
      <c r="E1546" s="51"/>
      <c r="F1546" s="51"/>
      <c r="G1546" s="56"/>
      <c r="H1546" s="55"/>
      <c r="I1546" s="55"/>
      <c r="J1546" s="55"/>
      <c r="K1546" s="55"/>
      <c r="L1546" s="55"/>
      <c r="M1546" s="55"/>
      <c r="N1546" s="55"/>
      <c r="O1546" s="55"/>
      <c r="P1546" s="55"/>
      <c r="Q1546" s="55"/>
      <c r="R1546" s="55"/>
      <c r="S1546" s="55"/>
      <c r="T1546" s="55"/>
      <c r="U1546" s="55"/>
      <c r="V1546" s="55"/>
      <c r="W1546" s="55"/>
      <c r="X1546" s="55"/>
      <c r="Y1546" s="55"/>
      <c r="Z1546" s="55"/>
      <c r="AA1546" s="55"/>
      <c r="AB1546" s="56"/>
      <c r="AC1546" s="55"/>
      <c r="AD1546" s="55"/>
      <c r="AE1546" s="55"/>
      <c r="AF1546" s="55"/>
      <c r="AG1546" s="55"/>
      <c r="AH1546" s="56"/>
      <c r="AI1546" s="55"/>
      <c r="AJ1546" s="55"/>
      <c r="AK1546" s="56"/>
      <c r="AL1546" s="56"/>
    </row>
    <row r="1547" spans="1:38" ht="15.75" thickBot="1" x14ac:dyDescent="0.3">
      <c r="A1547" s="51"/>
      <c r="B1547" s="51"/>
      <c r="C1547" s="51"/>
      <c r="D1547" s="51"/>
      <c r="E1547" s="51"/>
      <c r="F1547" s="51"/>
      <c r="G1547" s="54"/>
      <c r="H1547" s="53"/>
      <c r="I1547" s="53"/>
      <c r="J1547" s="53"/>
      <c r="K1547" s="53"/>
      <c r="L1547" s="53"/>
      <c r="M1547" s="53"/>
      <c r="N1547" s="53"/>
      <c r="O1547" s="53"/>
      <c r="P1547" s="53"/>
      <c r="Q1547" s="53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4"/>
      <c r="AC1547" s="53"/>
      <c r="AD1547" s="53"/>
      <c r="AE1547" s="53"/>
      <c r="AF1547" s="53"/>
      <c r="AG1547" s="53"/>
      <c r="AH1547" s="54"/>
      <c r="AI1547" s="53"/>
      <c r="AJ1547" s="53"/>
      <c r="AK1547" s="54"/>
      <c r="AL1547" s="54"/>
    </row>
    <row r="1548" spans="1:38" ht="15.75" thickBot="1" x14ac:dyDescent="0.3">
      <c r="A1548" s="51"/>
      <c r="B1548" s="51"/>
      <c r="C1548" s="51"/>
      <c r="D1548" s="51"/>
      <c r="E1548" s="51"/>
      <c r="F1548" s="51"/>
      <c r="G1548" s="55"/>
      <c r="H1548" s="55"/>
      <c r="I1548" s="55"/>
      <c r="J1548" s="55"/>
      <c r="K1548" s="55"/>
      <c r="L1548" s="55"/>
      <c r="M1548" s="55"/>
      <c r="N1548" s="55"/>
      <c r="O1548" s="55"/>
      <c r="P1548" s="55"/>
      <c r="Q1548" s="55"/>
      <c r="R1548" s="55"/>
      <c r="S1548" s="55"/>
      <c r="T1548" s="55"/>
      <c r="U1548" s="55"/>
      <c r="V1548" s="55"/>
      <c r="W1548" s="55"/>
      <c r="X1548" s="55"/>
      <c r="Y1548" s="55"/>
      <c r="Z1548" s="55"/>
      <c r="AA1548" s="55"/>
      <c r="AB1548" s="55"/>
      <c r="AC1548" s="55"/>
      <c r="AD1548" s="55"/>
      <c r="AE1548" s="55"/>
      <c r="AF1548" s="55"/>
      <c r="AG1548" s="56"/>
      <c r="AH1548" s="56"/>
      <c r="AI1548" s="55"/>
      <c r="AJ1548" s="55"/>
      <c r="AK1548" s="56"/>
      <c r="AL1548" s="56"/>
    </row>
    <row r="1549" spans="1:38" ht="15.75" thickBot="1" x14ac:dyDescent="0.3">
      <c r="A1549" s="51"/>
      <c r="B1549" s="51"/>
      <c r="C1549" s="51"/>
      <c r="D1549" s="51"/>
      <c r="E1549" s="51"/>
      <c r="F1549" s="51"/>
      <c r="G1549" s="53"/>
      <c r="H1549" s="53"/>
      <c r="I1549" s="53"/>
      <c r="J1549" s="53"/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  <c r="AB1549" s="53"/>
      <c r="AC1549" s="53"/>
      <c r="AD1549" s="53"/>
      <c r="AE1549" s="53"/>
      <c r="AF1549" s="53"/>
      <c r="AG1549" s="54"/>
      <c r="AH1549" s="54"/>
      <c r="AI1549" s="53"/>
      <c r="AJ1549" s="53"/>
      <c r="AK1549" s="54"/>
      <c r="AL1549" s="54"/>
    </row>
    <row r="1550" spans="1:38" ht="15.75" thickBot="1" x14ac:dyDescent="0.3">
      <c r="A1550" s="51"/>
      <c r="B1550" s="51"/>
      <c r="C1550" s="51"/>
      <c r="D1550" s="51"/>
      <c r="E1550" s="51"/>
      <c r="F1550" s="51"/>
      <c r="G1550" s="56"/>
      <c r="H1550" s="55"/>
      <c r="I1550" s="55"/>
      <c r="J1550" s="55"/>
      <c r="K1550" s="56"/>
      <c r="L1550" s="55"/>
      <c r="M1550" s="55"/>
      <c r="N1550" s="55"/>
      <c r="O1550" s="55"/>
      <c r="P1550" s="55"/>
      <c r="Q1550" s="55"/>
      <c r="R1550" s="55"/>
      <c r="S1550" s="55"/>
      <c r="T1550" s="55"/>
      <c r="U1550" s="55"/>
      <c r="V1550" s="55"/>
      <c r="W1550" s="55"/>
      <c r="X1550" s="55"/>
      <c r="Y1550" s="55"/>
      <c r="Z1550" s="55"/>
      <c r="AA1550" s="55"/>
      <c r="AB1550" s="55"/>
      <c r="AC1550" s="55"/>
      <c r="AD1550" s="55"/>
      <c r="AE1550" s="55"/>
      <c r="AF1550" s="55"/>
      <c r="AG1550" s="55"/>
      <c r="AH1550" s="56"/>
      <c r="AI1550" s="55"/>
      <c r="AJ1550" s="55"/>
      <c r="AK1550" s="56"/>
      <c r="AL1550" s="56"/>
    </row>
    <row r="1551" spans="1:38" ht="15.75" thickBot="1" x14ac:dyDescent="0.3">
      <c r="A1551" s="51"/>
      <c r="B1551" s="51"/>
      <c r="C1551" s="51"/>
      <c r="D1551" s="51"/>
      <c r="E1551" s="51"/>
      <c r="F1551" s="51"/>
      <c r="G1551" s="54"/>
      <c r="H1551" s="53"/>
      <c r="I1551" s="53"/>
      <c r="J1551" s="53"/>
      <c r="K1551" s="54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  <c r="AB1551" s="53"/>
      <c r="AC1551" s="53"/>
      <c r="AD1551" s="53"/>
      <c r="AE1551" s="53"/>
      <c r="AF1551" s="53"/>
      <c r="AG1551" s="53"/>
      <c r="AH1551" s="54"/>
      <c r="AI1551" s="53"/>
      <c r="AJ1551" s="53"/>
      <c r="AK1551" s="54"/>
      <c r="AL1551" s="54"/>
    </row>
    <row r="1552" spans="1:38" ht="15.75" thickBot="1" x14ac:dyDescent="0.3">
      <c r="A1552" s="51"/>
      <c r="B1552" s="51"/>
      <c r="C1552" s="51"/>
      <c r="D1552" s="51"/>
      <c r="E1552" s="51"/>
      <c r="F1552" s="51"/>
      <c r="G1552" s="56"/>
      <c r="H1552" s="56"/>
      <c r="I1552" s="55"/>
      <c r="J1552" s="55"/>
      <c r="K1552" s="55"/>
      <c r="L1552" s="55"/>
      <c r="M1552" s="56"/>
      <c r="N1552" s="55"/>
      <c r="O1552" s="55"/>
      <c r="P1552" s="55"/>
      <c r="Q1552" s="55"/>
      <c r="R1552" s="55"/>
      <c r="S1552" s="55"/>
      <c r="T1552" s="55"/>
      <c r="U1552" s="55"/>
      <c r="V1552" s="55"/>
      <c r="W1552" s="55"/>
      <c r="X1552" s="55"/>
      <c r="Y1552" s="55"/>
      <c r="Z1552" s="55"/>
      <c r="AA1552" s="55"/>
      <c r="AB1552" s="55"/>
      <c r="AC1552" s="55"/>
      <c r="AD1552" s="55"/>
      <c r="AE1552" s="55"/>
      <c r="AF1552" s="55"/>
      <c r="AG1552" s="55"/>
      <c r="AH1552" s="56"/>
      <c r="AI1552" s="55"/>
      <c r="AJ1552" s="55"/>
      <c r="AK1552" s="56"/>
      <c r="AL1552" s="56"/>
    </row>
    <row r="1553" spans="1:38" ht="15.75" thickBot="1" x14ac:dyDescent="0.3">
      <c r="A1553" s="51"/>
      <c r="B1553" s="51"/>
      <c r="C1553" s="51"/>
      <c r="D1553" s="51"/>
      <c r="E1553" s="51"/>
      <c r="F1553" s="51"/>
      <c r="G1553" s="54"/>
      <c r="H1553" s="147"/>
      <c r="I1553" s="53"/>
      <c r="J1553" s="53"/>
      <c r="K1553" s="53"/>
      <c r="L1553" s="53"/>
      <c r="M1553" s="54"/>
      <c r="N1553" s="53"/>
      <c r="O1553" s="53"/>
      <c r="P1553" s="53"/>
      <c r="Q1553" s="53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  <c r="AB1553" s="53"/>
      <c r="AC1553" s="53"/>
      <c r="AD1553" s="53"/>
      <c r="AE1553" s="53"/>
      <c r="AF1553" s="53"/>
      <c r="AG1553" s="53"/>
      <c r="AH1553" s="54"/>
      <c r="AI1553" s="53"/>
      <c r="AJ1553" s="53"/>
      <c r="AK1553" s="54"/>
      <c r="AL1553" s="54"/>
    </row>
    <row r="1554" spans="1:38" ht="15.75" thickBot="1" x14ac:dyDescent="0.3">
      <c r="A1554" s="51"/>
      <c r="B1554" s="51"/>
      <c r="C1554" s="51"/>
      <c r="D1554" s="51"/>
      <c r="E1554" s="51"/>
      <c r="F1554" s="51"/>
      <c r="G1554" s="56"/>
      <c r="H1554" s="55"/>
      <c r="I1554" s="55"/>
      <c r="J1554" s="55"/>
      <c r="K1554" s="55"/>
      <c r="L1554" s="55"/>
      <c r="M1554" s="55"/>
      <c r="N1554" s="55"/>
      <c r="O1554" s="55"/>
      <c r="P1554" s="55"/>
      <c r="Q1554" s="56"/>
      <c r="R1554" s="55"/>
      <c r="S1554" s="55"/>
      <c r="T1554" s="55"/>
      <c r="U1554" s="55"/>
      <c r="V1554" s="55"/>
      <c r="W1554" s="55"/>
      <c r="X1554" s="55"/>
      <c r="Y1554" s="55"/>
      <c r="Z1554" s="55"/>
      <c r="AA1554" s="55"/>
      <c r="AB1554" s="55"/>
      <c r="AC1554" s="55"/>
      <c r="AD1554" s="55"/>
      <c r="AE1554" s="55"/>
      <c r="AF1554" s="55"/>
      <c r="AG1554" s="55"/>
      <c r="AH1554" s="56"/>
      <c r="AI1554" s="55"/>
      <c r="AJ1554" s="55"/>
      <c r="AK1554" s="56"/>
      <c r="AL1554" s="56"/>
    </row>
    <row r="1555" spans="1:38" ht="15.75" thickBot="1" x14ac:dyDescent="0.3">
      <c r="A1555" s="51"/>
      <c r="B1555" s="51"/>
      <c r="C1555" s="51"/>
      <c r="D1555" s="51"/>
      <c r="E1555" s="51"/>
      <c r="F1555" s="51"/>
      <c r="G1555" s="54"/>
      <c r="H1555" s="53"/>
      <c r="I1555" s="53"/>
      <c r="J1555" s="53"/>
      <c r="K1555" s="53"/>
      <c r="L1555" s="53"/>
      <c r="M1555" s="53"/>
      <c r="N1555" s="53"/>
      <c r="O1555" s="53"/>
      <c r="P1555" s="53"/>
      <c r="Q1555" s="54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  <c r="AB1555" s="53"/>
      <c r="AC1555" s="53"/>
      <c r="AD1555" s="53"/>
      <c r="AE1555" s="53"/>
      <c r="AF1555" s="53"/>
      <c r="AG1555" s="53"/>
      <c r="AH1555" s="54"/>
      <c r="AI1555" s="53"/>
      <c r="AJ1555" s="53"/>
      <c r="AK1555" s="54"/>
      <c r="AL1555" s="54"/>
    </row>
    <row r="1556" spans="1:38" ht="15.75" thickBot="1" x14ac:dyDescent="0.3">
      <c r="A1556" s="51"/>
      <c r="B1556" s="51"/>
      <c r="C1556" s="51"/>
      <c r="D1556" s="51"/>
      <c r="E1556" s="51"/>
      <c r="F1556" s="51"/>
      <c r="G1556" s="55"/>
      <c r="H1556" s="55"/>
      <c r="I1556" s="55"/>
      <c r="J1556" s="55"/>
      <c r="K1556" s="55"/>
      <c r="L1556" s="55"/>
      <c r="M1556" s="55"/>
      <c r="N1556" s="55"/>
      <c r="O1556" s="55"/>
      <c r="P1556" s="55"/>
      <c r="Q1556" s="55"/>
      <c r="R1556" s="55"/>
      <c r="S1556" s="55"/>
      <c r="T1556" s="55"/>
      <c r="U1556" s="55"/>
      <c r="V1556" s="55"/>
      <c r="W1556" s="55"/>
      <c r="X1556" s="55"/>
      <c r="Y1556" s="55"/>
      <c r="Z1556" s="55"/>
      <c r="AA1556" s="55"/>
      <c r="AB1556" s="55"/>
      <c r="AC1556" s="55"/>
      <c r="AD1556" s="55"/>
      <c r="AE1556" s="55"/>
      <c r="AF1556" s="56"/>
      <c r="AG1556" s="55"/>
      <c r="AH1556" s="56"/>
      <c r="AI1556" s="55"/>
      <c r="AJ1556" s="55"/>
      <c r="AK1556" s="56"/>
      <c r="AL1556" s="56"/>
    </row>
    <row r="1557" spans="1:38" ht="15.75" thickBot="1" x14ac:dyDescent="0.3">
      <c r="A1557" s="51"/>
      <c r="B1557" s="51"/>
      <c r="C1557" s="51"/>
      <c r="D1557" s="51"/>
      <c r="E1557" s="51"/>
      <c r="F1557" s="51"/>
      <c r="G1557" s="53"/>
      <c r="H1557" s="53"/>
      <c r="I1557" s="53"/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  <c r="AB1557" s="53"/>
      <c r="AC1557" s="53"/>
      <c r="AD1557" s="53"/>
      <c r="AE1557" s="53"/>
      <c r="AF1557" s="54"/>
      <c r="AG1557" s="53"/>
      <c r="AH1557" s="54"/>
      <c r="AI1557" s="53"/>
      <c r="AJ1557" s="53"/>
      <c r="AK1557" s="54"/>
      <c r="AL1557" s="54"/>
    </row>
    <row r="1558" spans="1:38" ht="15.75" thickBot="1" x14ac:dyDescent="0.3">
      <c r="A1558" s="51"/>
      <c r="B1558" s="51"/>
      <c r="C1558" s="51"/>
      <c r="D1558" s="51"/>
      <c r="E1558" s="51"/>
      <c r="F1558" s="51"/>
      <c r="G1558" s="56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55"/>
      <c r="U1558" s="55"/>
      <c r="V1558" s="55"/>
      <c r="W1558" s="55"/>
      <c r="X1558" s="55"/>
      <c r="Y1558" s="55"/>
      <c r="Z1558" s="56"/>
      <c r="AA1558" s="55"/>
      <c r="AB1558" s="55"/>
      <c r="AC1558" s="55"/>
      <c r="AD1558" s="55"/>
      <c r="AE1558" s="55"/>
      <c r="AF1558" s="55"/>
      <c r="AG1558" s="55"/>
      <c r="AH1558" s="56"/>
      <c r="AI1558" s="55"/>
      <c r="AJ1558" s="55"/>
      <c r="AK1558" s="56"/>
      <c r="AL1558" s="56"/>
    </row>
    <row r="1559" spans="1:38" ht="15.75" thickBot="1" x14ac:dyDescent="0.3">
      <c r="A1559" s="51"/>
      <c r="B1559" s="51"/>
      <c r="C1559" s="51"/>
      <c r="D1559" s="51"/>
      <c r="E1559" s="51"/>
      <c r="F1559" s="51"/>
      <c r="G1559" s="54"/>
      <c r="H1559" s="53"/>
      <c r="I1559" s="53"/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/>
      <c r="V1559" s="53"/>
      <c r="W1559" s="53"/>
      <c r="X1559" s="53"/>
      <c r="Y1559" s="53"/>
      <c r="Z1559" s="54"/>
      <c r="AA1559" s="53"/>
      <c r="AB1559" s="53"/>
      <c r="AC1559" s="53"/>
      <c r="AD1559" s="53"/>
      <c r="AE1559" s="53"/>
      <c r="AF1559" s="53"/>
      <c r="AG1559" s="53"/>
      <c r="AH1559" s="54"/>
      <c r="AI1559" s="53"/>
      <c r="AJ1559" s="53"/>
      <c r="AK1559" s="54"/>
      <c r="AL1559" s="54"/>
    </row>
    <row r="1560" spans="1:38" ht="15.75" thickBot="1" x14ac:dyDescent="0.3">
      <c r="A1560" s="51"/>
      <c r="B1560" s="51"/>
      <c r="C1560" s="51"/>
      <c r="D1560" s="51"/>
      <c r="E1560" s="51"/>
      <c r="F1560" s="51"/>
      <c r="G1560" s="56"/>
      <c r="H1560" s="55"/>
      <c r="I1560" s="55"/>
      <c r="J1560" s="55"/>
      <c r="K1560" s="55"/>
      <c r="L1560" s="55"/>
      <c r="M1560" s="55"/>
      <c r="N1560" s="55"/>
      <c r="O1560" s="55"/>
      <c r="P1560" s="55"/>
      <c r="Q1560" s="55"/>
      <c r="R1560" s="55"/>
      <c r="S1560" s="55"/>
      <c r="T1560" s="55"/>
      <c r="U1560" s="55"/>
      <c r="V1560" s="55"/>
      <c r="W1560" s="55"/>
      <c r="X1560" s="55"/>
      <c r="Y1560" s="55"/>
      <c r="Z1560" s="56"/>
      <c r="AA1560" s="55"/>
      <c r="AB1560" s="55"/>
      <c r="AC1560" s="55"/>
      <c r="AD1560" s="55"/>
      <c r="AE1560" s="55"/>
      <c r="AF1560" s="55"/>
      <c r="AG1560" s="55"/>
      <c r="AH1560" s="56"/>
      <c r="AI1560" s="55"/>
      <c r="AJ1560" s="55"/>
      <c r="AK1560" s="56"/>
      <c r="AL1560" s="56"/>
    </row>
    <row r="1561" spans="1:38" ht="15.75" thickBot="1" x14ac:dyDescent="0.3">
      <c r="A1561" s="51"/>
      <c r="B1561" s="51"/>
      <c r="C1561" s="51"/>
      <c r="D1561" s="51"/>
      <c r="E1561" s="51"/>
      <c r="F1561" s="51"/>
      <c r="G1561" s="54"/>
      <c r="H1561" s="53"/>
      <c r="I1561" s="53"/>
      <c r="J1561" s="53"/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/>
      <c r="V1561" s="53"/>
      <c r="W1561" s="53"/>
      <c r="X1561" s="53"/>
      <c r="Y1561" s="53"/>
      <c r="Z1561" s="54"/>
      <c r="AA1561" s="53"/>
      <c r="AB1561" s="53"/>
      <c r="AC1561" s="53"/>
      <c r="AD1561" s="53"/>
      <c r="AE1561" s="53"/>
      <c r="AF1561" s="53"/>
      <c r="AG1561" s="53"/>
      <c r="AH1561" s="54"/>
      <c r="AI1561" s="53"/>
      <c r="AJ1561" s="53"/>
      <c r="AK1561" s="54"/>
      <c r="AL1561" s="54"/>
    </row>
    <row r="1562" spans="1:38" ht="15.75" thickBot="1" x14ac:dyDescent="0.3">
      <c r="A1562" s="51"/>
      <c r="B1562" s="51"/>
      <c r="C1562" s="51"/>
      <c r="D1562" s="51"/>
      <c r="E1562" s="51"/>
      <c r="F1562" s="51"/>
      <c r="G1562" s="56"/>
      <c r="H1562" s="55"/>
      <c r="I1562" s="55"/>
      <c r="J1562" s="55"/>
      <c r="K1562" s="55"/>
      <c r="L1562" s="55"/>
      <c r="M1562" s="55"/>
      <c r="N1562" s="55"/>
      <c r="O1562" s="55"/>
      <c r="P1562" s="55"/>
      <c r="Q1562" s="55"/>
      <c r="R1562" s="55"/>
      <c r="S1562" s="55"/>
      <c r="T1562" s="55"/>
      <c r="U1562" s="55"/>
      <c r="V1562" s="55"/>
      <c r="W1562" s="55"/>
      <c r="X1562" s="55"/>
      <c r="Y1562" s="55"/>
      <c r="Z1562" s="55"/>
      <c r="AA1562" s="56"/>
      <c r="AB1562" s="55"/>
      <c r="AC1562" s="55"/>
      <c r="AD1562" s="55"/>
      <c r="AE1562" s="55"/>
      <c r="AF1562" s="55"/>
      <c r="AG1562" s="55"/>
      <c r="AH1562" s="56"/>
      <c r="AI1562" s="55"/>
      <c r="AJ1562" s="55"/>
      <c r="AK1562" s="56"/>
      <c r="AL1562" s="56"/>
    </row>
    <row r="1563" spans="1:38" ht="15.75" thickBot="1" x14ac:dyDescent="0.3">
      <c r="A1563" s="51"/>
      <c r="B1563" s="51"/>
      <c r="C1563" s="51"/>
      <c r="D1563" s="51"/>
      <c r="E1563" s="51"/>
      <c r="F1563" s="51"/>
      <c r="G1563" s="54"/>
      <c r="H1563" s="53"/>
      <c r="I1563" s="53"/>
      <c r="J1563" s="53"/>
      <c r="K1563" s="53"/>
      <c r="L1563" s="53"/>
      <c r="M1563" s="53"/>
      <c r="N1563" s="53"/>
      <c r="O1563" s="53"/>
      <c r="P1563" s="53"/>
      <c r="Q1563" s="53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4"/>
      <c r="AB1563" s="53"/>
      <c r="AC1563" s="53"/>
      <c r="AD1563" s="53"/>
      <c r="AE1563" s="53"/>
      <c r="AF1563" s="53"/>
      <c r="AG1563" s="53"/>
      <c r="AH1563" s="54"/>
      <c r="AI1563" s="53"/>
      <c r="AJ1563" s="53"/>
      <c r="AK1563" s="54"/>
      <c r="AL1563" s="54"/>
    </row>
    <row r="1564" spans="1:38" ht="15.75" thickBot="1" x14ac:dyDescent="0.3">
      <c r="A1564" s="51"/>
      <c r="B1564" s="51"/>
      <c r="C1564" s="51"/>
      <c r="D1564" s="51"/>
      <c r="E1564" s="51"/>
      <c r="F1564" s="51"/>
      <c r="G1564" s="56"/>
      <c r="H1564" s="55"/>
      <c r="I1564" s="55"/>
      <c r="J1564" s="55"/>
      <c r="K1564" s="55"/>
      <c r="L1564" s="55"/>
      <c r="M1564" s="55"/>
      <c r="N1564" s="55"/>
      <c r="O1564" s="55"/>
      <c r="P1564" s="55"/>
      <c r="Q1564" s="55"/>
      <c r="R1564" s="56"/>
      <c r="S1564" s="55"/>
      <c r="T1564" s="55"/>
      <c r="U1564" s="55"/>
      <c r="V1564" s="55"/>
      <c r="W1564" s="55"/>
      <c r="X1564" s="55"/>
      <c r="Y1564" s="55"/>
      <c r="Z1564" s="55"/>
      <c r="AA1564" s="55"/>
      <c r="AB1564" s="55"/>
      <c r="AC1564" s="55"/>
      <c r="AD1564" s="55"/>
      <c r="AE1564" s="55"/>
      <c r="AF1564" s="55"/>
      <c r="AG1564" s="55"/>
      <c r="AH1564" s="56"/>
      <c r="AI1564" s="55"/>
      <c r="AJ1564" s="55"/>
      <c r="AK1564" s="56"/>
      <c r="AL1564" s="56"/>
    </row>
    <row r="1565" spans="1:38" ht="15.75" thickBot="1" x14ac:dyDescent="0.3">
      <c r="A1565" s="51"/>
      <c r="B1565" s="51"/>
      <c r="C1565" s="51"/>
      <c r="D1565" s="51"/>
      <c r="E1565" s="51"/>
      <c r="F1565" s="51"/>
      <c r="G1565" s="54"/>
      <c r="H1565" s="53"/>
      <c r="I1565" s="53"/>
      <c r="J1565" s="53"/>
      <c r="K1565" s="53"/>
      <c r="L1565" s="53"/>
      <c r="M1565" s="53"/>
      <c r="N1565" s="53"/>
      <c r="O1565" s="53"/>
      <c r="P1565" s="53"/>
      <c r="Q1565" s="53"/>
      <c r="R1565" s="54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  <c r="AD1565" s="53"/>
      <c r="AE1565" s="53"/>
      <c r="AF1565" s="53"/>
      <c r="AG1565" s="53"/>
      <c r="AH1565" s="54"/>
      <c r="AI1565" s="53"/>
      <c r="AJ1565" s="53"/>
      <c r="AK1565" s="54"/>
      <c r="AL1565" s="54"/>
    </row>
    <row r="1566" spans="1:38" ht="15.75" thickBot="1" x14ac:dyDescent="0.3">
      <c r="A1566" s="51"/>
      <c r="B1566" s="51"/>
      <c r="C1566" s="51"/>
      <c r="D1566" s="51"/>
      <c r="E1566" s="51"/>
      <c r="F1566" s="51"/>
      <c r="G1566" s="56"/>
      <c r="H1566" s="55"/>
      <c r="I1566" s="55"/>
      <c r="J1566" s="55"/>
      <c r="K1566" s="55"/>
      <c r="L1566" s="55"/>
      <c r="M1566" s="55"/>
      <c r="N1566" s="55"/>
      <c r="O1566" s="55"/>
      <c r="P1566" s="55"/>
      <c r="Q1566" s="55"/>
      <c r="R1566" s="55"/>
      <c r="S1566" s="55"/>
      <c r="T1566" s="55"/>
      <c r="U1566" s="55"/>
      <c r="V1566" s="55"/>
      <c r="W1566" s="55"/>
      <c r="X1566" s="55"/>
      <c r="Y1566" s="55"/>
      <c r="Z1566" s="55"/>
      <c r="AA1566" s="55"/>
      <c r="AB1566" s="55"/>
      <c r="AC1566" s="56"/>
      <c r="AD1566" s="55"/>
      <c r="AE1566" s="55"/>
      <c r="AF1566" s="55"/>
      <c r="AG1566" s="55"/>
      <c r="AH1566" s="56"/>
      <c r="AI1566" s="55"/>
      <c r="AJ1566" s="55"/>
      <c r="AK1566" s="56"/>
      <c r="AL1566" s="56"/>
    </row>
    <row r="1567" spans="1:38" ht="15.75" thickBot="1" x14ac:dyDescent="0.3">
      <c r="A1567" s="51"/>
      <c r="B1567" s="51"/>
      <c r="C1567" s="51"/>
      <c r="D1567" s="51"/>
      <c r="E1567" s="51"/>
      <c r="F1567" s="51"/>
      <c r="G1567" s="54"/>
      <c r="H1567" s="53"/>
      <c r="I1567" s="53"/>
      <c r="J1567" s="53"/>
      <c r="K1567" s="53"/>
      <c r="L1567" s="53"/>
      <c r="M1567" s="53"/>
      <c r="N1567" s="53"/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4"/>
      <c r="AD1567" s="53"/>
      <c r="AE1567" s="53"/>
      <c r="AF1567" s="53"/>
      <c r="AG1567" s="53"/>
      <c r="AH1567" s="54"/>
      <c r="AI1567" s="53"/>
      <c r="AJ1567" s="53"/>
      <c r="AK1567" s="54"/>
      <c r="AL1567" s="54"/>
    </row>
    <row r="1568" spans="1:38" ht="15.75" thickBot="1" x14ac:dyDescent="0.3">
      <c r="A1568" s="51"/>
      <c r="B1568" s="51"/>
      <c r="C1568" s="51"/>
      <c r="D1568" s="51"/>
      <c r="E1568" s="51"/>
      <c r="F1568" s="51"/>
      <c r="G1568" s="56"/>
      <c r="H1568" s="55"/>
      <c r="I1568" s="55"/>
      <c r="J1568" s="55"/>
      <c r="K1568" s="55"/>
      <c r="L1568" s="55"/>
      <c r="M1568" s="55"/>
      <c r="N1568" s="55"/>
      <c r="O1568" s="55"/>
      <c r="P1568" s="55"/>
      <c r="Q1568" s="55"/>
      <c r="R1568" s="55"/>
      <c r="S1568" s="55"/>
      <c r="T1568" s="55"/>
      <c r="U1568" s="55"/>
      <c r="V1568" s="55"/>
      <c r="W1568" s="55"/>
      <c r="X1568" s="55"/>
      <c r="Y1568" s="55"/>
      <c r="Z1568" s="55"/>
      <c r="AA1568" s="55"/>
      <c r="AB1568" s="56"/>
      <c r="AC1568" s="55"/>
      <c r="AD1568" s="55"/>
      <c r="AE1568" s="55"/>
      <c r="AF1568" s="55"/>
      <c r="AG1568" s="55"/>
      <c r="AH1568" s="56"/>
      <c r="AI1568" s="55"/>
      <c r="AJ1568" s="55"/>
      <c r="AK1568" s="56"/>
      <c r="AL1568" s="56"/>
    </row>
    <row r="1569" spans="1:38" ht="15.75" thickBot="1" x14ac:dyDescent="0.3">
      <c r="A1569" s="51"/>
      <c r="B1569" s="51"/>
      <c r="C1569" s="51"/>
      <c r="D1569" s="51"/>
      <c r="E1569" s="51"/>
      <c r="F1569" s="51"/>
      <c r="G1569" s="54"/>
      <c r="H1569" s="53"/>
      <c r="I1569" s="53"/>
      <c r="J1569" s="53"/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4"/>
      <c r="AC1569" s="53"/>
      <c r="AD1569" s="53"/>
      <c r="AE1569" s="53"/>
      <c r="AF1569" s="53"/>
      <c r="AG1569" s="53"/>
      <c r="AH1569" s="54"/>
      <c r="AI1569" s="53"/>
      <c r="AJ1569" s="53"/>
      <c r="AK1569" s="54"/>
      <c r="AL1569" s="54"/>
    </row>
    <row r="1570" spans="1:38" ht="15.75" thickBot="1" x14ac:dyDescent="0.3">
      <c r="A1570" s="51"/>
      <c r="B1570" s="51"/>
      <c r="C1570" s="51"/>
      <c r="D1570" s="51"/>
      <c r="E1570" s="51"/>
      <c r="F1570" s="51"/>
      <c r="G1570" s="56"/>
      <c r="H1570" s="55"/>
      <c r="I1570" s="55"/>
      <c r="J1570" s="55"/>
      <c r="K1570" s="56"/>
      <c r="L1570" s="55"/>
      <c r="M1570" s="55"/>
      <c r="N1570" s="55"/>
      <c r="O1570" s="55"/>
      <c r="P1570" s="55"/>
      <c r="Q1570" s="55"/>
      <c r="R1570" s="55"/>
      <c r="S1570" s="55"/>
      <c r="T1570" s="55"/>
      <c r="U1570" s="55"/>
      <c r="V1570" s="55"/>
      <c r="W1570" s="55"/>
      <c r="X1570" s="55"/>
      <c r="Y1570" s="55"/>
      <c r="Z1570" s="55"/>
      <c r="AA1570" s="55"/>
      <c r="AB1570" s="55"/>
      <c r="AC1570" s="55"/>
      <c r="AD1570" s="55"/>
      <c r="AE1570" s="55"/>
      <c r="AF1570" s="55"/>
      <c r="AG1570" s="55"/>
      <c r="AH1570" s="56"/>
      <c r="AI1570" s="55"/>
      <c r="AJ1570" s="55"/>
      <c r="AK1570" s="56"/>
      <c r="AL1570" s="56"/>
    </row>
    <row r="1571" spans="1:38" ht="15.75" thickBot="1" x14ac:dyDescent="0.3">
      <c r="A1571" s="51"/>
      <c r="B1571" s="51"/>
      <c r="C1571" s="51"/>
      <c r="D1571" s="51"/>
      <c r="E1571" s="51"/>
      <c r="F1571" s="51"/>
      <c r="G1571" s="54"/>
      <c r="H1571" s="53"/>
      <c r="I1571" s="53"/>
      <c r="J1571" s="53"/>
      <c r="K1571" s="54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  <c r="AD1571" s="53"/>
      <c r="AE1571" s="53"/>
      <c r="AF1571" s="53"/>
      <c r="AG1571" s="53"/>
      <c r="AH1571" s="54"/>
      <c r="AI1571" s="53"/>
      <c r="AJ1571" s="53"/>
      <c r="AK1571" s="54"/>
      <c r="AL1571" s="54"/>
    </row>
    <row r="1572" spans="1:38" ht="15.75" thickBot="1" x14ac:dyDescent="0.3">
      <c r="A1572" s="51"/>
      <c r="B1572" s="51"/>
      <c r="C1572" s="51"/>
      <c r="D1572" s="51"/>
      <c r="E1572" s="51"/>
      <c r="F1572" s="51"/>
      <c r="G1572" s="56"/>
      <c r="H1572" s="56"/>
      <c r="I1572" s="55"/>
      <c r="J1572" s="55"/>
      <c r="K1572" s="55"/>
      <c r="L1572" s="55"/>
      <c r="M1572" s="56"/>
      <c r="N1572" s="55"/>
      <c r="O1572" s="55"/>
      <c r="P1572" s="55"/>
      <c r="Q1572" s="55"/>
      <c r="R1572" s="55"/>
      <c r="S1572" s="55"/>
      <c r="T1572" s="55"/>
      <c r="U1572" s="55"/>
      <c r="V1572" s="55"/>
      <c r="W1572" s="55"/>
      <c r="X1572" s="55"/>
      <c r="Y1572" s="55"/>
      <c r="Z1572" s="55"/>
      <c r="AA1572" s="55"/>
      <c r="AB1572" s="55"/>
      <c r="AC1572" s="55"/>
      <c r="AD1572" s="55"/>
      <c r="AE1572" s="55"/>
      <c r="AF1572" s="55"/>
      <c r="AG1572" s="55"/>
      <c r="AH1572" s="56"/>
      <c r="AI1572" s="55"/>
      <c r="AJ1572" s="55"/>
      <c r="AK1572" s="56"/>
      <c r="AL1572" s="56"/>
    </row>
    <row r="1573" spans="1:38" ht="15.75" thickBot="1" x14ac:dyDescent="0.3">
      <c r="A1573" s="51"/>
      <c r="B1573" s="51"/>
      <c r="C1573" s="51"/>
      <c r="D1573" s="51"/>
      <c r="E1573" s="51"/>
      <c r="F1573" s="51"/>
      <c r="G1573" s="54"/>
      <c r="H1573" s="147"/>
      <c r="I1573" s="53"/>
      <c r="J1573" s="53"/>
      <c r="K1573" s="53"/>
      <c r="L1573" s="53"/>
      <c r="M1573" s="54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D1573" s="53"/>
      <c r="AE1573" s="53"/>
      <c r="AF1573" s="53"/>
      <c r="AG1573" s="53"/>
      <c r="AH1573" s="54"/>
      <c r="AI1573" s="53"/>
      <c r="AJ1573" s="53"/>
      <c r="AK1573" s="54"/>
      <c r="AL1573" s="54"/>
    </row>
    <row r="1574" spans="1:38" ht="15.75" thickBot="1" x14ac:dyDescent="0.3">
      <c r="A1574" s="51"/>
      <c r="B1574" s="51"/>
      <c r="C1574" s="51"/>
      <c r="D1574" s="51"/>
      <c r="E1574" s="51"/>
      <c r="F1574" s="51"/>
      <c r="G1574" s="56"/>
      <c r="H1574" s="55"/>
      <c r="I1574" s="55"/>
      <c r="J1574" s="55"/>
      <c r="K1574" s="55"/>
      <c r="L1574" s="55"/>
      <c r="M1574" s="55"/>
      <c r="N1574" s="55"/>
      <c r="O1574" s="55"/>
      <c r="P1574" s="55"/>
      <c r="Q1574" s="56"/>
      <c r="R1574" s="55"/>
      <c r="S1574" s="55"/>
      <c r="T1574" s="55"/>
      <c r="U1574" s="55"/>
      <c r="V1574" s="55"/>
      <c r="W1574" s="55"/>
      <c r="X1574" s="55"/>
      <c r="Y1574" s="55"/>
      <c r="Z1574" s="55"/>
      <c r="AA1574" s="55"/>
      <c r="AB1574" s="55"/>
      <c r="AC1574" s="55"/>
      <c r="AD1574" s="55"/>
      <c r="AE1574" s="55"/>
      <c r="AF1574" s="55"/>
      <c r="AG1574" s="55"/>
      <c r="AH1574" s="56"/>
      <c r="AI1574" s="55"/>
      <c r="AJ1574" s="55"/>
      <c r="AK1574" s="56"/>
      <c r="AL1574" s="56"/>
    </row>
    <row r="1575" spans="1:38" ht="15.75" thickBot="1" x14ac:dyDescent="0.3">
      <c r="A1575" s="51"/>
      <c r="B1575" s="51"/>
      <c r="C1575" s="51"/>
      <c r="D1575" s="51"/>
      <c r="E1575" s="51"/>
      <c r="F1575" s="51"/>
      <c r="G1575" s="54"/>
      <c r="H1575" s="53"/>
      <c r="I1575" s="53"/>
      <c r="J1575" s="53"/>
      <c r="K1575" s="53"/>
      <c r="L1575" s="53"/>
      <c r="M1575" s="53"/>
      <c r="N1575" s="53"/>
      <c r="O1575" s="53"/>
      <c r="P1575" s="53"/>
      <c r="Q1575" s="54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  <c r="AD1575" s="53"/>
      <c r="AE1575" s="53"/>
      <c r="AF1575" s="53"/>
      <c r="AG1575" s="53"/>
      <c r="AH1575" s="54"/>
      <c r="AI1575" s="53"/>
      <c r="AJ1575" s="53"/>
      <c r="AK1575" s="54"/>
      <c r="AL1575" s="54"/>
    </row>
    <row r="1576" spans="1:38" ht="15.75" thickBot="1" x14ac:dyDescent="0.3">
      <c r="A1576" s="51"/>
      <c r="B1576" s="51"/>
      <c r="C1576" s="51"/>
      <c r="D1576" s="51"/>
      <c r="E1576" s="51"/>
      <c r="F1576" s="51"/>
      <c r="G1576" s="56"/>
      <c r="H1576" s="55"/>
      <c r="I1576" s="55"/>
      <c r="J1576" s="55"/>
      <c r="K1576" s="55"/>
      <c r="L1576" s="55"/>
      <c r="M1576" s="55"/>
      <c r="N1576" s="55"/>
      <c r="O1576" s="55"/>
      <c r="P1576" s="55"/>
      <c r="Q1576" s="55"/>
      <c r="R1576" s="55"/>
      <c r="S1576" s="55"/>
      <c r="T1576" s="55"/>
      <c r="U1576" s="55"/>
      <c r="V1576" s="55"/>
      <c r="W1576" s="55"/>
      <c r="X1576" s="55"/>
      <c r="Y1576" s="55"/>
      <c r="Z1576" s="56"/>
      <c r="AA1576" s="55"/>
      <c r="AB1576" s="55"/>
      <c r="AC1576" s="55"/>
      <c r="AD1576" s="55"/>
      <c r="AE1576" s="55"/>
      <c r="AF1576" s="55"/>
      <c r="AG1576" s="55"/>
      <c r="AH1576" s="56"/>
      <c r="AI1576" s="55"/>
      <c r="AJ1576" s="55"/>
      <c r="AK1576" s="56"/>
      <c r="AL1576" s="56"/>
    </row>
    <row r="1577" spans="1:38" ht="15.75" thickBot="1" x14ac:dyDescent="0.3">
      <c r="A1577" s="51"/>
      <c r="B1577" s="51"/>
      <c r="C1577" s="51"/>
      <c r="D1577" s="51"/>
      <c r="E1577" s="51"/>
      <c r="F1577" s="51"/>
      <c r="G1577" s="54"/>
      <c r="H1577" s="53"/>
      <c r="I1577" s="53"/>
      <c r="J1577" s="53"/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4"/>
      <c r="AA1577" s="53"/>
      <c r="AB1577" s="53"/>
      <c r="AC1577" s="53"/>
      <c r="AD1577" s="53"/>
      <c r="AE1577" s="53"/>
      <c r="AF1577" s="53"/>
      <c r="AG1577" s="53"/>
      <c r="AH1577" s="54"/>
      <c r="AI1577" s="53"/>
      <c r="AJ1577" s="53"/>
      <c r="AK1577" s="54"/>
      <c r="AL1577" s="54"/>
    </row>
    <row r="1578" spans="1:38" ht="15.75" thickBot="1" x14ac:dyDescent="0.3">
      <c r="A1578" s="51"/>
      <c r="B1578" s="51"/>
      <c r="C1578" s="51"/>
      <c r="D1578" s="51"/>
      <c r="E1578" s="51"/>
      <c r="F1578" s="51"/>
      <c r="G1578" s="56"/>
      <c r="H1578" s="55"/>
      <c r="I1578" s="55"/>
      <c r="J1578" s="55"/>
      <c r="K1578" s="55"/>
      <c r="L1578" s="55"/>
      <c r="M1578" s="55"/>
      <c r="N1578" s="55"/>
      <c r="O1578" s="55"/>
      <c r="P1578" s="55"/>
      <c r="Q1578" s="55"/>
      <c r="R1578" s="55"/>
      <c r="S1578" s="55"/>
      <c r="T1578" s="55"/>
      <c r="U1578" s="55"/>
      <c r="V1578" s="55"/>
      <c r="W1578" s="55"/>
      <c r="X1578" s="55"/>
      <c r="Y1578" s="55"/>
      <c r="Z1578" s="55"/>
      <c r="AA1578" s="56"/>
      <c r="AB1578" s="55"/>
      <c r="AC1578" s="55"/>
      <c r="AD1578" s="55"/>
      <c r="AE1578" s="55"/>
      <c r="AF1578" s="55"/>
      <c r="AG1578" s="55"/>
      <c r="AH1578" s="56"/>
      <c r="AI1578" s="55"/>
      <c r="AJ1578" s="55"/>
      <c r="AK1578" s="56"/>
      <c r="AL1578" s="56"/>
    </row>
    <row r="1579" spans="1:38" ht="15.75" thickBot="1" x14ac:dyDescent="0.3">
      <c r="A1579" s="51"/>
      <c r="B1579" s="51"/>
      <c r="C1579" s="51"/>
      <c r="D1579" s="51"/>
      <c r="E1579" s="51"/>
      <c r="F1579" s="51"/>
      <c r="G1579" s="54"/>
      <c r="H1579" s="53"/>
      <c r="I1579" s="53"/>
      <c r="J1579" s="53"/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4"/>
      <c r="AB1579" s="53"/>
      <c r="AC1579" s="53"/>
      <c r="AD1579" s="53"/>
      <c r="AE1579" s="53"/>
      <c r="AF1579" s="53"/>
      <c r="AG1579" s="53"/>
      <c r="AH1579" s="54"/>
      <c r="AI1579" s="53"/>
      <c r="AJ1579" s="53"/>
      <c r="AK1579" s="54"/>
      <c r="AL1579" s="54"/>
    </row>
    <row r="1580" spans="1:38" ht="15.75" thickBot="1" x14ac:dyDescent="0.3">
      <c r="A1580" s="51"/>
      <c r="B1580" s="51"/>
      <c r="C1580" s="51"/>
      <c r="D1580" s="51"/>
      <c r="E1580" s="51"/>
      <c r="F1580" s="51"/>
      <c r="G1580" s="56"/>
      <c r="H1580" s="55"/>
      <c r="I1580" s="55"/>
      <c r="J1580" s="55"/>
      <c r="K1580" s="55"/>
      <c r="L1580" s="55"/>
      <c r="M1580" s="55"/>
      <c r="N1580" s="55"/>
      <c r="O1580" s="55"/>
      <c r="P1580" s="55"/>
      <c r="Q1580" s="55"/>
      <c r="R1580" s="56"/>
      <c r="S1580" s="55"/>
      <c r="T1580" s="55"/>
      <c r="U1580" s="55"/>
      <c r="V1580" s="55"/>
      <c r="W1580" s="55"/>
      <c r="X1580" s="55"/>
      <c r="Y1580" s="55"/>
      <c r="Z1580" s="55"/>
      <c r="AA1580" s="55"/>
      <c r="AB1580" s="55"/>
      <c r="AC1580" s="55"/>
      <c r="AD1580" s="55"/>
      <c r="AE1580" s="55"/>
      <c r="AF1580" s="55"/>
      <c r="AG1580" s="55"/>
      <c r="AH1580" s="56"/>
      <c r="AI1580" s="55"/>
      <c r="AJ1580" s="55"/>
      <c r="AK1580" s="56"/>
      <c r="AL1580" s="56"/>
    </row>
    <row r="1581" spans="1:38" ht="15.75" thickBot="1" x14ac:dyDescent="0.3">
      <c r="A1581" s="51"/>
      <c r="B1581" s="51"/>
      <c r="C1581" s="51"/>
      <c r="D1581" s="51"/>
      <c r="E1581" s="51"/>
      <c r="F1581" s="51"/>
      <c r="G1581" s="54"/>
      <c r="H1581" s="53"/>
      <c r="I1581" s="53"/>
      <c r="J1581" s="53"/>
      <c r="K1581" s="53"/>
      <c r="L1581" s="53"/>
      <c r="M1581" s="53"/>
      <c r="N1581" s="53"/>
      <c r="O1581" s="53"/>
      <c r="P1581" s="53"/>
      <c r="Q1581" s="53"/>
      <c r="R1581" s="54"/>
      <c r="S1581" s="53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3"/>
      <c r="AD1581" s="53"/>
      <c r="AE1581" s="53"/>
      <c r="AF1581" s="53"/>
      <c r="AG1581" s="53"/>
      <c r="AH1581" s="54"/>
      <c r="AI1581" s="53"/>
      <c r="AJ1581" s="53"/>
      <c r="AK1581" s="54"/>
      <c r="AL1581" s="54"/>
    </row>
    <row r="1582" spans="1:38" ht="15.75" thickBot="1" x14ac:dyDescent="0.3">
      <c r="A1582" s="51"/>
      <c r="B1582" s="51"/>
      <c r="C1582" s="51"/>
      <c r="D1582" s="51"/>
      <c r="E1582" s="51"/>
      <c r="F1582" s="51"/>
      <c r="G1582" s="56"/>
      <c r="H1582" s="55"/>
      <c r="I1582" s="55"/>
      <c r="J1582" s="55"/>
      <c r="K1582" s="55"/>
      <c r="L1582" s="55"/>
      <c r="M1582" s="55"/>
      <c r="N1582" s="55"/>
      <c r="O1582" s="55"/>
      <c r="P1582" s="55"/>
      <c r="Q1582" s="55"/>
      <c r="R1582" s="55"/>
      <c r="S1582" s="55"/>
      <c r="T1582" s="55"/>
      <c r="U1582" s="55"/>
      <c r="V1582" s="55"/>
      <c r="W1582" s="55"/>
      <c r="X1582" s="55"/>
      <c r="Y1582" s="55"/>
      <c r="Z1582" s="55"/>
      <c r="AA1582" s="55"/>
      <c r="AB1582" s="55"/>
      <c r="AC1582" s="56"/>
      <c r="AD1582" s="55"/>
      <c r="AE1582" s="55"/>
      <c r="AF1582" s="55"/>
      <c r="AG1582" s="55"/>
      <c r="AH1582" s="56"/>
      <c r="AI1582" s="55"/>
      <c r="AJ1582" s="55"/>
      <c r="AK1582" s="56"/>
      <c r="AL1582" s="56"/>
    </row>
    <row r="1583" spans="1:38" ht="15.75" thickBot="1" x14ac:dyDescent="0.3">
      <c r="A1583" s="51"/>
      <c r="B1583" s="51"/>
      <c r="C1583" s="51"/>
      <c r="D1583" s="51"/>
      <c r="E1583" s="51"/>
      <c r="F1583" s="51"/>
      <c r="G1583" s="54"/>
      <c r="H1583" s="53"/>
      <c r="I1583" s="53"/>
      <c r="J1583" s="53"/>
      <c r="K1583" s="53"/>
      <c r="L1583" s="53"/>
      <c r="M1583" s="53"/>
      <c r="N1583" s="53"/>
      <c r="O1583" s="53"/>
      <c r="P1583" s="53"/>
      <c r="Q1583" s="53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4"/>
      <c r="AD1583" s="53"/>
      <c r="AE1583" s="53"/>
      <c r="AF1583" s="53"/>
      <c r="AG1583" s="53"/>
      <c r="AH1583" s="54"/>
      <c r="AI1583" s="53"/>
      <c r="AJ1583" s="53"/>
      <c r="AK1583" s="54"/>
      <c r="AL1583" s="54"/>
    </row>
    <row r="1584" spans="1:38" ht="15.75" thickBot="1" x14ac:dyDescent="0.3">
      <c r="A1584" s="51"/>
      <c r="B1584" s="51"/>
      <c r="C1584" s="51"/>
      <c r="D1584" s="51"/>
      <c r="E1584" s="51"/>
      <c r="F1584" s="51"/>
      <c r="G1584" s="56"/>
      <c r="H1584" s="55"/>
      <c r="I1584" s="55"/>
      <c r="J1584" s="55"/>
      <c r="K1584" s="55"/>
      <c r="L1584" s="55"/>
      <c r="M1584" s="55"/>
      <c r="N1584" s="55"/>
      <c r="O1584" s="55"/>
      <c r="P1584" s="55"/>
      <c r="Q1584" s="55"/>
      <c r="R1584" s="55"/>
      <c r="S1584" s="55"/>
      <c r="T1584" s="55"/>
      <c r="U1584" s="55"/>
      <c r="V1584" s="55"/>
      <c r="W1584" s="55"/>
      <c r="X1584" s="55"/>
      <c r="Y1584" s="55"/>
      <c r="Z1584" s="55"/>
      <c r="AA1584" s="55"/>
      <c r="AB1584" s="56"/>
      <c r="AC1584" s="55"/>
      <c r="AD1584" s="55"/>
      <c r="AE1584" s="55"/>
      <c r="AF1584" s="55"/>
      <c r="AG1584" s="55"/>
      <c r="AH1584" s="56"/>
      <c r="AI1584" s="55"/>
      <c r="AJ1584" s="55"/>
      <c r="AK1584" s="56"/>
      <c r="AL1584" s="56"/>
    </row>
    <row r="1585" spans="1:38" ht="15.75" thickBot="1" x14ac:dyDescent="0.3">
      <c r="A1585" s="51"/>
      <c r="B1585" s="51"/>
      <c r="C1585" s="51"/>
      <c r="D1585" s="51"/>
      <c r="E1585" s="51"/>
      <c r="F1585" s="51"/>
      <c r="G1585" s="54"/>
      <c r="H1585" s="53"/>
      <c r="I1585" s="53"/>
      <c r="J1585" s="53"/>
      <c r="K1585" s="53"/>
      <c r="L1585" s="53"/>
      <c r="M1585" s="53"/>
      <c r="N1585" s="53"/>
      <c r="O1585" s="53"/>
      <c r="P1585" s="53"/>
      <c r="Q1585" s="53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54"/>
      <c r="AC1585" s="53"/>
      <c r="AD1585" s="53"/>
      <c r="AE1585" s="53"/>
      <c r="AF1585" s="53"/>
      <c r="AG1585" s="53"/>
      <c r="AH1585" s="54"/>
      <c r="AI1585" s="53"/>
      <c r="AJ1585" s="53"/>
      <c r="AK1585" s="54"/>
      <c r="AL1585" s="54"/>
    </row>
    <row r="1586" spans="1:38" ht="15.75" thickBot="1" x14ac:dyDescent="0.3">
      <c r="A1586" s="51"/>
      <c r="B1586" s="51"/>
      <c r="C1586" s="51"/>
      <c r="D1586" s="51"/>
      <c r="E1586" s="51"/>
      <c r="F1586" s="51"/>
      <c r="G1586" s="56"/>
      <c r="H1586" s="55"/>
      <c r="I1586" s="55"/>
      <c r="J1586" s="55"/>
      <c r="K1586" s="56"/>
      <c r="L1586" s="55"/>
      <c r="M1586" s="55"/>
      <c r="N1586" s="55"/>
      <c r="O1586" s="55"/>
      <c r="P1586" s="55"/>
      <c r="Q1586" s="55"/>
      <c r="R1586" s="55"/>
      <c r="S1586" s="55"/>
      <c r="T1586" s="55"/>
      <c r="U1586" s="55"/>
      <c r="V1586" s="55"/>
      <c r="W1586" s="55"/>
      <c r="X1586" s="55"/>
      <c r="Y1586" s="55"/>
      <c r="Z1586" s="55"/>
      <c r="AA1586" s="55"/>
      <c r="AB1586" s="55"/>
      <c r="AC1586" s="55"/>
      <c r="AD1586" s="55"/>
      <c r="AE1586" s="55"/>
      <c r="AF1586" s="55"/>
      <c r="AG1586" s="55"/>
      <c r="AH1586" s="56"/>
      <c r="AI1586" s="55"/>
      <c r="AJ1586" s="55"/>
      <c r="AK1586" s="56"/>
      <c r="AL1586" s="56"/>
    </row>
    <row r="1587" spans="1:38" ht="15.75" thickBot="1" x14ac:dyDescent="0.3">
      <c r="A1587" s="51"/>
      <c r="B1587" s="51"/>
      <c r="C1587" s="51"/>
      <c r="D1587" s="51"/>
      <c r="E1587" s="51"/>
      <c r="F1587" s="51"/>
      <c r="G1587" s="54"/>
      <c r="H1587" s="53"/>
      <c r="I1587" s="53"/>
      <c r="J1587" s="53"/>
      <c r="K1587" s="54"/>
      <c r="L1587" s="53"/>
      <c r="M1587" s="53"/>
      <c r="N1587" s="53"/>
      <c r="O1587" s="53"/>
      <c r="P1587" s="53"/>
      <c r="Q1587" s="53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3"/>
      <c r="AD1587" s="53"/>
      <c r="AE1587" s="53"/>
      <c r="AF1587" s="53"/>
      <c r="AG1587" s="53"/>
      <c r="AH1587" s="54"/>
      <c r="AI1587" s="53"/>
      <c r="AJ1587" s="53"/>
      <c r="AK1587" s="54"/>
      <c r="AL1587" s="54"/>
    </row>
    <row r="1588" spans="1:38" ht="15.75" thickBot="1" x14ac:dyDescent="0.3">
      <c r="A1588" s="51"/>
      <c r="B1588" s="51"/>
      <c r="C1588" s="51"/>
      <c r="D1588" s="51"/>
      <c r="E1588" s="51"/>
      <c r="F1588" s="51"/>
      <c r="G1588" s="56"/>
      <c r="H1588" s="56"/>
      <c r="I1588" s="55"/>
      <c r="J1588" s="55"/>
      <c r="K1588" s="55"/>
      <c r="L1588" s="55"/>
      <c r="M1588" s="56"/>
      <c r="N1588" s="55"/>
      <c r="O1588" s="55"/>
      <c r="P1588" s="55"/>
      <c r="Q1588" s="55"/>
      <c r="R1588" s="55"/>
      <c r="S1588" s="55"/>
      <c r="T1588" s="55"/>
      <c r="U1588" s="55"/>
      <c r="V1588" s="55"/>
      <c r="W1588" s="55"/>
      <c r="X1588" s="55"/>
      <c r="Y1588" s="55"/>
      <c r="Z1588" s="55"/>
      <c r="AA1588" s="55"/>
      <c r="AB1588" s="55"/>
      <c r="AC1588" s="55"/>
      <c r="AD1588" s="55"/>
      <c r="AE1588" s="55"/>
      <c r="AF1588" s="55"/>
      <c r="AG1588" s="55"/>
      <c r="AH1588" s="56"/>
      <c r="AI1588" s="55"/>
      <c r="AJ1588" s="55"/>
      <c r="AK1588" s="56"/>
      <c r="AL1588" s="56"/>
    </row>
    <row r="1589" spans="1:38" ht="15.75" thickBot="1" x14ac:dyDescent="0.3">
      <c r="A1589" s="51"/>
      <c r="B1589" s="51"/>
      <c r="C1589" s="51"/>
      <c r="D1589" s="51"/>
      <c r="E1589" s="51"/>
      <c r="F1589" s="51"/>
      <c r="G1589" s="54"/>
      <c r="H1589" s="147"/>
      <c r="I1589" s="53"/>
      <c r="J1589" s="53"/>
      <c r="K1589" s="53"/>
      <c r="L1589" s="53"/>
      <c r="M1589" s="54"/>
      <c r="N1589" s="53"/>
      <c r="O1589" s="53"/>
      <c r="P1589" s="53"/>
      <c r="Q1589" s="53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  <c r="AD1589" s="53"/>
      <c r="AE1589" s="53"/>
      <c r="AF1589" s="53"/>
      <c r="AG1589" s="53"/>
      <c r="AH1589" s="54"/>
      <c r="AI1589" s="53"/>
      <c r="AJ1589" s="53"/>
      <c r="AK1589" s="54"/>
      <c r="AL1589" s="54"/>
    </row>
    <row r="1590" spans="1:38" ht="15.75" thickBot="1" x14ac:dyDescent="0.3">
      <c r="A1590" s="51"/>
      <c r="B1590" s="51"/>
      <c r="C1590" s="51"/>
      <c r="D1590" s="51"/>
      <c r="E1590" s="51"/>
      <c r="F1590" s="51"/>
      <c r="G1590" s="56"/>
      <c r="H1590" s="55"/>
      <c r="I1590" s="55"/>
      <c r="J1590" s="55"/>
      <c r="K1590" s="55"/>
      <c r="L1590" s="55"/>
      <c r="M1590" s="55"/>
      <c r="N1590" s="55"/>
      <c r="O1590" s="55"/>
      <c r="P1590" s="55"/>
      <c r="Q1590" s="56"/>
      <c r="R1590" s="55"/>
      <c r="S1590" s="55"/>
      <c r="T1590" s="55"/>
      <c r="U1590" s="55"/>
      <c r="V1590" s="55"/>
      <c r="W1590" s="55"/>
      <c r="X1590" s="55"/>
      <c r="Y1590" s="55"/>
      <c r="Z1590" s="55"/>
      <c r="AA1590" s="55"/>
      <c r="AB1590" s="55"/>
      <c r="AC1590" s="55"/>
      <c r="AD1590" s="55"/>
      <c r="AE1590" s="55"/>
      <c r="AF1590" s="55"/>
      <c r="AG1590" s="55"/>
      <c r="AH1590" s="56"/>
      <c r="AI1590" s="55"/>
      <c r="AJ1590" s="55"/>
      <c r="AK1590" s="56"/>
      <c r="AL1590" s="56"/>
    </row>
    <row r="1591" spans="1:38" ht="15.75" thickBot="1" x14ac:dyDescent="0.3">
      <c r="A1591" s="51"/>
      <c r="B1591" s="51"/>
      <c r="C1591" s="51"/>
      <c r="D1591" s="51"/>
      <c r="E1591" s="51"/>
      <c r="F1591" s="51"/>
      <c r="G1591" s="54"/>
      <c r="H1591" s="53"/>
      <c r="I1591" s="53"/>
      <c r="J1591" s="53"/>
      <c r="K1591" s="53"/>
      <c r="L1591" s="53"/>
      <c r="M1591" s="53"/>
      <c r="N1591" s="53"/>
      <c r="O1591" s="53"/>
      <c r="P1591" s="53"/>
      <c r="Q1591" s="54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  <c r="AD1591" s="53"/>
      <c r="AE1591" s="53"/>
      <c r="AF1591" s="53"/>
      <c r="AG1591" s="53"/>
      <c r="AH1591" s="54"/>
      <c r="AI1591" s="53"/>
      <c r="AJ1591" s="53"/>
      <c r="AK1591" s="54"/>
      <c r="AL1591" s="54"/>
    </row>
    <row r="1592" spans="1:38" ht="15.75" thickBot="1" x14ac:dyDescent="0.3">
      <c r="A1592" s="51"/>
      <c r="B1592" s="51"/>
      <c r="C1592" s="51"/>
      <c r="D1592" s="51"/>
      <c r="E1592" s="51"/>
      <c r="F1592" s="51"/>
      <c r="G1592" s="56"/>
      <c r="H1592" s="55"/>
      <c r="I1592" s="55"/>
      <c r="J1592" s="55"/>
      <c r="K1592" s="55"/>
      <c r="L1592" s="55"/>
      <c r="M1592" s="55"/>
      <c r="N1592" s="55"/>
      <c r="O1592" s="55"/>
      <c r="P1592" s="55"/>
      <c r="Q1592" s="55"/>
      <c r="R1592" s="55"/>
      <c r="S1592" s="55"/>
      <c r="T1592" s="55"/>
      <c r="U1592" s="55"/>
      <c r="V1592" s="55"/>
      <c r="W1592" s="55"/>
      <c r="X1592" s="55"/>
      <c r="Y1592" s="55"/>
      <c r="Z1592" s="56"/>
      <c r="AA1592" s="55"/>
      <c r="AB1592" s="55"/>
      <c r="AC1592" s="55"/>
      <c r="AD1592" s="55"/>
      <c r="AE1592" s="55"/>
      <c r="AF1592" s="55"/>
      <c r="AG1592" s="55"/>
      <c r="AH1592" s="56"/>
      <c r="AI1592" s="55"/>
      <c r="AJ1592" s="55"/>
      <c r="AK1592" s="56"/>
      <c r="AL1592" s="56"/>
    </row>
    <row r="1593" spans="1:38" ht="15.75" thickBot="1" x14ac:dyDescent="0.3">
      <c r="A1593" s="51"/>
      <c r="B1593" s="51"/>
      <c r="C1593" s="51"/>
      <c r="D1593" s="51"/>
      <c r="E1593" s="51"/>
      <c r="F1593" s="51"/>
      <c r="G1593" s="54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/>
      <c r="V1593" s="53"/>
      <c r="W1593" s="53"/>
      <c r="X1593" s="53"/>
      <c r="Y1593" s="53"/>
      <c r="Z1593" s="54"/>
      <c r="AA1593" s="53"/>
      <c r="AB1593" s="53"/>
      <c r="AC1593" s="53"/>
      <c r="AD1593" s="53"/>
      <c r="AE1593" s="53"/>
      <c r="AF1593" s="53"/>
      <c r="AG1593" s="53"/>
      <c r="AH1593" s="54"/>
      <c r="AI1593" s="53"/>
      <c r="AJ1593" s="53"/>
      <c r="AK1593" s="54"/>
      <c r="AL1593" s="54"/>
    </row>
    <row r="1594" spans="1:38" ht="15.75" thickBot="1" x14ac:dyDescent="0.3">
      <c r="A1594" s="51"/>
      <c r="B1594" s="51"/>
      <c r="C1594" s="51"/>
      <c r="D1594" s="51"/>
      <c r="E1594" s="51"/>
      <c r="F1594" s="51"/>
      <c r="G1594" s="56"/>
      <c r="H1594" s="55"/>
      <c r="I1594" s="55"/>
      <c r="J1594" s="55"/>
      <c r="K1594" s="55"/>
      <c r="L1594" s="55"/>
      <c r="M1594" s="55"/>
      <c r="N1594" s="55"/>
      <c r="O1594" s="55"/>
      <c r="P1594" s="55"/>
      <c r="Q1594" s="55"/>
      <c r="R1594" s="55"/>
      <c r="S1594" s="55"/>
      <c r="T1594" s="55"/>
      <c r="U1594" s="55"/>
      <c r="V1594" s="55"/>
      <c r="W1594" s="55"/>
      <c r="X1594" s="55"/>
      <c r="Y1594" s="55"/>
      <c r="Z1594" s="55"/>
      <c r="AA1594" s="56"/>
      <c r="AB1594" s="55"/>
      <c r="AC1594" s="55"/>
      <c r="AD1594" s="55"/>
      <c r="AE1594" s="55"/>
      <c r="AF1594" s="55"/>
      <c r="AG1594" s="55"/>
      <c r="AH1594" s="56"/>
      <c r="AI1594" s="55"/>
      <c r="AJ1594" s="55"/>
      <c r="AK1594" s="56"/>
      <c r="AL1594" s="56"/>
    </row>
    <row r="1595" spans="1:38" ht="15.75" thickBot="1" x14ac:dyDescent="0.3">
      <c r="A1595" s="51"/>
      <c r="B1595" s="51"/>
      <c r="C1595" s="51"/>
      <c r="D1595" s="51"/>
      <c r="E1595" s="51"/>
      <c r="F1595" s="51"/>
      <c r="G1595" s="54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4"/>
      <c r="AB1595" s="53"/>
      <c r="AC1595" s="53"/>
      <c r="AD1595" s="53"/>
      <c r="AE1595" s="53"/>
      <c r="AF1595" s="53"/>
      <c r="AG1595" s="53"/>
      <c r="AH1595" s="54"/>
      <c r="AI1595" s="53"/>
      <c r="AJ1595" s="53"/>
      <c r="AK1595" s="54"/>
      <c r="AL1595" s="54"/>
    </row>
    <row r="1596" spans="1:38" ht="15.75" thickBot="1" x14ac:dyDescent="0.3">
      <c r="A1596" s="51"/>
      <c r="B1596" s="51"/>
      <c r="C1596" s="51"/>
      <c r="D1596" s="51"/>
      <c r="E1596" s="51"/>
      <c r="F1596" s="51"/>
      <c r="G1596" s="56"/>
      <c r="H1596" s="55"/>
      <c r="I1596" s="55"/>
      <c r="J1596" s="55"/>
      <c r="K1596" s="55"/>
      <c r="L1596" s="55"/>
      <c r="M1596" s="55"/>
      <c r="N1596" s="55"/>
      <c r="O1596" s="55"/>
      <c r="P1596" s="55"/>
      <c r="Q1596" s="55"/>
      <c r="R1596" s="56"/>
      <c r="S1596" s="55"/>
      <c r="T1596" s="55"/>
      <c r="U1596" s="55"/>
      <c r="V1596" s="55"/>
      <c r="W1596" s="55"/>
      <c r="X1596" s="55"/>
      <c r="Y1596" s="55"/>
      <c r="Z1596" s="55"/>
      <c r="AA1596" s="55"/>
      <c r="AB1596" s="55"/>
      <c r="AC1596" s="55"/>
      <c r="AD1596" s="55"/>
      <c r="AE1596" s="55"/>
      <c r="AF1596" s="55"/>
      <c r="AG1596" s="55"/>
      <c r="AH1596" s="56"/>
      <c r="AI1596" s="55"/>
      <c r="AJ1596" s="55"/>
      <c r="AK1596" s="56"/>
      <c r="AL1596" s="56"/>
    </row>
    <row r="1597" spans="1:38" ht="15.75" thickBot="1" x14ac:dyDescent="0.3">
      <c r="A1597" s="51"/>
      <c r="B1597" s="51"/>
      <c r="C1597" s="51"/>
      <c r="D1597" s="51"/>
      <c r="E1597" s="51"/>
      <c r="F1597" s="51"/>
      <c r="G1597" s="54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4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D1597" s="53"/>
      <c r="AE1597" s="53"/>
      <c r="AF1597" s="53"/>
      <c r="AG1597" s="53"/>
      <c r="AH1597" s="54"/>
      <c r="AI1597" s="53"/>
      <c r="AJ1597" s="53"/>
      <c r="AK1597" s="54"/>
      <c r="AL1597" s="54"/>
    </row>
    <row r="1598" spans="1:38" ht="15.75" thickBot="1" x14ac:dyDescent="0.3">
      <c r="A1598" s="51"/>
      <c r="B1598" s="51"/>
      <c r="C1598" s="51"/>
      <c r="D1598" s="51"/>
      <c r="E1598" s="51"/>
      <c r="F1598" s="51"/>
      <c r="G1598" s="56"/>
      <c r="H1598" s="55"/>
      <c r="I1598" s="55"/>
      <c r="J1598" s="55"/>
      <c r="K1598" s="55"/>
      <c r="L1598" s="55"/>
      <c r="M1598" s="55"/>
      <c r="N1598" s="55"/>
      <c r="O1598" s="55"/>
      <c r="P1598" s="55"/>
      <c r="Q1598" s="55"/>
      <c r="R1598" s="55"/>
      <c r="S1598" s="55"/>
      <c r="T1598" s="55"/>
      <c r="U1598" s="55"/>
      <c r="V1598" s="55"/>
      <c r="W1598" s="55"/>
      <c r="X1598" s="55"/>
      <c r="Y1598" s="55"/>
      <c r="Z1598" s="55"/>
      <c r="AA1598" s="55"/>
      <c r="AB1598" s="55"/>
      <c r="AC1598" s="56"/>
      <c r="AD1598" s="55"/>
      <c r="AE1598" s="55"/>
      <c r="AF1598" s="55"/>
      <c r="AG1598" s="55"/>
      <c r="AH1598" s="56"/>
      <c r="AI1598" s="55"/>
      <c r="AJ1598" s="55"/>
      <c r="AK1598" s="56"/>
      <c r="AL1598" s="56"/>
    </row>
    <row r="1599" spans="1:38" ht="15.75" thickBot="1" x14ac:dyDescent="0.3">
      <c r="A1599" s="51"/>
      <c r="B1599" s="51"/>
      <c r="C1599" s="51"/>
      <c r="D1599" s="51"/>
      <c r="E1599" s="51"/>
      <c r="F1599" s="51"/>
      <c r="G1599" s="54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4"/>
      <c r="AD1599" s="53"/>
      <c r="AE1599" s="53"/>
      <c r="AF1599" s="53"/>
      <c r="AG1599" s="53"/>
      <c r="AH1599" s="54"/>
      <c r="AI1599" s="53"/>
      <c r="AJ1599" s="53"/>
      <c r="AK1599" s="54"/>
      <c r="AL1599" s="54"/>
    </row>
    <row r="1600" spans="1:38" ht="15.75" thickBot="1" x14ac:dyDescent="0.3">
      <c r="A1600" s="51"/>
      <c r="B1600" s="51"/>
      <c r="C1600" s="51"/>
      <c r="D1600" s="51"/>
      <c r="E1600" s="51"/>
      <c r="F1600" s="51"/>
      <c r="G1600" s="56"/>
      <c r="H1600" s="55"/>
      <c r="I1600" s="55"/>
      <c r="J1600" s="55"/>
      <c r="K1600" s="55"/>
      <c r="L1600" s="55"/>
      <c r="M1600" s="55"/>
      <c r="N1600" s="55"/>
      <c r="O1600" s="55"/>
      <c r="P1600" s="55"/>
      <c r="Q1600" s="55"/>
      <c r="R1600" s="55"/>
      <c r="S1600" s="55"/>
      <c r="T1600" s="55"/>
      <c r="U1600" s="55"/>
      <c r="V1600" s="55"/>
      <c r="W1600" s="55"/>
      <c r="X1600" s="55"/>
      <c r="Y1600" s="55"/>
      <c r="Z1600" s="55"/>
      <c r="AA1600" s="55"/>
      <c r="AB1600" s="56"/>
      <c r="AC1600" s="55"/>
      <c r="AD1600" s="55"/>
      <c r="AE1600" s="55"/>
      <c r="AF1600" s="55"/>
      <c r="AG1600" s="55"/>
      <c r="AH1600" s="56"/>
      <c r="AI1600" s="55"/>
      <c r="AJ1600" s="55"/>
      <c r="AK1600" s="56"/>
      <c r="AL1600" s="56"/>
    </row>
    <row r="1601" spans="1:38" ht="15.75" thickBot="1" x14ac:dyDescent="0.3">
      <c r="A1601" s="51"/>
      <c r="B1601" s="51"/>
      <c r="C1601" s="51"/>
      <c r="D1601" s="51"/>
      <c r="E1601" s="51"/>
      <c r="F1601" s="51"/>
      <c r="G1601" s="54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4"/>
      <c r="AC1601" s="53"/>
      <c r="AD1601" s="53"/>
      <c r="AE1601" s="53"/>
      <c r="AF1601" s="53"/>
      <c r="AG1601" s="53"/>
      <c r="AH1601" s="54"/>
      <c r="AI1601" s="53"/>
      <c r="AJ1601" s="53"/>
      <c r="AK1601" s="54"/>
      <c r="AL1601" s="54"/>
    </row>
    <row r="1602" spans="1:38" ht="15.75" thickBot="1" x14ac:dyDescent="0.3">
      <c r="A1602" s="51"/>
      <c r="B1602" s="51"/>
      <c r="C1602" s="51"/>
      <c r="D1602" s="51"/>
      <c r="E1602" s="51"/>
      <c r="F1602" s="51"/>
      <c r="G1602" s="56"/>
      <c r="H1602" s="55"/>
      <c r="I1602" s="55"/>
      <c r="J1602" s="55"/>
      <c r="K1602" s="56"/>
      <c r="L1602" s="55"/>
      <c r="M1602" s="55"/>
      <c r="N1602" s="55"/>
      <c r="O1602" s="55"/>
      <c r="P1602" s="55"/>
      <c r="Q1602" s="55"/>
      <c r="R1602" s="55"/>
      <c r="S1602" s="55"/>
      <c r="T1602" s="55"/>
      <c r="U1602" s="55"/>
      <c r="V1602" s="55"/>
      <c r="W1602" s="55"/>
      <c r="X1602" s="55"/>
      <c r="Y1602" s="55"/>
      <c r="Z1602" s="55"/>
      <c r="AA1602" s="55"/>
      <c r="AB1602" s="55"/>
      <c r="AC1602" s="55"/>
      <c r="AD1602" s="55"/>
      <c r="AE1602" s="55"/>
      <c r="AF1602" s="55"/>
      <c r="AG1602" s="55"/>
      <c r="AH1602" s="56"/>
      <c r="AI1602" s="55"/>
      <c r="AJ1602" s="55"/>
      <c r="AK1602" s="56"/>
      <c r="AL1602" s="56"/>
    </row>
    <row r="1603" spans="1:38" ht="15.75" thickBot="1" x14ac:dyDescent="0.3">
      <c r="A1603" s="51"/>
      <c r="B1603" s="51"/>
      <c r="C1603" s="51"/>
      <c r="D1603" s="51"/>
      <c r="E1603" s="51"/>
      <c r="F1603" s="51"/>
      <c r="G1603" s="54"/>
      <c r="H1603" s="53"/>
      <c r="I1603" s="53"/>
      <c r="J1603" s="53"/>
      <c r="K1603" s="54"/>
      <c r="L1603" s="53"/>
      <c r="M1603" s="53"/>
      <c r="N1603" s="53"/>
      <c r="O1603" s="53"/>
      <c r="P1603" s="53"/>
      <c r="Q1603" s="53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D1603" s="53"/>
      <c r="AE1603" s="53"/>
      <c r="AF1603" s="53"/>
      <c r="AG1603" s="53"/>
      <c r="AH1603" s="54"/>
      <c r="AI1603" s="53"/>
      <c r="AJ1603" s="53"/>
      <c r="AK1603" s="54"/>
      <c r="AL1603" s="54"/>
    </row>
    <row r="1604" spans="1:38" ht="15.75" thickBot="1" x14ac:dyDescent="0.3">
      <c r="A1604" s="51"/>
      <c r="B1604" s="51"/>
      <c r="C1604" s="51"/>
      <c r="D1604" s="51"/>
      <c r="E1604" s="51"/>
      <c r="F1604" s="51"/>
      <c r="G1604" s="56"/>
      <c r="H1604" s="56"/>
      <c r="I1604" s="55"/>
      <c r="J1604" s="55"/>
      <c r="K1604" s="55"/>
      <c r="L1604" s="55"/>
      <c r="M1604" s="56"/>
      <c r="N1604" s="55"/>
      <c r="O1604" s="55"/>
      <c r="P1604" s="55"/>
      <c r="Q1604" s="55"/>
      <c r="R1604" s="55"/>
      <c r="S1604" s="55"/>
      <c r="T1604" s="55"/>
      <c r="U1604" s="55"/>
      <c r="V1604" s="55"/>
      <c r="W1604" s="55"/>
      <c r="X1604" s="55"/>
      <c r="Y1604" s="55"/>
      <c r="Z1604" s="55"/>
      <c r="AA1604" s="55"/>
      <c r="AB1604" s="55"/>
      <c r="AC1604" s="55"/>
      <c r="AD1604" s="55"/>
      <c r="AE1604" s="55"/>
      <c r="AF1604" s="55"/>
      <c r="AG1604" s="55"/>
      <c r="AH1604" s="56"/>
      <c r="AI1604" s="55"/>
      <c r="AJ1604" s="55"/>
      <c r="AK1604" s="56"/>
      <c r="AL1604" s="56"/>
    </row>
    <row r="1605" spans="1:38" ht="15.75" thickBot="1" x14ac:dyDescent="0.3">
      <c r="A1605" s="51"/>
      <c r="B1605" s="51"/>
      <c r="C1605" s="51"/>
      <c r="D1605" s="51"/>
      <c r="E1605" s="51"/>
      <c r="F1605" s="51"/>
      <c r="G1605" s="54"/>
      <c r="H1605" s="147"/>
      <c r="I1605" s="53"/>
      <c r="J1605" s="53"/>
      <c r="K1605" s="53"/>
      <c r="L1605" s="53"/>
      <c r="M1605" s="54"/>
      <c r="N1605" s="53"/>
      <c r="O1605" s="53"/>
      <c r="P1605" s="53"/>
      <c r="Q1605" s="53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D1605" s="53"/>
      <c r="AE1605" s="53"/>
      <c r="AF1605" s="53"/>
      <c r="AG1605" s="53"/>
      <c r="AH1605" s="54"/>
      <c r="AI1605" s="53"/>
      <c r="AJ1605" s="53"/>
      <c r="AK1605" s="54"/>
      <c r="AL1605" s="54"/>
    </row>
    <row r="1606" spans="1:38" ht="15.75" thickBot="1" x14ac:dyDescent="0.3">
      <c r="A1606" s="51"/>
      <c r="B1606" s="51"/>
      <c r="C1606" s="51"/>
      <c r="D1606" s="51"/>
      <c r="E1606" s="51"/>
      <c r="F1606" s="51"/>
      <c r="G1606" s="56"/>
      <c r="H1606" s="55"/>
      <c r="I1606" s="55"/>
      <c r="J1606" s="55"/>
      <c r="K1606" s="55"/>
      <c r="L1606" s="55"/>
      <c r="M1606" s="55"/>
      <c r="N1606" s="55"/>
      <c r="O1606" s="55"/>
      <c r="P1606" s="55"/>
      <c r="Q1606" s="56"/>
      <c r="R1606" s="55"/>
      <c r="S1606" s="55"/>
      <c r="T1606" s="55"/>
      <c r="U1606" s="55"/>
      <c r="V1606" s="55"/>
      <c r="W1606" s="55"/>
      <c r="X1606" s="55"/>
      <c r="Y1606" s="55"/>
      <c r="Z1606" s="55"/>
      <c r="AA1606" s="55"/>
      <c r="AB1606" s="55"/>
      <c r="AC1606" s="55"/>
      <c r="AD1606" s="55"/>
      <c r="AE1606" s="55"/>
      <c r="AF1606" s="55"/>
      <c r="AG1606" s="55"/>
      <c r="AH1606" s="56"/>
      <c r="AI1606" s="55"/>
      <c r="AJ1606" s="55"/>
      <c r="AK1606" s="56"/>
      <c r="AL1606" s="56"/>
    </row>
    <row r="1607" spans="1:38" ht="15.75" thickBot="1" x14ac:dyDescent="0.3">
      <c r="A1607" s="51"/>
      <c r="B1607" s="51"/>
      <c r="C1607" s="51"/>
      <c r="D1607" s="51"/>
      <c r="E1607" s="51"/>
      <c r="F1607" s="51"/>
      <c r="G1607" s="54"/>
      <c r="H1607" s="53"/>
      <c r="I1607" s="53"/>
      <c r="J1607" s="53"/>
      <c r="K1607" s="53"/>
      <c r="L1607" s="53"/>
      <c r="M1607" s="53"/>
      <c r="N1607" s="53"/>
      <c r="O1607" s="53"/>
      <c r="P1607" s="53"/>
      <c r="Q1607" s="54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D1607" s="53"/>
      <c r="AE1607" s="53"/>
      <c r="AF1607" s="53"/>
      <c r="AG1607" s="53"/>
      <c r="AH1607" s="54"/>
      <c r="AI1607" s="53"/>
      <c r="AJ1607" s="53"/>
      <c r="AK1607" s="54"/>
      <c r="AL1607" s="54"/>
    </row>
    <row r="1608" spans="1:38" ht="15.75" thickBot="1" x14ac:dyDescent="0.3">
      <c r="A1608" s="51"/>
      <c r="B1608" s="51"/>
      <c r="C1608" s="51"/>
      <c r="D1608" s="51"/>
      <c r="E1608" s="51"/>
      <c r="F1608" s="51"/>
      <c r="G1608" s="56"/>
      <c r="H1608" s="55"/>
      <c r="I1608" s="55"/>
      <c r="J1608" s="55"/>
      <c r="K1608" s="55"/>
      <c r="L1608" s="55"/>
      <c r="M1608" s="55"/>
      <c r="N1608" s="55"/>
      <c r="O1608" s="55"/>
      <c r="P1608" s="55"/>
      <c r="Q1608" s="55"/>
      <c r="R1608" s="55"/>
      <c r="S1608" s="55"/>
      <c r="T1608" s="55"/>
      <c r="U1608" s="55"/>
      <c r="V1608" s="55"/>
      <c r="W1608" s="55"/>
      <c r="X1608" s="55"/>
      <c r="Y1608" s="55"/>
      <c r="Z1608" s="56"/>
      <c r="AA1608" s="55"/>
      <c r="AB1608" s="55"/>
      <c r="AC1608" s="55"/>
      <c r="AD1608" s="55"/>
      <c r="AE1608" s="55"/>
      <c r="AF1608" s="55"/>
      <c r="AG1608" s="55"/>
      <c r="AH1608" s="56"/>
      <c r="AI1608" s="55"/>
      <c r="AJ1608" s="55"/>
      <c r="AK1608" s="56"/>
      <c r="AL1608" s="56"/>
    </row>
    <row r="1609" spans="1:38" ht="15.75" thickBot="1" x14ac:dyDescent="0.3">
      <c r="A1609" s="51"/>
      <c r="B1609" s="51"/>
      <c r="C1609" s="51"/>
      <c r="D1609" s="51"/>
      <c r="E1609" s="51"/>
      <c r="F1609" s="51"/>
      <c r="G1609" s="54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4"/>
      <c r="AA1609" s="53"/>
      <c r="AB1609" s="53"/>
      <c r="AC1609" s="53"/>
      <c r="AD1609" s="53"/>
      <c r="AE1609" s="53"/>
      <c r="AF1609" s="53"/>
      <c r="AG1609" s="53"/>
      <c r="AH1609" s="54"/>
      <c r="AI1609" s="53"/>
      <c r="AJ1609" s="53"/>
      <c r="AK1609" s="54"/>
      <c r="AL1609" s="54"/>
    </row>
    <row r="1610" spans="1:38" ht="15.75" thickBot="1" x14ac:dyDescent="0.3">
      <c r="A1610" s="51"/>
      <c r="B1610" s="51"/>
      <c r="C1610" s="51"/>
      <c r="D1610" s="51"/>
      <c r="E1610" s="51"/>
      <c r="F1610" s="51"/>
      <c r="G1610" s="56"/>
      <c r="H1610" s="55"/>
      <c r="I1610" s="55"/>
      <c r="J1610" s="55"/>
      <c r="K1610" s="55"/>
      <c r="L1610" s="55"/>
      <c r="M1610" s="55"/>
      <c r="N1610" s="55"/>
      <c r="O1610" s="55"/>
      <c r="P1610" s="55"/>
      <c r="Q1610" s="55"/>
      <c r="R1610" s="55"/>
      <c r="S1610" s="55"/>
      <c r="T1610" s="55"/>
      <c r="U1610" s="55"/>
      <c r="V1610" s="55"/>
      <c r="W1610" s="55"/>
      <c r="X1610" s="55"/>
      <c r="Y1610" s="55"/>
      <c r="Z1610" s="55"/>
      <c r="AA1610" s="56"/>
      <c r="AB1610" s="55"/>
      <c r="AC1610" s="55"/>
      <c r="AD1610" s="55"/>
      <c r="AE1610" s="55"/>
      <c r="AF1610" s="55"/>
      <c r="AG1610" s="55"/>
      <c r="AH1610" s="56"/>
      <c r="AI1610" s="55"/>
      <c r="AJ1610" s="55"/>
      <c r="AK1610" s="56"/>
      <c r="AL1610" s="56"/>
    </row>
    <row r="1611" spans="1:38" ht="15.75" thickBot="1" x14ac:dyDescent="0.3">
      <c r="A1611" s="51"/>
      <c r="B1611" s="51"/>
      <c r="C1611" s="51"/>
      <c r="D1611" s="51"/>
      <c r="E1611" s="51"/>
      <c r="F1611" s="51"/>
      <c r="G1611" s="54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4"/>
      <c r="AB1611" s="53"/>
      <c r="AC1611" s="53"/>
      <c r="AD1611" s="53"/>
      <c r="AE1611" s="53"/>
      <c r="AF1611" s="53"/>
      <c r="AG1611" s="53"/>
      <c r="AH1611" s="54"/>
      <c r="AI1611" s="53"/>
      <c r="AJ1611" s="53"/>
      <c r="AK1611" s="54"/>
      <c r="AL1611" s="54"/>
    </row>
    <row r="1612" spans="1:38" ht="15.75" thickBot="1" x14ac:dyDescent="0.3">
      <c r="A1612" s="51"/>
      <c r="B1612" s="51"/>
      <c r="C1612" s="51"/>
      <c r="D1612" s="51"/>
      <c r="E1612" s="51"/>
      <c r="F1612" s="51"/>
      <c r="G1612" s="56"/>
      <c r="H1612" s="55"/>
      <c r="I1612" s="55"/>
      <c r="J1612" s="55"/>
      <c r="K1612" s="55"/>
      <c r="L1612" s="55"/>
      <c r="M1612" s="55"/>
      <c r="N1612" s="55"/>
      <c r="O1612" s="55"/>
      <c r="P1612" s="55"/>
      <c r="Q1612" s="55"/>
      <c r="R1612" s="56"/>
      <c r="S1612" s="55"/>
      <c r="T1612" s="55"/>
      <c r="U1612" s="55"/>
      <c r="V1612" s="55"/>
      <c r="W1612" s="55"/>
      <c r="X1612" s="55"/>
      <c r="Y1612" s="55"/>
      <c r="Z1612" s="55"/>
      <c r="AA1612" s="55"/>
      <c r="AB1612" s="55"/>
      <c r="AC1612" s="55"/>
      <c r="AD1612" s="55"/>
      <c r="AE1612" s="55"/>
      <c r="AF1612" s="55"/>
      <c r="AG1612" s="55"/>
      <c r="AH1612" s="56"/>
      <c r="AI1612" s="55"/>
      <c r="AJ1612" s="55"/>
      <c r="AK1612" s="56"/>
      <c r="AL1612" s="56"/>
    </row>
    <row r="1613" spans="1:38" ht="15.75" thickBot="1" x14ac:dyDescent="0.3">
      <c r="A1613" s="51"/>
      <c r="B1613" s="51"/>
      <c r="C1613" s="51"/>
      <c r="D1613" s="51"/>
      <c r="E1613" s="51"/>
      <c r="F1613" s="51"/>
      <c r="G1613" s="54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4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D1613" s="53"/>
      <c r="AE1613" s="53"/>
      <c r="AF1613" s="53"/>
      <c r="AG1613" s="53"/>
      <c r="AH1613" s="54"/>
      <c r="AI1613" s="53"/>
      <c r="AJ1613" s="53"/>
      <c r="AK1613" s="54"/>
      <c r="AL1613" s="54"/>
    </row>
    <row r="1614" spans="1:38" ht="15.75" thickBot="1" x14ac:dyDescent="0.3">
      <c r="A1614" s="51"/>
      <c r="B1614" s="51"/>
      <c r="C1614" s="51"/>
      <c r="D1614" s="51"/>
      <c r="E1614" s="51"/>
      <c r="F1614" s="51"/>
      <c r="G1614" s="56"/>
      <c r="H1614" s="55"/>
      <c r="I1614" s="55"/>
      <c r="J1614" s="55"/>
      <c r="K1614" s="55"/>
      <c r="L1614" s="55"/>
      <c r="M1614" s="55"/>
      <c r="N1614" s="55"/>
      <c r="O1614" s="55"/>
      <c r="P1614" s="55"/>
      <c r="Q1614" s="55"/>
      <c r="R1614" s="55"/>
      <c r="S1614" s="55"/>
      <c r="T1614" s="55"/>
      <c r="U1614" s="55"/>
      <c r="V1614" s="55"/>
      <c r="W1614" s="55"/>
      <c r="X1614" s="55"/>
      <c r="Y1614" s="55"/>
      <c r="Z1614" s="55"/>
      <c r="AA1614" s="55"/>
      <c r="AB1614" s="55"/>
      <c r="AC1614" s="56"/>
      <c r="AD1614" s="55"/>
      <c r="AE1614" s="55"/>
      <c r="AF1614" s="55"/>
      <c r="AG1614" s="55"/>
      <c r="AH1614" s="56"/>
      <c r="AI1614" s="55"/>
      <c r="AJ1614" s="55"/>
      <c r="AK1614" s="56"/>
      <c r="AL1614" s="56"/>
    </row>
    <row r="1615" spans="1:38" ht="15.75" thickBot="1" x14ac:dyDescent="0.3">
      <c r="A1615" s="51"/>
      <c r="B1615" s="51"/>
      <c r="C1615" s="51"/>
      <c r="D1615" s="51"/>
      <c r="E1615" s="51"/>
      <c r="F1615" s="51"/>
      <c r="G1615" s="54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4"/>
      <c r="AD1615" s="53"/>
      <c r="AE1615" s="53"/>
      <c r="AF1615" s="53"/>
      <c r="AG1615" s="53"/>
      <c r="AH1615" s="54"/>
      <c r="AI1615" s="53"/>
      <c r="AJ1615" s="53"/>
      <c r="AK1615" s="54"/>
      <c r="AL1615" s="54"/>
    </row>
    <row r="1616" spans="1:38" ht="15.75" thickBot="1" x14ac:dyDescent="0.3">
      <c r="A1616" s="51"/>
      <c r="B1616" s="51"/>
      <c r="C1616" s="51"/>
      <c r="D1616" s="51"/>
      <c r="E1616" s="51"/>
      <c r="F1616" s="51"/>
      <c r="G1616" s="56"/>
      <c r="H1616" s="55"/>
      <c r="I1616" s="55"/>
      <c r="J1616" s="55"/>
      <c r="K1616" s="55"/>
      <c r="L1616" s="55"/>
      <c r="M1616" s="55"/>
      <c r="N1616" s="55"/>
      <c r="O1616" s="55"/>
      <c r="P1616" s="55"/>
      <c r="Q1616" s="55"/>
      <c r="R1616" s="55"/>
      <c r="S1616" s="55"/>
      <c r="T1616" s="55"/>
      <c r="U1616" s="55"/>
      <c r="V1616" s="55"/>
      <c r="W1616" s="55"/>
      <c r="X1616" s="55"/>
      <c r="Y1616" s="55"/>
      <c r="Z1616" s="55"/>
      <c r="AA1616" s="55"/>
      <c r="AB1616" s="56"/>
      <c r="AC1616" s="55"/>
      <c r="AD1616" s="55"/>
      <c r="AE1616" s="55"/>
      <c r="AF1616" s="55"/>
      <c r="AG1616" s="55"/>
      <c r="AH1616" s="56"/>
      <c r="AI1616" s="55"/>
      <c r="AJ1616" s="55"/>
      <c r="AK1616" s="56"/>
      <c r="AL1616" s="56"/>
    </row>
    <row r="1617" spans="1:38" ht="15.75" thickBot="1" x14ac:dyDescent="0.3">
      <c r="A1617" s="51"/>
      <c r="B1617" s="51"/>
      <c r="C1617" s="51"/>
      <c r="D1617" s="51"/>
      <c r="E1617" s="51"/>
      <c r="F1617" s="51"/>
      <c r="G1617" s="54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4"/>
      <c r="AC1617" s="53"/>
      <c r="AD1617" s="53"/>
      <c r="AE1617" s="53"/>
      <c r="AF1617" s="53"/>
      <c r="AG1617" s="53"/>
      <c r="AH1617" s="54"/>
      <c r="AI1617" s="53"/>
      <c r="AJ1617" s="53"/>
      <c r="AK1617" s="54"/>
      <c r="AL1617" s="54"/>
    </row>
    <row r="1618" spans="1:38" ht="15.75" thickBot="1" x14ac:dyDescent="0.3">
      <c r="A1618" s="51"/>
      <c r="B1618" s="51"/>
      <c r="C1618" s="51"/>
      <c r="D1618" s="51"/>
      <c r="E1618" s="51"/>
      <c r="F1618" s="51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D1618" s="53"/>
      <c r="AE1618" s="53"/>
      <c r="AF1618" s="53"/>
      <c r="AG1618" s="54"/>
      <c r="AH1618" s="54"/>
      <c r="AI1618" s="53"/>
      <c r="AJ1618" s="53"/>
      <c r="AK1618" s="54"/>
      <c r="AL1618" s="54"/>
    </row>
    <row r="1619" spans="1:38" ht="15.75" thickBot="1" x14ac:dyDescent="0.3">
      <c r="A1619" s="51"/>
      <c r="B1619" s="51"/>
      <c r="C1619" s="51"/>
      <c r="D1619" s="51"/>
      <c r="E1619" s="51"/>
      <c r="F1619" s="51"/>
      <c r="G1619" s="55"/>
      <c r="H1619" s="55"/>
      <c r="I1619" s="55"/>
      <c r="J1619" s="55"/>
      <c r="K1619" s="55"/>
      <c r="L1619" s="55"/>
      <c r="M1619" s="55"/>
      <c r="N1619" s="55"/>
      <c r="O1619" s="55"/>
      <c r="P1619" s="55"/>
      <c r="Q1619" s="55"/>
      <c r="R1619" s="55"/>
      <c r="S1619" s="55"/>
      <c r="T1619" s="55"/>
      <c r="U1619" s="55"/>
      <c r="V1619" s="55"/>
      <c r="W1619" s="55"/>
      <c r="X1619" s="55"/>
      <c r="Y1619" s="55"/>
      <c r="Z1619" s="55"/>
      <c r="AA1619" s="55"/>
      <c r="AB1619" s="55"/>
      <c r="AC1619" s="55"/>
      <c r="AD1619" s="55"/>
      <c r="AE1619" s="55"/>
      <c r="AF1619" s="55"/>
      <c r="AG1619" s="56"/>
      <c r="AH1619" s="56"/>
      <c r="AI1619" s="55"/>
      <c r="AJ1619" s="55"/>
      <c r="AK1619" s="56"/>
      <c r="AL1619" s="56"/>
    </row>
    <row r="1620" spans="1:38" ht="15.75" thickBot="1" x14ac:dyDescent="0.3">
      <c r="A1620" s="51"/>
      <c r="B1620" s="51"/>
      <c r="C1620" s="51"/>
      <c r="D1620" s="51"/>
      <c r="E1620" s="51"/>
      <c r="F1620" s="51"/>
      <c r="G1620" s="54"/>
      <c r="H1620" s="53"/>
      <c r="I1620" s="53"/>
      <c r="J1620" s="53"/>
      <c r="K1620" s="54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4"/>
      <c r="AI1620" s="53"/>
      <c r="AJ1620" s="53"/>
      <c r="AK1620" s="54"/>
      <c r="AL1620" s="54"/>
    </row>
    <row r="1621" spans="1:38" ht="15.75" thickBot="1" x14ac:dyDescent="0.3">
      <c r="A1621" s="51"/>
      <c r="B1621" s="51"/>
      <c r="C1621" s="51"/>
      <c r="D1621" s="51"/>
      <c r="E1621" s="51"/>
      <c r="F1621" s="51"/>
      <c r="G1621" s="56"/>
      <c r="H1621" s="55"/>
      <c r="I1621" s="55"/>
      <c r="J1621" s="55"/>
      <c r="K1621" s="56"/>
      <c r="L1621" s="55"/>
      <c r="M1621" s="55"/>
      <c r="N1621" s="55"/>
      <c r="O1621" s="55"/>
      <c r="P1621" s="55"/>
      <c r="Q1621" s="55"/>
      <c r="R1621" s="55"/>
      <c r="S1621" s="55"/>
      <c r="T1621" s="55"/>
      <c r="U1621" s="55"/>
      <c r="V1621" s="55"/>
      <c r="W1621" s="55"/>
      <c r="X1621" s="55"/>
      <c r="Y1621" s="55"/>
      <c r="Z1621" s="55"/>
      <c r="AA1621" s="55"/>
      <c r="AB1621" s="55"/>
      <c r="AC1621" s="55"/>
      <c r="AD1621" s="55"/>
      <c r="AE1621" s="55"/>
      <c r="AF1621" s="55"/>
      <c r="AG1621" s="55"/>
      <c r="AH1621" s="56"/>
      <c r="AI1621" s="55"/>
      <c r="AJ1621" s="55"/>
      <c r="AK1621" s="56"/>
      <c r="AL1621" s="56"/>
    </row>
    <row r="1622" spans="1:38" ht="15.75" thickBot="1" x14ac:dyDescent="0.3">
      <c r="A1622" s="51"/>
      <c r="B1622" s="51"/>
      <c r="C1622" s="51"/>
      <c r="D1622" s="51"/>
      <c r="E1622" s="51"/>
      <c r="F1622" s="51"/>
      <c r="G1622" s="54"/>
      <c r="H1622" s="54"/>
      <c r="I1622" s="53"/>
      <c r="J1622" s="53"/>
      <c r="K1622" s="53"/>
      <c r="L1622" s="53"/>
      <c r="M1622" s="54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4"/>
      <c r="AI1622" s="53"/>
      <c r="AJ1622" s="53"/>
      <c r="AK1622" s="54"/>
      <c r="AL1622" s="54"/>
    </row>
    <row r="1623" spans="1:38" ht="15.75" thickBot="1" x14ac:dyDescent="0.3">
      <c r="A1623" s="51"/>
      <c r="B1623" s="51"/>
      <c r="C1623" s="51"/>
      <c r="D1623" s="51"/>
      <c r="E1623" s="51"/>
      <c r="F1623" s="51"/>
      <c r="G1623" s="56"/>
      <c r="H1623" s="148"/>
      <c r="I1623" s="55"/>
      <c r="J1623" s="55"/>
      <c r="K1623" s="55"/>
      <c r="L1623" s="55"/>
      <c r="M1623" s="56"/>
      <c r="N1623" s="55"/>
      <c r="O1623" s="55"/>
      <c r="P1623" s="55"/>
      <c r="Q1623" s="55"/>
      <c r="R1623" s="55"/>
      <c r="S1623" s="55"/>
      <c r="T1623" s="55"/>
      <c r="U1623" s="55"/>
      <c r="V1623" s="55"/>
      <c r="W1623" s="55"/>
      <c r="X1623" s="55"/>
      <c r="Y1623" s="55"/>
      <c r="Z1623" s="55"/>
      <c r="AA1623" s="55"/>
      <c r="AB1623" s="55"/>
      <c r="AC1623" s="55"/>
      <c r="AD1623" s="55"/>
      <c r="AE1623" s="55"/>
      <c r="AF1623" s="55"/>
      <c r="AG1623" s="55"/>
      <c r="AH1623" s="56"/>
      <c r="AI1623" s="55"/>
      <c r="AJ1623" s="55"/>
      <c r="AK1623" s="56"/>
      <c r="AL1623" s="56"/>
    </row>
    <row r="1624" spans="1:38" ht="15.75" thickBot="1" x14ac:dyDescent="0.3">
      <c r="A1624" s="51"/>
      <c r="B1624" s="51"/>
      <c r="C1624" s="51"/>
      <c r="D1624" s="51"/>
      <c r="E1624" s="51"/>
      <c r="F1624" s="51"/>
      <c r="G1624" s="54"/>
      <c r="H1624" s="53"/>
      <c r="I1624" s="53"/>
      <c r="J1624" s="53"/>
      <c r="K1624" s="53"/>
      <c r="L1624" s="53"/>
      <c r="M1624" s="53"/>
      <c r="N1624" s="53"/>
      <c r="O1624" s="53"/>
      <c r="P1624" s="53"/>
      <c r="Q1624" s="54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4"/>
      <c r="AI1624" s="53"/>
      <c r="AJ1624" s="53"/>
      <c r="AK1624" s="54"/>
      <c r="AL1624" s="54"/>
    </row>
    <row r="1625" spans="1:38" ht="15.75" thickBot="1" x14ac:dyDescent="0.3">
      <c r="A1625" s="51"/>
      <c r="B1625" s="51"/>
      <c r="C1625" s="51"/>
      <c r="D1625" s="51"/>
      <c r="E1625" s="51"/>
      <c r="F1625" s="51"/>
      <c r="G1625" s="56"/>
      <c r="H1625" s="55"/>
      <c r="I1625" s="55"/>
      <c r="J1625" s="55"/>
      <c r="K1625" s="55"/>
      <c r="L1625" s="55"/>
      <c r="M1625" s="55"/>
      <c r="N1625" s="55"/>
      <c r="O1625" s="55"/>
      <c r="P1625" s="55"/>
      <c r="Q1625" s="56"/>
      <c r="R1625" s="55"/>
      <c r="S1625" s="55"/>
      <c r="T1625" s="55"/>
      <c r="U1625" s="55"/>
      <c r="V1625" s="55"/>
      <c r="W1625" s="55"/>
      <c r="X1625" s="55"/>
      <c r="Y1625" s="55"/>
      <c r="Z1625" s="55"/>
      <c r="AA1625" s="55"/>
      <c r="AB1625" s="55"/>
      <c r="AC1625" s="55"/>
      <c r="AD1625" s="55"/>
      <c r="AE1625" s="55"/>
      <c r="AF1625" s="55"/>
      <c r="AG1625" s="55"/>
      <c r="AH1625" s="56"/>
      <c r="AI1625" s="55"/>
      <c r="AJ1625" s="55"/>
      <c r="AK1625" s="56"/>
      <c r="AL1625" s="56"/>
    </row>
    <row r="1626" spans="1:38" ht="15.75" thickBot="1" x14ac:dyDescent="0.3">
      <c r="A1626" s="51"/>
      <c r="B1626" s="51"/>
      <c r="C1626" s="51"/>
      <c r="D1626" s="51"/>
      <c r="E1626" s="51"/>
      <c r="F1626" s="51"/>
      <c r="G1626" s="54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4"/>
      <c r="AA1626" s="53"/>
      <c r="AB1626" s="53"/>
      <c r="AC1626" s="53"/>
      <c r="AD1626" s="53"/>
      <c r="AE1626" s="53"/>
      <c r="AF1626" s="53"/>
      <c r="AG1626" s="53"/>
      <c r="AH1626" s="54"/>
      <c r="AI1626" s="53"/>
      <c r="AJ1626" s="53"/>
      <c r="AK1626" s="54"/>
      <c r="AL1626" s="54"/>
    </row>
    <row r="1627" spans="1:38" ht="15.75" thickBot="1" x14ac:dyDescent="0.3">
      <c r="A1627" s="51"/>
      <c r="B1627" s="51"/>
      <c r="C1627" s="51"/>
      <c r="D1627" s="51"/>
      <c r="E1627" s="51"/>
      <c r="F1627" s="51"/>
      <c r="G1627" s="56"/>
      <c r="H1627" s="55"/>
      <c r="I1627" s="55"/>
      <c r="J1627" s="55"/>
      <c r="K1627" s="55"/>
      <c r="L1627" s="55"/>
      <c r="M1627" s="55"/>
      <c r="N1627" s="55"/>
      <c r="O1627" s="55"/>
      <c r="P1627" s="55"/>
      <c r="Q1627" s="55"/>
      <c r="R1627" s="55"/>
      <c r="S1627" s="55"/>
      <c r="T1627" s="55"/>
      <c r="U1627" s="55"/>
      <c r="V1627" s="55"/>
      <c r="W1627" s="55"/>
      <c r="X1627" s="55"/>
      <c r="Y1627" s="55"/>
      <c r="Z1627" s="56"/>
      <c r="AA1627" s="55"/>
      <c r="AB1627" s="55"/>
      <c r="AC1627" s="55"/>
      <c r="AD1627" s="55"/>
      <c r="AE1627" s="55"/>
      <c r="AF1627" s="55"/>
      <c r="AG1627" s="55"/>
      <c r="AH1627" s="56"/>
      <c r="AI1627" s="55"/>
      <c r="AJ1627" s="55"/>
      <c r="AK1627" s="56"/>
      <c r="AL1627" s="56"/>
    </row>
    <row r="1628" spans="1:38" ht="15.75" thickBot="1" x14ac:dyDescent="0.3">
      <c r="A1628" s="51"/>
      <c r="B1628" s="51"/>
      <c r="C1628" s="51"/>
      <c r="D1628" s="51"/>
      <c r="E1628" s="51"/>
      <c r="F1628" s="51"/>
      <c r="G1628" s="54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4"/>
      <c r="AA1628" s="53"/>
      <c r="AB1628" s="53"/>
      <c r="AC1628" s="53"/>
      <c r="AD1628" s="53"/>
      <c r="AE1628" s="53"/>
      <c r="AF1628" s="53"/>
      <c r="AG1628" s="53"/>
      <c r="AH1628" s="54"/>
      <c r="AI1628" s="53"/>
      <c r="AJ1628" s="53"/>
      <c r="AK1628" s="54"/>
      <c r="AL1628" s="54"/>
    </row>
    <row r="1629" spans="1:38" ht="15.75" thickBot="1" x14ac:dyDescent="0.3">
      <c r="A1629" s="51"/>
      <c r="B1629" s="51"/>
      <c r="C1629" s="51"/>
      <c r="D1629" s="51"/>
      <c r="E1629" s="51"/>
      <c r="F1629" s="51"/>
      <c r="G1629" s="56"/>
      <c r="H1629" s="55"/>
      <c r="I1629" s="55"/>
      <c r="J1629" s="55"/>
      <c r="K1629" s="55"/>
      <c r="L1629" s="55"/>
      <c r="M1629" s="55"/>
      <c r="N1629" s="55"/>
      <c r="O1629" s="55"/>
      <c r="P1629" s="55"/>
      <c r="Q1629" s="55"/>
      <c r="R1629" s="55"/>
      <c r="S1629" s="55"/>
      <c r="T1629" s="55"/>
      <c r="U1629" s="55"/>
      <c r="V1629" s="55"/>
      <c r="W1629" s="55"/>
      <c r="X1629" s="55"/>
      <c r="Y1629" s="55"/>
      <c r="Z1629" s="56"/>
      <c r="AA1629" s="55"/>
      <c r="AB1629" s="55"/>
      <c r="AC1629" s="55"/>
      <c r="AD1629" s="55"/>
      <c r="AE1629" s="55"/>
      <c r="AF1629" s="55"/>
      <c r="AG1629" s="55"/>
      <c r="AH1629" s="56"/>
      <c r="AI1629" s="55"/>
      <c r="AJ1629" s="55"/>
      <c r="AK1629" s="56"/>
      <c r="AL1629" s="56"/>
    </row>
    <row r="1630" spans="1:38" ht="15.75" thickBot="1" x14ac:dyDescent="0.3">
      <c r="A1630" s="51"/>
      <c r="B1630" s="51"/>
      <c r="C1630" s="51"/>
      <c r="D1630" s="51"/>
      <c r="E1630" s="51"/>
      <c r="F1630" s="51"/>
      <c r="G1630" s="54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4"/>
      <c r="AB1630" s="53"/>
      <c r="AC1630" s="53"/>
      <c r="AD1630" s="53"/>
      <c r="AE1630" s="53"/>
      <c r="AF1630" s="53"/>
      <c r="AG1630" s="53"/>
      <c r="AH1630" s="54"/>
      <c r="AI1630" s="53"/>
      <c r="AJ1630" s="53"/>
      <c r="AK1630" s="54"/>
      <c r="AL1630" s="54"/>
    </row>
    <row r="1631" spans="1:38" ht="15.75" thickBot="1" x14ac:dyDescent="0.3">
      <c r="A1631" s="51"/>
      <c r="B1631" s="51"/>
      <c r="C1631" s="51"/>
      <c r="D1631" s="51"/>
      <c r="E1631" s="51"/>
      <c r="F1631" s="51"/>
      <c r="G1631" s="56"/>
      <c r="H1631" s="55"/>
      <c r="I1631" s="55"/>
      <c r="J1631" s="55"/>
      <c r="K1631" s="55"/>
      <c r="L1631" s="55"/>
      <c r="M1631" s="55"/>
      <c r="N1631" s="55"/>
      <c r="O1631" s="55"/>
      <c r="P1631" s="55"/>
      <c r="Q1631" s="55"/>
      <c r="R1631" s="55"/>
      <c r="S1631" s="55"/>
      <c r="T1631" s="55"/>
      <c r="U1631" s="55"/>
      <c r="V1631" s="55"/>
      <c r="W1631" s="55"/>
      <c r="X1631" s="55"/>
      <c r="Y1631" s="55"/>
      <c r="Z1631" s="55"/>
      <c r="AA1631" s="56"/>
      <c r="AB1631" s="55"/>
      <c r="AC1631" s="55"/>
      <c r="AD1631" s="55"/>
      <c r="AE1631" s="55"/>
      <c r="AF1631" s="55"/>
      <c r="AG1631" s="55"/>
      <c r="AH1631" s="56"/>
      <c r="AI1631" s="55"/>
      <c r="AJ1631" s="55"/>
      <c r="AK1631" s="56"/>
      <c r="AL1631" s="56"/>
    </row>
    <row r="1632" spans="1:38" ht="15.75" thickBot="1" x14ac:dyDescent="0.3">
      <c r="A1632" s="51"/>
      <c r="B1632" s="51"/>
      <c r="C1632" s="51"/>
      <c r="D1632" s="51"/>
      <c r="E1632" s="51"/>
      <c r="F1632" s="51"/>
      <c r="G1632" s="54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4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4"/>
      <c r="AI1632" s="53"/>
      <c r="AJ1632" s="53"/>
      <c r="AK1632" s="54"/>
      <c r="AL1632" s="54"/>
    </row>
    <row r="1633" spans="1:38" ht="15.75" thickBot="1" x14ac:dyDescent="0.3">
      <c r="A1633" s="51"/>
      <c r="B1633" s="51"/>
      <c r="C1633" s="51"/>
      <c r="D1633" s="51"/>
      <c r="E1633" s="51"/>
      <c r="F1633" s="51"/>
      <c r="G1633" s="56"/>
      <c r="H1633" s="55"/>
      <c r="I1633" s="55"/>
      <c r="J1633" s="55"/>
      <c r="K1633" s="55"/>
      <c r="L1633" s="55"/>
      <c r="M1633" s="55"/>
      <c r="N1633" s="55"/>
      <c r="O1633" s="55"/>
      <c r="P1633" s="55"/>
      <c r="Q1633" s="55"/>
      <c r="R1633" s="56"/>
      <c r="S1633" s="55"/>
      <c r="T1633" s="55"/>
      <c r="U1633" s="55"/>
      <c r="V1633" s="55"/>
      <c r="W1633" s="55"/>
      <c r="X1633" s="55"/>
      <c r="Y1633" s="55"/>
      <c r="Z1633" s="55"/>
      <c r="AA1633" s="55"/>
      <c r="AB1633" s="55"/>
      <c r="AC1633" s="55"/>
      <c r="AD1633" s="55"/>
      <c r="AE1633" s="55"/>
      <c r="AF1633" s="55"/>
      <c r="AG1633" s="55"/>
      <c r="AH1633" s="56"/>
      <c r="AI1633" s="55"/>
      <c r="AJ1633" s="55"/>
      <c r="AK1633" s="56"/>
      <c r="AL1633" s="56"/>
    </row>
    <row r="1634" spans="1:38" ht="15.75" thickBot="1" x14ac:dyDescent="0.3">
      <c r="A1634" s="51"/>
      <c r="B1634" s="51"/>
      <c r="C1634" s="51"/>
      <c r="D1634" s="51"/>
      <c r="E1634" s="51"/>
      <c r="F1634" s="51"/>
      <c r="G1634" s="54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4"/>
      <c r="AD1634" s="53"/>
      <c r="AE1634" s="53"/>
      <c r="AF1634" s="53"/>
      <c r="AG1634" s="53"/>
      <c r="AH1634" s="54"/>
      <c r="AI1634" s="53"/>
      <c r="AJ1634" s="53"/>
      <c r="AK1634" s="54"/>
      <c r="AL1634" s="54"/>
    </row>
    <row r="1635" spans="1:38" ht="15.75" thickBot="1" x14ac:dyDescent="0.3">
      <c r="A1635" s="51"/>
      <c r="B1635" s="51"/>
      <c r="C1635" s="51"/>
      <c r="D1635" s="51"/>
      <c r="E1635" s="51"/>
      <c r="F1635" s="51"/>
      <c r="G1635" s="56"/>
      <c r="H1635" s="55"/>
      <c r="I1635" s="55"/>
      <c r="J1635" s="55"/>
      <c r="K1635" s="55"/>
      <c r="L1635" s="55"/>
      <c r="M1635" s="55"/>
      <c r="N1635" s="55"/>
      <c r="O1635" s="55"/>
      <c r="P1635" s="55"/>
      <c r="Q1635" s="55"/>
      <c r="R1635" s="55"/>
      <c r="S1635" s="55"/>
      <c r="T1635" s="55"/>
      <c r="U1635" s="55"/>
      <c r="V1635" s="55"/>
      <c r="W1635" s="55"/>
      <c r="X1635" s="55"/>
      <c r="Y1635" s="55"/>
      <c r="Z1635" s="55"/>
      <c r="AA1635" s="55"/>
      <c r="AB1635" s="55"/>
      <c r="AC1635" s="56"/>
      <c r="AD1635" s="55"/>
      <c r="AE1635" s="55"/>
      <c r="AF1635" s="55"/>
      <c r="AG1635" s="55"/>
      <c r="AH1635" s="56"/>
      <c r="AI1635" s="55"/>
      <c r="AJ1635" s="55"/>
      <c r="AK1635" s="56"/>
      <c r="AL1635" s="56"/>
    </row>
    <row r="1636" spans="1:38" ht="15.75" thickBot="1" x14ac:dyDescent="0.3">
      <c r="A1636" s="51"/>
      <c r="B1636" s="51"/>
      <c r="C1636" s="51"/>
      <c r="D1636" s="51"/>
      <c r="E1636" s="51"/>
      <c r="F1636" s="51"/>
      <c r="G1636" s="54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4"/>
      <c r="AC1636" s="53"/>
      <c r="AD1636" s="53"/>
      <c r="AE1636" s="53"/>
      <c r="AF1636" s="53"/>
      <c r="AG1636" s="53"/>
      <c r="AH1636" s="54"/>
      <c r="AI1636" s="53"/>
      <c r="AJ1636" s="53"/>
      <c r="AK1636" s="54"/>
      <c r="AL1636" s="54"/>
    </row>
    <row r="1637" spans="1:38" ht="15.75" thickBot="1" x14ac:dyDescent="0.3">
      <c r="A1637" s="51"/>
      <c r="B1637" s="51"/>
      <c r="C1637" s="51"/>
      <c r="D1637" s="51"/>
      <c r="E1637" s="51"/>
      <c r="F1637" s="51"/>
      <c r="G1637" s="56"/>
      <c r="H1637" s="55"/>
      <c r="I1637" s="55"/>
      <c r="J1637" s="55"/>
      <c r="K1637" s="55"/>
      <c r="L1637" s="55"/>
      <c r="M1637" s="55"/>
      <c r="N1637" s="55"/>
      <c r="O1637" s="55"/>
      <c r="P1637" s="55"/>
      <c r="Q1637" s="55"/>
      <c r="R1637" s="55"/>
      <c r="S1637" s="55"/>
      <c r="T1637" s="55"/>
      <c r="U1637" s="55"/>
      <c r="V1637" s="55"/>
      <c r="W1637" s="55"/>
      <c r="X1637" s="55"/>
      <c r="Y1637" s="55"/>
      <c r="Z1637" s="55"/>
      <c r="AA1637" s="55"/>
      <c r="AB1637" s="56"/>
      <c r="AC1637" s="55"/>
      <c r="AD1637" s="55"/>
      <c r="AE1637" s="55"/>
      <c r="AF1637" s="55"/>
      <c r="AG1637" s="55"/>
      <c r="AH1637" s="56"/>
      <c r="AI1637" s="55"/>
      <c r="AJ1637" s="55"/>
      <c r="AK1637" s="56"/>
      <c r="AL1637" s="56"/>
    </row>
    <row r="1638" spans="1:38" ht="15.75" thickBot="1" x14ac:dyDescent="0.3">
      <c r="A1638" s="51"/>
      <c r="B1638" s="51"/>
      <c r="C1638" s="51"/>
      <c r="D1638" s="51"/>
      <c r="E1638" s="51"/>
      <c r="F1638" s="51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4"/>
      <c r="AH1638" s="54"/>
      <c r="AI1638" s="53"/>
      <c r="AJ1638" s="53"/>
      <c r="AK1638" s="54"/>
      <c r="AL1638" s="54"/>
    </row>
    <row r="1639" spans="1:38" ht="15.75" thickBot="1" x14ac:dyDescent="0.3">
      <c r="A1639" s="51"/>
      <c r="B1639" s="51"/>
      <c r="C1639" s="51"/>
      <c r="D1639" s="51"/>
      <c r="E1639" s="51"/>
      <c r="F1639" s="51"/>
      <c r="G1639" s="55"/>
      <c r="H1639" s="55"/>
      <c r="I1639" s="55"/>
      <c r="J1639" s="55"/>
      <c r="K1639" s="55"/>
      <c r="L1639" s="55"/>
      <c r="M1639" s="55"/>
      <c r="N1639" s="55"/>
      <c r="O1639" s="55"/>
      <c r="P1639" s="55"/>
      <c r="Q1639" s="55"/>
      <c r="R1639" s="55"/>
      <c r="S1639" s="55"/>
      <c r="T1639" s="55"/>
      <c r="U1639" s="55"/>
      <c r="V1639" s="55"/>
      <c r="W1639" s="55"/>
      <c r="X1639" s="55"/>
      <c r="Y1639" s="55"/>
      <c r="Z1639" s="55"/>
      <c r="AA1639" s="55"/>
      <c r="AB1639" s="55"/>
      <c r="AC1639" s="55"/>
      <c r="AD1639" s="55"/>
      <c r="AE1639" s="55"/>
      <c r="AF1639" s="55"/>
      <c r="AG1639" s="56"/>
      <c r="AH1639" s="56"/>
      <c r="AI1639" s="55"/>
      <c r="AJ1639" s="55"/>
      <c r="AK1639" s="56"/>
      <c r="AL1639" s="56"/>
    </row>
    <row r="1640" spans="1:38" ht="15.75" thickBot="1" x14ac:dyDescent="0.3">
      <c r="A1640" s="51"/>
      <c r="B1640" s="51"/>
      <c r="C1640" s="51"/>
      <c r="D1640" s="51"/>
      <c r="E1640" s="51"/>
      <c r="F1640" s="51"/>
      <c r="G1640" s="54"/>
      <c r="H1640" s="53"/>
      <c r="I1640" s="53"/>
      <c r="J1640" s="53"/>
      <c r="K1640" s="54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4"/>
      <c r="AI1640" s="53"/>
      <c r="AJ1640" s="53"/>
      <c r="AK1640" s="54"/>
      <c r="AL1640" s="54"/>
    </row>
    <row r="1641" spans="1:38" ht="15.75" thickBot="1" x14ac:dyDescent="0.3">
      <c r="A1641" s="51"/>
      <c r="B1641" s="51"/>
      <c r="C1641" s="51"/>
      <c r="D1641" s="51"/>
      <c r="E1641" s="51"/>
      <c r="F1641" s="51"/>
      <c r="G1641" s="56"/>
      <c r="H1641" s="55"/>
      <c r="I1641" s="55"/>
      <c r="J1641" s="55"/>
      <c r="K1641" s="56"/>
      <c r="L1641" s="55"/>
      <c r="M1641" s="55"/>
      <c r="N1641" s="55"/>
      <c r="O1641" s="55"/>
      <c r="P1641" s="55"/>
      <c r="Q1641" s="55"/>
      <c r="R1641" s="55"/>
      <c r="S1641" s="55"/>
      <c r="T1641" s="55"/>
      <c r="U1641" s="55"/>
      <c r="V1641" s="55"/>
      <c r="W1641" s="55"/>
      <c r="X1641" s="55"/>
      <c r="Y1641" s="55"/>
      <c r="Z1641" s="55"/>
      <c r="AA1641" s="55"/>
      <c r="AB1641" s="55"/>
      <c r="AC1641" s="55"/>
      <c r="AD1641" s="55"/>
      <c r="AE1641" s="55"/>
      <c r="AF1641" s="55"/>
      <c r="AG1641" s="55"/>
      <c r="AH1641" s="56"/>
      <c r="AI1641" s="55"/>
      <c r="AJ1641" s="55"/>
      <c r="AK1641" s="56"/>
      <c r="AL1641" s="56"/>
    </row>
    <row r="1642" spans="1:38" ht="15.75" thickBot="1" x14ac:dyDescent="0.3">
      <c r="A1642" s="51"/>
      <c r="B1642" s="51"/>
      <c r="C1642" s="51"/>
      <c r="D1642" s="51"/>
      <c r="E1642" s="51"/>
      <c r="F1642" s="51"/>
      <c r="G1642" s="54"/>
      <c r="H1642" s="54"/>
      <c r="I1642" s="53"/>
      <c r="J1642" s="53"/>
      <c r="K1642" s="53"/>
      <c r="L1642" s="53"/>
      <c r="M1642" s="54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4"/>
      <c r="AI1642" s="53"/>
      <c r="AJ1642" s="53"/>
      <c r="AK1642" s="54"/>
      <c r="AL1642" s="54"/>
    </row>
    <row r="1643" spans="1:38" ht="15.75" thickBot="1" x14ac:dyDescent="0.3">
      <c r="A1643" s="51"/>
      <c r="B1643" s="51"/>
      <c r="C1643" s="51"/>
      <c r="D1643" s="51"/>
      <c r="E1643" s="51"/>
      <c r="F1643" s="51"/>
      <c r="G1643" s="56"/>
      <c r="H1643" s="148"/>
      <c r="I1643" s="55"/>
      <c r="J1643" s="55"/>
      <c r="K1643" s="55"/>
      <c r="L1643" s="55"/>
      <c r="M1643" s="56"/>
      <c r="N1643" s="55"/>
      <c r="O1643" s="55"/>
      <c r="P1643" s="55"/>
      <c r="Q1643" s="55"/>
      <c r="R1643" s="55"/>
      <c r="S1643" s="55"/>
      <c r="T1643" s="55"/>
      <c r="U1643" s="55"/>
      <c r="V1643" s="55"/>
      <c r="W1643" s="55"/>
      <c r="X1643" s="55"/>
      <c r="Y1643" s="55"/>
      <c r="Z1643" s="55"/>
      <c r="AA1643" s="55"/>
      <c r="AB1643" s="55"/>
      <c r="AC1643" s="55"/>
      <c r="AD1643" s="55"/>
      <c r="AE1643" s="55"/>
      <c r="AF1643" s="55"/>
      <c r="AG1643" s="55"/>
      <c r="AH1643" s="56"/>
      <c r="AI1643" s="55"/>
      <c r="AJ1643" s="55"/>
      <c r="AK1643" s="56"/>
      <c r="AL1643" s="56"/>
    </row>
    <row r="1644" spans="1:38" ht="15.75" thickBot="1" x14ac:dyDescent="0.3">
      <c r="A1644" s="51"/>
      <c r="B1644" s="51"/>
      <c r="C1644" s="51"/>
      <c r="D1644" s="51"/>
      <c r="E1644" s="51"/>
      <c r="F1644" s="51"/>
      <c r="G1644" s="54"/>
      <c r="H1644" s="53"/>
      <c r="I1644" s="53"/>
      <c r="J1644" s="53"/>
      <c r="K1644" s="53"/>
      <c r="L1644" s="53"/>
      <c r="M1644" s="53"/>
      <c r="N1644" s="53"/>
      <c r="O1644" s="53"/>
      <c r="P1644" s="53"/>
      <c r="Q1644" s="54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4"/>
      <c r="AI1644" s="53"/>
      <c r="AJ1644" s="53"/>
      <c r="AK1644" s="54"/>
      <c r="AL1644" s="54"/>
    </row>
    <row r="1645" spans="1:38" ht="15.75" thickBot="1" x14ac:dyDescent="0.3">
      <c r="A1645" s="51"/>
      <c r="B1645" s="51"/>
      <c r="C1645" s="51"/>
      <c r="D1645" s="51"/>
      <c r="E1645" s="51"/>
      <c r="F1645" s="51"/>
      <c r="G1645" s="56"/>
      <c r="H1645" s="55"/>
      <c r="I1645" s="55"/>
      <c r="J1645" s="55"/>
      <c r="K1645" s="55"/>
      <c r="L1645" s="55"/>
      <c r="M1645" s="55"/>
      <c r="N1645" s="55"/>
      <c r="O1645" s="55"/>
      <c r="P1645" s="55"/>
      <c r="Q1645" s="56"/>
      <c r="R1645" s="55"/>
      <c r="S1645" s="55"/>
      <c r="T1645" s="55"/>
      <c r="U1645" s="55"/>
      <c r="V1645" s="55"/>
      <c r="W1645" s="55"/>
      <c r="X1645" s="55"/>
      <c r="Y1645" s="55"/>
      <c r="Z1645" s="55"/>
      <c r="AA1645" s="55"/>
      <c r="AB1645" s="55"/>
      <c r="AC1645" s="55"/>
      <c r="AD1645" s="55"/>
      <c r="AE1645" s="55"/>
      <c r="AF1645" s="55"/>
      <c r="AG1645" s="55"/>
      <c r="AH1645" s="56"/>
      <c r="AI1645" s="55"/>
      <c r="AJ1645" s="55"/>
      <c r="AK1645" s="56"/>
      <c r="AL1645" s="56"/>
    </row>
    <row r="1646" spans="1:38" ht="15.75" thickBot="1" x14ac:dyDescent="0.3">
      <c r="A1646" s="51"/>
      <c r="B1646" s="51"/>
      <c r="C1646" s="51"/>
      <c r="D1646" s="51"/>
      <c r="E1646" s="51"/>
      <c r="F1646" s="51"/>
      <c r="G1646" s="54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4"/>
      <c r="AA1646" s="53"/>
      <c r="AB1646" s="53"/>
      <c r="AC1646" s="53"/>
      <c r="AD1646" s="53"/>
      <c r="AE1646" s="53"/>
      <c r="AF1646" s="53"/>
      <c r="AG1646" s="53"/>
      <c r="AH1646" s="54"/>
      <c r="AI1646" s="53"/>
      <c r="AJ1646" s="53"/>
      <c r="AK1646" s="54"/>
      <c r="AL1646" s="54"/>
    </row>
    <row r="1647" spans="1:38" ht="15.75" thickBot="1" x14ac:dyDescent="0.3">
      <c r="A1647" s="51"/>
      <c r="B1647" s="51"/>
      <c r="C1647" s="51"/>
      <c r="D1647" s="51"/>
      <c r="E1647" s="51"/>
      <c r="F1647" s="51"/>
      <c r="G1647" s="56"/>
      <c r="H1647" s="55"/>
      <c r="I1647" s="55"/>
      <c r="J1647" s="55"/>
      <c r="K1647" s="55"/>
      <c r="L1647" s="55"/>
      <c r="M1647" s="55"/>
      <c r="N1647" s="55"/>
      <c r="O1647" s="55"/>
      <c r="P1647" s="55"/>
      <c r="Q1647" s="55"/>
      <c r="R1647" s="55"/>
      <c r="S1647" s="55"/>
      <c r="T1647" s="55"/>
      <c r="U1647" s="55"/>
      <c r="V1647" s="55"/>
      <c r="W1647" s="55"/>
      <c r="X1647" s="55"/>
      <c r="Y1647" s="55"/>
      <c r="Z1647" s="56"/>
      <c r="AA1647" s="55"/>
      <c r="AB1647" s="55"/>
      <c r="AC1647" s="55"/>
      <c r="AD1647" s="55"/>
      <c r="AE1647" s="55"/>
      <c r="AF1647" s="55"/>
      <c r="AG1647" s="55"/>
      <c r="AH1647" s="56"/>
      <c r="AI1647" s="55"/>
      <c r="AJ1647" s="55"/>
      <c r="AK1647" s="56"/>
      <c r="AL1647" s="56"/>
    </row>
    <row r="1648" spans="1:38" ht="15.75" thickBot="1" x14ac:dyDescent="0.3">
      <c r="A1648" s="51"/>
      <c r="B1648" s="51"/>
      <c r="C1648" s="51"/>
      <c r="D1648" s="51"/>
      <c r="E1648" s="51"/>
      <c r="F1648" s="51"/>
      <c r="G1648" s="54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4"/>
      <c r="AB1648" s="53"/>
      <c r="AC1648" s="53"/>
      <c r="AD1648" s="53"/>
      <c r="AE1648" s="53"/>
      <c r="AF1648" s="53"/>
      <c r="AG1648" s="53"/>
      <c r="AH1648" s="54"/>
      <c r="AI1648" s="53"/>
      <c r="AJ1648" s="53"/>
      <c r="AK1648" s="54"/>
      <c r="AL1648" s="54"/>
    </row>
    <row r="1649" spans="1:38" ht="15.75" thickBot="1" x14ac:dyDescent="0.3">
      <c r="A1649" s="51"/>
      <c r="B1649" s="51"/>
      <c r="C1649" s="51"/>
      <c r="D1649" s="51"/>
      <c r="E1649" s="51"/>
      <c r="F1649" s="51"/>
      <c r="G1649" s="56"/>
      <c r="H1649" s="55"/>
      <c r="I1649" s="55"/>
      <c r="J1649" s="55"/>
      <c r="K1649" s="55"/>
      <c r="L1649" s="55"/>
      <c r="M1649" s="55"/>
      <c r="N1649" s="55"/>
      <c r="O1649" s="55"/>
      <c r="P1649" s="55"/>
      <c r="Q1649" s="55"/>
      <c r="R1649" s="55"/>
      <c r="S1649" s="55"/>
      <c r="T1649" s="55"/>
      <c r="U1649" s="55"/>
      <c r="V1649" s="55"/>
      <c r="W1649" s="55"/>
      <c r="X1649" s="55"/>
      <c r="Y1649" s="55"/>
      <c r="Z1649" s="55"/>
      <c r="AA1649" s="56"/>
      <c r="AB1649" s="55"/>
      <c r="AC1649" s="55"/>
      <c r="AD1649" s="55"/>
      <c r="AE1649" s="55"/>
      <c r="AF1649" s="55"/>
      <c r="AG1649" s="55"/>
      <c r="AH1649" s="56"/>
      <c r="AI1649" s="55"/>
      <c r="AJ1649" s="55"/>
      <c r="AK1649" s="56"/>
      <c r="AL1649" s="56"/>
    </row>
    <row r="1650" spans="1:38" ht="15.75" thickBot="1" x14ac:dyDescent="0.3">
      <c r="A1650" s="51"/>
      <c r="B1650" s="51"/>
      <c r="C1650" s="51"/>
      <c r="D1650" s="51"/>
      <c r="E1650" s="51"/>
      <c r="F1650" s="51"/>
      <c r="G1650" s="54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4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4"/>
      <c r="AI1650" s="53"/>
      <c r="AJ1650" s="53"/>
      <c r="AK1650" s="54"/>
      <c r="AL1650" s="54"/>
    </row>
    <row r="1651" spans="1:38" ht="15.75" thickBot="1" x14ac:dyDescent="0.3">
      <c r="A1651" s="51"/>
      <c r="B1651" s="51"/>
      <c r="C1651" s="51"/>
      <c r="D1651" s="51"/>
      <c r="E1651" s="51"/>
      <c r="F1651" s="51"/>
      <c r="G1651" s="56"/>
      <c r="H1651" s="55"/>
      <c r="I1651" s="55"/>
      <c r="J1651" s="55"/>
      <c r="K1651" s="55"/>
      <c r="L1651" s="55"/>
      <c r="M1651" s="55"/>
      <c r="N1651" s="55"/>
      <c r="O1651" s="55"/>
      <c r="P1651" s="55"/>
      <c r="Q1651" s="55"/>
      <c r="R1651" s="56"/>
      <c r="S1651" s="55"/>
      <c r="T1651" s="55"/>
      <c r="U1651" s="55"/>
      <c r="V1651" s="55"/>
      <c r="W1651" s="55"/>
      <c r="X1651" s="55"/>
      <c r="Y1651" s="55"/>
      <c r="Z1651" s="55"/>
      <c r="AA1651" s="55"/>
      <c r="AB1651" s="55"/>
      <c r="AC1651" s="55"/>
      <c r="AD1651" s="55"/>
      <c r="AE1651" s="55"/>
      <c r="AF1651" s="55"/>
      <c r="AG1651" s="55"/>
      <c r="AH1651" s="56"/>
      <c r="AI1651" s="55"/>
      <c r="AJ1651" s="55"/>
      <c r="AK1651" s="56"/>
      <c r="AL1651" s="56"/>
    </row>
    <row r="1652" spans="1:38" ht="15.75" thickBot="1" x14ac:dyDescent="0.3">
      <c r="A1652" s="51"/>
      <c r="B1652" s="51"/>
      <c r="C1652" s="51"/>
      <c r="D1652" s="51"/>
      <c r="E1652" s="51"/>
      <c r="F1652" s="51"/>
      <c r="G1652" s="54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4"/>
      <c r="AD1652" s="53"/>
      <c r="AE1652" s="53"/>
      <c r="AF1652" s="53"/>
      <c r="AG1652" s="53"/>
      <c r="AH1652" s="54"/>
      <c r="AI1652" s="53"/>
      <c r="AJ1652" s="53"/>
      <c r="AK1652" s="54"/>
      <c r="AL1652" s="54"/>
    </row>
    <row r="1653" spans="1:38" ht="15.75" thickBot="1" x14ac:dyDescent="0.3">
      <c r="A1653" s="51"/>
      <c r="B1653" s="51"/>
      <c r="C1653" s="51"/>
      <c r="D1653" s="51"/>
      <c r="E1653" s="51"/>
      <c r="F1653" s="51"/>
      <c r="G1653" s="56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/>
      <c r="S1653" s="55"/>
      <c r="T1653" s="55"/>
      <c r="U1653" s="55"/>
      <c r="V1653" s="55"/>
      <c r="W1653" s="55"/>
      <c r="X1653" s="55"/>
      <c r="Y1653" s="55"/>
      <c r="Z1653" s="55"/>
      <c r="AA1653" s="55"/>
      <c r="AB1653" s="55"/>
      <c r="AC1653" s="56"/>
      <c r="AD1653" s="55"/>
      <c r="AE1653" s="55"/>
      <c r="AF1653" s="55"/>
      <c r="AG1653" s="55"/>
      <c r="AH1653" s="56"/>
      <c r="AI1653" s="55"/>
      <c r="AJ1653" s="55"/>
      <c r="AK1653" s="56"/>
      <c r="AL1653" s="56"/>
    </row>
    <row r="1654" spans="1:38" ht="15.75" thickBot="1" x14ac:dyDescent="0.3">
      <c r="A1654" s="51"/>
      <c r="B1654" s="51"/>
      <c r="C1654" s="51"/>
      <c r="D1654" s="51"/>
      <c r="E1654" s="51"/>
      <c r="F1654" s="51"/>
      <c r="G1654" s="54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4"/>
      <c r="AC1654" s="53"/>
      <c r="AD1654" s="53"/>
      <c r="AE1654" s="53"/>
      <c r="AF1654" s="53"/>
      <c r="AG1654" s="53"/>
      <c r="AH1654" s="54"/>
      <c r="AI1654" s="53"/>
      <c r="AJ1654" s="53"/>
      <c r="AK1654" s="54"/>
      <c r="AL1654" s="54"/>
    </row>
    <row r="1655" spans="1:38" ht="15.75" thickBot="1" x14ac:dyDescent="0.3">
      <c r="A1655" s="51"/>
      <c r="B1655" s="51"/>
      <c r="C1655" s="51"/>
      <c r="D1655" s="51"/>
      <c r="E1655" s="51"/>
      <c r="F1655" s="51"/>
      <c r="G1655" s="56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/>
      <c r="S1655" s="55"/>
      <c r="T1655" s="55"/>
      <c r="U1655" s="55"/>
      <c r="V1655" s="55"/>
      <c r="W1655" s="55"/>
      <c r="X1655" s="55"/>
      <c r="Y1655" s="55"/>
      <c r="Z1655" s="55"/>
      <c r="AA1655" s="55"/>
      <c r="AB1655" s="56"/>
      <c r="AC1655" s="55"/>
      <c r="AD1655" s="55"/>
      <c r="AE1655" s="55"/>
      <c r="AF1655" s="55"/>
      <c r="AG1655" s="55"/>
      <c r="AH1655" s="56"/>
      <c r="AI1655" s="55"/>
      <c r="AJ1655" s="55"/>
      <c r="AK1655" s="56"/>
      <c r="AL1655" s="56"/>
    </row>
    <row r="1656" spans="1:38" ht="15.75" thickBot="1" x14ac:dyDescent="0.3">
      <c r="A1656" s="51"/>
      <c r="B1656" s="51"/>
      <c r="C1656" s="51"/>
      <c r="D1656" s="51"/>
      <c r="E1656" s="51"/>
      <c r="F1656" s="51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4"/>
      <c r="AH1656" s="54"/>
      <c r="AI1656" s="53"/>
      <c r="AJ1656" s="53"/>
      <c r="AK1656" s="54"/>
      <c r="AL1656" s="54"/>
    </row>
    <row r="1657" spans="1:38" ht="15.75" thickBot="1" x14ac:dyDescent="0.3">
      <c r="A1657" s="51"/>
      <c r="B1657" s="51"/>
      <c r="C1657" s="51"/>
      <c r="D1657" s="51"/>
      <c r="E1657" s="51"/>
      <c r="F1657" s="51"/>
      <c r="G1657" s="55"/>
      <c r="H1657" s="55"/>
      <c r="I1657" s="55"/>
      <c r="J1657" s="55"/>
      <c r="K1657" s="55"/>
      <c r="L1657" s="55"/>
      <c r="M1657" s="55"/>
      <c r="N1657" s="55"/>
      <c r="O1657" s="55"/>
      <c r="P1657" s="55"/>
      <c r="Q1657" s="55"/>
      <c r="R1657" s="55"/>
      <c r="S1657" s="55"/>
      <c r="T1657" s="55"/>
      <c r="U1657" s="55"/>
      <c r="V1657" s="55"/>
      <c r="W1657" s="55"/>
      <c r="X1657" s="55"/>
      <c r="Y1657" s="55"/>
      <c r="Z1657" s="55"/>
      <c r="AA1657" s="55"/>
      <c r="AB1657" s="55"/>
      <c r="AC1657" s="55"/>
      <c r="AD1657" s="55"/>
      <c r="AE1657" s="55"/>
      <c r="AF1657" s="55"/>
      <c r="AG1657" s="56"/>
      <c r="AH1657" s="56"/>
      <c r="AI1657" s="55"/>
      <c r="AJ1657" s="55"/>
      <c r="AK1657" s="56"/>
      <c r="AL1657" s="56"/>
    </row>
    <row r="1658" spans="1:38" ht="15.75" thickBot="1" x14ac:dyDescent="0.3">
      <c r="A1658" s="51"/>
      <c r="B1658" s="51"/>
      <c r="C1658" s="51"/>
      <c r="D1658" s="51"/>
      <c r="E1658" s="51"/>
      <c r="F1658" s="51"/>
      <c r="G1658" s="54"/>
      <c r="H1658" s="53"/>
      <c r="I1658" s="53"/>
      <c r="J1658" s="53"/>
      <c r="K1658" s="54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4"/>
      <c r="AI1658" s="53"/>
      <c r="AJ1658" s="53"/>
      <c r="AK1658" s="54"/>
      <c r="AL1658" s="54"/>
    </row>
    <row r="1659" spans="1:38" ht="15.75" thickBot="1" x14ac:dyDescent="0.3">
      <c r="A1659" s="51"/>
      <c r="B1659" s="51"/>
      <c r="C1659" s="51"/>
      <c r="D1659" s="51"/>
      <c r="E1659" s="51"/>
      <c r="F1659" s="51"/>
      <c r="G1659" s="56"/>
      <c r="H1659" s="55"/>
      <c r="I1659" s="55"/>
      <c r="J1659" s="55"/>
      <c r="K1659" s="56"/>
      <c r="L1659" s="55"/>
      <c r="M1659" s="55"/>
      <c r="N1659" s="55"/>
      <c r="O1659" s="55"/>
      <c r="P1659" s="55"/>
      <c r="Q1659" s="55"/>
      <c r="R1659" s="55"/>
      <c r="S1659" s="55"/>
      <c r="T1659" s="55"/>
      <c r="U1659" s="55"/>
      <c r="V1659" s="55"/>
      <c r="W1659" s="55"/>
      <c r="X1659" s="55"/>
      <c r="Y1659" s="55"/>
      <c r="Z1659" s="55"/>
      <c r="AA1659" s="55"/>
      <c r="AB1659" s="55"/>
      <c r="AC1659" s="55"/>
      <c r="AD1659" s="55"/>
      <c r="AE1659" s="55"/>
      <c r="AF1659" s="55"/>
      <c r="AG1659" s="55"/>
      <c r="AH1659" s="56"/>
      <c r="AI1659" s="55"/>
      <c r="AJ1659" s="55"/>
      <c r="AK1659" s="56"/>
      <c r="AL1659" s="56"/>
    </row>
    <row r="1660" spans="1:38" ht="15.75" thickBot="1" x14ac:dyDescent="0.3">
      <c r="A1660" s="51"/>
      <c r="B1660" s="51"/>
      <c r="C1660" s="51"/>
      <c r="D1660" s="51"/>
      <c r="E1660" s="51"/>
      <c r="F1660" s="51"/>
      <c r="G1660" s="54"/>
      <c r="H1660" s="54"/>
      <c r="I1660" s="53"/>
      <c r="J1660" s="53"/>
      <c r="K1660" s="53"/>
      <c r="L1660" s="53"/>
      <c r="M1660" s="54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4"/>
      <c r="AI1660" s="53"/>
      <c r="AJ1660" s="53"/>
      <c r="AK1660" s="54"/>
      <c r="AL1660" s="54"/>
    </row>
    <row r="1661" spans="1:38" ht="15.75" thickBot="1" x14ac:dyDescent="0.3">
      <c r="A1661" s="51"/>
      <c r="B1661" s="51"/>
      <c r="C1661" s="51"/>
      <c r="D1661" s="51"/>
      <c r="E1661" s="51"/>
      <c r="F1661" s="51"/>
      <c r="G1661" s="56"/>
      <c r="H1661" s="148"/>
      <c r="I1661" s="55"/>
      <c r="J1661" s="55"/>
      <c r="K1661" s="55"/>
      <c r="L1661" s="55"/>
      <c r="M1661" s="56"/>
      <c r="N1661" s="55"/>
      <c r="O1661" s="55"/>
      <c r="P1661" s="55"/>
      <c r="Q1661" s="55"/>
      <c r="R1661" s="55"/>
      <c r="S1661" s="55"/>
      <c r="T1661" s="55"/>
      <c r="U1661" s="55"/>
      <c r="V1661" s="55"/>
      <c r="W1661" s="55"/>
      <c r="X1661" s="55"/>
      <c r="Y1661" s="55"/>
      <c r="Z1661" s="55"/>
      <c r="AA1661" s="55"/>
      <c r="AB1661" s="55"/>
      <c r="AC1661" s="55"/>
      <c r="AD1661" s="55"/>
      <c r="AE1661" s="55"/>
      <c r="AF1661" s="55"/>
      <c r="AG1661" s="55"/>
      <c r="AH1661" s="56"/>
      <c r="AI1661" s="55"/>
      <c r="AJ1661" s="55"/>
      <c r="AK1661" s="56"/>
      <c r="AL1661" s="56"/>
    </row>
    <row r="1662" spans="1:38" ht="15.75" thickBot="1" x14ac:dyDescent="0.3">
      <c r="A1662" s="51"/>
      <c r="B1662" s="51"/>
      <c r="C1662" s="51"/>
      <c r="D1662" s="51"/>
      <c r="E1662" s="51"/>
      <c r="F1662" s="51"/>
      <c r="G1662" s="54"/>
      <c r="H1662" s="53"/>
      <c r="I1662" s="53"/>
      <c r="J1662" s="53"/>
      <c r="K1662" s="53"/>
      <c r="L1662" s="53"/>
      <c r="M1662" s="53"/>
      <c r="N1662" s="53"/>
      <c r="O1662" s="53"/>
      <c r="P1662" s="53"/>
      <c r="Q1662" s="54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4"/>
      <c r="AI1662" s="53"/>
      <c r="AJ1662" s="53"/>
      <c r="AK1662" s="54"/>
      <c r="AL1662" s="54"/>
    </row>
    <row r="1663" spans="1:38" ht="15.75" thickBot="1" x14ac:dyDescent="0.3">
      <c r="A1663" s="51"/>
      <c r="B1663" s="51"/>
      <c r="C1663" s="51"/>
      <c r="D1663" s="51"/>
      <c r="E1663" s="51"/>
      <c r="F1663" s="51"/>
      <c r="G1663" s="56"/>
      <c r="H1663" s="55"/>
      <c r="I1663" s="55"/>
      <c r="J1663" s="55"/>
      <c r="K1663" s="55"/>
      <c r="L1663" s="55"/>
      <c r="M1663" s="55"/>
      <c r="N1663" s="55"/>
      <c r="O1663" s="55"/>
      <c r="P1663" s="55"/>
      <c r="Q1663" s="56"/>
      <c r="R1663" s="55"/>
      <c r="S1663" s="55"/>
      <c r="T1663" s="55"/>
      <c r="U1663" s="55"/>
      <c r="V1663" s="55"/>
      <c r="W1663" s="55"/>
      <c r="X1663" s="55"/>
      <c r="Y1663" s="55"/>
      <c r="Z1663" s="55"/>
      <c r="AA1663" s="55"/>
      <c r="AB1663" s="55"/>
      <c r="AC1663" s="55"/>
      <c r="AD1663" s="55"/>
      <c r="AE1663" s="55"/>
      <c r="AF1663" s="55"/>
      <c r="AG1663" s="55"/>
      <c r="AH1663" s="56"/>
      <c r="AI1663" s="55"/>
      <c r="AJ1663" s="55"/>
      <c r="AK1663" s="56"/>
      <c r="AL1663" s="56"/>
    </row>
    <row r="1664" spans="1:38" ht="15.75" thickBot="1" x14ac:dyDescent="0.3">
      <c r="A1664" s="51"/>
      <c r="B1664" s="51"/>
      <c r="C1664" s="51"/>
      <c r="D1664" s="51"/>
      <c r="E1664" s="51"/>
      <c r="F1664" s="51"/>
      <c r="G1664" s="54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4"/>
      <c r="AA1664" s="53"/>
      <c r="AB1664" s="53"/>
      <c r="AC1664" s="53"/>
      <c r="AD1664" s="53"/>
      <c r="AE1664" s="53"/>
      <c r="AF1664" s="53"/>
      <c r="AG1664" s="53"/>
      <c r="AH1664" s="54"/>
      <c r="AI1664" s="53"/>
      <c r="AJ1664" s="53"/>
      <c r="AK1664" s="54"/>
      <c r="AL1664" s="54"/>
    </row>
    <row r="1665" spans="1:38" ht="15.75" thickBot="1" x14ac:dyDescent="0.3">
      <c r="A1665" s="51"/>
      <c r="B1665" s="51"/>
      <c r="C1665" s="51"/>
      <c r="D1665" s="51"/>
      <c r="E1665" s="51"/>
      <c r="F1665" s="51"/>
      <c r="G1665" s="56"/>
      <c r="H1665" s="55"/>
      <c r="I1665" s="55"/>
      <c r="J1665" s="55"/>
      <c r="K1665" s="55"/>
      <c r="L1665" s="55"/>
      <c r="M1665" s="55"/>
      <c r="N1665" s="55"/>
      <c r="O1665" s="55"/>
      <c r="P1665" s="55"/>
      <c r="Q1665" s="55"/>
      <c r="R1665" s="55"/>
      <c r="S1665" s="55"/>
      <c r="T1665" s="55"/>
      <c r="U1665" s="55"/>
      <c r="V1665" s="55"/>
      <c r="W1665" s="55"/>
      <c r="X1665" s="55"/>
      <c r="Y1665" s="55"/>
      <c r="Z1665" s="56"/>
      <c r="AA1665" s="55"/>
      <c r="AB1665" s="55"/>
      <c r="AC1665" s="55"/>
      <c r="AD1665" s="55"/>
      <c r="AE1665" s="55"/>
      <c r="AF1665" s="55"/>
      <c r="AG1665" s="55"/>
      <c r="AH1665" s="56"/>
      <c r="AI1665" s="55"/>
      <c r="AJ1665" s="55"/>
      <c r="AK1665" s="56"/>
      <c r="AL1665" s="56"/>
    </row>
    <row r="1666" spans="1:38" ht="15.75" thickBot="1" x14ac:dyDescent="0.3">
      <c r="A1666" s="51"/>
      <c r="B1666" s="51"/>
      <c r="C1666" s="51"/>
      <c r="D1666" s="51"/>
      <c r="E1666" s="51"/>
      <c r="F1666" s="51"/>
      <c r="G1666" s="54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4"/>
      <c r="AB1666" s="53"/>
      <c r="AC1666" s="53"/>
      <c r="AD1666" s="53"/>
      <c r="AE1666" s="53"/>
      <c r="AF1666" s="53"/>
      <c r="AG1666" s="53"/>
      <c r="AH1666" s="54"/>
      <c r="AI1666" s="53"/>
      <c r="AJ1666" s="53"/>
      <c r="AK1666" s="54"/>
      <c r="AL1666" s="54"/>
    </row>
    <row r="1667" spans="1:38" ht="15.75" thickBot="1" x14ac:dyDescent="0.3">
      <c r="A1667" s="51"/>
      <c r="B1667" s="51"/>
      <c r="C1667" s="51"/>
      <c r="D1667" s="51"/>
      <c r="E1667" s="51"/>
      <c r="F1667" s="51"/>
      <c r="G1667" s="56"/>
      <c r="H1667" s="55"/>
      <c r="I1667" s="55"/>
      <c r="J1667" s="55"/>
      <c r="K1667" s="55"/>
      <c r="L1667" s="55"/>
      <c r="M1667" s="55"/>
      <c r="N1667" s="55"/>
      <c r="O1667" s="55"/>
      <c r="P1667" s="55"/>
      <c r="Q1667" s="55"/>
      <c r="R1667" s="55"/>
      <c r="S1667" s="55"/>
      <c r="T1667" s="55"/>
      <c r="U1667" s="55"/>
      <c r="V1667" s="55"/>
      <c r="W1667" s="55"/>
      <c r="X1667" s="55"/>
      <c r="Y1667" s="55"/>
      <c r="Z1667" s="55"/>
      <c r="AA1667" s="56"/>
      <c r="AB1667" s="55"/>
      <c r="AC1667" s="55"/>
      <c r="AD1667" s="55"/>
      <c r="AE1667" s="55"/>
      <c r="AF1667" s="55"/>
      <c r="AG1667" s="55"/>
      <c r="AH1667" s="56"/>
      <c r="AI1667" s="55"/>
      <c r="AJ1667" s="55"/>
      <c r="AK1667" s="56"/>
      <c r="AL1667" s="56"/>
    </row>
    <row r="1668" spans="1:38" ht="15.75" thickBot="1" x14ac:dyDescent="0.3">
      <c r="A1668" s="51"/>
      <c r="B1668" s="51"/>
      <c r="C1668" s="51"/>
      <c r="D1668" s="51"/>
      <c r="E1668" s="51"/>
      <c r="F1668" s="51"/>
      <c r="G1668" s="54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4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4"/>
      <c r="AI1668" s="53"/>
      <c r="AJ1668" s="53"/>
      <c r="AK1668" s="54"/>
      <c r="AL1668" s="54"/>
    </row>
    <row r="1669" spans="1:38" ht="15.75" thickBot="1" x14ac:dyDescent="0.3">
      <c r="A1669" s="51"/>
      <c r="B1669" s="51"/>
      <c r="C1669" s="51"/>
      <c r="D1669" s="51"/>
      <c r="E1669" s="51"/>
      <c r="F1669" s="51"/>
      <c r="G1669" s="56"/>
      <c r="H1669" s="55"/>
      <c r="I1669" s="55"/>
      <c r="J1669" s="55"/>
      <c r="K1669" s="55"/>
      <c r="L1669" s="55"/>
      <c r="M1669" s="55"/>
      <c r="N1669" s="55"/>
      <c r="O1669" s="55"/>
      <c r="P1669" s="55"/>
      <c r="Q1669" s="55"/>
      <c r="R1669" s="56"/>
      <c r="S1669" s="55"/>
      <c r="T1669" s="55"/>
      <c r="U1669" s="55"/>
      <c r="V1669" s="55"/>
      <c r="W1669" s="55"/>
      <c r="X1669" s="55"/>
      <c r="Y1669" s="55"/>
      <c r="Z1669" s="55"/>
      <c r="AA1669" s="55"/>
      <c r="AB1669" s="55"/>
      <c r="AC1669" s="55"/>
      <c r="AD1669" s="55"/>
      <c r="AE1669" s="55"/>
      <c r="AF1669" s="55"/>
      <c r="AG1669" s="55"/>
      <c r="AH1669" s="56"/>
      <c r="AI1669" s="55"/>
      <c r="AJ1669" s="55"/>
      <c r="AK1669" s="56"/>
      <c r="AL1669" s="56"/>
    </row>
    <row r="1670" spans="1:38" ht="15.75" thickBot="1" x14ac:dyDescent="0.3">
      <c r="A1670" s="51"/>
      <c r="B1670" s="51"/>
      <c r="C1670" s="51"/>
      <c r="D1670" s="51"/>
      <c r="E1670" s="51"/>
      <c r="F1670" s="51"/>
      <c r="G1670" s="54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53"/>
      <c r="AC1670" s="54"/>
      <c r="AD1670" s="53"/>
      <c r="AE1670" s="53"/>
      <c r="AF1670" s="53"/>
      <c r="AG1670" s="53"/>
      <c r="AH1670" s="54"/>
      <c r="AI1670" s="53"/>
      <c r="AJ1670" s="53"/>
      <c r="AK1670" s="54"/>
      <c r="AL1670" s="54"/>
    </row>
    <row r="1671" spans="1:38" ht="15.75" thickBot="1" x14ac:dyDescent="0.3">
      <c r="A1671" s="51"/>
      <c r="B1671" s="51"/>
      <c r="C1671" s="51"/>
      <c r="D1671" s="51"/>
      <c r="E1671" s="51"/>
      <c r="F1671" s="51"/>
      <c r="G1671" s="56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/>
      <c r="S1671" s="55"/>
      <c r="T1671" s="55"/>
      <c r="U1671" s="55"/>
      <c r="V1671" s="55"/>
      <c r="W1671" s="55"/>
      <c r="X1671" s="55"/>
      <c r="Y1671" s="55"/>
      <c r="Z1671" s="55"/>
      <c r="AA1671" s="55"/>
      <c r="AB1671" s="55"/>
      <c r="AC1671" s="56"/>
      <c r="AD1671" s="55"/>
      <c r="AE1671" s="55"/>
      <c r="AF1671" s="55"/>
      <c r="AG1671" s="55"/>
      <c r="AH1671" s="56"/>
      <c r="AI1671" s="55"/>
      <c r="AJ1671" s="55"/>
      <c r="AK1671" s="56"/>
      <c r="AL1671" s="56"/>
    </row>
    <row r="1672" spans="1:38" ht="15.75" thickBot="1" x14ac:dyDescent="0.3">
      <c r="A1672" s="51"/>
      <c r="B1672" s="51"/>
      <c r="C1672" s="51"/>
      <c r="D1672" s="51"/>
      <c r="E1672" s="51"/>
      <c r="F1672" s="51"/>
      <c r="G1672" s="54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4"/>
      <c r="AC1672" s="53"/>
      <c r="AD1672" s="53"/>
      <c r="AE1672" s="53"/>
      <c r="AF1672" s="53"/>
      <c r="AG1672" s="53"/>
      <c r="AH1672" s="54"/>
      <c r="AI1672" s="53"/>
      <c r="AJ1672" s="53"/>
      <c r="AK1672" s="54"/>
      <c r="AL1672" s="54"/>
    </row>
    <row r="1673" spans="1:38" ht="15.75" thickBot="1" x14ac:dyDescent="0.3">
      <c r="A1673" s="51"/>
      <c r="B1673" s="51"/>
      <c r="C1673" s="51"/>
      <c r="D1673" s="51"/>
      <c r="E1673" s="51"/>
      <c r="F1673" s="51"/>
      <c r="G1673" s="56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/>
      <c r="S1673" s="55"/>
      <c r="T1673" s="55"/>
      <c r="U1673" s="55"/>
      <c r="V1673" s="55"/>
      <c r="W1673" s="55"/>
      <c r="X1673" s="55"/>
      <c r="Y1673" s="55"/>
      <c r="Z1673" s="55"/>
      <c r="AA1673" s="55"/>
      <c r="AB1673" s="56"/>
      <c r="AC1673" s="55"/>
      <c r="AD1673" s="55"/>
      <c r="AE1673" s="55"/>
      <c r="AF1673" s="55"/>
      <c r="AG1673" s="55"/>
      <c r="AH1673" s="56"/>
      <c r="AI1673" s="55"/>
      <c r="AJ1673" s="55"/>
      <c r="AK1673" s="56"/>
      <c r="AL1673" s="56"/>
    </row>
    <row r="1674" spans="1:38" ht="15.75" thickBot="1" x14ac:dyDescent="0.3">
      <c r="A1674" s="51"/>
      <c r="B1674" s="51"/>
      <c r="C1674" s="51"/>
      <c r="D1674" s="51"/>
      <c r="E1674" s="51"/>
      <c r="F1674" s="51"/>
      <c r="G1674" s="54"/>
      <c r="H1674" s="53"/>
      <c r="I1674" s="53"/>
      <c r="J1674" s="53"/>
      <c r="K1674" s="54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4"/>
      <c r="AI1674" s="53"/>
      <c r="AJ1674" s="53"/>
      <c r="AK1674" s="54"/>
      <c r="AL1674" s="54"/>
    </row>
    <row r="1675" spans="1:38" ht="15.75" thickBot="1" x14ac:dyDescent="0.3">
      <c r="A1675" s="51"/>
      <c r="B1675" s="51"/>
      <c r="C1675" s="51"/>
      <c r="D1675" s="51"/>
      <c r="E1675" s="51"/>
      <c r="F1675" s="51"/>
      <c r="G1675" s="56"/>
      <c r="H1675" s="55"/>
      <c r="I1675" s="55"/>
      <c r="J1675" s="55"/>
      <c r="K1675" s="56"/>
      <c r="L1675" s="55"/>
      <c r="M1675" s="55"/>
      <c r="N1675" s="55"/>
      <c r="O1675" s="55"/>
      <c r="P1675" s="55"/>
      <c r="Q1675" s="55"/>
      <c r="R1675" s="55"/>
      <c r="S1675" s="55"/>
      <c r="T1675" s="55"/>
      <c r="U1675" s="55"/>
      <c r="V1675" s="55"/>
      <c r="W1675" s="55"/>
      <c r="X1675" s="55"/>
      <c r="Y1675" s="55"/>
      <c r="Z1675" s="55"/>
      <c r="AA1675" s="55"/>
      <c r="AB1675" s="55"/>
      <c r="AC1675" s="55"/>
      <c r="AD1675" s="55"/>
      <c r="AE1675" s="55"/>
      <c r="AF1675" s="55"/>
      <c r="AG1675" s="55"/>
      <c r="AH1675" s="56"/>
      <c r="AI1675" s="55"/>
      <c r="AJ1675" s="55"/>
      <c r="AK1675" s="56"/>
      <c r="AL1675" s="56"/>
    </row>
    <row r="1676" spans="1:38" ht="15.75" thickBot="1" x14ac:dyDescent="0.3">
      <c r="A1676" s="51"/>
      <c r="B1676" s="51"/>
      <c r="C1676" s="51"/>
      <c r="D1676" s="51"/>
      <c r="E1676" s="51"/>
      <c r="F1676" s="51"/>
      <c r="G1676" s="54"/>
      <c r="H1676" s="54"/>
      <c r="I1676" s="53"/>
      <c r="J1676" s="53"/>
      <c r="K1676" s="53"/>
      <c r="L1676" s="53"/>
      <c r="M1676" s="54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4"/>
      <c r="AI1676" s="53"/>
      <c r="AJ1676" s="53"/>
      <c r="AK1676" s="54"/>
      <c r="AL1676" s="54"/>
    </row>
    <row r="1677" spans="1:38" ht="15.75" thickBot="1" x14ac:dyDescent="0.3">
      <c r="A1677" s="51"/>
      <c r="B1677" s="51"/>
      <c r="C1677" s="51"/>
      <c r="D1677" s="51"/>
      <c r="E1677" s="51"/>
      <c r="F1677" s="51"/>
      <c r="G1677" s="56"/>
      <c r="H1677" s="148"/>
      <c r="I1677" s="55"/>
      <c r="J1677" s="55"/>
      <c r="K1677" s="55"/>
      <c r="L1677" s="55"/>
      <c r="M1677" s="56"/>
      <c r="N1677" s="55"/>
      <c r="O1677" s="55"/>
      <c r="P1677" s="55"/>
      <c r="Q1677" s="55"/>
      <c r="R1677" s="55"/>
      <c r="S1677" s="55"/>
      <c r="T1677" s="55"/>
      <c r="U1677" s="55"/>
      <c r="V1677" s="55"/>
      <c r="W1677" s="55"/>
      <c r="X1677" s="55"/>
      <c r="Y1677" s="55"/>
      <c r="Z1677" s="55"/>
      <c r="AA1677" s="55"/>
      <c r="AB1677" s="55"/>
      <c r="AC1677" s="55"/>
      <c r="AD1677" s="55"/>
      <c r="AE1677" s="55"/>
      <c r="AF1677" s="55"/>
      <c r="AG1677" s="55"/>
      <c r="AH1677" s="56"/>
      <c r="AI1677" s="55"/>
      <c r="AJ1677" s="55"/>
      <c r="AK1677" s="56"/>
      <c r="AL1677" s="56"/>
    </row>
    <row r="1678" spans="1:38" ht="15.75" thickBot="1" x14ac:dyDescent="0.3">
      <c r="A1678" s="51"/>
      <c r="B1678" s="51"/>
      <c r="C1678" s="51"/>
      <c r="D1678" s="51"/>
      <c r="E1678" s="51"/>
      <c r="F1678" s="51"/>
      <c r="G1678" s="54"/>
      <c r="H1678" s="53"/>
      <c r="I1678" s="53"/>
      <c r="J1678" s="53"/>
      <c r="K1678" s="53"/>
      <c r="L1678" s="53"/>
      <c r="M1678" s="53"/>
      <c r="N1678" s="53"/>
      <c r="O1678" s="53"/>
      <c r="P1678" s="53"/>
      <c r="Q1678" s="54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4"/>
      <c r="AI1678" s="53"/>
      <c r="AJ1678" s="53"/>
      <c r="AK1678" s="54"/>
      <c r="AL1678" s="54"/>
    </row>
    <row r="1679" spans="1:38" ht="15.75" thickBot="1" x14ac:dyDescent="0.3">
      <c r="A1679" s="51"/>
      <c r="B1679" s="51"/>
      <c r="C1679" s="51"/>
      <c r="D1679" s="51"/>
      <c r="E1679" s="51"/>
      <c r="F1679" s="51"/>
      <c r="G1679" s="56"/>
      <c r="H1679" s="55"/>
      <c r="I1679" s="55"/>
      <c r="J1679" s="55"/>
      <c r="K1679" s="55"/>
      <c r="L1679" s="55"/>
      <c r="M1679" s="55"/>
      <c r="N1679" s="55"/>
      <c r="O1679" s="55"/>
      <c r="P1679" s="55"/>
      <c r="Q1679" s="56"/>
      <c r="R1679" s="55"/>
      <c r="S1679" s="55"/>
      <c r="T1679" s="55"/>
      <c r="U1679" s="55"/>
      <c r="V1679" s="55"/>
      <c r="W1679" s="55"/>
      <c r="X1679" s="55"/>
      <c r="Y1679" s="55"/>
      <c r="Z1679" s="55"/>
      <c r="AA1679" s="55"/>
      <c r="AB1679" s="55"/>
      <c r="AC1679" s="55"/>
      <c r="AD1679" s="55"/>
      <c r="AE1679" s="55"/>
      <c r="AF1679" s="55"/>
      <c r="AG1679" s="55"/>
      <c r="AH1679" s="56"/>
      <c r="AI1679" s="55"/>
      <c r="AJ1679" s="55"/>
      <c r="AK1679" s="56"/>
      <c r="AL1679" s="56"/>
    </row>
    <row r="1680" spans="1:38" ht="15.75" thickBot="1" x14ac:dyDescent="0.3">
      <c r="A1680" s="51"/>
      <c r="B1680" s="51"/>
      <c r="C1680" s="51"/>
      <c r="D1680" s="51"/>
      <c r="E1680" s="51"/>
      <c r="F1680" s="51"/>
      <c r="G1680" s="54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4"/>
      <c r="AA1680" s="53"/>
      <c r="AB1680" s="53"/>
      <c r="AC1680" s="53"/>
      <c r="AD1680" s="53"/>
      <c r="AE1680" s="53"/>
      <c r="AF1680" s="53"/>
      <c r="AG1680" s="53"/>
      <c r="AH1680" s="54"/>
      <c r="AI1680" s="53"/>
      <c r="AJ1680" s="53"/>
      <c r="AK1680" s="54"/>
      <c r="AL1680" s="54"/>
    </row>
    <row r="1681" spans="1:38" ht="15.75" thickBot="1" x14ac:dyDescent="0.3">
      <c r="A1681" s="51"/>
      <c r="B1681" s="51"/>
      <c r="C1681" s="51"/>
      <c r="D1681" s="51"/>
      <c r="E1681" s="51"/>
      <c r="F1681" s="51"/>
      <c r="G1681" s="56"/>
      <c r="H1681" s="55"/>
      <c r="I1681" s="55"/>
      <c r="J1681" s="55"/>
      <c r="K1681" s="55"/>
      <c r="L1681" s="55"/>
      <c r="M1681" s="55"/>
      <c r="N1681" s="55"/>
      <c r="O1681" s="55"/>
      <c r="P1681" s="55"/>
      <c r="Q1681" s="55"/>
      <c r="R1681" s="55"/>
      <c r="S1681" s="55"/>
      <c r="T1681" s="55"/>
      <c r="U1681" s="55"/>
      <c r="V1681" s="55"/>
      <c r="W1681" s="55"/>
      <c r="X1681" s="55"/>
      <c r="Y1681" s="55"/>
      <c r="Z1681" s="56"/>
      <c r="AA1681" s="55"/>
      <c r="AB1681" s="55"/>
      <c r="AC1681" s="55"/>
      <c r="AD1681" s="55"/>
      <c r="AE1681" s="55"/>
      <c r="AF1681" s="55"/>
      <c r="AG1681" s="55"/>
      <c r="AH1681" s="56"/>
      <c r="AI1681" s="55"/>
      <c r="AJ1681" s="55"/>
      <c r="AK1681" s="56"/>
      <c r="AL1681" s="56"/>
    </row>
    <row r="1682" spans="1:38" ht="15.75" thickBot="1" x14ac:dyDescent="0.3">
      <c r="A1682" s="51"/>
      <c r="B1682" s="51"/>
      <c r="C1682" s="51"/>
      <c r="D1682" s="51"/>
      <c r="E1682" s="51"/>
      <c r="F1682" s="51"/>
      <c r="G1682" s="54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4"/>
      <c r="AB1682" s="53"/>
      <c r="AC1682" s="53"/>
      <c r="AD1682" s="53"/>
      <c r="AE1682" s="53"/>
      <c r="AF1682" s="53"/>
      <c r="AG1682" s="53"/>
      <c r="AH1682" s="54"/>
      <c r="AI1682" s="53"/>
      <c r="AJ1682" s="53"/>
      <c r="AK1682" s="54"/>
      <c r="AL1682" s="54"/>
    </row>
    <row r="1683" spans="1:38" ht="15.75" thickBot="1" x14ac:dyDescent="0.3">
      <c r="A1683" s="51"/>
      <c r="B1683" s="51"/>
      <c r="C1683" s="51"/>
      <c r="D1683" s="51"/>
      <c r="E1683" s="51"/>
      <c r="F1683" s="51"/>
      <c r="G1683" s="56"/>
      <c r="H1683" s="55"/>
      <c r="I1683" s="55"/>
      <c r="J1683" s="55"/>
      <c r="K1683" s="55"/>
      <c r="L1683" s="55"/>
      <c r="M1683" s="55"/>
      <c r="N1683" s="55"/>
      <c r="O1683" s="55"/>
      <c r="P1683" s="55"/>
      <c r="Q1683" s="55"/>
      <c r="R1683" s="55"/>
      <c r="S1683" s="55"/>
      <c r="T1683" s="55"/>
      <c r="U1683" s="55"/>
      <c r="V1683" s="55"/>
      <c r="W1683" s="55"/>
      <c r="X1683" s="55"/>
      <c r="Y1683" s="55"/>
      <c r="Z1683" s="55"/>
      <c r="AA1683" s="56"/>
      <c r="AB1683" s="55"/>
      <c r="AC1683" s="55"/>
      <c r="AD1683" s="55"/>
      <c r="AE1683" s="55"/>
      <c r="AF1683" s="55"/>
      <c r="AG1683" s="55"/>
      <c r="AH1683" s="56"/>
      <c r="AI1683" s="55"/>
      <c r="AJ1683" s="55"/>
      <c r="AK1683" s="56"/>
      <c r="AL1683" s="56"/>
    </row>
    <row r="1684" spans="1:38" ht="15.75" thickBot="1" x14ac:dyDescent="0.3">
      <c r="A1684" s="51"/>
      <c r="B1684" s="51"/>
      <c r="C1684" s="51"/>
      <c r="D1684" s="51"/>
      <c r="E1684" s="51"/>
      <c r="F1684" s="51"/>
      <c r="G1684" s="54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4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4"/>
      <c r="AI1684" s="53"/>
      <c r="AJ1684" s="53"/>
      <c r="AK1684" s="54"/>
      <c r="AL1684" s="54"/>
    </row>
    <row r="1685" spans="1:38" ht="15.75" thickBot="1" x14ac:dyDescent="0.3">
      <c r="A1685" s="51"/>
      <c r="B1685" s="51"/>
      <c r="C1685" s="51"/>
      <c r="D1685" s="51"/>
      <c r="E1685" s="51"/>
      <c r="F1685" s="51"/>
      <c r="G1685" s="56"/>
      <c r="H1685" s="55"/>
      <c r="I1685" s="55"/>
      <c r="J1685" s="55"/>
      <c r="K1685" s="55"/>
      <c r="L1685" s="55"/>
      <c r="M1685" s="55"/>
      <c r="N1685" s="55"/>
      <c r="O1685" s="55"/>
      <c r="P1685" s="55"/>
      <c r="Q1685" s="55"/>
      <c r="R1685" s="56"/>
      <c r="S1685" s="55"/>
      <c r="T1685" s="55"/>
      <c r="U1685" s="55"/>
      <c r="V1685" s="55"/>
      <c r="W1685" s="55"/>
      <c r="X1685" s="55"/>
      <c r="Y1685" s="55"/>
      <c r="Z1685" s="55"/>
      <c r="AA1685" s="55"/>
      <c r="AB1685" s="55"/>
      <c r="AC1685" s="55"/>
      <c r="AD1685" s="55"/>
      <c r="AE1685" s="55"/>
      <c r="AF1685" s="55"/>
      <c r="AG1685" s="55"/>
      <c r="AH1685" s="56"/>
      <c r="AI1685" s="55"/>
      <c r="AJ1685" s="55"/>
      <c r="AK1685" s="56"/>
      <c r="AL1685" s="56"/>
    </row>
    <row r="1686" spans="1:38" ht="15.75" thickBot="1" x14ac:dyDescent="0.3">
      <c r="A1686" s="51"/>
      <c r="B1686" s="51"/>
      <c r="C1686" s="51"/>
      <c r="D1686" s="51"/>
      <c r="E1686" s="51"/>
      <c r="F1686" s="51"/>
      <c r="G1686" s="54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4"/>
      <c r="AD1686" s="53"/>
      <c r="AE1686" s="53"/>
      <c r="AF1686" s="53"/>
      <c r="AG1686" s="53"/>
      <c r="AH1686" s="54"/>
      <c r="AI1686" s="53"/>
      <c r="AJ1686" s="53"/>
      <c r="AK1686" s="54"/>
      <c r="AL1686" s="54"/>
    </row>
    <row r="1687" spans="1:38" ht="15.75" thickBot="1" x14ac:dyDescent="0.3">
      <c r="A1687" s="51"/>
      <c r="B1687" s="51"/>
      <c r="C1687" s="51"/>
      <c r="D1687" s="51"/>
      <c r="E1687" s="51"/>
      <c r="F1687" s="51"/>
      <c r="G1687" s="56"/>
      <c r="H1687" s="55"/>
      <c r="I1687" s="55"/>
      <c r="J1687" s="55"/>
      <c r="K1687" s="55"/>
      <c r="L1687" s="55"/>
      <c r="M1687" s="55"/>
      <c r="N1687" s="55"/>
      <c r="O1687" s="55"/>
      <c r="P1687" s="55"/>
      <c r="Q1687" s="55"/>
      <c r="R1687" s="55"/>
      <c r="S1687" s="55"/>
      <c r="T1687" s="55"/>
      <c r="U1687" s="55"/>
      <c r="V1687" s="55"/>
      <c r="W1687" s="55"/>
      <c r="X1687" s="55"/>
      <c r="Y1687" s="55"/>
      <c r="Z1687" s="55"/>
      <c r="AA1687" s="55"/>
      <c r="AB1687" s="55"/>
      <c r="AC1687" s="56"/>
      <c r="AD1687" s="55"/>
      <c r="AE1687" s="55"/>
      <c r="AF1687" s="55"/>
      <c r="AG1687" s="55"/>
      <c r="AH1687" s="56"/>
      <c r="AI1687" s="55"/>
      <c r="AJ1687" s="55"/>
      <c r="AK1687" s="56"/>
      <c r="AL1687" s="56"/>
    </row>
    <row r="1688" spans="1:38" ht="15.75" thickBot="1" x14ac:dyDescent="0.3">
      <c r="A1688" s="51"/>
      <c r="B1688" s="51"/>
      <c r="C1688" s="51"/>
      <c r="D1688" s="51"/>
      <c r="E1688" s="51"/>
      <c r="F1688" s="51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4"/>
      <c r="AH1688" s="54"/>
      <c r="AI1688" s="53"/>
      <c r="AJ1688" s="53"/>
      <c r="AK1688" s="54"/>
      <c r="AL1688" s="54"/>
    </row>
    <row r="1689" spans="1:38" ht="15.75" thickBot="1" x14ac:dyDescent="0.3">
      <c r="A1689" s="51"/>
      <c r="B1689" s="51"/>
      <c r="C1689" s="51"/>
      <c r="D1689" s="51"/>
      <c r="E1689" s="51"/>
      <c r="F1689" s="51"/>
      <c r="G1689" s="55"/>
      <c r="H1689" s="55"/>
      <c r="I1689" s="55"/>
      <c r="J1689" s="55"/>
      <c r="K1689" s="55"/>
      <c r="L1689" s="55"/>
      <c r="M1689" s="55"/>
      <c r="N1689" s="55"/>
      <c r="O1689" s="55"/>
      <c r="P1689" s="55"/>
      <c r="Q1689" s="55"/>
      <c r="R1689" s="55"/>
      <c r="S1689" s="55"/>
      <c r="T1689" s="55"/>
      <c r="U1689" s="55"/>
      <c r="V1689" s="55"/>
      <c r="W1689" s="55"/>
      <c r="X1689" s="55"/>
      <c r="Y1689" s="55"/>
      <c r="Z1689" s="55"/>
      <c r="AA1689" s="55"/>
      <c r="AB1689" s="55"/>
      <c r="AC1689" s="55"/>
      <c r="AD1689" s="55"/>
      <c r="AE1689" s="55"/>
      <c r="AF1689" s="55"/>
      <c r="AG1689" s="56"/>
      <c r="AH1689" s="56"/>
      <c r="AI1689" s="55"/>
      <c r="AJ1689" s="55"/>
      <c r="AK1689" s="56"/>
      <c r="AL1689" s="56"/>
    </row>
    <row r="1690" spans="1:38" ht="15.75" thickBot="1" x14ac:dyDescent="0.3">
      <c r="A1690" s="51"/>
      <c r="B1690" s="51"/>
      <c r="C1690" s="51"/>
      <c r="D1690" s="51"/>
      <c r="E1690" s="51"/>
      <c r="F1690" s="51"/>
      <c r="G1690" s="54"/>
      <c r="H1690" s="53"/>
      <c r="I1690" s="53"/>
      <c r="J1690" s="53"/>
      <c r="K1690" s="54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4"/>
      <c r="AI1690" s="53"/>
      <c r="AJ1690" s="53"/>
      <c r="AK1690" s="54"/>
      <c r="AL1690" s="54"/>
    </row>
    <row r="1691" spans="1:38" ht="15.75" thickBot="1" x14ac:dyDescent="0.3">
      <c r="A1691" s="51"/>
      <c r="B1691" s="51"/>
      <c r="C1691" s="51"/>
      <c r="D1691" s="51"/>
      <c r="E1691" s="51"/>
      <c r="F1691" s="51"/>
      <c r="G1691" s="56"/>
      <c r="H1691" s="55"/>
      <c r="I1691" s="55"/>
      <c r="J1691" s="55"/>
      <c r="K1691" s="56"/>
      <c r="L1691" s="55"/>
      <c r="M1691" s="55"/>
      <c r="N1691" s="55"/>
      <c r="O1691" s="55"/>
      <c r="P1691" s="55"/>
      <c r="Q1691" s="55"/>
      <c r="R1691" s="55"/>
      <c r="S1691" s="55"/>
      <c r="T1691" s="55"/>
      <c r="U1691" s="55"/>
      <c r="V1691" s="55"/>
      <c r="W1691" s="55"/>
      <c r="X1691" s="55"/>
      <c r="Y1691" s="55"/>
      <c r="Z1691" s="55"/>
      <c r="AA1691" s="55"/>
      <c r="AB1691" s="55"/>
      <c r="AC1691" s="55"/>
      <c r="AD1691" s="55"/>
      <c r="AE1691" s="55"/>
      <c r="AF1691" s="55"/>
      <c r="AG1691" s="55"/>
      <c r="AH1691" s="56"/>
      <c r="AI1691" s="55"/>
      <c r="AJ1691" s="55"/>
      <c r="AK1691" s="56"/>
      <c r="AL1691" s="56"/>
    </row>
    <row r="1692" spans="1:38" ht="15.75" thickBot="1" x14ac:dyDescent="0.3">
      <c r="A1692" s="51"/>
      <c r="B1692" s="51"/>
      <c r="C1692" s="51"/>
      <c r="D1692" s="51"/>
      <c r="E1692" s="51"/>
      <c r="F1692" s="51"/>
      <c r="G1692" s="54"/>
      <c r="H1692" s="54"/>
      <c r="I1692" s="53"/>
      <c r="J1692" s="53"/>
      <c r="K1692" s="53"/>
      <c r="L1692" s="53"/>
      <c r="M1692" s="54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4"/>
      <c r="AI1692" s="53"/>
      <c r="AJ1692" s="53"/>
      <c r="AK1692" s="54"/>
      <c r="AL1692" s="54"/>
    </row>
    <row r="1693" spans="1:38" ht="15.75" thickBot="1" x14ac:dyDescent="0.3">
      <c r="A1693" s="51"/>
      <c r="B1693" s="51"/>
      <c r="C1693" s="51"/>
      <c r="D1693" s="51"/>
      <c r="E1693" s="51"/>
      <c r="F1693" s="51"/>
      <c r="G1693" s="56"/>
      <c r="H1693" s="148"/>
      <c r="I1693" s="55"/>
      <c r="J1693" s="55"/>
      <c r="K1693" s="55"/>
      <c r="L1693" s="55"/>
      <c r="M1693" s="56"/>
      <c r="N1693" s="55"/>
      <c r="O1693" s="55"/>
      <c r="P1693" s="55"/>
      <c r="Q1693" s="55"/>
      <c r="R1693" s="55"/>
      <c r="S1693" s="55"/>
      <c r="T1693" s="55"/>
      <c r="U1693" s="55"/>
      <c r="V1693" s="55"/>
      <c r="W1693" s="55"/>
      <c r="X1693" s="55"/>
      <c r="Y1693" s="55"/>
      <c r="Z1693" s="55"/>
      <c r="AA1693" s="55"/>
      <c r="AB1693" s="55"/>
      <c r="AC1693" s="55"/>
      <c r="AD1693" s="55"/>
      <c r="AE1693" s="55"/>
      <c r="AF1693" s="55"/>
      <c r="AG1693" s="55"/>
      <c r="AH1693" s="56"/>
      <c r="AI1693" s="55"/>
      <c r="AJ1693" s="55"/>
      <c r="AK1693" s="56"/>
      <c r="AL1693" s="56"/>
    </row>
    <row r="1694" spans="1:38" ht="15.75" thickBot="1" x14ac:dyDescent="0.3">
      <c r="A1694" s="51"/>
      <c r="B1694" s="51"/>
      <c r="C1694" s="51"/>
      <c r="D1694" s="51"/>
      <c r="E1694" s="51"/>
      <c r="F1694" s="51"/>
      <c r="G1694" s="54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4"/>
      <c r="AA1694" s="53"/>
      <c r="AB1694" s="53"/>
      <c r="AC1694" s="53"/>
      <c r="AD1694" s="53"/>
      <c r="AE1694" s="53"/>
      <c r="AF1694" s="53"/>
      <c r="AG1694" s="53"/>
      <c r="AH1694" s="54"/>
      <c r="AI1694" s="53"/>
      <c r="AJ1694" s="53"/>
      <c r="AK1694" s="54"/>
      <c r="AL1694" s="54"/>
    </row>
    <row r="1695" spans="1:38" ht="15.75" thickBot="1" x14ac:dyDescent="0.3">
      <c r="A1695" s="51"/>
      <c r="B1695" s="51"/>
      <c r="C1695" s="51"/>
      <c r="D1695" s="51"/>
      <c r="E1695" s="51"/>
      <c r="F1695" s="51"/>
      <c r="G1695" s="56"/>
      <c r="H1695" s="55"/>
      <c r="I1695" s="55"/>
      <c r="J1695" s="55"/>
      <c r="K1695" s="55"/>
      <c r="L1695" s="55"/>
      <c r="M1695" s="55"/>
      <c r="N1695" s="55"/>
      <c r="O1695" s="55"/>
      <c r="P1695" s="55"/>
      <c r="Q1695" s="55"/>
      <c r="R1695" s="55"/>
      <c r="S1695" s="55"/>
      <c r="T1695" s="55"/>
      <c r="U1695" s="55"/>
      <c r="V1695" s="55"/>
      <c r="W1695" s="55"/>
      <c r="X1695" s="55"/>
      <c r="Y1695" s="55"/>
      <c r="Z1695" s="56"/>
      <c r="AA1695" s="55"/>
      <c r="AB1695" s="55"/>
      <c r="AC1695" s="55"/>
      <c r="AD1695" s="55"/>
      <c r="AE1695" s="55"/>
      <c r="AF1695" s="55"/>
      <c r="AG1695" s="55"/>
      <c r="AH1695" s="56"/>
      <c r="AI1695" s="55"/>
      <c r="AJ1695" s="55"/>
      <c r="AK1695" s="56"/>
      <c r="AL1695" s="56"/>
    </row>
    <row r="1696" spans="1:38" ht="15.75" thickBot="1" x14ac:dyDescent="0.3">
      <c r="A1696" s="51"/>
      <c r="B1696" s="51"/>
      <c r="C1696" s="51"/>
      <c r="D1696" s="51"/>
      <c r="E1696" s="51"/>
      <c r="F1696" s="51"/>
      <c r="G1696" s="54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4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4"/>
      <c r="AI1696" s="53"/>
      <c r="AJ1696" s="53"/>
      <c r="AK1696" s="54"/>
      <c r="AL1696" s="54"/>
    </row>
    <row r="1697" spans="1:38" ht="15.75" thickBot="1" x14ac:dyDescent="0.3">
      <c r="A1697" s="51"/>
      <c r="B1697" s="51"/>
      <c r="C1697" s="51"/>
      <c r="D1697" s="51"/>
      <c r="E1697" s="51"/>
      <c r="F1697" s="51"/>
      <c r="G1697" s="56"/>
      <c r="H1697" s="55"/>
      <c r="I1697" s="55"/>
      <c r="J1697" s="55"/>
      <c r="K1697" s="55"/>
      <c r="L1697" s="55"/>
      <c r="M1697" s="55"/>
      <c r="N1697" s="55"/>
      <c r="O1697" s="55"/>
      <c r="P1697" s="55"/>
      <c r="Q1697" s="55"/>
      <c r="R1697" s="56"/>
      <c r="S1697" s="55"/>
      <c r="T1697" s="55"/>
      <c r="U1697" s="55"/>
      <c r="V1697" s="55"/>
      <c r="W1697" s="55"/>
      <c r="X1697" s="55"/>
      <c r="Y1697" s="55"/>
      <c r="Z1697" s="55"/>
      <c r="AA1697" s="55"/>
      <c r="AB1697" s="55"/>
      <c r="AC1697" s="55"/>
      <c r="AD1697" s="55"/>
      <c r="AE1697" s="55"/>
      <c r="AF1697" s="55"/>
      <c r="AG1697" s="55"/>
      <c r="AH1697" s="56"/>
      <c r="AI1697" s="55"/>
      <c r="AJ1697" s="55"/>
      <c r="AK1697" s="56"/>
      <c r="AL1697" s="56"/>
    </row>
    <row r="1698" spans="1:38" ht="15.75" thickBot="1" x14ac:dyDescent="0.3">
      <c r="A1698" s="51"/>
      <c r="B1698" s="51"/>
      <c r="C1698" s="51"/>
      <c r="D1698" s="51"/>
      <c r="E1698" s="51"/>
      <c r="F1698" s="51"/>
      <c r="G1698" s="54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4"/>
      <c r="AD1698" s="53"/>
      <c r="AE1698" s="53"/>
      <c r="AF1698" s="53"/>
      <c r="AG1698" s="53"/>
      <c r="AH1698" s="54"/>
      <c r="AI1698" s="53"/>
      <c r="AJ1698" s="53"/>
      <c r="AK1698" s="54"/>
      <c r="AL1698" s="54"/>
    </row>
    <row r="1699" spans="1:38" ht="15.75" thickBot="1" x14ac:dyDescent="0.3">
      <c r="A1699" s="51"/>
      <c r="B1699" s="51"/>
      <c r="C1699" s="51"/>
      <c r="D1699" s="51"/>
      <c r="E1699" s="51"/>
      <c r="F1699" s="51"/>
      <c r="G1699" s="56"/>
      <c r="H1699" s="55"/>
      <c r="I1699" s="55"/>
      <c r="J1699" s="55"/>
      <c r="K1699" s="55"/>
      <c r="L1699" s="55"/>
      <c r="M1699" s="55"/>
      <c r="N1699" s="55"/>
      <c r="O1699" s="55"/>
      <c r="P1699" s="55"/>
      <c r="Q1699" s="55"/>
      <c r="R1699" s="55"/>
      <c r="S1699" s="55"/>
      <c r="T1699" s="55"/>
      <c r="U1699" s="55"/>
      <c r="V1699" s="55"/>
      <c r="W1699" s="55"/>
      <c r="X1699" s="55"/>
      <c r="Y1699" s="55"/>
      <c r="Z1699" s="55"/>
      <c r="AA1699" s="55"/>
      <c r="AB1699" s="55"/>
      <c r="AC1699" s="56"/>
      <c r="AD1699" s="55"/>
      <c r="AE1699" s="55"/>
      <c r="AF1699" s="55"/>
      <c r="AG1699" s="55"/>
      <c r="AH1699" s="56"/>
      <c r="AI1699" s="55"/>
      <c r="AJ1699" s="55"/>
      <c r="AK1699" s="56"/>
      <c r="AL1699" s="56"/>
    </row>
    <row r="1700" spans="1:38" ht="15.75" thickBot="1" x14ac:dyDescent="0.3">
      <c r="A1700" s="51"/>
      <c r="B1700" s="51"/>
      <c r="C1700" s="51"/>
      <c r="D1700" s="51"/>
      <c r="E1700" s="51"/>
      <c r="F1700" s="51"/>
      <c r="G1700" s="54"/>
      <c r="H1700" s="53"/>
      <c r="I1700" s="53"/>
      <c r="J1700" s="53"/>
      <c r="K1700" s="54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4"/>
      <c r="AI1700" s="53"/>
      <c r="AJ1700" s="53"/>
      <c r="AK1700" s="54"/>
      <c r="AL1700" s="54"/>
    </row>
    <row r="1701" spans="1:38" ht="15.75" thickBot="1" x14ac:dyDescent="0.3">
      <c r="A1701" s="51"/>
      <c r="B1701" s="51"/>
      <c r="C1701" s="51"/>
      <c r="D1701" s="51"/>
      <c r="E1701" s="51"/>
      <c r="F1701" s="51"/>
      <c r="G1701" s="56"/>
      <c r="H1701" s="55"/>
      <c r="I1701" s="55"/>
      <c r="J1701" s="55"/>
      <c r="K1701" s="56"/>
      <c r="L1701" s="55"/>
      <c r="M1701" s="55"/>
      <c r="N1701" s="55"/>
      <c r="O1701" s="55"/>
      <c r="P1701" s="55"/>
      <c r="Q1701" s="55"/>
      <c r="R1701" s="55"/>
      <c r="S1701" s="55"/>
      <c r="T1701" s="55"/>
      <c r="U1701" s="55"/>
      <c r="V1701" s="55"/>
      <c r="W1701" s="55"/>
      <c r="X1701" s="55"/>
      <c r="Y1701" s="55"/>
      <c r="Z1701" s="55"/>
      <c r="AA1701" s="55"/>
      <c r="AB1701" s="55"/>
      <c r="AC1701" s="55"/>
      <c r="AD1701" s="55"/>
      <c r="AE1701" s="55"/>
      <c r="AF1701" s="55"/>
      <c r="AG1701" s="55"/>
      <c r="AH1701" s="56"/>
      <c r="AI1701" s="55"/>
      <c r="AJ1701" s="55"/>
      <c r="AK1701" s="56"/>
      <c r="AL1701" s="56"/>
    </row>
    <row r="1702" spans="1:38" ht="15.75" thickBot="1" x14ac:dyDescent="0.3">
      <c r="A1702" s="51"/>
      <c r="B1702" s="51"/>
      <c r="C1702" s="51"/>
      <c r="D1702" s="51"/>
      <c r="E1702" s="51"/>
      <c r="F1702" s="51"/>
      <c r="G1702" s="54"/>
      <c r="H1702" s="54"/>
      <c r="I1702" s="53"/>
      <c r="J1702" s="53"/>
      <c r="K1702" s="53"/>
      <c r="L1702" s="53"/>
      <c r="M1702" s="54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4"/>
      <c r="AI1702" s="53"/>
      <c r="AJ1702" s="53"/>
      <c r="AK1702" s="54"/>
      <c r="AL1702" s="54"/>
    </row>
    <row r="1703" spans="1:38" ht="15.75" thickBot="1" x14ac:dyDescent="0.3">
      <c r="A1703" s="51"/>
      <c r="B1703" s="51"/>
      <c r="C1703" s="51"/>
      <c r="D1703" s="51"/>
      <c r="E1703" s="51"/>
      <c r="F1703" s="51"/>
      <c r="G1703" s="56"/>
      <c r="H1703" s="148"/>
      <c r="I1703" s="55"/>
      <c r="J1703" s="55"/>
      <c r="K1703" s="55"/>
      <c r="L1703" s="55"/>
      <c r="M1703" s="56"/>
      <c r="N1703" s="55"/>
      <c r="O1703" s="55"/>
      <c r="P1703" s="55"/>
      <c r="Q1703" s="55"/>
      <c r="R1703" s="55"/>
      <c r="S1703" s="55"/>
      <c r="T1703" s="55"/>
      <c r="U1703" s="55"/>
      <c r="V1703" s="55"/>
      <c r="W1703" s="55"/>
      <c r="X1703" s="55"/>
      <c r="Y1703" s="55"/>
      <c r="Z1703" s="55"/>
      <c r="AA1703" s="55"/>
      <c r="AB1703" s="55"/>
      <c r="AC1703" s="55"/>
      <c r="AD1703" s="55"/>
      <c r="AE1703" s="55"/>
      <c r="AF1703" s="55"/>
      <c r="AG1703" s="55"/>
      <c r="AH1703" s="56"/>
      <c r="AI1703" s="55"/>
      <c r="AJ1703" s="55"/>
      <c r="AK1703" s="56"/>
      <c r="AL1703" s="56"/>
    </row>
    <row r="1704" spans="1:38" ht="15.75" thickBot="1" x14ac:dyDescent="0.3">
      <c r="A1704" s="51"/>
      <c r="B1704" s="51"/>
      <c r="C1704" s="51"/>
      <c r="D1704" s="51"/>
      <c r="E1704" s="51"/>
      <c r="F1704" s="51"/>
      <c r="G1704" s="54"/>
      <c r="H1704" s="53"/>
      <c r="I1704" s="53"/>
      <c r="J1704" s="53"/>
      <c r="K1704" s="53"/>
      <c r="L1704" s="53"/>
      <c r="M1704" s="53"/>
      <c r="N1704" s="53"/>
      <c r="O1704" s="53"/>
      <c r="P1704" s="53"/>
      <c r="Q1704" s="54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4"/>
      <c r="AI1704" s="53"/>
      <c r="AJ1704" s="53"/>
      <c r="AK1704" s="54"/>
      <c r="AL1704" s="54"/>
    </row>
    <row r="1705" spans="1:38" ht="15.75" thickBot="1" x14ac:dyDescent="0.3">
      <c r="A1705" s="51"/>
      <c r="B1705" s="51"/>
      <c r="C1705" s="51"/>
      <c r="D1705" s="51"/>
      <c r="E1705" s="51"/>
      <c r="F1705" s="51"/>
      <c r="G1705" s="56"/>
      <c r="H1705" s="55"/>
      <c r="I1705" s="55"/>
      <c r="J1705" s="55"/>
      <c r="K1705" s="55"/>
      <c r="L1705" s="55"/>
      <c r="M1705" s="55"/>
      <c r="N1705" s="55"/>
      <c r="O1705" s="55"/>
      <c r="P1705" s="55"/>
      <c r="Q1705" s="56"/>
      <c r="R1705" s="55"/>
      <c r="S1705" s="55"/>
      <c r="T1705" s="55"/>
      <c r="U1705" s="55"/>
      <c r="V1705" s="55"/>
      <c r="W1705" s="55"/>
      <c r="X1705" s="55"/>
      <c r="Y1705" s="55"/>
      <c r="Z1705" s="55"/>
      <c r="AA1705" s="55"/>
      <c r="AB1705" s="55"/>
      <c r="AC1705" s="55"/>
      <c r="AD1705" s="55"/>
      <c r="AE1705" s="55"/>
      <c r="AF1705" s="55"/>
      <c r="AG1705" s="55"/>
      <c r="AH1705" s="56"/>
      <c r="AI1705" s="55"/>
      <c r="AJ1705" s="55"/>
      <c r="AK1705" s="56"/>
      <c r="AL1705" s="56"/>
    </row>
    <row r="1706" spans="1:38" ht="15.75" thickBot="1" x14ac:dyDescent="0.3">
      <c r="A1706" s="51"/>
      <c r="B1706" s="51"/>
      <c r="C1706" s="51"/>
      <c r="D1706" s="51"/>
      <c r="E1706" s="51"/>
      <c r="F1706" s="51"/>
      <c r="G1706" s="54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4"/>
      <c r="AA1706" s="53"/>
      <c r="AB1706" s="53"/>
      <c r="AC1706" s="53"/>
      <c r="AD1706" s="53"/>
      <c r="AE1706" s="53"/>
      <c r="AF1706" s="53"/>
      <c r="AG1706" s="53"/>
      <c r="AH1706" s="54"/>
      <c r="AI1706" s="53"/>
      <c r="AJ1706" s="53"/>
      <c r="AK1706" s="54"/>
      <c r="AL1706" s="54"/>
    </row>
    <row r="1707" spans="1:38" ht="15.75" thickBot="1" x14ac:dyDescent="0.3">
      <c r="A1707" s="51"/>
      <c r="B1707" s="51"/>
      <c r="C1707" s="51"/>
      <c r="D1707" s="51"/>
      <c r="E1707" s="51"/>
      <c r="F1707" s="51"/>
      <c r="G1707" s="56"/>
      <c r="H1707" s="55"/>
      <c r="I1707" s="55"/>
      <c r="J1707" s="55"/>
      <c r="K1707" s="55"/>
      <c r="L1707" s="55"/>
      <c r="M1707" s="55"/>
      <c r="N1707" s="55"/>
      <c r="O1707" s="55"/>
      <c r="P1707" s="55"/>
      <c r="Q1707" s="55"/>
      <c r="R1707" s="55"/>
      <c r="S1707" s="55"/>
      <c r="T1707" s="55"/>
      <c r="U1707" s="55"/>
      <c r="V1707" s="55"/>
      <c r="W1707" s="55"/>
      <c r="X1707" s="55"/>
      <c r="Y1707" s="55"/>
      <c r="Z1707" s="56"/>
      <c r="AA1707" s="55"/>
      <c r="AB1707" s="55"/>
      <c r="AC1707" s="55"/>
      <c r="AD1707" s="55"/>
      <c r="AE1707" s="55"/>
      <c r="AF1707" s="55"/>
      <c r="AG1707" s="55"/>
      <c r="AH1707" s="56"/>
      <c r="AI1707" s="55"/>
      <c r="AJ1707" s="55"/>
      <c r="AK1707" s="56"/>
      <c r="AL1707" s="56"/>
    </row>
    <row r="1708" spans="1:38" ht="15.75" thickBot="1" x14ac:dyDescent="0.3">
      <c r="A1708" s="51"/>
      <c r="B1708" s="51"/>
      <c r="C1708" s="51"/>
      <c r="D1708" s="51"/>
      <c r="E1708" s="51"/>
      <c r="F1708" s="51"/>
      <c r="G1708" s="54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4"/>
      <c r="AB1708" s="53"/>
      <c r="AC1708" s="53"/>
      <c r="AD1708" s="53"/>
      <c r="AE1708" s="53"/>
      <c r="AF1708" s="53"/>
      <c r="AG1708" s="53"/>
      <c r="AH1708" s="54"/>
      <c r="AI1708" s="53"/>
      <c r="AJ1708" s="53"/>
      <c r="AK1708" s="54"/>
      <c r="AL1708" s="54"/>
    </row>
    <row r="1709" spans="1:38" ht="15.75" thickBot="1" x14ac:dyDescent="0.3">
      <c r="A1709" s="51"/>
      <c r="B1709" s="51"/>
      <c r="C1709" s="51"/>
      <c r="D1709" s="51"/>
      <c r="E1709" s="51"/>
      <c r="F1709" s="51"/>
      <c r="G1709" s="56"/>
      <c r="H1709" s="55"/>
      <c r="I1709" s="55"/>
      <c r="J1709" s="55"/>
      <c r="K1709" s="55"/>
      <c r="L1709" s="55"/>
      <c r="M1709" s="55"/>
      <c r="N1709" s="55"/>
      <c r="O1709" s="55"/>
      <c r="P1709" s="55"/>
      <c r="Q1709" s="55"/>
      <c r="R1709" s="55"/>
      <c r="S1709" s="55"/>
      <c r="T1709" s="55"/>
      <c r="U1709" s="55"/>
      <c r="V1709" s="55"/>
      <c r="W1709" s="55"/>
      <c r="X1709" s="55"/>
      <c r="Y1709" s="55"/>
      <c r="Z1709" s="55"/>
      <c r="AA1709" s="56"/>
      <c r="AB1709" s="55"/>
      <c r="AC1709" s="55"/>
      <c r="AD1709" s="55"/>
      <c r="AE1709" s="55"/>
      <c r="AF1709" s="55"/>
      <c r="AG1709" s="55"/>
      <c r="AH1709" s="56"/>
      <c r="AI1709" s="55"/>
      <c r="AJ1709" s="55"/>
      <c r="AK1709" s="56"/>
      <c r="AL1709" s="56"/>
    </row>
    <row r="1710" spans="1:38" ht="15.75" thickBot="1" x14ac:dyDescent="0.3">
      <c r="A1710" s="51"/>
      <c r="B1710" s="51"/>
      <c r="C1710" s="51"/>
      <c r="D1710" s="51"/>
      <c r="E1710" s="51"/>
      <c r="F1710" s="51"/>
      <c r="G1710" s="54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4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4"/>
      <c r="AI1710" s="53"/>
      <c r="AJ1710" s="53"/>
      <c r="AK1710" s="54"/>
      <c r="AL1710" s="54"/>
    </row>
    <row r="1711" spans="1:38" ht="15.75" thickBot="1" x14ac:dyDescent="0.3">
      <c r="A1711" s="51"/>
      <c r="B1711" s="51"/>
      <c r="C1711" s="51"/>
      <c r="D1711" s="51"/>
      <c r="E1711" s="51"/>
      <c r="F1711" s="51"/>
      <c r="G1711" s="56"/>
      <c r="H1711" s="55"/>
      <c r="I1711" s="55"/>
      <c r="J1711" s="55"/>
      <c r="K1711" s="55"/>
      <c r="L1711" s="55"/>
      <c r="M1711" s="55"/>
      <c r="N1711" s="55"/>
      <c r="O1711" s="55"/>
      <c r="P1711" s="55"/>
      <c r="Q1711" s="55"/>
      <c r="R1711" s="56"/>
      <c r="S1711" s="55"/>
      <c r="T1711" s="55"/>
      <c r="U1711" s="55"/>
      <c r="V1711" s="55"/>
      <c r="W1711" s="55"/>
      <c r="X1711" s="55"/>
      <c r="Y1711" s="55"/>
      <c r="Z1711" s="55"/>
      <c r="AA1711" s="55"/>
      <c r="AB1711" s="55"/>
      <c r="AC1711" s="55"/>
      <c r="AD1711" s="55"/>
      <c r="AE1711" s="55"/>
      <c r="AF1711" s="55"/>
      <c r="AG1711" s="55"/>
      <c r="AH1711" s="56"/>
      <c r="AI1711" s="55"/>
      <c r="AJ1711" s="55"/>
      <c r="AK1711" s="56"/>
      <c r="AL1711" s="56"/>
    </row>
    <row r="1712" spans="1:38" ht="15.75" thickBot="1" x14ac:dyDescent="0.3">
      <c r="A1712" s="51"/>
      <c r="B1712" s="51"/>
      <c r="C1712" s="51"/>
      <c r="D1712" s="51"/>
      <c r="E1712" s="51"/>
      <c r="F1712" s="51"/>
      <c r="G1712" s="54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4"/>
      <c r="AD1712" s="53"/>
      <c r="AE1712" s="53"/>
      <c r="AF1712" s="53"/>
      <c r="AG1712" s="53"/>
      <c r="AH1712" s="54"/>
      <c r="AI1712" s="53"/>
      <c r="AJ1712" s="53"/>
      <c r="AK1712" s="54"/>
      <c r="AL1712" s="54"/>
    </row>
    <row r="1713" spans="1:38" ht="15.75" thickBot="1" x14ac:dyDescent="0.3">
      <c r="A1713" s="51"/>
      <c r="B1713" s="51"/>
      <c r="C1713" s="51"/>
      <c r="D1713" s="51"/>
      <c r="E1713" s="51"/>
      <c r="F1713" s="51"/>
      <c r="G1713" s="56"/>
      <c r="H1713" s="55"/>
      <c r="I1713" s="55"/>
      <c r="J1713" s="55"/>
      <c r="K1713" s="55"/>
      <c r="L1713" s="55"/>
      <c r="M1713" s="55"/>
      <c r="N1713" s="55"/>
      <c r="O1713" s="55"/>
      <c r="P1713" s="55"/>
      <c r="Q1713" s="55"/>
      <c r="R1713" s="55"/>
      <c r="S1713" s="55"/>
      <c r="T1713" s="55"/>
      <c r="U1713" s="55"/>
      <c r="V1713" s="55"/>
      <c r="W1713" s="55"/>
      <c r="X1713" s="55"/>
      <c r="Y1713" s="55"/>
      <c r="Z1713" s="55"/>
      <c r="AA1713" s="55"/>
      <c r="AB1713" s="55"/>
      <c r="AC1713" s="56"/>
      <c r="AD1713" s="55"/>
      <c r="AE1713" s="55"/>
      <c r="AF1713" s="55"/>
      <c r="AG1713" s="55"/>
      <c r="AH1713" s="56"/>
      <c r="AI1713" s="55"/>
      <c r="AJ1713" s="55"/>
      <c r="AK1713" s="56"/>
      <c r="AL1713" s="56"/>
    </row>
    <row r="1714" spans="1:38" ht="15.75" thickBot="1" x14ac:dyDescent="0.3">
      <c r="A1714" s="51"/>
      <c r="B1714" s="51"/>
      <c r="C1714" s="51"/>
      <c r="D1714" s="51"/>
      <c r="E1714" s="51"/>
      <c r="F1714" s="51"/>
      <c r="G1714" s="54"/>
      <c r="H1714" s="53"/>
      <c r="I1714" s="53"/>
      <c r="J1714" s="53"/>
      <c r="K1714" s="54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4"/>
      <c r="AI1714" s="53"/>
      <c r="AJ1714" s="53"/>
      <c r="AK1714" s="54"/>
      <c r="AL1714" s="54"/>
    </row>
    <row r="1715" spans="1:38" ht="15.75" thickBot="1" x14ac:dyDescent="0.3">
      <c r="A1715" s="51"/>
      <c r="B1715" s="51"/>
      <c r="C1715" s="51"/>
      <c r="D1715" s="51"/>
      <c r="E1715" s="51"/>
      <c r="F1715" s="51"/>
      <c r="G1715" s="56"/>
      <c r="H1715" s="55"/>
      <c r="I1715" s="55"/>
      <c r="J1715" s="55"/>
      <c r="K1715" s="56"/>
      <c r="L1715" s="55"/>
      <c r="M1715" s="55"/>
      <c r="N1715" s="55"/>
      <c r="O1715" s="55"/>
      <c r="P1715" s="55"/>
      <c r="Q1715" s="55"/>
      <c r="R1715" s="55"/>
      <c r="S1715" s="55"/>
      <c r="T1715" s="55"/>
      <c r="U1715" s="55"/>
      <c r="V1715" s="55"/>
      <c r="W1715" s="55"/>
      <c r="X1715" s="55"/>
      <c r="Y1715" s="55"/>
      <c r="Z1715" s="55"/>
      <c r="AA1715" s="55"/>
      <c r="AB1715" s="55"/>
      <c r="AC1715" s="55"/>
      <c r="AD1715" s="55"/>
      <c r="AE1715" s="55"/>
      <c r="AF1715" s="55"/>
      <c r="AG1715" s="55"/>
      <c r="AH1715" s="56"/>
      <c r="AI1715" s="55"/>
      <c r="AJ1715" s="55"/>
      <c r="AK1715" s="56"/>
      <c r="AL1715" s="56"/>
    </row>
    <row r="1716" spans="1:38" ht="15.75" thickBot="1" x14ac:dyDescent="0.3">
      <c r="A1716" s="51"/>
      <c r="B1716" s="51"/>
      <c r="C1716" s="51"/>
      <c r="D1716" s="51"/>
      <c r="E1716" s="51"/>
      <c r="F1716" s="51"/>
      <c r="G1716" s="54"/>
      <c r="H1716" s="54"/>
      <c r="I1716" s="53"/>
      <c r="J1716" s="53"/>
      <c r="K1716" s="53"/>
      <c r="L1716" s="53"/>
      <c r="M1716" s="54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4"/>
      <c r="AI1716" s="53"/>
      <c r="AJ1716" s="53"/>
      <c r="AK1716" s="54"/>
      <c r="AL1716" s="54"/>
    </row>
    <row r="1717" spans="1:38" ht="15.75" thickBot="1" x14ac:dyDescent="0.3">
      <c r="A1717" s="51"/>
      <c r="B1717" s="51"/>
      <c r="C1717" s="51"/>
      <c r="D1717" s="51"/>
      <c r="E1717" s="51"/>
      <c r="F1717" s="51"/>
      <c r="G1717" s="56"/>
      <c r="H1717" s="148"/>
      <c r="I1717" s="55"/>
      <c r="J1717" s="55"/>
      <c r="K1717" s="55"/>
      <c r="L1717" s="55"/>
      <c r="M1717" s="56"/>
      <c r="N1717" s="55"/>
      <c r="O1717" s="55"/>
      <c r="P1717" s="55"/>
      <c r="Q1717" s="55"/>
      <c r="R1717" s="55"/>
      <c r="S1717" s="55"/>
      <c r="T1717" s="55"/>
      <c r="U1717" s="55"/>
      <c r="V1717" s="55"/>
      <c r="W1717" s="55"/>
      <c r="X1717" s="55"/>
      <c r="Y1717" s="55"/>
      <c r="Z1717" s="55"/>
      <c r="AA1717" s="55"/>
      <c r="AB1717" s="55"/>
      <c r="AC1717" s="55"/>
      <c r="AD1717" s="55"/>
      <c r="AE1717" s="55"/>
      <c r="AF1717" s="55"/>
      <c r="AG1717" s="55"/>
      <c r="AH1717" s="56"/>
      <c r="AI1717" s="55"/>
      <c r="AJ1717" s="55"/>
      <c r="AK1717" s="56"/>
      <c r="AL1717" s="56"/>
    </row>
    <row r="1718" spans="1:38" ht="15.75" thickBot="1" x14ac:dyDescent="0.3">
      <c r="A1718" s="51"/>
      <c r="B1718" s="51"/>
      <c r="C1718" s="51"/>
      <c r="D1718" s="51"/>
      <c r="E1718" s="51"/>
      <c r="F1718" s="51"/>
      <c r="G1718" s="54"/>
      <c r="H1718" s="53"/>
      <c r="I1718" s="53"/>
      <c r="J1718" s="53"/>
      <c r="K1718" s="53"/>
      <c r="L1718" s="53"/>
      <c r="M1718" s="53"/>
      <c r="N1718" s="53"/>
      <c r="O1718" s="53"/>
      <c r="P1718" s="53"/>
      <c r="Q1718" s="54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4"/>
      <c r="AI1718" s="53"/>
      <c r="AJ1718" s="53"/>
      <c r="AK1718" s="54"/>
      <c r="AL1718" s="54"/>
    </row>
    <row r="1719" spans="1:38" ht="15.75" thickBot="1" x14ac:dyDescent="0.3">
      <c r="A1719" s="51"/>
      <c r="B1719" s="51"/>
      <c r="C1719" s="51"/>
      <c r="D1719" s="51"/>
      <c r="E1719" s="51"/>
      <c r="F1719" s="51"/>
      <c r="G1719" s="56"/>
      <c r="H1719" s="55"/>
      <c r="I1719" s="55"/>
      <c r="J1719" s="55"/>
      <c r="K1719" s="55"/>
      <c r="L1719" s="55"/>
      <c r="M1719" s="55"/>
      <c r="N1719" s="55"/>
      <c r="O1719" s="55"/>
      <c r="P1719" s="55"/>
      <c r="Q1719" s="56"/>
      <c r="R1719" s="55"/>
      <c r="S1719" s="55"/>
      <c r="T1719" s="55"/>
      <c r="U1719" s="55"/>
      <c r="V1719" s="55"/>
      <c r="W1719" s="55"/>
      <c r="X1719" s="55"/>
      <c r="Y1719" s="55"/>
      <c r="Z1719" s="55"/>
      <c r="AA1719" s="55"/>
      <c r="AB1719" s="55"/>
      <c r="AC1719" s="55"/>
      <c r="AD1719" s="55"/>
      <c r="AE1719" s="55"/>
      <c r="AF1719" s="55"/>
      <c r="AG1719" s="55"/>
      <c r="AH1719" s="56"/>
      <c r="AI1719" s="55"/>
      <c r="AJ1719" s="55"/>
      <c r="AK1719" s="56"/>
      <c r="AL1719" s="56"/>
    </row>
    <row r="1720" spans="1:38" ht="15.75" thickBot="1" x14ac:dyDescent="0.3">
      <c r="A1720" s="51"/>
      <c r="B1720" s="51"/>
      <c r="C1720" s="51"/>
      <c r="D1720" s="51"/>
      <c r="E1720" s="51"/>
      <c r="F1720" s="51"/>
      <c r="G1720" s="54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4"/>
      <c r="AA1720" s="53"/>
      <c r="AB1720" s="53"/>
      <c r="AC1720" s="53"/>
      <c r="AD1720" s="53"/>
      <c r="AE1720" s="53"/>
      <c r="AF1720" s="53"/>
      <c r="AG1720" s="53"/>
      <c r="AH1720" s="54"/>
      <c r="AI1720" s="53"/>
      <c r="AJ1720" s="53"/>
      <c r="AK1720" s="54"/>
      <c r="AL1720" s="54"/>
    </row>
    <row r="1721" spans="1:38" ht="15.75" thickBot="1" x14ac:dyDescent="0.3">
      <c r="A1721" s="51"/>
      <c r="B1721" s="51"/>
      <c r="C1721" s="51"/>
      <c r="D1721" s="51"/>
      <c r="E1721" s="51"/>
      <c r="F1721" s="51"/>
      <c r="G1721" s="56"/>
      <c r="H1721" s="55"/>
      <c r="I1721" s="55"/>
      <c r="J1721" s="55"/>
      <c r="K1721" s="55"/>
      <c r="L1721" s="55"/>
      <c r="M1721" s="55"/>
      <c r="N1721" s="55"/>
      <c r="O1721" s="55"/>
      <c r="P1721" s="55"/>
      <c r="Q1721" s="55"/>
      <c r="R1721" s="55"/>
      <c r="S1721" s="55"/>
      <c r="T1721" s="55"/>
      <c r="U1721" s="55"/>
      <c r="V1721" s="55"/>
      <c r="W1721" s="55"/>
      <c r="X1721" s="55"/>
      <c r="Y1721" s="55"/>
      <c r="Z1721" s="56"/>
      <c r="AA1721" s="55"/>
      <c r="AB1721" s="55"/>
      <c r="AC1721" s="55"/>
      <c r="AD1721" s="55"/>
      <c r="AE1721" s="55"/>
      <c r="AF1721" s="55"/>
      <c r="AG1721" s="55"/>
      <c r="AH1721" s="56"/>
      <c r="AI1721" s="55"/>
      <c r="AJ1721" s="55"/>
      <c r="AK1721" s="56"/>
      <c r="AL1721" s="56"/>
    </row>
    <row r="1722" spans="1:38" ht="15.75" thickBot="1" x14ac:dyDescent="0.3">
      <c r="A1722" s="51"/>
      <c r="B1722" s="51"/>
      <c r="C1722" s="51"/>
      <c r="D1722" s="51"/>
      <c r="E1722" s="51"/>
      <c r="F1722" s="51"/>
      <c r="G1722" s="54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4"/>
      <c r="AB1722" s="53"/>
      <c r="AC1722" s="53"/>
      <c r="AD1722" s="53"/>
      <c r="AE1722" s="53"/>
      <c r="AF1722" s="53"/>
      <c r="AG1722" s="53"/>
      <c r="AH1722" s="54"/>
      <c r="AI1722" s="53"/>
      <c r="AJ1722" s="53"/>
      <c r="AK1722" s="54"/>
      <c r="AL1722" s="54"/>
    </row>
    <row r="1723" spans="1:38" ht="15.75" thickBot="1" x14ac:dyDescent="0.3">
      <c r="A1723" s="51"/>
      <c r="B1723" s="51"/>
      <c r="C1723" s="51"/>
      <c r="D1723" s="51"/>
      <c r="E1723" s="51"/>
      <c r="F1723" s="51"/>
      <c r="G1723" s="56"/>
      <c r="H1723" s="55"/>
      <c r="I1723" s="55"/>
      <c r="J1723" s="55"/>
      <c r="K1723" s="55"/>
      <c r="L1723" s="55"/>
      <c r="M1723" s="55"/>
      <c r="N1723" s="55"/>
      <c r="O1723" s="55"/>
      <c r="P1723" s="55"/>
      <c r="Q1723" s="55"/>
      <c r="R1723" s="55"/>
      <c r="S1723" s="55"/>
      <c r="T1723" s="55"/>
      <c r="U1723" s="55"/>
      <c r="V1723" s="55"/>
      <c r="W1723" s="55"/>
      <c r="X1723" s="55"/>
      <c r="Y1723" s="55"/>
      <c r="Z1723" s="55"/>
      <c r="AA1723" s="56"/>
      <c r="AB1723" s="55"/>
      <c r="AC1723" s="55"/>
      <c r="AD1723" s="55"/>
      <c r="AE1723" s="55"/>
      <c r="AF1723" s="55"/>
      <c r="AG1723" s="55"/>
      <c r="AH1723" s="56"/>
      <c r="AI1723" s="55"/>
      <c r="AJ1723" s="55"/>
      <c r="AK1723" s="56"/>
      <c r="AL1723" s="56"/>
    </row>
    <row r="1724" spans="1:38" ht="15.75" thickBot="1" x14ac:dyDescent="0.3">
      <c r="A1724" s="51"/>
      <c r="B1724" s="51"/>
      <c r="C1724" s="51"/>
      <c r="D1724" s="51"/>
      <c r="E1724" s="51"/>
      <c r="F1724" s="51"/>
      <c r="G1724" s="54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4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4"/>
      <c r="AI1724" s="53"/>
      <c r="AJ1724" s="53"/>
      <c r="AK1724" s="54"/>
      <c r="AL1724" s="54"/>
    </row>
    <row r="1725" spans="1:38" ht="15.75" thickBot="1" x14ac:dyDescent="0.3">
      <c r="A1725" s="51"/>
      <c r="B1725" s="51"/>
      <c r="C1725" s="51"/>
      <c r="D1725" s="51"/>
      <c r="E1725" s="51"/>
      <c r="F1725" s="51"/>
      <c r="G1725" s="56"/>
      <c r="H1725" s="55"/>
      <c r="I1725" s="55"/>
      <c r="J1725" s="55"/>
      <c r="K1725" s="55"/>
      <c r="L1725" s="55"/>
      <c r="M1725" s="55"/>
      <c r="N1725" s="55"/>
      <c r="O1725" s="55"/>
      <c r="P1725" s="55"/>
      <c r="Q1725" s="55"/>
      <c r="R1725" s="56"/>
      <c r="S1725" s="55"/>
      <c r="T1725" s="55"/>
      <c r="U1725" s="55"/>
      <c r="V1725" s="55"/>
      <c r="W1725" s="55"/>
      <c r="X1725" s="55"/>
      <c r="Y1725" s="55"/>
      <c r="Z1725" s="55"/>
      <c r="AA1725" s="55"/>
      <c r="AB1725" s="55"/>
      <c r="AC1725" s="55"/>
      <c r="AD1725" s="55"/>
      <c r="AE1725" s="55"/>
      <c r="AF1725" s="55"/>
      <c r="AG1725" s="55"/>
      <c r="AH1725" s="56"/>
      <c r="AI1725" s="55"/>
      <c r="AJ1725" s="55"/>
      <c r="AK1725" s="56"/>
      <c r="AL1725" s="56"/>
    </row>
    <row r="1726" spans="1:38" ht="15.75" thickBot="1" x14ac:dyDescent="0.3">
      <c r="A1726" s="51"/>
      <c r="B1726" s="51"/>
      <c r="C1726" s="51"/>
      <c r="D1726" s="51"/>
      <c r="E1726" s="51"/>
      <c r="F1726" s="51"/>
      <c r="G1726" s="54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4"/>
      <c r="AD1726" s="53"/>
      <c r="AE1726" s="53"/>
      <c r="AF1726" s="53"/>
      <c r="AG1726" s="53"/>
      <c r="AH1726" s="54"/>
      <c r="AI1726" s="53"/>
      <c r="AJ1726" s="53"/>
      <c r="AK1726" s="54"/>
      <c r="AL1726" s="54"/>
    </row>
    <row r="1727" spans="1:38" ht="15.75" thickBot="1" x14ac:dyDescent="0.3">
      <c r="A1727" s="51"/>
      <c r="B1727" s="51"/>
      <c r="C1727" s="51"/>
      <c r="D1727" s="51"/>
      <c r="E1727" s="51"/>
      <c r="F1727" s="51"/>
      <c r="G1727" s="56"/>
      <c r="H1727" s="55"/>
      <c r="I1727" s="55"/>
      <c r="J1727" s="55"/>
      <c r="K1727" s="55"/>
      <c r="L1727" s="55"/>
      <c r="M1727" s="55"/>
      <c r="N1727" s="55"/>
      <c r="O1727" s="55"/>
      <c r="P1727" s="55"/>
      <c r="Q1727" s="55"/>
      <c r="R1727" s="55"/>
      <c r="S1727" s="55"/>
      <c r="T1727" s="55"/>
      <c r="U1727" s="55"/>
      <c r="V1727" s="55"/>
      <c r="W1727" s="55"/>
      <c r="X1727" s="55"/>
      <c r="Y1727" s="55"/>
      <c r="Z1727" s="55"/>
      <c r="AA1727" s="55"/>
      <c r="AB1727" s="55"/>
      <c r="AC1727" s="56"/>
      <c r="AD1727" s="55"/>
      <c r="AE1727" s="55"/>
      <c r="AF1727" s="55"/>
      <c r="AG1727" s="55"/>
      <c r="AH1727" s="56"/>
      <c r="AI1727" s="55"/>
      <c r="AJ1727" s="55"/>
      <c r="AK1727" s="56"/>
      <c r="AL1727" s="56"/>
    </row>
    <row r="1728" spans="1:38" ht="15.75" thickBot="1" x14ac:dyDescent="0.3">
      <c r="A1728" s="51"/>
      <c r="B1728" s="51"/>
      <c r="C1728" s="51"/>
      <c r="D1728" s="51"/>
      <c r="E1728" s="51"/>
      <c r="F1728" s="51"/>
      <c r="G1728" s="54"/>
      <c r="H1728" s="53"/>
      <c r="I1728" s="53"/>
      <c r="J1728" s="53"/>
      <c r="K1728" s="54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4"/>
      <c r="AI1728" s="53"/>
      <c r="AJ1728" s="53"/>
      <c r="AK1728" s="54"/>
      <c r="AL1728" s="54"/>
    </row>
    <row r="1729" spans="1:38" ht="15.75" thickBot="1" x14ac:dyDescent="0.3">
      <c r="A1729" s="51"/>
      <c r="B1729" s="51"/>
      <c r="C1729" s="51"/>
      <c r="D1729" s="51"/>
      <c r="E1729" s="51"/>
      <c r="F1729" s="51"/>
      <c r="G1729" s="56"/>
      <c r="H1729" s="55"/>
      <c r="I1729" s="55"/>
      <c r="J1729" s="55"/>
      <c r="K1729" s="56"/>
      <c r="L1729" s="55"/>
      <c r="M1729" s="55"/>
      <c r="N1729" s="55"/>
      <c r="O1729" s="55"/>
      <c r="P1729" s="55"/>
      <c r="Q1729" s="55"/>
      <c r="R1729" s="55"/>
      <c r="S1729" s="55"/>
      <c r="T1729" s="55"/>
      <c r="U1729" s="55"/>
      <c r="V1729" s="55"/>
      <c r="W1729" s="55"/>
      <c r="X1729" s="55"/>
      <c r="Y1729" s="55"/>
      <c r="Z1729" s="55"/>
      <c r="AA1729" s="55"/>
      <c r="AB1729" s="55"/>
      <c r="AC1729" s="55"/>
      <c r="AD1729" s="55"/>
      <c r="AE1729" s="55"/>
      <c r="AF1729" s="55"/>
      <c r="AG1729" s="55"/>
      <c r="AH1729" s="56"/>
      <c r="AI1729" s="55"/>
      <c r="AJ1729" s="55"/>
      <c r="AK1729" s="56"/>
      <c r="AL1729" s="56"/>
    </row>
    <row r="1730" spans="1:38" ht="15.75" thickBot="1" x14ac:dyDescent="0.3">
      <c r="A1730" s="51"/>
      <c r="B1730" s="51"/>
      <c r="C1730" s="51"/>
      <c r="D1730" s="51"/>
      <c r="E1730" s="51"/>
      <c r="F1730" s="51"/>
      <c r="G1730" s="54"/>
      <c r="H1730" s="53"/>
      <c r="I1730" s="53"/>
      <c r="J1730" s="54"/>
      <c r="K1730" s="53"/>
      <c r="L1730" s="54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4"/>
      <c r="AI1730" s="53"/>
      <c r="AJ1730" s="53"/>
      <c r="AK1730" s="54"/>
      <c r="AL1730" s="54"/>
    </row>
    <row r="1731" spans="1:38" ht="15.75" thickBot="1" x14ac:dyDescent="0.3">
      <c r="A1731" s="51"/>
      <c r="B1731" s="51"/>
      <c r="C1731" s="51"/>
      <c r="D1731" s="51"/>
      <c r="E1731" s="51"/>
      <c r="F1731" s="51"/>
      <c r="G1731" s="56"/>
      <c r="H1731" s="55"/>
      <c r="I1731" s="55"/>
      <c r="J1731" s="148"/>
      <c r="K1731" s="55"/>
      <c r="L1731" s="56"/>
      <c r="M1731" s="55"/>
      <c r="N1731" s="55"/>
      <c r="O1731" s="55"/>
      <c r="P1731" s="55"/>
      <c r="Q1731" s="55"/>
      <c r="R1731" s="55"/>
      <c r="S1731" s="55"/>
      <c r="T1731" s="55"/>
      <c r="U1731" s="55"/>
      <c r="V1731" s="55"/>
      <c r="W1731" s="55"/>
      <c r="X1731" s="55"/>
      <c r="Y1731" s="55"/>
      <c r="Z1731" s="55"/>
      <c r="AA1731" s="55"/>
      <c r="AB1731" s="55"/>
      <c r="AC1731" s="55"/>
      <c r="AD1731" s="55"/>
      <c r="AE1731" s="55"/>
      <c r="AF1731" s="55"/>
      <c r="AG1731" s="55"/>
      <c r="AH1731" s="56"/>
      <c r="AI1731" s="55"/>
      <c r="AJ1731" s="55"/>
      <c r="AK1731" s="56"/>
      <c r="AL1731" s="56"/>
    </row>
    <row r="1732" spans="1:38" ht="15.75" thickBot="1" x14ac:dyDescent="0.3">
      <c r="A1732" s="51"/>
      <c r="B1732" s="51"/>
      <c r="C1732" s="51"/>
      <c r="D1732" s="51"/>
      <c r="E1732" s="51"/>
      <c r="F1732" s="51"/>
      <c r="G1732" s="54"/>
      <c r="H1732" s="53"/>
      <c r="I1732" s="54"/>
      <c r="J1732" s="53"/>
      <c r="K1732" s="53"/>
      <c r="L1732" s="53"/>
      <c r="M1732" s="54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4"/>
      <c r="AI1732" s="53"/>
      <c r="AJ1732" s="53"/>
      <c r="AK1732" s="54"/>
      <c r="AL1732" s="54"/>
    </row>
    <row r="1733" spans="1:38" ht="15.75" thickBot="1" x14ac:dyDescent="0.3">
      <c r="A1733" s="51"/>
      <c r="B1733" s="51"/>
      <c r="C1733" s="51"/>
      <c r="D1733" s="51"/>
      <c r="E1733" s="51"/>
      <c r="F1733" s="51"/>
      <c r="G1733" s="56"/>
      <c r="H1733" s="55"/>
      <c r="I1733" s="148"/>
      <c r="J1733" s="55"/>
      <c r="K1733" s="55"/>
      <c r="L1733" s="55"/>
      <c r="M1733" s="56"/>
      <c r="N1733" s="55"/>
      <c r="O1733" s="55"/>
      <c r="P1733" s="55"/>
      <c r="Q1733" s="55"/>
      <c r="R1733" s="55"/>
      <c r="S1733" s="55"/>
      <c r="T1733" s="55"/>
      <c r="U1733" s="55"/>
      <c r="V1733" s="55"/>
      <c r="W1733" s="55"/>
      <c r="X1733" s="55"/>
      <c r="Y1733" s="55"/>
      <c r="Z1733" s="55"/>
      <c r="AA1733" s="55"/>
      <c r="AB1733" s="55"/>
      <c r="AC1733" s="55"/>
      <c r="AD1733" s="55"/>
      <c r="AE1733" s="55"/>
      <c r="AF1733" s="55"/>
      <c r="AG1733" s="55"/>
      <c r="AH1733" s="56"/>
      <c r="AI1733" s="55"/>
      <c r="AJ1733" s="55"/>
      <c r="AK1733" s="56"/>
      <c r="AL1733" s="56"/>
    </row>
    <row r="1734" spans="1:38" ht="15.75" thickBot="1" x14ac:dyDescent="0.3">
      <c r="A1734" s="51"/>
      <c r="B1734" s="51"/>
      <c r="C1734" s="51"/>
      <c r="D1734" s="51"/>
      <c r="E1734" s="51"/>
      <c r="F1734" s="51"/>
      <c r="G1734" s="54"/>
      <c r="H1734" s="53"/>
      <c r="I1734" s="53"/>
      <c r="J1734" s="53"/>
      <c r="K1734" s="53"/>
      <c r="L1734" s="53"/>
      <c r="M1734" s="53"/>
      <c r="N1734" s="53"/>
      <c r="O1734" s="53"/>
      <c r="P1734" s="53"/>
      <c r="Q1734" s="54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4"/>
      <c r="AI1734" s="53"/>
      <c r="AJ1734" s="53"/>
      <c r="AK1734" s="54"/>
      <c r="AL1734" s="54"/>
    </row>
    <row r="1735" spans="1:38" ht="15.75" thickBot="1" x14ac:dyDescent="0.3">
      <c r="A1735" s="51"/>
      <c r="B1735" s="51"/>
      <c r="C1735" s="51"/>
      <c r="D1735" s="51"/>
      <c r="E1735" s="51"/>
      <c r="F1735" s="51"/>
      <c r="G1735" s="56"/>
      <c r="H1735" s="55"/>
      <c r="I1735" s="55"/>
      <c r="J1735" s="55"/>
      <c r="K1735" s="55"/>
      <c r="L1735" s="55"/>
      <c r="M1735" s="55"/>
      <c r="N1735" s="55"/>
      <c r="O1735" s="55"/>
      <c r="P1735" s="55"/>
      <c r="Q1735" s="56"/>
      <c r="R1735" s="55"/>
      <c r="S1735" s="55"/>
      <c r="T1735" s="55"/>
      <c r="U1735" s="55"/>
      <c r="V1735" s="55"/>
      <c r="W1735" s="55"/>
      <c r="X1735" s="55"/>
      <c r="Y1735" s="55"/>
      <c r="Z1735" s="55"/>
      <c r="AA1735" s="55"/>
      <c r="AB1735" s="55"/>
      <c r="AC1735" s="55"/>
      <c r="AD1735" s="55"/>
      <c r="AE1735" s="55"/>
      <c r="AF1735" s="55"/>
      <c r="AG1735" s="55"/>
      <c r="AH1735" s="56"/>
      <c r="AI1735" s="55"/>
      <c r="AJ1735" s="55"/>
      <c r="AK1735" s="56"/>
      <c r="AL1735" s="56"/>
    </row>
    <row r="1736" spans="1:38" ht="15.75" thickBot="1" x14ac:dyDescent="0.3">
      <c r="A1736" s="51"/>
      <c r="B1736" s="51"/>
      <c r="C1736" s="51"/>
      <c r="D1736" s="51"/>
      <c r="E1736" s="51"/>
      <c r="F1736" s="51"/>
      <c r="G1736" s="54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4"/>
      <c r="AA1736" s="53"/>
      <c r="AB1736" s="53"/>
      <c r="AC1736" s="53"/>
      <c r="AD1736" s="53"/>
      <c r="AE1736" s="53"/>
      <c r="AF1736" s="53"/>
      <c r="AG1736" s="53"/>
      <c r="AH1736" s="54"/>
      <c r="AI1736" s="53"/>
      <c r="AJ1736" s="53"/>
      <c r="AK1736" s="54"/>
      <c r="AL1736" s="54"/>
    </row>
    <row r="1737" spans="1:38" ht="15.75" thickBot="1" x14ac:dyDescent="0.3">
      <c r="A1737" s="51"/>
      <c r="B1737" s="51"/>
      <c r="C1737" s="51"/>
      <c r="D1737" s="51"/>
      <c r="E1737" s="51"/>
      <c r="F1737" s="51"/>
      <c r="G1737" s="56"/>
      <c r="H1737" s="55"/>
      <c r="I1737" s="55"/>
      <c r="J1737" s="55"/>
      <c r="K1737" s="55"/>
      <c r="L1737" s="55"/>
      <c r="M1737" s="55"/>
      <c r="N1737" s="55"/>
      <c r="O1737" s="55"/>
      <c r="P1737" s="55"/>
      <c r="Q1737" s="55"/>
      <c r="R1737" s="55"/>
      <c r="S1737" s="55"/>
      <c r="T1737" s="55"/>
      <c r="U1737" s="55"/>
      <c r="V1737" s="55"/>
      <c r="W1737" s="55"/>
      <c r="X1737" s="55"/>
      <c r="Y1737" s="55"/>
      <c r="Z1737" s="56"/>
      <c r="AA1737" s="55"/>
      <c r="AB1737" s="55"/>
      <c r="AC1737" s="55"/>
      <c r="AD1737" s="55"/>
      <c r="AE1737" s="55"/>
      <c r="AF1737" s="55"/>
      <c r="AG1737" s="55"/>
      <c r="AH1737" s="56"/>
      <c r="AI1737" s="55"/>
      <c r="AJ1737" s="55"/>
      <c r="AK1737" s="56"/>
      <c r="AL1737" s="56"/>
    </row>
    <row r="1738" spans="1:38" ht="15.75" thickBot="1" x14ac:dyDescent="0.3">
      <c r="A1738" s="51"/>
      <c r="B1738" s="51"/>
      <c r="C1738" s="51"/>
      <c r="D1738" s="51"/>
      <c r="E1738" s="51"/>
      <c r="F1738" s="51"/>
      <c r="G1738" s="54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4"/>
      <c r="AB1738" s="53"/>
      <c r="AC1738" s="53"/>
      <c r="AD1738" s="53"/>
      <c r="AE1738" s="53"/>
      <c r="AF1738" s="53"/>
      <c r="AG1738" s="53"/>
      <c r="AH1738" s="54"/>
      <c r="AI1738" s="53"/>
      <c r="AJ1738" s="53"/>
      <c r="AK1738" s="54"/>
      <c r="AL1738" s="54"/>
    </row>
    <row r="1739" spans="1:38" ht="15.75" thickBot="1" x14ac:dyDescent="0.3">
      <c r="A1739" s="51"/>
      <c r="B1739" s="51"/>
      <c r="C1739" s="51"/>
      <c r="D1739" s="51"/>
      <c r="E1739" s="51"/>
      <c r="F1739" s="51"/>
      <c r="G1739" s="56"/>
      <c r="H1739" s="55"/>
      <c r="I1739" s="55"/>
      <c r="J1739" s="55"/>
      <c r="K1739" s="55"/>
      <c r="L1739" s="55"/>
      <c r="M1739" s="55"/>
      <c r="N1739" s="55"/>
      <c r="O1739" s="55"/>
      <c r="P1739" s="55"/>
      <c r="Q1739" s="55"/>
      <c r="R1739" s="55"/>
      <c r="S1739" s="55"/>
      <c r="T1739" s="55"/>
      <c r="U1739" s="55"/>
      <c r="V1739" s="55"/>
      <c r="W1739" s="55"/>
      <c r="X1739" s="55"/>
      <c r="Y1739" s="55"/>
      <c r="Z1739" s="55"/>
      <c r="AA1739" s="56"/>
      <c r="AB1739" s="55"/>
      <c r="AC1739" s="55"/>
      <c r="AD1739" s="55"/>
      <c r="AE1739" s="55"/>
      <c r="AF1739" s="55"/>
      <c r="AG1739" s="55"/>
      <c r="AH1739" s="56"/>
      <c r="AI1739" s="55"/>
      <c r="AJ1739" s="55"/>
      <c r="AK1739" s="56"/>
      <c r="AL1739" s="56"/>
    </row>
    <row r="1740" spans="1:38" ht="15.75" thickBot="1" x14ac:dyDescent="0.3">
      <c r="A1740" s="51"/>
      <c r="B1740" s="51"/>
      <c r="C1740" s="51"/>
      <c r="D1740" s="51"/>
      <c r="E1740" s="51"/>
      <c r="F1740" s="51"/>
      <c r="G1740" s="54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4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4"/>
      <c r="AI1740" s="53"/>
      <c r="AJ1740" s="53"/>
      <c r="AK1740" s="54"/>
      <c r="AL1740" s="54"/>
    </row>
    <row r="1741" spans="1:38" ht="15.75" thickBot="1" x14ac:dyDescent="0.3">
      <c r="A1741" s="51"/>
      <c r="B1741" s="51"/>
      <c r="C1741" s="51"/>
      <c r="D1741" s="51"/>
      <c r="E1741" s="51"/>
      <c r="F1741" s="51"/>
      <c r="G1741" s="56"/>
      <c r="H1741" s="55"/>
      <c r="I1741" s="55"/>
      <c r="J1741" s="55"/>
      <c r="K1741" s="55"/>
      <c r="L1741" s="55"/>
      <c r="M1741" s="55"/>
      <c r="N1741" s="55"/>
      <c r="O1741" s="55"/>
      <c r="P1741" s="55"/>
      <c r="Q1741" s="55"/>
      <c r="R1741" s="56"/>
      <c r="S1741" s="55"/>
      <c r="T1741" s="55"/>
      <c r="U1741" s="55"/>
      <c r="V1741" s="55"/>
      <c r="W1741" s="55"/>
      <c r="X1741" s="55"/>
      <c r="Y1741" s="55"/>
      <c r="Z1741" s="55"/>
      <c r="AA1741" s="55"/>
      <c r="AB1741" s="55"/>
      <c r="AC1741" s="55"/>
      <c r="AD1741" s="55"/>
      <c r="AE1741" s="55"/>
      <c r="AF1741" s="55"/>
      <c r="AG1741" s="55"/>
      <c r="AH1741" s="56"/>
      <c r="AI1741" s="55"/>
      <c r="AJ1741" s="55"/>
      <c r="AK1741" s="56"/>
      <c r="AL1741" s="56"/>
    </row>
    <row r="1742" spans="1:38" ht="15.75" thickBot="1" x14ac:dyDescent="0.3">
      <c r="A1742" s="51"/>
      <c r="B1742" s="51"/>
      <c r="C1742" s="51"/>
      <c r="D1742" s="51"/>
      <c r="E1742" s="51"/>
      <c r="F1742" s="51"/>
      <c r="G1742" s="54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4"/>
      <c r="AD1742" s="53"/>
      <c r="AE1742" s="53"/>
      <c r="AF1742" s="53"/>
      <c r="AG1742" s="53"/>
      <c r="AH1742" s="54"/>
      <c r="AI1742" s="53"/>
      <c r="AJ1742" s="53"/>
      <c r="AK1742" s="54"/>
      <c r="AL1742" s="54"/>
    </row>
    <row r="1743" spans="1:38" ht="15.75" thickBot="1" x14ac:dyDescent="0.3">
      <c r="A1743" s="51"/>
      <c r="B1743" s="51"/>
      <c r="C1743" s="51"/>
      <c r="D1743" s="51"/>
      <c r="E1743" s="51"/>
      <c r="F1743" s="51"/>
      <c r="G1743" s="56"/>
      <c r="H1743" s="55"/>
      <c r="I1743" s="55"/>
      <c r="J1743" s="55"/>
      <c r="K1743" s="55"/>
      <c r="L1743" s="55"/>
      <c r="M1743" s="55"/>
      <c r="N1743" s="55"/>
      <c r="O1743" s="55"/>
      <c r="P1743" s="55"/>
      <c r="Q1743" s="55"/>
      <c r="R1743" s="55"/>
      <c r="S1743" s="55"/>
      <c r="T1743" s="55"/>
      <c r="U1743" s="55"/>
      <c r="V1743" s="55"/>
      <c r="W1743" s="55"/>
      <c r="X1743" s="55"/>
      <c r="Y1743" s="55"/>
      <c r="Z1743" s="55"/>
      <c r="AA1743" s="55"/>
      <c r="AB1743" s="55"/>
      <c r="AC1743" s="56"/>
      <c r="AD1743" s="55"/>
      <c r="AE1743" s="55"/>
      <c r="AF1743" s="55"/>
      <c r="AG1743" s="55"/>
      <c r="AH1743" s="56"/>
      <c r="AI1743" s="55"/>
      <c r="AJ1743" s="55"/>
      <c r="AK1743" s="56"/>
      <c r="AL1743" s="56"/>
    </row>
    <row r="1744" spans="1:38" ht="15.75" thickBot="1" x14ac:dyDescent="0.3">
      <c r="A1744" s="51"/>
      <c r="B1744" s="51"/>
      <c r="C1744" s="51"/>
      <c r="D1744" s="51"/>
      <c r="E1744" s="51"/>
      <c r="F1744" s="51"/>
      <c r="G1744" s="54"/>
      <c r="H1744" s="53"/>
      <c r="I1744" s="53"/>
      <c r="J1744" s="53"/>
      <c r="K1744" s="54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4"/>
      <c r="AI1744" s="53"/>
      <c r="AJ1744" s="53"/>
      <c r="AK1744" s="54"/>
      <c r="AL1744" s="54"/>
    </row>
    <row r="1745" spans="1:38" ht="15.75" thickBot="1" x14ac:dyDescent="0.3">
      <c r="A1745" s="51"/>
      <c r="B1745" s="51"/>
      <c r="C1745" s="51"/>
      <c r="D1745" s="51"/>
      <c r="E1745" s="51"/>
      <c r="F1745" s="51"/>
      <c r="G1745" s="56"/>
      <c r="H1745" s="55"/>
      <c r="I1745" s="55"/>
      <c r="J1745" s="55"/>
      <c r="K1745" s="56"/>
      <c r="L1745" s="55"/>
      <c r="M1745" s="55"/>
      <c r="N1745" s="55"/>
      <c r="O1745" s="55"/>
      <c r="P1745" s="55"/>
      <c r="Q1745" s="55"/>
      <c r="R1745" s="55"/>
      <c r="S1745" s="55"/>
      <c r="T1745" s="55"/>
      <c r="U1745" s="55"/>
      <c r="V1745" s="55"/>
      <c r="W1745" s="55"/>
      <c r="X1745" s="55"/>
      <c r="Y1745" s="55"/>
      <c r="Z1745" s="55"/>
      <c r="AA1745" s="55"/>
      <c r="AB1745" s="55"/>
      <c r="AC1745" s="55"/>
      <c r="AD1745" s="55"/>
      <c r="AE1745" s="55"/>
      <c r="AF1745" s="55"/>
      <c r="AG1745" s="55"/>
      <c r="AH1745" s="56"/>
      <c r="AI1745" s="55"/>
      <c r="AJ1745" s="55"/>
      <c r="AK1745" s="56"/>
      <c r="AL1745" s="56"/>
    </row>
    <row r="1746" spans="1:38" ht="15.75" thickBot="1" x14ac:dyDescent="0.3">
      <c r="A1746" s="51"/>
      <c r="B1746" s="51"/>
      <c r="C1746" s="51"/>
      <c r="D1746" s="51"/>
      <c r="E1746" s="51"/>
      <c r="F1746" s="51"/>
      <c r="G1746" s="54"/>
      <c r="H1746" s="53"/>
      <c r="I1746" s="53"/>
      <c r="J1746" s="53"/>
      <c r="K1746" s="53"/>
      <c r="L1746" s="54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4"/>
      <c r="AI1746" s="53"/>
      <c r="AJ1746" s="53"/>
      <c r="AK1746" s="54"/>
      <c r="AL1746" s="54"/>
    </row>
    <row r="1747" spans="1:38" ht="15.75" thickBot="1" x14ac:dyDescent="0.3">
      <c r="A1747" s="51"/>
      <c r="B1747" s="51"/>
      <c r="C1747" s="51"/>
      <c r="D1747" s="51"/>
      <c r="E1747" s="51"/>
      <c r="F1747" s="51"/>
      <c r="G1747" s="56"/>
      <c r="H1747" s="55"/>
      <c r="I1747" s="55"/>
      <c r="J1747" s="55"/>
      <c r="K1747" s="55"/>
      <c r="L1747" s="56"/>
      <c r="M1747" s="55"/>
      <c r="N1747" s="55"/>
      <c r="O1747" s="55"/>
      <c r="P1747" s="55"/>
      <c r="Q1747" s="55"/>
      <c r="R1747" s="55"/>
      <c r="S1747" s="55"/>
      <c r="T1747" s="55"/>
      <c r="U1747" s="55"/>
      <c r="V1747" s="55"/>
      <c r="W1747" s="55"/>
      <c r="X1747" s="55"/>
      <c r="Y1747" s="55"/>
      <c r="Z1747" s="55"/>
      <c r="AA1747" s="55"/>
      <c r="AB1747" s="55"/>
      <c r="AC1747" s="55"/>
      <c r="AD1747" s="55"/>
      <c r="AE1747" s="55"/>
      <c r="AF1747" s="55"/>
      <c r="AG1747" s="55"/>
      <c r="AH1747" s="56"/>
      <c r="AI1747" s="55"/>
      <c r="AJ1747" s="55"/>
      <c r="AK1747" s="56"/>
      <c r="AL1747" s="56"/>
    </row>
    <row r="1748" spans="1:38" ht="15.75" thickBot="1" x14ac:dyDescent="0.3">
      <c r="A1748" s="51"/>
      <c r="B1748" s="51"/>
      <c r="C1748" s="51"/>
      <c r="D1748" s="51"/>
      <c r="E1748" s="51"/>
      <c r="F1748" s="51"/>
      <c r="G1748" s="54"/>
      <c r="H1748" s="54"/>
      <c r="I1748" s="53"/>
      <c r="J1748" s="53"/>
      <c r="K1748" s="53"/>
      <c r="L1748" s="53"/>
      <c r="M1748" s="54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4"/>
      <c r="AI1748" s="53"/>
      <c r="AJ1748" s="53"/>
      <c r="AK1748" s="54"/>
      <c r="AL1748" s="54"/>
    </row>
    <row r="1749" spans="1:38" ht="15.75" thickBot="1" x14ac:dyDescent="0.3">
      <c r="A1749" s="51"/>
      <c r="B1749" s="51"/>
      <c r="C1749" s="51"/>
      <c r="D1749" s="51"/>
      <c r="E1749" s="51"/>
      <c r="F1749" s="51"/>
      <c r="G1749" s="56"/>
      <c r="H1749" s="148"/>
      <c r="I1749" s="55"/>
      <c r="J1749" s="55"/>
      <c r="K1749" s="55"/>
      <c r="L1749" s="55"/>
      <c r="M1749" s="56"/>
      <c r="N1749" s="55"/>
      <c r="O1749" s="55"/>
      <c r="P1749" s="55"/>
      <c r="Q1749" s="55"/>
      <c r="R1749" s="55"/>
      <c r="S1749" s="55"/>
      <c r="T1749" s="55"/>
      <c r="U1749" s="55"/>
      <c r="V1749" s="55"/>
      <c r="W1749" s="55"/>
      <c r="X1749" s="55"/>
      <c r="Y1749" s="55"/>
      <c r="Z1749" s="55"/>
      <c r="AA1749" s="55"/>
      <c r="AB1749" s="55"/>
      <c r="AC1749" s="55"/>
      <c r="AD1749" s="55"/>
      <c r="AE1749" s="55"/>
      <c r="AF1749" s="55"/>
      <c r="AG1749" s="55"/>
      <c r="AH1749" s="56"/>
      <c r="AI1749" s="55"/>
      <c r="AJ1749" s="55"/>
      <c r="AK1749" s="56"/>
      <c r="AL1749" s="56"/>
    </row>
    <row r="1750" spans="1:38" ht="15.75" thickBot="1" x14ac:dyDescent="0.3">
      <c r="A1750" s="51"/>
      <c r="B1750" s="51"/>
      <c r="C1750" s="51"/>
      <c r="D1750" s="51"/>
      <c r="E1750" s="51"/>
      <c r="F1750" s="51"/>
      <c r="G1750" s="54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4"/>
      <c r="AA1750" s="53"/>
      <c r="AB1750" s="53"/>
      <c r="AC1750" s="53"/>
      <c r="AD1750" s="53"/>
      <c r="AE1750" s="53"/>
      <c r="AF1750" s="53"/>
      <c r="AG1750" s="53"/>
      <c r="AH1750" s="54"/>
      <c r="AI1750" s="53"/>
      <c r="AJ1750" s="53"/>
      <c r="AK1750" s="54"/>
      <c r="AL1750" s="54"/>
    </row>
    <row r="1751" spans="1:38" ht="15.75" thickBot="1" x14ac:dyDescent="0.3">
      <c r="A1751" s="51"/>
      <c r="B1751" s="51"/>
      <c r="C1751" s="51"/>
      <c r="D1751" s="51"/>
      <c r="E1751" s="51"/>
      <c r="F1751" s="51"/>
      <c r="G1751" s="56"/>
      <c r="H1751" s="55"/>
      <c r="I1751" s="55"/>
      <c r="J1751" s="55"/>
      <c r="K1751" s="55"/>
      <c r="L1751" s="55"/>
      <c r="M1751" s="55"/>
      <c r="N1751" s="55"/>
      <c r="O1751" s="55"/>
      <c r="P1751" s="55"/>
      <c r="Q1751" s="55"/>
      <c r="R1751" s="55"/>
      <c r="S1751" s="55"/>
      <c r="T1751" s="55"/>
      <c r="U1751" s="55"/>
      <c r="V1751" s="55"/>
      <c r="W1751" s="55"/>
      <c r="X1751" s="55"/>
      <c r="Y1751" s="55"/>
      <c r="Z1751" s="56"/>
      <c r="AA1751" s="55"/>
      <c r="AB1751" s="55"/>
      <c r="AC1751" s="55"/>
      <c r="AD1751" s="55"/>
      <c r="AE1751" s="55"/>
      <c r="AF1751" s="55"/>
      <c r="AG1751" s="55"/>
      <c r="AH1751" s="56"/>
      <c r="AI1751" s="55"/>
      <c r="AJ1751" s="55"/>
      <c r="AK1751" s="56"/>
      <c r="AL1751" s="56"/>
    </row>
    <row r="1752" spans="1:38" ht="15.75" thickBot="1" x14ac:dyDescent="0.3">
      <c r="A1752" s="51"/>
      <c r="B1752" s="51"/>
      <c r="C1752" s="51"/>
      <c r="D1752" s="51"/>
      <c r="E1752" s="51"/>
      <c r="F1752" s="51"/>
      <c r="G1752" s="54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4"/>
      <c r="AB1752" s="53"/>
      <c r="AC1752" s="53"/>
      <c r="AD1752" s="53"/>
      <c r="AE1752" s="53"/>
      <c r="AF1752" s="53"/>
      <c r="AG1752" s="53"/>
      <c r="AH1752" s="54"/>
      <c r="AI1752" s="53"/>
      <c r="AJ1752" s="53"/>
      <c r="AK1752" s="54"/>
      <c r="AL1752" s="54"/>
    </row>
    <row r="1753" spans="1:38" ht="15.75" thickBot="1" x14ac:dyDescent="0.3">
      <c r="A1753" s="51"/>
      <c r="B1753" s="51"/>
      <c r="C1753" s="51"/>
      <c r="D1753" s="51"/>
      <c r="E1753" s="51"/>
      <c r="F1753" s="51"/>
      <c r="G1753" s="56"/>
      <c r="H1753" s="55"/>
      <c r="I1753" s="55"/>
      <c r="J1753" s="55"/>
      <c r="K1753" s="55"/>
      <c r="L1753" s="55"/>
      <c r="M1753" s="55"/>
      <c r="N1753" s="55"/>
      <c r="O1753" s="55"/>
      <c r="P1753" s="55"/>
      <c r="Q1753" s="55"/>
      <c r="R1753" s="55"/>
      <c r="S1753" s="55"/>
      <c r="T1753" s="55"/>
      <c r="U1753" s="55"/>
      <c r="V1753" s="55"/>
      <c r="W1753" s="55"/>
      <c r="X1753" s="55"/>
      <c r="Y1753" s="55"/>
      <c r="Z1753" s="55"/>
      <c r="AA1753" s="56"/>
      <c r="AB1753" s="55"/>
      <c r="AC1753" s="55"/>
      <c r="AD1753" s="55"/>
      <c r="AE1753" s="55"/>
      <c r="AF1753" s="55"/>
      <c r="AG1753" s="55"/>
      <c r="AH1753" s="56"/>
      <c r="AI1753" s="55"/>
      <c r="AJ1753" s="55"/>
      <c r="AK1753" s="56"/>
      <c r="AL1753" s="56"/>
    </row>
    <row r="1754" spans="1:38" ht="15.75" thickBot="1" x14ac:dyDescent="0.3">
      <c r="A1754" s="51"/>
      <c r="B1754" s="51"/>
      <c r="C1754" s="51"/>
      <c r="D1754" s="51"/>
      <c r="E1754" s="51"/>
      <c r="F1754" s="51"/>
      <c r="G1754" s="54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4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4"/>
      <c r="AI1754" s="53"/>
      <c r="AJ1754" s="53"/>
      <c r="AK1754" s="54"/>
      <c r="AL1754" s="54"/>
    </row>
    <row r="1755" spans="1:38" ht="15.75" thickBot="1" x14ac:dyDescent="0.3">
      <c r="A1755" s="51"/>
      <c r="B1755" s="51"/>
      <c r="C1755" s="51"/>
      <c r="D1755" s="51"/>
      <c r="E1755" s="51"/>
      <c r="F1755" s="51"/>
      <c r="G1755" s="56"/>
      <c r="H1755" s="55"/>
      <c r="I1755" s="55"/>
      <c r="J1755" s="55"/>
      <c r="K1755" s="55"/>
      <c r="L1755" s="55"/>
      <c r="M1755" s="55"/>
      <c r="N1755" s="55"/>
      <c r="O1755" s="55"/>
      <c r="P1755" s="55"/>
      <c r="Q1755" s="55"/>
      <c r="R1755" s="56"/>
      <c r="S1755" s="55"/>
      <c r="T1755" s="55"/>
      <c r="U1755" s="55"/>
      <c r="V1755" s="55"/>
      <c r="W1755" s="55"/>
      <c r="X1755" s="55"/>
      <c r="Y1755" s="55"/>
      <c r="Z1755" s="55"/>
      <c r="AA1755" s="55"/>
      <c r="AB1755" s="55"/>
      <c r="AC1755" s="55"/>
      <c r="AD1755" s="55"/>
      <c r="AE1755" s="55"/>
      <c r="AF1755" s="55"/>
      <c r="AG1755" s="55"/>
      <c r="AH1755" s="56"/>
      <c r="AI1755" s="55"/>
      <c r="AJ1755" s="55"/>
      <c r="AK1755" s="56"/>
      <c r="AL1755" s="56"/>
    </row>
    <row r="1756" spans="1:38" ht="15.75" thickBot="1" x14ac:dyDescent="0.3">
      <c r="A1756" s="51"/>
      <c r="B1756" s="51"/>
      <c r="C1756" s="51"/>
      <c r="D1756" s="51"/>
      <c r="E1756" s="51"/>
      <c r="F1756" s="51"/>
      <c r="G1756" s="54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4"/>
      <c r="AD1756" s="53"/>
      <c r="AE1756" s="53"/>
      <c r="AF1756" s="53"/>
      <c r="AG1756" s="53"/>
      <c r="AH1756" s="54"/>
      <c r="AI1756" s="53"/>
      <c r="AJ1756" s="53"/>
      <c r="AK1756" s="54"/>
      <c r="AL1756" s="54"/>
    </row>
    <row r="1757" spans="1:38" ht="15.75" thickBot="1" x14ac:dyDescent="0.3">
      <c r="A1757" s="51"/>
      <c r="B1757" s="51"/>
      <c r="C1757" s="51"/>
      <c r="D1757" s="51"/>
      <c r="E1757" s="51"/>
      <c r="F1757" s="51"/>
      <c r="G1757" s="56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/>
      <c r="R1757" s="55"/>
      <c r="S1757" s="55"/>
      <c r="T1757" s="55"/>
      <c r="U1757" s="55"/>
      <c r="V1757" s="55"/>
      <c r="W1757" s="55"/>
      <c r="X1757" s="55"/>
      <c r="Y1757" s="55"/>
      <c r="Z1757" s="55"/>
      <c r="AA1757" s="55"/>
      <c r="AB1757" s="55"/>
      <c r="AC1757" s="56"/>
      <c r="AD1757" s="55"/>
      <c r="AE1757" s="55"/>
      <c r="AF1757" s="55"/>
      <c r="AG1757" s="55"/>
      <c r="AH1757" s="56"/>
      <c r="AI1757" s="55"/>
      <c r="AJ1757" s="55"/>
      <c r="AK1757" s="56"/>
      <c r="AL1757" s="56"/>
    </row>
    <row r="1758" spans="1:38" ht="15.75" thickBot="1" x14ac:dyDescent="0.3">
      <c r="A1758" s="51"/>
      <c r="B1758" s="51"/>
      <c r="C1758" s="51"/>
      <c r="D1758" s="51"/>
      <c r="E1758" s="51"/>
      <c r="F1758" s="51"/>
      <c r="G1758" s="54"/>
      <c r="H1758" s="53"/>
      <c r="I1758" s="53"/>
      <c r="J1758" s="53"/>
      <c r="K1758" s="53"/>
      <c r="L1758" s="53"/>
      <c r="M1758" s="53"/>
      <c r="N1758" s="53"/>
      <c r="O1758" s="53"/>
      <c r="P1758" s="53"/>
      <c r="Q1758" s="54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4"/>
      <c r="AI1758" s="53"/>
      <c r="AJ1758" s="53"/>
      <c r="AK1758" s="54"/>
      <c r="AL1758" s="54"/>
    </row>
    <row r="1759" spans="1:38" ht="15.75" thickBot="1" x14ac:dyDescent="0.3">
      <c r="A1759" s="51"/>
      <c r="B1759" s="51"/>
      <c r="C1759" s="51"/>
      <c r="D1759" s="51"/>
      <c r="E1759" s="51"/>
      <c r="F1759" s="51"/>
      <c r="G1759" s="56"/>
      <c r="H1759" s="55"/>
      <c r="I1759" s="55"/>
      <c r="J1759" s="55"/>
      <c r="K1759" s="55"/>
      <c r="L1759" s="55"/>
      <c r="M1759" s="55"/>
      <c r="N1759" s="55"/>
      <c r="O1759" s="55"/>
      <c r="P1759" s="55"/>
      <c r="Q1759" s="56"/>
      <c r="R1759" s="55"/>
      <c r="S1759" s="55"/>
      <c r="T1759" s="55"/>
      <c r="U1759" s="55"/>
      <c r="V1759" s="55"/>
      <c r="W1759" s="55"/>
      <c r="X1759" s="55"/>
      <c r="Y1759" s="55"/>
      <c r="Z1759" s="55"/>
      <c r="AA1759" s="55"/>
      <c r="AB1759" s="55"/>
      <c r="AC1759" s="55"/>
      <c r="AD1759" s="55"/>
      <c r="AE1759" s="55"/>
      <c r="AF1759" s="55"/>
      <c r="AG1759" s="55"/>
      <c r="AH1759" s="56"/>
      <c r="AI1759" s="55"/>
      <c r="AJ1759" s="55"/>
      <c r="AK1759" s="56"/>
      <c r="AL1759" s="56"/>
    </row>
    <row r="1760" spans="1:38" ht="15.75" thickBot="1" x14ac:dyDescent="0.3">
      <c r="A1760" s="51"/>
      <c r="B1760" s="51"/>
      <c r="C1760" s="51"/>
      <c r="D1760" s="51"/>
      <c r="E1760" s="51"/>
      <c r="F1760" s="51"/>
      <c r="G1760" s="54"/>
      <c r="H1760" s="54"/>
      <c r="I1760" s="53"/>
      <c r="J1760" s="53"/>
      <c r="K1760" s="53"/>
      <c r="L1760" s="53"/>
      <c r="M1760" s="54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4"/>
      <c r="AI1760" s="53"/>
      <c r="AJ1760" s="53"/>
      <c r="AK1760" s="54"/>
      <c r="AL1760" s="54"/>
    </row>
    <row r="1761" spans="1:38" ht="15.75" thickBot="1" x14ac:dyDescent="0.3">
      <c r="A1761" s="51"/>
      <c r="B1761" s="51"/>
      <c r="C1761" s="51"/>
      <c r="D1761" s="51"/>
      <c r="E1761" s="51"/>
      <c r="F1761" s="51"/>
      <c r="G1761" s="56"/>
      <c r="H1761" s="148"/>
      <c r="I1761" s="55"/>
      <c r="J1761" s="55"/>
      <c r="K1761" s="55"/>
      <c r="L1761" s="55"/>
      <c r="M1761" s="56"/>
      <c r="N1761" s="55"/>
      <c r="O1761" s="55"/>
      <c r="P1761" s="55"/>
      <c r="Q1761" s="55"/>
      <c r="R1761" s="55"/>
      <c r="S1761" s="55"/>
      <c r="T1761" s="55"/>
      <c r="U1761" s="55"/>
      <c r="V1761" s="55"/>
      <c r="W1761" s="55"/>
      <c r="X1761" s="55"/>
      <c r="Y1761" s="55"/>
      <c r="Z1761" s="55"/>
      <c r="AA1761" s="55"/>
      <c r="AB1761" s="55"/>
      <c r="AC1761" s="55"/>
      <c r="AD1761" s="55"/>
      <c r="AE1761" s="55"/>
      <c r="AF1761" s="55"/>
      <c r="AG1761" s="55"/>
      <c r="AH1761" s="56"/>
      <c r="AI1761" s="55"/>
      <c r="AJ1761" s="55"/>
      <c r="AK1761" s="56"/>
      <c r="AL1761" s="56"/>
    </row>
    <row r="1762" spans="1:38" ht="15.75" thickBot="1" x14ac:dyDescent="0.3">
      <c r="A1762" s="51"/>
      <c r="B1762" s="51"/>
      <c r="C1762" s="51"/>
      <c r="D1762" s="51"/>
      <c r="E1762" s="51"/>
      <c r="F1762" s="51"/>
      <c r="G1762" s="54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4"/>
      <c r="AB1762" s="53"/>
      <c r="AC1762" s="53"/>
      <c r="AD1762" s="53"/>
      <c r="AE1762" s="53"/>
      <c r="AF1762" s="53"/>
      <c r="AG1762" s="53"/>
      <c r="AH1762" s="54"/>
      <c r="AI1762" s="53"/>
      <c r="AJ1762" s="53"/>
      <c r="AK1762" s="54"/>
      <c r="AL1762" s="54"/>
    </row>
    <row r="1763" spans="1:38" ht="15.75" thickBot="1" x14ac:dyDescent="0.3">
      <c r="A1763" s="51"/>
      <c r="B1763" s="51"/>
      <c r="C1763" s="51"/>
      <c r="D1763" s="51"/>
      <c r="E1763" s="51"/>
      <c r="F1763" s="51"/>
      <c r="G1763" s="56"/>
      <c r="H1763" s="55"/>
      <c r="I1763" s="55"/>
      <c r="J1763" s="55"/>
      <c r="K1763" s="55"/>
      <c r="L1763" s="55"/>
      <c r="M1763" s="55"/>
      <c r="N1763" s="55"/>
      <c r="O1763" s="55"/>
      <c r="P1763" s="55"/>
      <c r="Q1763" s="55"/>
      <c r="R1763" s="55"/>
      <c r="S1763" s="55"/>
      <c r="T1763" s="55"/>
      <c r="U1763" s="55"/>
      <c r="V1763" s="55"/>
      <c r="W1763" s="55"/>
      <c r="X1763" s="55"/>
      <c r="Y1763" s="55"/>
      <c r="Z1763" s="55"/>
      <c r="AA1763" s="56"/>
      <c r="AB1763" s="55"/>
      <c r="AC1763" s="55"/>
      <c r="AD1763" s="55"/>
      <c r="AE1763" s="55"/>
      <c r="AF1763" s="55"/>
      <c r="AG1763" s="55"/>
      <c r="AH1763" s="56"/>
      <c r="AI1763" s="55"/>
      <c r="AJ1763" s="55"/>
      <c r="AK1763" s="56"/>
      <c r="AL1763" s="56"/>
    </row>
    <row r="1764" spans="1:38" ht="15.75" thickBot="1" x14ac:dyDescent="0.3">
      <c r="A1764" s="51"/>
      <c r="B1764" s="51"/>
      <c r="C1764" s="51"/>
      <c r="D1764" s="51"/>
      <c r="E1764" s="51"/>
      <c r="F1764" s="51"/>
      <c r="G1764" s="54"/>
      <c r="H1764" s="53"/>
      <c r="I1764" s="53"/>
      <c r="J1764" s="53"/>
      <c r="K1764" s="54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4"/>
      <c r="AI1764" s="53"/>
      <c r="AJ1764" s="53"/>
      <c r="AK1764" s="54"/>
      <c r="AL1764" s="54"/>
    </row>
    <row r="1765" spans="1:38" ht="15.75" thickBot="1" x14ac:dyDescent="0.3">
      <c r="A1765" s="51"/>
      <c r="B1765" s="51"/>
      <c r="C1765" s="51"/>
      <c r="D1765" s="51"/>
      <c r="E1765" s="51"/>
      <c r="F1765" s="51"/>
      <c r="G1765" s="56"/>
      <c r="H1765" s="55"/>
      <c r="I1765" s="55"/>
      <c r="J1765" s="55"/>
      <c r="K1765" s="56"/>
      <c r="L1765" s="55"/>
      <c r="M1765" s="55"/>
      <c r="N1765" s="55"/>
      <c r="O1765" s="55"/>
      <c r="P1765" s="55"/>
      <c r="Q1765" s="55"/>
      <c r="R1765" s="55"/>
      <c r="S1765" s="55"/>
      <c r="T1765" s="55"/>
      <c r="U1765" s="55"/>
      <c r="V1765" s="55"/>
      <c r="W1765" s="55"/>
      <c r="X1765" s="55"/>
      <c r="Y1765" s="55"/>
      <c r="Z1765" s="55"/>
      <c r="AA1765" s="55"/>
      <c r="AB1765" s="55"/>
      <c r="AC1765" s="55"/>
      <c r="AD1765" s="55"/>
      <c r="AE1765" s="55"/>
      <c r="AF1765" s="55"/>
      <c r="AG1765" s="55"/>
      <c r="AH1765" s="56"/>
      <c r="AI1765" s="55"/>
      <c r="AJ1765" s="55"/>
      <c r="AK1765" s="56"/>
      <c r="AL1765" s="56"/>
    </row>
    <row r="1766" spans="1:38" ht="15.75" thickBot="1" x14ac:dyDescent="0.3">
      <c r="A1766" s="51"/>
      <c r="B1766" s="51"/>
      <c r="C1766" s="51"/>
      <c r="D1766" s="51"/>
      <c r="E1766" s="51"/>
      <c r="F1766" s="51"/>
      <c r="G1766" s="54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4"/>
      <c r="AD1766" s="53"/>
      <c r="AE1766" s="53"/>
      <c r="AF1766" s="53"/>
      <c r="AG1766" s="53"/>
      <c r="AH1766" s="54"/>
      <c r="AI1766" s="53"/>
      <c r="AJ1766" s="53"/>
      <c r="AK1766" s="54"/>
      <c r="AL1766" s="54"/>
    </row>
    <row r="1767" spans="1:38" ht="15.75" thickBot="1" x14ac:dyDescent="0.3">
      <c r="A1767" s="51"/>
      <c r="B1767" s="51"/>
      <c r="C1767" s="51"/>
      <c r="D1767" s="51"/>
      <c r="E1767" s="51"/>
      <c r="F1767" s="51"/>
      <c r="G1767" s="56"/>
      <c r="H1767" s="55"/>
      <c r="I1767" s="55"/>
      <c r="J1767" s="55"/>
      <c r="K1767" s="55"/>
      <c r="L1767" s="55"/>
      <c r="M1767" s="55"/>
      <c r="N1767" s="55"/>
      <c r="O1767" s="55"/>
      <c r="P1767" s="55"/>
      <c r="Q1767" s="55"/>
      <c r="R1767" s="55"/>
      <c r="S1767" s="55"/>
      <c r="T1767" s="55"/>
      <c r="U1767" s="55"/>
      <c r="V1767" s="55"/>
      <c r="W1767" s="55"/>
      <c r="X1767" s="55"/>
      <c r="Y1767" s="55"/>
      <c r="Z1767" s="55"/>
      <c r="AA1767" s="55"/>
      <c r="AB1767" s="55"/>
      <c r="AC1767" s="56"/>
      <c r="AD1767" s="55"/>
      <c r="AE1767" s="55"/>
      <c r="AF1767" s="55"/>
      <c r="AG1767" s="55"/>
      <c r="AH1767" s="56"/>
      <c r="AI1767" s="55"/>
      <c r="AJ1767" s="55"/>
      <c r="AK1767" s="56"/>
      <c r="AL1767" s="56"/>
    </row>
    <row r="1768" spans="1:38" ht="15.75" thickBot="1" x14ac:dyDescent="0.3">
      <c r="A1768" s="51"/>
      <c r="B1768" s="51"/>
      <c r="C1768" s="51"/>
      <c r="D1768" s="51"/>
      <c r="E1768" s="51"/>
      <c r="F1768" s="51"/>
      <c r="G1768" s="54"/>
      <c r="H1768" s="53"/>
      <c r="I1768" s="53"/>
      <c r="J1768" s="53"/>
      <c r="K1768" s="53"/>
      <c r="L1768" s="53"/>
      <c r="M1768" s="53"/>
      <c r="N1768" s="53"/>
      <c r="O1768" s="53"/>
      <c r="P1768" s="53"/>
      <c r="Q1768" s="54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4"/>
      <c r="AI1768" s="53"/>
      <c r="AJ1768" s="53"/>
      <c r="AK1768" s="54"/>
      <c r="AL1768" s="54"/>
    </row>
    <row r="1769" spans="1:38" ht="15.75" thickBot="1" x14ac:dyDescent="0.3">
      <c r="A1769" s="51"/>
      <c r="B1769" s="51"/>
      <c r="C1769" s="51"/>
      <c r="D1769" s="51"/>
      <c r="E1769" s="51"/>
      <c r="F1769" s="51"/>
      <c r="G1769" s="56"/>
      <c r="H1769" s="55"/>
      <c r="I1769" s="55"/>
      <c r="J1769" s="55"/>
      <c r="K1769" s="55"/>
      <c r="L1769" s="55"/>
      <c r="M1769" s="55"/>
      <c r="N1769" s="55"/>
      <c r="O1769" s="55"/>
      <c r="P1769" s="55"/>
      <c r="Q1769" s="56"/>
      <c r="R1769" s="55"/>
      <c r="S1769" s="55"/>
      <c r="T1769" s="55"/>
      <c r="U1769" s="55"/>
      <c r="V1769" s="55"/>
      <c r="W1769" s="55"/>
      <c r="X1769" s="55"/>
      <c r="Y1769" s="55"/>
      <c r="Z1769" s="55"/>
      <c r="AA1769" s="55"/>
      <c r="AB1769" s="55"/>
      <c r="AC1769" s="55"/>
      <c r="AD1769" s="55"/>
      <c r="AE1769" s="55"/>
      <c r="AF1769" s="55"/>
      <c r="AG1769" s="55"/>
      <c r="AH1769" s="56"/>
      <c r="AI1769" s="55"/>
      <c r="AJ1769" s="55"/>
      <c r="AK1769" s="56"/>
      <c r="AL1769" s="56"/>
    </row>
    <row r="1770" spans="1:38" ht="15.75" thickBot="1" x14ac:dyDescent="0.3">
      <c r="A1770" s="51"/>
      <c r="B1770" s="51"/>
      <c r="C1770" s="51"/>
      <c r="D1770" s="51"/>
      <c r="E1770" s="51"/>
      <c r="F1770" s="51"/>
      <c r="G1770" s="54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4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4"/>
      <c r="AI1770" s="53"/>
      <c r="AJ1770" s="53"/>
      <c r="AK1770" s="54"/>
      <c r="AL1770" s="54"/>
    </row>
    <row r="1771" spans="1:38" ht="15.75" thickBot="1" x14ac:dyDescent="0.3">
      <c r="A1771" s="51"/>
      <c r="B1771" s="51"/>
      <c r="C1771" s="51"/>
      <c r="D1771" s="51"/>
      <c r="E1771" s="51"/>
      <c r="F1771" s="51"/>
      <c r="G1771" s="56"/>
      <c r="H1771" s="55"/>
      <c r="I1771" s="55"/>
      <c r="J1771" s="55"/>
      <c r="K1771" s="55"/>
      <c r="L1771" s="55"/>
      <c r="M1771" s="55"/>
      <c r="N1771" s="55"/>
      <c r="O1771" s="55"/>
      <c r="P1771" s="55"/>
      <c r="Q1771" s="55"/>
      <c r="R1771" s="55"/>
      <c r="S1771" s="55"/>
      <c r="T1771" s="56"/>
      <c r="U1771" s="55"/>
      <c r="V1771" s="55"/>
      <c r="W1771" s="55"/>
      <c r="X1771" s="55"/>
      <c r="Y1771" s="55"/>
      <c r="Z1771" s="55"/>
      <c r="AA1771" s="55"/>
      <c r="AB1771" s="55"/>
      <c r="AC1771" s="55"/>
      <c r="AD1771" s="55"/>
      <c r="AE1771" s="55"/>
      <c r="AF1771" s="55"/>
      <c r="AG1771" s="55"/>
      <c r="AH1771" s="56"/>
      <c r="AI1771" s="55"/>
      <c r="AJ1771" s="55"/>
      <c r="AK1771" s="56"/>
      <c r="AL1771" s="56"/>
    </row>
    <row r="1772" spans="1:38" ht="15.75" thickBot="1" x14ac:dyDescent="0.3">
      <c r="A1772" s="51"/>
      <c r="B1772" s="51"/>
      <c r="C1772" s="51"/>
      <c r="D1772" s="51"/>
      <c r="E1772" s="51"/>
      <c r="F1772" s="51"/>
      <c r="G1772" s="54"/>
      <c r="H1772" s="54"/>
      <c r="I1772" s="53"/>
      <c r="J1772" s="53"/>
      <c r="K1772" s="53"/>
      <c r="L1772" s="53"/>
      <c r="M1772" s="54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4"/>
      <c r="AI1772" s="53"/>
      <c r="AJ1772" s="53"/>
      <c r="AK1772" s="54"/>
      <c r="AL1772" s="54"/>
    </row>
    <row r="1773" spans="1:38" ht="15.75" thickBot="1" x14ac:dyDescent="0.3">
      <c r="A1773" s="51"/>
      <c r="B1773" s="51"/>
      <c r="C1773" s="51"/>
      <c r="D1773" s="51"/>
      <c r="E1773" s="51"/>
      <c r="F1773" s="51"/>
      <c r="G1773" s="56"/>
      <c r="H1773" s="148"/>
      <c r="I1773" s="55"/>
      <c r="J1773" s="55"/>
      <c r="K1773" s="55"/>
      <c r="L1773" s="55"/>
      <c r="M1773" s="56"/>
      <c r="N1773" s="55"/>
      <c r="O1773" s="55"/>
      <c r="P1773" s="55"/>
      <c r="Q1773" s="55"/>
      <c r="R1773" s="55"/>
      <c r="S1773" s="55"/>
      <c r="T1773" s="55"/>
      <c r="U1773" s="55"/>
      <c r="V1773" s="55"/>
      <c r="W1773" s="55"/>
      <c r="X1773" s="55"/>
      <c r="Y1773" s="55"/>
      <c r="Z1773" s="55"/>
      <c r="AA1773" s="55"/>
      <c r="AB1773" s="55"/>
      <c r="AC1773" s="55"/>
      <c r="AD1773" s="55"/>
      <c r="AE1773" s="55"/>
      <c r="AF1773" s="55"/>
      <c r="AG1773" s="55"/>
      <c r="AH1773" s="56"/>
      <c r="AI1773" s="55"/>
      <c r="AJ1773" s="55"/>
      <c r="AK1773" s="56"/>
      <c r="AL1773" s="56"/>
    </row>
    <row r="1774" spans="1:38" ht="15.75" thickBot="1" x14ac:dyDescent="0.3">
      <c r="A1774" s="51"/>
      <c r="B1774" s="51"/>
      <c r="C1774" s="51"/>
      <c r="D1774" s="51"/>
      <c r="E1774" s="51"/>
      <c r="F1774" s="51"/>
      <c r="G1774" s="54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4"/>
      <c r="AB1774" s="53"/>
      <c r="AC1774" s="53"/>
      <c r="AD1774" s="53"/>
      <c r="AE1774" s="53"/>
      <c r="AF1774" s="53"/>
      <c r="AG1774" s="53"/>
      <c r="AH1774" s="54"/>
      <c r="AI1774" s="53"/>
      <c r="AJ1774" s="53"/>
      <c r="AK1774" s="54"/>
      <c r="AL1774" s="54"/>
    </row>
    <row r="1775" spans="1:38" ht="15.75" thickBot="1" x14ac:dyDescent="0.3">
      <c r="A1775" s="51"/>
      <c r="B1775" s="51"/>
      <c r="C1775" s="51"/>
      <c r="D1775" s="51"/>
      <c r="E1775" s="51"/>
      <c r="F1775" s="51"/>
      <c r="G1775" s="56"/>
      <c r="H1775" s="55"/>
      <c r="I1775" s="55"/>
      <c r="J1775" s="55"/>
      <c r="K1775" s="55"/>
      <c r="L1775" s="55"/>
      <c r="M1775" s="55"/>
      <c r="N1775" s="55"/>
      <c r="O1775" s="55"/>
      <c r="P1775" s="55"/>
      <c r="Q1775" s="55"/>
      <c r="R1775" s="55"/>
      <c r="S1775" s="55"/>
      <c r="T1775" s="55"/>
      <c r="U1775" s="55"/>
      <c r="V1775" s="55"/>
      <c r="W1775" s="55"/>
      <c r="X1775" s="55"/>
      <c r="Y1775" s="55"/>
      <c r="Z1775" s="55"/>
      <c r="AA1775" s="56"/>
      <c r="AB1775" s="55"/>
      <c r="AC1775" s="55"/>
      <c r="AD1775" s="55"/>
      <c r="AE1775" s="55"/>
      <c r="AF1775" s="55"/>
      <c r="AG1775" s="55"/>
      <c r="AH1775" s="56"/>
      <c r="AI1775" s="55"/>
      <c r="AJ1775" s="55"/>
      <c r="AK1775" s="56"/>
      <c r="AL1775" s="56"/>
    </row>
    <row r="1776" spans="1:38" ht="15.75" thickBot="1" x14ac:dyDescent="0.3">
      <c r="A1776" s="51"/>
      <c r="B1776" s="51"/>
      <c r="C1776" s="51"/>
      <c r="D1776" s="51"/>
      <c r="E1776" s="51"/>
      <c r="F1776" s="51"/>
      <c r="G1776" s="54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  <c r="U1776" s="54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4"/>
      <c r="AI1776" s="53"/>
      <c r="AJ1776" s="53"/>
      <c r="AK1776" s="54"/>
      <c r="AL1776" s="54"/>
    </row>
    <row r="1777" spans="1:38" ht="15.75" thickBot="1" x14ac:dyDescent="0.3">
      <c r="A1777" s="51"/>
      <c r="B1777" s="51"/>
      <c r="C1777" s="51"/>
      <c r="D1777" s="51"/>
      <c r="E1777" s="51"/>
      <c r="F1777" s="51"/>
      <c r="G1777" s="56"/>
      <c r="H1777" s="55"/>
      <c r="I1777" s="55"/>
      <c r="J1777" s="55"/>
      <c r="K1777" s="55"/>
      <c r="L1777" s="55"/>
      <c r="M1777" s="55"/>
      <c r="N1777" s="55"/>
      <c r="O1777" s="55"/>
      <c r="P1777" s="55"/>
      <c r="Q1777" s="55"/>
      <c r="R1777" s="55"/>
      <c r="S1777" s="55"/>
      <c r="T1777" s="55"/>
      <c r="U1777" s="56"/>
      <c r="V1777" s="55"/>
      <c r="W1777" s="55"/>
      <c r="X1777" s="55"/>
      <c r="Y1777" s="55"/>
      <c r="Z1777" s="55"/>
      <c r="AA1777" s="55"/>
      <c r="AB1777" s="55"/>
      <c r="AC1777" s="55"/>
      <c r="AD1777" s="55"/>
      <c r="AE1777" s="55"/>
      <c r="AF1777" s="55"/>
      <c r="AG1777" s="55"/>
      <c r="AH1777" s="56"/>
      <c r="AI1777" s="55"/>
      <c r="AJ1777" s="55"/>
      <c r="AK1777" s="56"/>
      <c r="AL1777" s="56"/>
    </row>
    <row r="1778" spans="1:38" ht="15.75" thickBot="1" x14ac:dyDescent="0.3">
      <c r="A1778" s="51"/>
      <c r="B1778" s="51"/>
      <c r="C1778" s="51"/>
      <c r="D1778" s="51"/>
      <c r="E1778" s="51"/>
      <c r="F1778" s="51"/>
      <c r="G1778" s="54"/>
      <c r="H1778" s="53"/>
      <c r="I1778" s="53"/>
      <c r="J1778" s="53"/>
      <c r="K1778" s="53"/>
      <c r="L1778" s="53"/>
      <c r="M1778" s="53"/>
      <c r="N1778" s="54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4"/>
      <c r="AI1778" s="53"/>
      <c r="AJ1778" s="53"/>
      <c r="AK1778" s="54"/>
      <c r="AL1778" s="54"/>
    </row>
    <row r="1779" spans="1:38" ht="15.75" thickBot="1" x14ac:dyDescent="0.3">
      <c r="A1779" s="51"/>
      <c r="B1779" s="51"/>
      <c r="C1779" s="51"/>
      <c r="D1779" s="51"/>
      <c r="E1779" s="51"/>
      <c r="F1779" s="51"/>
      <c r="G1779" s="56"/>
      <c r="H1779" s="55"/>
      <c r="I1779" s="55"/>
      <c r="J1779" s="55"/>
      <c r="K1779" s="55"/>
      <c r="L1779" s="55"/>
      <c r="M1779" s="55"/>
      <c r="N1779" s="56"/>
      <c r="O1779" s="55"/>
      <c r="P1779" s="55"/>
      <c r="Q1779" s="55"/>
      <c r="R1779" s="55"/>
      <c r="S1779" s="55"/>
      <c r="T1779" s="55"/>
      <c r="U1779" s="55"/>
      <c r="V1779" s="55"/>
      <c r="W1779" s="55"/>
      <c r="X1779" s="55"/>
      <c r="Y1779" s="55"/>
      <c r="Z1779" s="55"/>
      <c r="AA1779" s="55"/>
      <c r="AB1779" s="55"/>
      <c r="AC1779" s="55"/>
      <c r="AD1779" s="55"/>
      <c r="AE1779" s="55"/>
      <c r="AF1779" s="55"/>
      <c r="AG1779" s="55"/>
      <c r="AH1779" s="56"/>
      <c r="AI1779" s="55"/>
      <c r="AJ1779" s="55"/>
      <c r="AK1779" s="56"/>
      <c r="AL1779" s="56"/>
    </row>
    <row r="1780" spans="1:38" ht="15.75" thickBot="1" x14ac:dyDescent="0.3">
      <c r="A1780" s="51"/>
      <c r="B1780" s="51"/>
      <c r="C1780" s="51"/>
      <c r="D1780" s="51"/>
      <c r="E1780" s="51"/>
      <c r="F1780" s="51"/>
      <c r="G1780" s="54"/>
      <c r="H1780" s="53"/>
      <c r="I1780" s="53"/>
      <c r="J1780" s="53"/>
      <c r="K1780" s="54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4"/>
      <c r="AI1780" s="53"/>
      <c r="AJ1780" s="53"/>
      <c r="AK1780" s="54"/>
      <c r="AL1780" s="54"/>
    </row>
    <row r="1781" spans="1:38" ht="15.75" thickBot="1" x14ac:dyDescent="0.3">
      <c r="A1781" s="51"/>
      <c r="B1781" s="51"/>
      <c r="C1781" s="51"/>
      <c r="D1781" s="51"/>
      <c r="E1781" s="51"/>
      <c r="F1781" s="51"/>
      <c r="G1781" s="56"/>
      <c r="H1781" s="55"/>
      <c r="I1781" s="55"/>
      <c r="J1781" s="55"/>
      <c r="K1781" s="56"/>
      <c r="L1781" s="55"/>
      <c r="M1781" s="55"/>
      <c r="N1781" s="55"/>
      <c r="O1781" s="55"/>
      <c r="P1781" s="55"/>
      <c r="Q1781" s="55"/>
      <c r="R1781" s="55"/>
      <c r="S1781" s="55"/>
      <c r="T1781" s="55"/>
      <c r="U1781" s="55"/>
      <c r="V1781" s="55"/>
      <c r="W1781" s="55"/>
      <c r="X1781" s="55"/>
      <c r="Y1781" s="55"/>
      <c r="Z1781" s="55"/>
      <c r="AA1781" s="55"/>
      <c r="AB1781" s="55"/>
      <c r="AC1781" s="55"/>
      <c r="AD1781" s="55"/>
      <c r="AE1781" s="55"/>
      <c r="AF1781" s="55"/>
      <c r="AG1781" s="55"/>
      <c r="AH1781" s="56"/>
      <c r="AI1781" s="55"/>
      <c r="AJ1781" s="55"/>
      <c r="AK1781" s="56"/>
      <c r="AL1781" s="56"/>
    </row>
    <row r="1782" spans="1:38" ht="15.75" thickBot="1" x14ac:dyDescent="0.3">
      <c r="A1782" s="51"/>
      <c r="B1782" s="51"/>
      <c r="C1782" s="51"/>
      <c r="D1782" s="51"/>
      <c r="E1782" s="51"/>
      <c r="F1782" s="51"/>
      <c r="G1782" s="54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4"/>
      <c r="AD1782" s="53"/>
      <c r="AE1782" s="53"/>
      <c r="AF1782" s="53"/>
      <c r="AG1782" s="53"/>
      <c r="AH1782" s="54"/>
      <c r="AI1782" s="53"/>
      <c r="AJ1782" s="53"/>
      <c r="AK1782" s="54"/>
      <c r="AL1782" s="54"/>
    </row>
    <row r="1783" spans="1:38" ht="15.75" thickBot="1" x14ac:dyDescent="0.3">
      <c r="A1783" s="51"/>
      <c r="B1783" s="51"/>
      <c r="C1783" s="51"/>
      <c r="D1783" s="51"/>
      <c r="E1783" s="51"/>
      <c r="F1783" s="51"/>
      <c r="G1783" s="56"/>
      <c r="H1783" s="55"/>
      <c r="I1783" s="55"/>
      <c r="J1783" s="55"/>
      <c r="K1783" s="55"/>
      <c r="L1783" s="55"/>
      <c r="M1783" s="55"/>
      <c r="N1783" s="55"/>
      <c r="O1783" s="55"/>
      <c r="P1783" s="55"/>
      <c r="Q1783" s="55"/>
      <c r="R1783" s="55"/>
      <c r="S1783" s="55"/>
      <c r="T1783" s="55"/>
      <c r="U1783" s="55"/>
      <c r="V1783" s="55"/>
      <c r="W1783" s="55"/>
      <c r="X1783" s="55"/>
      <c r="Y1783" s="55"/>
      <c r="Z1783" s="55"/>
      <c r="AA1783" s="55"/>
      <c r="AB1783" s="55"/>
      <c r="AC1783" s="56"/>
      <c r="AD1783" s="55"/>
      <c r="AE1783" s="55"/>
      <c r="AF1783" s="55"/>
      <c r="AG1783" s="55"/>
      <c r="AH1783" s="56"/>
      <c r="AI1783" s="55"/>
      <c r="AJ1783" s="55"/>
      <c r="AK1783" s="56"/>
      <c r="AL1783" s="56"/>
    </row>
    <row r="1784" spans="1:38" ht="15.75" thickBot="1" x14ac:dyDescent="0.3">
      <c r="A1784" s="51"/>
      <c r="B1784" s="51"/>
      <c r="C1784" s="51"/>
      <c r="D1784" s="51"/>
      <c r="E1784" s="51"/>
      <c r="F1784" s="51"/>
      <c r="G1784" s="54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4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4"/>
      <c r="AI1784" s="53"/>
      <c r="AJ1784" s="53"/>
      <c r="AK1784" s="54"/>
      <c r="AL1784" s="54"/>
    </row>
    <row r="1785" spans="1:38" ht="15.75" thickBot="1" x14ac:dyDescent="0.3">
      <c r="A1785" s="51"/>
      <c r="B1785" s="51"/>
      <c r="C1785" s="51"/>
      <c r="D1785" s="51"/>
      <c r="E1785" s="51"/>
      <c r="F1785" s="51"/>
      <c r="G1785" s="56"/>
      <c r="H1785" s="55"/>
      <c r="I1785" s="55"/>
      <c r="J1785" s="55"/>
      <c r="K1785" s="55"/>
      <c r="L1785" s="55"/>
      <c r="M1785" s="55"/>
      <c r="N1785" s="55"/>
      <c r="O1785" s="55"/>
      <c r="P1785" s="55"/>
      <c r="Q1785" s="55"/>
      <c r="R1785" s="55"/>
      <c r="S1785" s="55"/>
      <c r="T1785" s="55"/>
      <c r="U1785" s="55"/>
      <c r="V1785" s="55"/>
      <c r="W1785" s="56"/>
      <c r="X1785" s="55"/>
      <c r="Y1785" s="55"/>
      <c r="Z1785" s="55"/>
      <c r="AA1785" s="55"/>
      <c r="AB1785" s="55"/>
      <c r="AC1785" s="55"/>
      <c r="AD1785" s="55"/>
      <c r="AE1785" s="55"/>
      <c r="AF1785" s="55"/>
      <c r="AG1785" s="55"/>
      <c r="AH1785" s="56"/>
      <c r="AI1785" s="55"/>
      <c r="AJ1785" s="55"/>
      <c r="AK1785" s="56"/>
      <c r="AL1785" s="56"/>
    </row>
    <row r="1786" spans="1:38" ht="15.75" thickBot="1" x14ac:dyDescent="0.3">
      <c r="A1786" s="51"/>
      <c r="B1786" s="51"/>
      <c r="C1786" s="51"/>
      <c r="D1786" s="51"/>
      <c r="E1786" s="51"/>
      <c r="F1786" s="51"/>
      <c r="G1786" s="54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4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4"/>
      <c r="AI1786" s="53"/>
      <c r="AJ1786" s="53"/>
      <c r="AK1786" s="54"/>
      <c r="AL1786" s="54"/>
    </row>
    <row r="1787" spans="1:38" ht="15.75" thickBot="1" x14ac:dyDescent="0.3">
      <c r="A1787" s="51"/>
      <c r="B1787" s="51"/>
      <c r="C1787" s="51"/>
      <c r="D1787" s="51"/>
      <c r="E1787" s="51"/>
      <c r="F1787" s="51"/>
      <c r="G1787" s="56"/>
      <c r="H1787" s="55"/>
      <c r="I1787" s="55"/>
      <c r="J1787" s="55"/>
      <c r="K1787" s="55"/>
      <c r="L1787" s="55"/>
      <c r="M1787" s="55"/>
      <c r="N1787" s="55"/>
      <c r="O1787" s="55"/>
      <c r="P1787" s="55"/>
      <c r="Q1787" s="55"/>
      <c r="R1787" s="55"/>
      <c r="S1787" s="55"/>
      <c r="T1787" s="55"/>
      <c r="U1787" s="55"/>
      <c r="V1787" s="55"/>
      <c r="W1787" s="55"/>
      <c r="X1787" s="56"/>
      <c r="Y1787" s="55"/>
      <c r="Z1787" s="55"/>
      <c r="AA1787" s="55"/>
      <c r="AB1787" s="55"/>
      <c r="AC1787" s="55"/>
      <c r="AD1787" s="55"/>
      <c r="AE1787" s="55"/>
      <c r="AF1787" s="55"/>
      <c r="AG1787" s="55"/>
      <c r="AH1787" s="56"/>
      <c r="AI1787" s="55"/>
      <c r="AJ1787" s="55"/>
      <c r="AK1787" s="56"/>
      <c r="AL1787" s="56"/>
    </row>
    <row r="1788" spans="1:38" ht="15.75" thickBot="1" x14ac:dyDescent="0.3">
      <c r="A1788" s="51"/>
      <c r="B1788" s="51"/>
      <c r="C1788" s="51"/>
      <c r="D1788" s="51"/>
      <c r="E1788" s="51"/>
      <c r="F1788" s="51"/>
      <c r="G1788" s="54"/>
      <c r="H1788" s="53"/>
      <c r="I1788" s="53"/>
      <c r="J1788" s="53"/>
      <c r="K1788" s="54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4"/>
      <c r="AI1788" s="53"/>
      <c r="AJ1788" s="53"/>
      <c r="AK1788" s="54"/>
      <c r="AL1788" s="54"/>
    </row>
    <row r="1789" spans="1:38" ht="15.75" thickBot="1" x14ac:dyDescent="0.3">
      <c r="A1789" s="51"/>
      <c r="B1789" s="51"/>
      <c r="C1789" s="51"/>
      <c r="D1789" s="51"/>
      <c r="E1789" s="51"/>
      <c r="F1789" s="51"/>
      <c r="G1789" s="56"/>
      <c r="H1789" s="55"/>
      <c r="I1789" s="55"/>
      <c r="J1789" s="55"/>
      <c r="K1789" s="56"/>
      <c r="L1789" s="55"/>
      <c r="M1789" s="55"/>
      <c r="N1789" s="55"/>
      <c r="O1789" s="55"/>
      <c r="P1789" s="55"/>
      <c r="Q1789" s="55"/>
      <c r="R1789" s="55"/>
      <c r="S1789" s="55"/>
      <c r="T1789" s="55"/>
      <c r="U1789" s="55"/>
      <c r="V1789" s="55"/>
      <c r="W1789" s="55"/>
      <c r="X1789" s="55"/>
      <c r="Y1789" s="55"/>
      <c r="Z1789" s="55"/>
      <c r="AA1789" s="55"/>
      <c r="AB1789" s="55"/>
      <c r="AC1789" s="55"/>
      <c r="AD1789" s="55"/>
      <c r="AE1789" s="55"/>
      <c r="AF1789" s="55"/>
      <c r="AG1789" s="55"/>
      <c r="AH1789" s="56"/>
      <c r="AI1789" s="55"/>
      <c r="AJ1789" s="55"/>
      <c r="AK1789" s="56"/>
      <c r="AL1789" s="56"/>
    </row>
    <row r="1790" spans="1:38" ht="15.75" thickBot="1" x14ac:dyDescent="0.3">
      <c r="A1790" s="51"/>
      <c r="B1790" s="51"/>
      <c r="C1790" s="51"/>
      <c r="D1790" s="51"/>
      <c r="E1790" s="51"/>
      <c r="F1790" s="51"/>
      <c r="G1790" s="54"/>
      <c r="H1790" s="54"/>
      <c r="I1790" s="53"/>
      <c r="J1790" s="53"/>
      <c r="K1790" s="53"/>
      <c r="L1790" s="53"/>
      <c r="M1790" s="54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4"/>
      <c r="AI1790" s="53"/>
      <c r="AJ1790" s="53"/>
      <c r="AK1790" s="54"/>
      <c r="AL1790" s="54"/>
    </row>
    <row r="1791" spans="1:38" ht="15.75" thickBot="1" x14ac:dyDescent="0.3">
      <c r="A1791" s="51"/>
      <c r="B1791" s="51"/>
      <c r="C1791" s="51"/>
      <c r="D1791" s="51"/>
      <c r="E1791" s="51"/>
      <c r="F1791" s="51"/>
      <c r="G1791" s="56"/>
      <c r="H1791" s="148"/>
      <c r="I1791" s="55"/>
      <c r="J1791" s="55"/>
      <c r="K1791" s="55"/>
      <c r="L1791" s="55"/>
      <c r="M1791" s="56"/>
      <c r="N1791" s="55"/>
      <c r="O1791" s="55"/>
      <c r="P1791" s="55"/>
      <c r="Q1791" s="55"/>
      <c r="R1791" s="55"/>
      <c r="S1791" s="55"/>
      <c r="T1791" s="55"/>
      <c r="U1791" s="55"/>
      <c r="V1791" s="55"/>
      <c r="W1791" s="55"/>
      <c r="X1791" s="55"/>
      <c r="Y1791" s="55"/>
      <c r="Z1791" s="55"/>
      <c r="AA1791" s="55"/>
      <c r="AB1791" s="55"/>
      <c r="AC1791" s="55"/>
      <c r="AD1791" s="55"/>
      <c r="AE1791" s="55"/>
      <c r="AF1791" s="55"/>
      <c r="AG1791" s="55"/>
      <c r="AH1791" s="56"/>
      <c r="AI1791" s="55"/>
      <c r="AJ1791" s="55"/>
      <c r="AK1791" s="56"/>
      <c r="AL1791" s="56"/>
    </row>
    <row r="1792" spans="1:38" ht="15.75" thickBot="1" x14ac:dyDescent="0.3">
      <c r="A1792" s="51"/>
      <c r="B1792" s="51"/>
      <c r="C1792" s="51"/>
      <c r="D1792" s="51"/>
      <c r="E1792" s="51"/>
      <c r="F1792" s="51"/>
      <c r="G1792" s="54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4"/>
      <c r="AA1792" s="53"/>
      <c r="AB1792" s="53"/>
      <c r="AC1792" s="53"/>
      <c r="AD1792" s="53"/>
      <c r="AE1792" s="53"/>
      <c r="AF1792" s="53"/>
      <c r="AG1792" s="53"/>
      <c r="AH1792" s="54"/>
      <c r="AI1792" s="53"/>
      <c r="AJ1792" s="53"/>
      <c r="AK1792" s="54"/>
      <c r="AL1792" s="54"/>
    </row>
    <row r="1793" spans="1:38" ht="15.75" thickBot="1" x14ac:dyDescent="0.3">
      <c r="A1793" s="51"/>
      <c r="B1793" s="51"/>
      <c r="C1793" s="51"/>
      <c r="D1793" s="51"/>
      <c r="E1793" s="51"/>
      <c r="F1793" s="51"/>
      <c r="G1793" s="56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/>
      <c r="S1793" s="55"/>
      <c r="T1793" s="55"/>
      <c r="U1793" s="55"/>
      <c r="V1793" s="55"/>
      <c r="W1793" s="55"/>
      <c r="X1793" s="55"/>
      <c r="Y1793" s="55"/>
      <c r="Z1793" s="56"/>
      <c r="AA1793" s="55"/>
      <c r="AB1793" s="55"/>
      <c r="AC1793" s="55"/>
      <c r="AD1793" s="55"/>
      <c r="AE1793" s="55"/>
      <c r="AF1793" s="55"/>
      <c r="AG1793" s="55"/>
      <c r="AH1793" s="56"/>
      <c r="AI1793" s="55"/>
      <c r="AJ1793" s="55"/>
      <c r="AK1793" s="56"/>
      <c r="AL1793" s="56"/>
    </row>
    <row r="1794" spans="1:38" ht="15.75" thickBot="1" x14ac:dyDescent="0.3">
      <c r="A1794" s="51"/>
      <c r="B1794" s="51"/>
      <c r="C1794" s="51"/>
      <c r="D1794" s="51"/>
      <c r="E1794" s="51"/>
      <c r="F1794" s="51"/>
      <c r="G1794" s="54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4"/>
      <c r="AB1794" s="53"/>
      <c r="AC1794" s="53"/>
      <c r="AD1794" s="53"/>
      <c r="AE1794" s="53"/>
      <c r="AF1794" s="53"/>
      <c r="AG1794" s="53"/>
      <c r="AH1794" s="54"/>
      <c r="AI1794" s="53"/>
      <c r="AJ1794" s="53"/>
      <c r="AK1794" s="54"/>
      <c r="AL1794" s="54"/>
    </row>
    <row r="1795" spans="1:38" ht="15.75" thickBot="1" x14ac:dyDescent="0.3">
      <c r="A1795" s="51"/>
      <c r="B1795" s="51"/>
      <c r="C1795" s="51"/>
      <c r="D1795" s="51"/>
      <c r="E1795" s="51"/>
      <c r="F1795" s="51"/>
      <c r="G1795" s="56"/>
      <c r="H1795" s="55"/>
      <c r="I1795" s="55"/>
      <c r="J1795" s="55"/>
      <c r="K1795" s="55"/>
      <c r="L1795" s="55"/>
      <c r="M1795" s="55"/>
      <c r="N1795" s="55"/>
      <c r="O1795" s="55"/>
      <c r="P1795" s="55"/>
      <c r="Q1795" s="55"/>
      <c r="R1795" s="55"/>
      <c r="S1795" s="55"/>
      <c r="T1795" s="55"/>
      <c r="U1795" s="55"/>
      <c r="V1795" s="55"/>
      <c r="W1795" s="55"/>
      <c r="X1795" s="55"/>
      <c r="Y1795" s="55"/>
      <c r="Z1795" s="55"/>
      <c r="AA1795" s="56"/>
      <c r="AB1795" s="55"/>
      <c r="AC1795" s="55"/>
      <c r="AD1795" s="55"/>
      <c r="AE1795" s="55"/>
      <c r="AF1795" s="55"/>
      <c r="AG1795" s="55"/>
      <c r="AH1795" s="56"/>
      <c r="AI1795" s="55"/>
      <c r="AJ1795" s="55"/>
      <c r="AK1795" s="56"/>
      <c r="AL1795" s="56"/>
    </row>
    <row r="1796" spans="1:38" ht="15.75" thickBot="1" x14ac:dyDescent="0.3">
      <c r="A1796" s="51"/>
      <c r="B1796" s="51"/>
      <c r="C1796" s="51"/>
      <c r="D1796" s="51"/>
      <c r="E1796" s="51"/>
      <c r="F1796" s="51"/>
      <c r="G1796" s="54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4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4"/>
      <c r="AI1796" s="53"/>
      <c r="AJ1796" s="53"/>
      <c r="AK1796" s="54"/>
      <c r="AL1796" s="54"/>
    </row>
    <row r="1797" spans="1:38" ht="15.75" thickBot="1" x14ac:dyDescent="0.3">
      <c r="A1797" s="51"/>
      <c r="B1797" s="51"/>
      <c r="C1797" s="51"/>
      <c r="D1797" s="51"/>
      <c r="E1797" s="51"/>
      <c r="F1797" s="51"/>
      <c r="G1797" s="56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6"/>
      <c r="S1797" s="55"/>
      <c r="T1797" s="55"/>
      <c r="U1797" s="55"/>
      <c r="V1797" s="55"/>
      <c r="W1797" s="55"/>
      <c r="X1797" s="55"/>
      <c r="Y1797" s="55"/>
      <c r="Z1797" s="55"/>
      <c r="AA1797" s="55"/>
      <c r="AB1797" s="55"/>
      <c r="AC1797" s="55"/>
      <c r="AD1797" s="55"/>
      <c r="AE1797" s="55"/>
      <c r="AF1797" s="55"/>
      <c r="AG1797" s="55"/>
      <c r="AH1797" s="56"/>
      <c r="AI1797" s="55"/>
      <c r="AJ1797" s="55"/>
      <c r="AK1797" s="56"/>
      <c r="AL1797" s="56"/>
    </row>
    <row r="1798" spans="1:38" ht="15.75" thickBot="1" x14ac:dyDescent="0.3">
      <c r="A1798" s="51"/>
      <c r="B1798" s="51"/>
      <c r="C1798" s="51"/>
      <c r="D1798" s="51"/>
      <c r="E1798" s="51"/>
      <c r="F1798" s="51"/>
      <c r="G1798" s="54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4"/>
      <c r="AD1798" s="53"/>
      <c r="AE1798" s="53"/>
      <c r="AF1798" s="53"/>
      <c r="AG1798" s="53"/>
      <c r="AH1798" s="54"/>
      <c r="AI1798" s="53"/>
      <c r="AJ1798" s="53"/>
      <c r="AK1798" s="54"/>
      <c r="AL1798" s="54"/>
    </row>
    <row r="1799" spans="1:38" ht="15.75" thickBot="1" x14ac:dyDescent="0.3">
      <c r="A1799" s="51"/>
      <c r="B1799" s="51"/>
      <c r="C1799" s="51"/>
      <c r="D1799" s="51"/>
      <c r="E1799" s="51"/>
      <c r="F1799" s="51"/>
      <c r="G1799" s="56"/>
      <c r="H1799" s="55"/>
      <c r="I1799" s="55"/>
      <c r="J1799" s="55"/>
      <c r="K1799" s="55"/>
      <c r="L1799" s="55"/>
      <c r="M1799" s="55"/>
      <c r="N1799" s="55"/>
      <c r="O1799" s="55"/>
      <c r="P1799" s="55"/>
      <c r="Q1799" s="55"/>
      <c r="R1799" s="55"/>
      <c r="S1799" s="55"/>
      <c r="T1799" s="55"/>
      <c r="U1799" s="55"/>
      <c r="V1799" s="55"/>
      <c r="W1799" s="55"/>
      <c r="X1799" s="55"/>
      <c r="Y1799" s="55"/>
      <c r="Z1799" s="55"/>
      <c r="AA1799" s="55"/>
      <c r="AB1799" s="55"/>
      <c r="AC1799" s="56"/>
      <c r="AD1799" s="55"/>
      <c r="AE1799" s="55"/>
      <c r="AF1799" s="55"/>
      <c r="AG1799" s="55"/>
      <c r="AH1799" s="56"/>
      <c r="AI1799" s="55"/>
      <c r="AJ1799" s="55"/>
      <c r="AK1799" s="56"/>
      <c r="AL1799" s="56"/>
    </row>
    <row r="1800" spans="1:38" ht="15.75" thickBot="1" x14ac:dyDescent="0.3">
      <c r="A1800" s="51"/>
      <c r="B1800" s="51"/>
      <c r="C1800" s="51"/>
      <c r="D1800" s="51"/>
      <c r="E1800" s="51"/>
      <c r="F1800" s="51"/>
      <c r="G1800" s="54"/>
      <c r="H1800" s="53"/>
      <c r="I1800" s="53"/>
      <c r="J1800" s="53"/>
      <c r="K1800" s="54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4"/>
      <c r="AI1800" s="53"/>
      <c r="AJ1800" s="53"/>
      <c r="AK1800" s="54"/>
      <c r="AL1800" s="54"/>
    </row>
    <row r="1801" spans="1:38" ht="15.75" thickBot="1" x14ac:dyDescent="0.3">
      <c r="A1801" s="51"/>
      <c r="B1801" s="51"/>
      <c r="C1801" s="51"/>
      <c r="D1801" s="51"/>
      <c r="E1801" s="51"/>
      <c r="F1801" s="51"/>
      <c r="G1801" s="56"/>
      <c r="H1801" s="55"/>
      <c r="I1801" s="55"/>
      <c r="J1801" s="55"/>
      <c r="K1801" s="56"/>
      <c r="L1801" s="55"/>
      <c r="M1801" s="55"/>
      <c r="N1801" s="55"/>
      <c r="O1801" s="55"/>
      <c r="P1801" s="55"/>
      <c r="Q1801" s="55"/>
      <c r="R1801" s="55"/>
      <c r="S1801" s="55"/>
      <c r="T1801" s="55"/>
      <c r="U1801" s="55"/>
      <c r="V1801" s="55"/>
      <c r="W1801" s="55"/>
      <c r="X1801" s="55"/>
      <c r="Y1801" s="55"/>
      <c r="Z1801" s="55"/>
      <c r="AA1801" s="55"/>
      <c r="AB1801" s="55"/>
      <c r="AC1801" s="55"/>
      <c r="AD1801" s="55"/>
      <c r="AE1801" s="55"/>
      <c r="AF1801" s="55"/>
      <c r="AG1801" s="55"/>
      <c r="AH1801" s="56"/>
      <c r="AI1801" s="55"/>
      <c r="AJ1801" s="55"/>
      <c r="AK1801" s="56"/>
      <c r="AL1801" s="56"/>
    </row>
    <row r="1802" spans="1:38" ht="15.75" thickBot="1" x14ac:dyDescent="0.3">
      <c r="A1802" s="51"/>
      <c r="B1802" s="51"/>
      <c r="C1802" s="51"/>
      <c r="D1802" s="51"/>
      <c r="E1802" s="51"/>
      <c r="F1802" s="51"/>
      <c r="G1802" s="54"/>
      <c r="H1802" s="54"/>
      <c r="I1802" s="53"/>
      <c r="J1802" s="53"/>
      <c r="K1802" s="53"/>
      <c r="L1802" s="53"/>
      <c r="M1802" s="54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4"/>
      <c r="AI1802" s="53"/>
      <c r="AJ1802" s="53"/>
      <c r="AK1802" s="54"/>
      <c r="AL1802" s="54"/>
    </row>
    <row r="1803" spans="1:38" ht="15.75" thickBot="1" x14ac:dyDescent="0.3">
      <c r="A1803" s="51"/>
      <c r="B1803" s="51"/>
      <c r="C1803" s="51"/>
      <c r="D1803" s="51"/>
      <c r="E1803" s="51"/>
      <c r="F1803" s="51"/>
      <c r="G1803" s="56"/>
      <c r="H1803" s="148"/>
      <c r="I1803" s="55"/>
      <c r="J1803" s="55"/>
      <c r="K1803" s="55"/>
      <c r="L1803" s="55"/>
      <c r="M1803" s="56"/>
      <c r="N1803" s="55"/>
      <c r="O1803" s="55"/>
      <c r="P1803" s="55"/>
      <c r="Q1803" s="55"/>
      <c r="R1803" s="55"/>
      <c r="S1803" s="55"/>
      <c r="T1803" s="55"/>
      <c r="U1803" s="55"/>
      <c r="V1803" s="55"/>
      <c r="W1803" s="55"/>
      <c r="X1803" s="55"/>
      <c r="Y1803" s="55"/>
      <c r="Z1803" s="55"/>
      <c r="AA1803" s="55"/>
      <c r="AB1803" s="55"/>
      <c r="AC1803" s="55"/>
      <c r="AD1803" s="55"/>
      <c r="AE1803" s="55"/>
      <c r="AF1803" s="55"/>
      <c r="AG1803" s="55"/>
      <c r="AH1803" s="56"/>
      <c r="AI1803" s="55"/>
      <c r="AJ1803" s="55"/>
      <c r="AK1803" s="56"/>
      <c r="AL1803" s="56"/>
    </row>
    <row r="1804" spans="1:38" ht="15.75" thickBot="1" x14ac:dyDescent="0.3">
      <c r="A1804" s="51"/>
      <c r="B1804" s="51"/>
      <c r="C1804" s="51"/>
      <c r="D1804" s="51"/>
      <c r="E1804" s="51"/>
      <c r="F1804" s="51"/>
      <c r="G1804" s="54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4"/>
      <c r="AA1804" s="53"/>
      <c r="AB1804" s="53"/>
      <c r="AC1804" s="53"/>
      <c r="AD1804" s="53"/>
      <c r="AE1804" s="53"/>
      <c r="AF1804" s="53"/>
      <c r="AG1804" s="53"/>
      <c r="AH1804" s="54"/>
      <c r="AI1804" s="53"/>
      <c r="AJ1804" s="53"/>
      <c r="AK1804" s="54"/>
      <c r="AL1804" s="54"/>
    </row>
    <row r="1805" spans="1:38" ht="15.75" thickBot="1" x14ac:dyDescent="0.3">
      <c r="A1805" s="51"/>
      <c r="B1805" s="51"/>
      <c r="C1805" s="51"/>
      <c r="D1805" s="51"/>
      <c r="E1805" s="51"/>
      <c r="F1805" s="51"/>
      <c r="G1805" s="56"/>
      <c r="H1805" s="55"/>
      <c r="I1805" s="55"/>
      <c r="J1805" s="55"/>
      <c r="K1805" s="55"/>
      <c r="L1805" s="55"/>
      <c r="M1805" s="55"/>
      <c r="N1805" s="55"/>
      <c r="O1805" s="55"/>
      <c r="P1805" s="55"/>
      <c r="Q1805" s="55"/>
      <c r="R1805" s="55"/>
      <c r="S1805" s="55"/>
      <c r="T1805" s="55"/>
      <c r="U1805" s="55"/>
      <c r="V1805" s="55"/>
      <c r="W1805" s="55"/>
      <c r="X1805" s="55"/>
      <c r="Y1805" s="55"/>
      <c r="Z1805" s="56"/>
      <c r="AA1805" s="55"/>
      <c r="AB1805" s="55"/>
      <c r="AC1805" s="55"/>
      <c r="AD1805" s="55"/>
      <c r="AE1805" s="55"/>
      <c r="AF1805" s="55"/>
      <c r="AG1805" s="55"/>
      <c r="AH1805" s="56"/>
      <c r="AI1805" s="55"/>
      <c r="AJ1805" s="55"/>
      <c r="AK1805" s="56"/>
      <c r="AL1805" s="56"/>
    </row>
    <row r="1806" spans="1:38" ht="15.75" thickBot="1" x14ac:dyDescent="0.3">
      <c r="A1806" s="51"/>
      <c r="B1806" s="51"/>
      <c r="C1806" s="51"/>
      <c r="D1806" s="51"/>
      <c r="E1806" s="51"/>
      <c r="F1806" s="51"/>
      <c r="G1806" s="54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4"/>
      <c r="AB1806" s="53"/>
      <c r="AC1806" s="53"/>
      <c r="AD1806" s="53"/>
      <c r="AE1806" s="53"/>
      <c r="AF1806" s="53"/>
      <c r="AG1806" s="53"/>
      <c r="AH1806" s="54"/>
      <c r="AI1806" s="53"/>
      <c r="AJ1806" s="53"/>
      <c r="AK1806" s="54"/>
      <c r="AL1806" s="54"/>
    </row>
    <row r="1807" spans="1:38" ht="15.75" thickBot="1" x14ac:dyDescent="0.3">
      <c r="A1807" s="51"/>
      <c r="B1807" s="51"/>
      <c r="C1807" s="51"/>
      <c r="D1807" s="51"/>
      <c r="E1807" s="51"/>
      <c r="F1807" s="51"/>
      <c r="G1807" s="56"/>
      <c r="H1807" s="55"/>
      <c r="I1807" s="55"/>
      <c r="J1807" s="55"/>
      <c r="K1807" s="55"/>
      <c r="L1807" s="55"/>
      <c r="M1807" s="55"/>
      <c r="N1807" s="55"/>
      <c r="O1807" s="55"/>
      <c r="P1807" s="55"/>
      <c r="Q1807" s="55"/>
      <c r="R1807" s="55"/>
      <c r="S1807" s="55"/>
      <c r="T1807" s="55"/>
      <c r="U1807" s="55"/>
      <c r="V1807" s="55"/>
      <c r="W1807" s="55"/>
      <c r="X1807" s="55"/>
      <c r="Y1807" s="55"/>
      <c r="Z1807" s="55"/>
      <c r="AA1807" s="56"/>
      <c r="AB1807" s="55"/>
      <c r="AC1807" s="55"/>
      <c r="AD1807" s="55"/>
      <c r="AE1807" s="55"/>
      <c r="AF1807" s="55"/>
      <c r="AG1807" s="55"/>
      <c r="AH1807" s="56"/>
      <c r="AI1807" s="55"/>
      <c r="AJ1807" s="55"/>
      <c r="AK1807" s="56"/>
      <c r="AL1807" s="56"/>
    </row>
    <row r="1808" spans="1:38" ht="15.75" thickBot="1" x14ac:dyDescent="0.3">
      <c r="A1808" s="51"/>
      <c r="B1808" s="51"/>
      <c r="C1808" s="51"/>
      <c r="D1808" s="51"/>
      <c r="E1808" s="51"/>
      <c r="F1808" s="51"/>
      <c r="G1808" s="54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4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4"/>
      <c r="AI1808" s="53"/>
      <c r="AJ1808" s="53"/>
      <c r="AK1808" s="54"/>
      <c r="AL1808" s="54"/>
    </row>
    <row r="1809" spans="1:38" ht="15.75" thickBot="1" x14ac:dyDescent="0.3">
      <c r="A1809" s="51"/>
      <c r="B1809" s="51"/>
      <c r="C1809" s="51"/>
      <c r="D1809" s="51"/>
      <c r="E1809" s="51"/>
      <c r="F1809" s="51"/>
      <c r="G1809" s="56"/>
      <c r="H1809" s="55"/>
      <c r="I1809" s="55"/>
      <c r="J1809" s="55"/>
      <c r="K1809" s="55"/>
      <c r="L1809" s="55"/>
      <c r="M1809" s="55"/>
      <c r="N1809" s="55"/>
      <c r="O1809" s="55"/>
      <c r="P1809" s="55"/>
      <c r="Q1809" s="55"/>
      <c r="R1809" s="56"/>
      <c r="S1809" s="55"/>
      <c r="T1809" s="55"/>
      <c r="U1809" s="55"/>
      <c r="V1809" s="55"/>
      <c r="W1809" s="55"/>
      <c r="X1809" s="55"/>
      <c r="Y1809" s="55"/>
      <c r="Z1809" s="55"/>
      <c r="AA1809" s="55"/>
      <c r="AB1809" s="55"/>
      <c r="AC1809" s="55"/>
      <c r="AD1809" s="55"/>
      <c r="AE1809" s="55"/>
      <c r="AF1809" s="55"/>
      <c r="AG1809" s="55"/>
      <c r="AH1809" s="56"/>
      <c r="AI1809" s="55"/>
      <c r="AJ1809" s="55"/>
      <c r="AK1809" s="56"/>
      <c r="AL1809" s="56"/>
    </row>
    <row r="1810" spans="1:38" ht="15.75" thickBot="1" x14ac:dyDescent="0.3">
      <c r="A1810" s="51"/>
      <c r="B1810" s="51"/>
      <c r="C1810" s="51"/>
      <c r="D1810" s="51"/>
      <c r="E1810" s="51"/>
      <c r="F1810" s="51"/>
      <c r="G1810" s="54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4"/>
      <c r="AD1810" s="53"/>
      <c r="AE1810" s="53"/>
      <c r="AF1810" s="53"/>
      <c r="AG1810" s="53"/>
      <c r="AH1810" s="54"/>
      <c r="AI1810" s="53"/>
      <c r="AJ1810" s="53"/>
      <c r="AK1810" s="54"/>
      <c r="AL1810" s="54"/>
    </row>
    <row r="1811" spans="1:38" ht="15.75" thickBot="1" x14ac:dyDescent="0.3">
      <c r="A1811" s="51"/>
      <c r="B1811" s="51"/>
      <c r="C1811" s="51"/>
      <c r="D1811" s="51"/>
      <c r="E1811" s="51"/>
      <c r="F1811" s="51"/>
      <c r="G1811" s="56"/>
      <c r="H1811" s="55"/>
      <c r="I1811" s="55"/>
      <c r="J1811" s="55"/>
      <c r="K1811" s="55"/>
      <c r="L1811" s="55"/>
      <c r="M1811" s="55"/>
      <c r="N1811" s="55"/>
      <c r="O1811" s="55"/>
      <c r="P1811" s="55"/>
      <c r="Q1811" s="55"/>
      <c r="R1811" s="55"/>
      <c r="S1811" s="55"/>
      <c r="T1811" s="55"/>
      <c r="U1811" s="55"/>
      <c r="V1811" s="55"/>
      <c r="W1811" s="55"/>
      <c r="X1811" s="55"/>
      <c r="Y1811" s="55"/>
      <c r="Z1811" s="55"/>
      <c r="AA1811" s="55"/>
      <c r="AB1811" s="55"/>
      <c r="AC1811" s="56"/>
      <c r="AD1811" s="55"/>
      <c r="AE1811" s="55"/>
      <c r="AF1811" s="55"/>
      <c r="AG1811" s="55"/>
      <c r="AH1811" s="56"/>
      <c r="AI1811" s="55"/>
      <c r="AJ1811" s="55"/>
      <c r="AK1811" s="56"/>
      <c r="AL1811" s="56"/>
    </row>
    <row r="1812" spans="1:38" ht="15.75" thickBot="1" x14ac:dyDescent="0.3">
      <c r="A1812" s="51"/>
      <c r="B1812" s="51"/>
      <c r="C1812" s="51"/>
      <c r="D1812" s="51"/>
      <c r="E1812" s="51"/>
      <c r="F1812" s="51"/>
      <c r="G1812" s="54"/>
      <c r="H1812" s="53"/>
      <c r="I1812" s="53"/>
      <c r="J1812" s="53"/>
      <c r="K1812" s="54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4"/>
      <c r="AI1812" s="53"/>
      <c r="AJ1812" s="53"/>
      <c r="AK1812" s="54"/>
      <c r="AL1812" s="54"/>
    </row>
    <row r="1813" spans="1:38" ht="15.75" thickBot="1" x14ac:dyDescent="0.3">
      <c r="A1813" s="51"/>
      <c r="B1813" s="51"/>
      <c r="C1813" s="51"/>
      <c r="D1813" s="51"/>
      <c r="E1813" s="51"/>
      <c r="F1813" s="51"/>
      <c r="G1813" s="56"/>
      <c r="H1813" s="55"/>
      <c r="I1813" s="55"/>
      <c r="J1813" s="55"/>
      <c r="K1813" s="56"/>
      <c r="L1813" s="55"/>
      <c r="M1813" s="55"/>
      <c r="N1813" s="55"/>
      <c r="O1813" s="55"/>
      <c r="P1813" s="55"/>
      <c r="Q1813" s="55"/>
      <c r="R1813" s="55"/>
      <c r="S1813" s="55"/>
      <c r="T1813" s="55"/>
      <c r="U1813" s="55"/>
      <c r="V1813" s="55"/>
      <c r="W1813" s="55"/>
      <c r="X1813" s="55"/>
      <c r="Y1813" s="55"/>
      <c r="Z1813" s="55"/>
      <c r="AA1813" s="55"/>
      <c r="AB1813" s="55"/>
      <c r="AC1813" s="55"/>
      <c r="AD1813" s="55"/>
      <c r="AE1813" s="55"/>
      <c r="AF1813" s="55"/>
      <c r="AG1813" s="55"/>
      <c r="AH1813" s="56"/>
      <c r="AI1813" s="55"/>
      <c r="AJ1813" s="55"/>
      <c r="AK1813" s="56"/>
      <c r="AL1813" s="56"/>
    </row>
    <row r="1814" spans="1:38" ht="15.75" thickBot="1" x14ac:dyDescent="0.3">
      <c r="A1814" s="51"/>
      <c r="B1814" s="51"/>
      <c r="C1814" s="51"/>
      <c r="D1814" s="51"/>
      <c r="E1814" s="51"/>
      <c r="F1814" s="51"/>
      <c r="G1814" s="54"/>
      <c r="H1814" s="54"/>
      <c r="I1814" s="53"/>
      <c r="J1814" s="53"/>
      <c r="K1814" s="53"/>
      <c r="L1814" s="53"/>
      <c r="M1814" s="54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4"/>
      <c r="AI1814" s="53"/>
      <c r="AJ1814" s="53"/>
      <c r="AK1814" s="54"/>
      <c r="AL1814" s="54"/>
    </row>
    <row r="1815" spans="1:38" ht="15.75" thickBot="1" x14ac:dyDescent="0.3">
      <c r="A1815" s="51"/>
      <c r="B1815" s="51"/>
      <c r="C1815" s="51"/>
      <c r="D1815" s="51"/>
      <c r="E1815" s="51"/>
      <c r="F1815" s="51"/>
      <c r="G1815" s="56"/>
      <c r="H1815" s="148"/>
      <c r="I1815" s="55"/>
      <c r="J1815" s="55"/>
      <c r="K1815" s="55"/>
      <c r="L1815" s="55"/>
      <c r="M1815" s="56"/>
      <c r="N1815" s="55"/>
      <c r="O1815" s="55"/>
      <c r="P1815" s="55"/>
      <c r="Q1815" s="55"/>
      <c r="R1815" s="55"/>
      <c r="S1815" s="55"/>
      <c r="T1815" s="55"/>
      <c r="U1815" s="55"/>
      <c r="V1815" s="55"/>
      <c r="W1815" s="55"/>
      <c r="X1815" s="55"/>
      <c r="Y1815" s="55"/>
      <c r="Z1815" s="55"/>
      <c r="AA1815" s="55"/>
      <c r="AB1815" s="55"/>
      <c r="AC1815" s="55"/>
      <c r="AD1815" s="55"/>
      <c r="AE1815" s="55"/>
      <c r="AF1815" s="55"/>
      <c r="AG1815" s="55"/>
      <c r="AH1815" s="56"/>
      <c r="AI1815" s="55"/>
      <c r="AJ1815" s="55"/>
      <c r="AK1815" s="56"/>
      <c r="AL1815" s="56"/>
    </row>
    <row r="1816" spans="1:38" ht="15.75" thickBot="1" x14ac:dyDescent="0.3">
      <c r="A1816" s="51"/>
      <c r="B1816" s="51"/>
      <c r="C1816" s="51"/>
      <c r="D1816" s="51"/>
      <c r="E1816" s="51"/>
      <c r="F1816" s="51"/>
      <c r="G1816" s="54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4"/>
      <c r="AA1816" s="53"/>
      <c r="AB1816" s="53"/>
      <c r="AC1816" s="53"/>
      <c r="AD1816" s="53"/>
      <c r="AE1816" s="53"/>
      <c r="AF1816" s="53"/>
      <c r="AG1816" s="53"/>
      <c r="AH1816" s="54"/>
      <c r="AI1816" s="53"/>
      <c r="AJ1816" s="53"/>
      <c r="AK1816" s="54"/>
      <c r="AL1816" s="54"/>
    </row>
    <row r="1817" spans="1:38" ht="15.75" thickBot="1" x14ac:dyDescent="0.3">
      <c r="A1817" s="51"/>
      <c r="B1817" s="51"/>
      <c r="C1817" s="51"/>
      <c r="D1817" s="51"/>
      <c r="E1817" s="51"/>
      <c r="F1817" s="51"/>
      <c r="G1817" s="56"/>
      <c r="H1817" s="55"/>
      <c r="I1817" s="55"/>
      <c r="J1817" s="55"/>
      <c r="K1817" s="55"/>
      <c r="L1817" s="55"/>
      <c r="M1817" s="55"/>
      <c r="N1817" s="55"/>
      <c r="O1817" s="55"/>
      <c r="P1817" s="55"/>
      <c r="Q1817" s="55"/>
      <c r="R1817" s="55"/>
      <c r="S1817" s="55"/>
      <c r="T1817" s="55"/>
      <c r="U1817" s="55"/>
      <c r="V1817" s="55"/>
      <c r="W1817" s="55"/>
      <c r="X1817" s="55"/>
      <c r="Y1817" s="55"/>
      <c r="Z1817" s="56"/>
      <c r="AA1817" s="55"/>
      <c r="AB1817" s="55"/>
      <c r="AC1817" s="55"/>
      <c r="AD1817" s="55"/>
      <c r="AE1817" s="55"/>
      <c r="AF1817" s="55"/>
      <c r="AG1817" s="55"/>
      <c r="AH1817" s="56"/>
      <c r="AI1817" s="55"/>
      <c r="AJ1817" s="55"/>
      <c r="AK1817" s="56"/>
      <c r="AL1817" s="56"/>
    </row>
    <row r="1818" spans="1:38" ht="15.75" thickBot="1" x14ac:dyDescent="0.3">
      <c r="A1818" s="51"/>
      <c r="B1818" s="51"/>
      <c r="C1818" s="51"/>
      <c r="D1818" s="51"/>
      <c r="E1818" s="51"/>
      <c r="F1818" s="51"/>
      <c r="G1818" s="54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4"/>
      <c r="AB1818" s="53"/>
      <c r="AC1818" s="53"/>
      <c r="AD1818" s="53"/>
      <c r="AE1818" s="53"/>
      <c r="AF1818" s="53"/>
      <c r="AG1818" s="53"/>
      <c r="AH1818" s="54"/>
      <c r="AI1818" s="53"/>
      <c r="AJ1818" s="53"/>
      <c r="AK1818" s="54"/>
      <c r="AL1818" s="54"/>
    </row>
    <row r="1819" spans="1:38" ht="15.75" thickBot="1" x14ac:dyDescent="0.3">
      <c r="A1819" s="51"/>
      <c r="B1819" s="51"/>
      <c r="C1819" s="51"/>
      <c r="D1819" s="51"/>
      <c r="E1819" s="51"/>
      <c r="F1819" s="51"/>
      <c r="G1819" s="56"/>
      <c r="H1819" s="55"/>
      <c r="I1819" s="55"/>
      <c r="J1819" s="55"/>
      <c r="K1819" s="55"/>
      <c r="L1819" s="55"/>
      <c r="M1819" s="55"/>
      <c r="N1819" s="55"/>
      <c r="O1819" s="55"/>
      <c r="P1819" s="55"/>
      <c r="Q1819" s="55"/>
      <c r="R1819" s="55"/>
      <c r="S1819" s="55"/>
      <c r="T1819" s="55"/>
      <c r="U1819" s="55"/>
      <c r="V1819" s="55"/>
      <c r="W1819" s="55"/>
      <c r="X1819" s="55"/>
      <c r="Y1819" s="55"/>
      <c r="Z1819" s="55"/>
      <c r="AA1819" s="56"/>
      <c r="AB1819" s="55"/>
      <c r="AC1819" s="55"/>
      <c r="AD1819" s="55"/>
      <c r="AE1819" s="55"/>
      <c r="AF1819" s="55"/>
      <c r="AG1819" s="55"/>
      <c r="AH1819" s="56"/>
      <c r="AI1819" s="55"/>
      <c r="AJ1819" s="55"/>
      <c r="AK1819" s="56"/>
      <c r="AL1819" s="56"/>
    </row>
    <row r="1820" spans="1:38" ht="15.75" thickBot="1" x14ac:dyDescent="0.3">
      <c r="A1820" s="51"/>
      <c r="B1820" s="51"/>
      <c r="C1820" s="51"/>
      <c r="D1820" s="51"/>
      <c r="E1820" s="51"/>
      <c r="F1820" s="51"/>
      <c r="G1820" s="54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4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4"/>
      <c r="AI1820" s="53"/>
      <c r="AJ1820" s="53"/>
      <c r="AK1820" s="54"/>
      <c r="AL1820" s="54"/>
    </row>
    <row r="1821" spans="1:38" ht="15.75" thickBot="1" x14ac:dyDescent="0.3">
      <c r="A1821" s="51"/>
      <c r="B1821" s="51"/>
      <c r="C1821" s="51"/>
      <c r="D1821" s="51"/>
      <c r="E1821" s="51"/>
      <c r="F1821" s="51"/>
      <c r="G1821" s="56"/>
      <c r="H1821" s="55"/>
      <c r="I1821" s="55"/>
      <c r="J1821" s="55"/>
      <c r="K1821" s="55"/>
      <c r="L1821" s="55"/>
      <c r="M1821" s="55"/>
      <c r="N1821" s="55"/>
      <c r="O1821" s="55"/>
      <c r="P1821" s="55"/>
      <c r="Q1821" s="55"/>
      <c r="R1821" s="56"/>
      <c r="S1821" s="55"/>
      <c r="T1821" s="55"/>
      <c r="U1821" s="55"/>
      <c r="V1821" s="55"/>
      <c r="W1821" s="55"/>
      <c r="X1821" s="55"/>
      <c r="Y1821" s="55"/>
      <c r="Z1821" s="55"/>
      <c r="AA1821" s="55"/>
      <c r="AB1821" s="55"/>
      <c r="AC1821" s="55"/>
      <c r="AD1821" s="55"/>
      <c r="AE1821" s="55"/>
      <c r="AF1821" s="55"/>
      <c r="AG1821" s="55"/>
      <c r="AH1821" s="56"/>
      <c r="AI1821" s="55"/>
      <c r="AJ1821" s="55"/>
      <c r="AK1821" s="56"/>
      <c r="AL1821" s="56"/>
    </row>
    <row r="1822" spans="1:38" ht="15.75" thickBot="1" x14ac:dyDescent="0.3">
      <c r="A1822" s="51"/>
      <c r="B1822" s="51"/>
      <c r="C1822" s="51"/>
      <c r="D1822" s="51"/>
      <c r="E1822" s="51"/>
      <c r="F1822" s="51"/>
      <c r="G1822" s="54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4"/>
      <c r="AD1822" s="53"/>
      <c r="AE1822" s="53"/>
      <c r="AF1822" s="53"/>
      <c r="AG1822" s="53"/>
      <c r="AH1822" s="54"/>
      <c r="AI1822" s="53"/>
      <c r="AJ1822" s="53"/>
      <c r="AK1822" s="54"/>
      <c r="AL1822" s="54"/>
    </row>
    <row r="1823" spans="1:38" ht="15.75" thickBot="1" x14ac:dyDescent="0.3">
      <c r="A1823" s="51"/>
      <c r="B1823" s="51"/>
      <c r="C1823" s="51"/>
      <c r="D1823" s="51"/>
      <c r="E1823" s="51"/>
      <c r="F1823" s="51"/>
      <c r="G1823" s="56"/>
      <c r="H1823" s="55"/>
      <c r="I1823" s="55"/>
      <c r="J1823" s="55"/>
      <c r="K1823" s="55"/>
      <c r="L1823" s="55"/>
      <c r="M1823" s="55"/>
      <c r="N1823" s="55"/>
      <c r="O1823" s="55"/>
      <c r="P1823" s="55"/>
      <c r="Q1823" s="55"/>
      <c r="R1823" s="55"/>
      <c r="S1823" s="55"/>
      <c r="T1823" s="55"/>
      <c r="U1823" s="55"/>
      <c r="V1823" s="55"/>
      <c r="W1823" s="55"/>
      <c r="X1823" s="55"/>
      <c r="Y1823" s="55"/>
      <c r="Z1823" s="55"/>
      <c r="AA1823" s="55"/>
      <c r="AB1823" s="55"/>
      <c r="AC1823" s="56"/>
      <c r="AD1823" s="55"/>
      <c r="AE1823" s="55"/>
      <c r="AF1823" s="55"/>
      <c r="AG1823" s="55"/>
      <c r="AH1823" s="56"/>
      <c r="AI1823" s="55"/>
      <c r="AJ1823" s="55"/>
      <c r="AK1823" s="56"/>
      <c r="AL1823" s="56"/>
    </row>
    <row r="1824" spans="1:38" ht="15.75" thickBot="1" x14ac:dyDescent="0.3">
      <c r="A1824" s="51"/>
      <c r="B1824" s="51"/>
      <c r="C1824" s="51"/>
      <c r="D1824" s="51"/>
      <c r="E1824" s="51"/>
      <c r="F1824" s="51"/>
      <c r="G1824" s="54"/>
      <c r="H1824" s="53"/>
      <c r="I1824" s="53"/>
      <c r="J1824" s="53"/>
      <c r="K1824" s="54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4"/>
      <c r="AI1824" s="53"/>
      <c r="AJ1824" s="53"/>
      <c r="AK1824" s="54"/>
      <c r="AL1824" s="54"/>
    </row>
    <row r="1825" spans="1:38" ht="15.75" thickBot="1" x14ac:dyDescent="0.3">
      <c r="A1825" s="51"/>
      <c r="B1825" s="51"/>
      <c r="C1825" s="51"/>
      <c r="D1825" s="51"/>
      <c r="E1825" s="51"/>
      <c r="F1825" s="51"/>
      <c r="G1825" s="56"/>
      <c r="H1825" s="55"/>
      <c r="I1825" s="55"/>
      <c r="J1825" s="55"/>
      <c r="K1825" s="56"/>
      <c r="L1825" s="55"/>
      <c r="M1825" s="55"/>
      <c r="N1825" s="55"/>
      <c r="O1825" s="55"/>
      <c r="P1825" s="55"/>
      <c r="Q1825" s="55"/>
      <c r="R1825" s="55"/>
      <c r="S1825" s="55"/>
      <c r="T1825" s="55"/>
      <c r="U1825" s="55"/>
      <c r="V1825" s="55"/>
      <c r="W1825" s="55"/>
      <c r="X1825" s="55"/>
      <c r="Y1825" s="55"/>
      <c r="Z1825" s="55"/>
      <c r="AA1825" s="55"/>
      <c r="AB1825" s="55"/>
      <c r="AC1825" s="55"/>
      <c r="AD1825" s="55"/>
      <c r="AE1825" s="55"/>
      <c r="AF1825" s="55"/>
      <c r="AG1825" s="55"/>
      <c r="AH1825" s="56"/>
      <c r="AI1825" s="55"/>
      <c r="AJ1825" s="55"/>
      <c r="AK1825" s="56"/>
      <c r="AL1825" s="56"/>
    </row>
    <row r="1826" spans="1:38" ht="15.75" thickBot="1" x14ac:dyDescent="0.3">
      <c r="A1826" s="51"/>
      <c r="B1826" s="51"/>
      <c r="C1826" s="51"/>
      <c r="D1826" s="51"/>
      <c r="E1826" s="51"/>
      <c r="F1826" s="51"/>
      <c r="G1826" s="54"/>
      <c r="H1826" s="54"/>
      <c r="I1826" s="53"/>
      <c r="J1826" s="53"/>
      <c r="K1826" s="53"/>
      <c r="L1826" s="53"/>
      <c r="M1826" s="54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4"/>
      <c r="AI1826" s="53"/>
      <c r="AJ1826" s="53"/>
      <c r="AK1826" s="54"/>
      <c r="AL1826" s="54"/>
    </row>
    <row r="1827" spans="1:38" ht="15.75" thickBot="1" x14ac:dyDescent="0.3">
      <c r="A1827" s="51"/>
      <c r="B1827" s="51"/>
      <c r="C1827" s="51"/>
      <c r="D1827" s="51"/>
      <c r="E1827" s="51"/>
      <c r="F1827" s="51"/>
      <c r="G1827" s="56"/>
      <c r="H1827" s="148"/>
      <c r="I1827" s="55"/>
      <c r="J1827" s="55"/>
      <c r="K1827" s="55"/>
      <c r="L1827" s="55"/>
      <c r="M1827" s="56"/>
      <c r="N1827" s="55"/>
      <c r="O1827" s="55"/>
      <c r="P1827" s="55"/>
      <c r="Q1827" s="55"/>
      <c r="R1827" s="55"/>
      <c r="S1827" s="55"/>
      <c r="T1827" s="55"/>
      <c r="U1827" s="55"/>
      <c r="V1827" s="55"/>
      <c r="W1827" s="55"/>
      <c r="X1827" s="55"/>
      <c r="Y1827" s="55"/>
      <c r="Z1827" s="55"/>
      <c r="AA1827" s="55"/>
      <c r="AB1827" s="55"/>
      <c r="AC1827" s="55"/>
      <c r="AD1827" s="55"/>
      <c r="AE1827" s="55"/>
      <c r="AF1827" s="55"/>
      <c r="AG1827" s="55"/>
      <c r="AH1827" s="56"/>
      <c r="AI1827" s="55"/>
      <c r="AJ1827" s="55"/>
      <c r="AK1827" s="56"/>
      <c r="AL1827" s="56"/>
    </row>
    <row r="1828" spans="1:38" ht="15.75" thickBot="1" x14ac:dyDescent="0.3">
      <c r="A1828" s="51"/>
      <c r="B1828" s="51"/>
      <c r="C1828" s="51"/>
      <c r="D1828" s="51"/>
      <c r="E1828" s="51"/>
      <c r="F1828" s="51"/>
      <c r="G1828" s="54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4"/>
      <c r="AA1828" s="53"/>
      <c r="AB1828" s="53"/>
      <c r="AC1828" s="53"/>
      <c r="AD1828" s="53"/>
      <c r="AE1828" s="53"/>
      <c r="AF1828" s="53"/>
      <c r="AG1828" s="53"/>
      <c r="AH1828" s="54"/>
      <c r="AI1828" s="53"/>
      <c r="AJ1828" s="53"/>
      <c r="AK1828" s="54"/>
      <c r="AL1828" s="54"/>
    </row>
    <row r="1829" spans="1:38" ht="15.75" thickBot="1" x14ac:dyDescent="0.3">
      <c r="A1829" s="51"/>
      <c r="B1829" s="51"/>
      <c r="C1829" s="51"/>
      <c r="D1829" s="51"/>
      <c r="E1829" s="51"/>
      <c r="F1829" s="51"/>
      <c r="G1829" s="56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55"/>
      <c r="U1829" s="55"/>
      <c r="V1829" s="55"/>
      <c r="W1829" s="55"/>
      <c r="X1829" s="55"/>
      <c r="Y1829" s="55"/>
      <c r="Z1829" s="56"/>
      <c r="AA1829" s="55"/>
      <c r="AB1829" s="55"/>
      <c r="AC1829" s="55"/>
      <c r="AD1829" s="55"/>
      <c r="AE1829" s="55"/>
      <c r="AF1829" s="55"/>
      <c r="AG1829" s="55"/>
      <c r="AH1829" s="56"/>
      <c r="AI1829" s="55"/>
      <c r="AJ1829" s="55"/>
      <c r="AK1829" s="56"/>
      <c r="AL1829" s="56"/>
    </row>
    <row r="1830" spans="1:38" ht="15.75" thickBot="1" x14ac:dyDescent="0.3">
      <c r="A1830" s="51"/>
      <c r="B1830" s="51"/>
      <c r="C1830" s="51"/>
      <c r="D1830" s="51"/>
      <c r="E1830" s="51"/>
      <c r="F1830" s="51"/>
      <c r="G1830" s="54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4"/>
      <c r="AB1830" s="53"/>
      <c r="AC1830" s="53"/>
      <c r="AD1830" s="53"/>
      <c r="AE1830" s="53"/>
      <c r="AF1830" s="53"/>
      <c r="AG1830" s="53"/>
      <c r="AH1830" s="54"/>
      <c r="AI1830" s="53"/>
      <c r="AJ1830" s="53"/>
      <c r="AK1830" s="54"/>
      <c r="AL1830" s="54"/>
    </row>
    <row r="1831" spans="1:38" ht="15.75" thickBot="1" x14ac:dyDescent="0.3">
      <c r="A1831" s="51"/>
      <c r="B1831" s="51"/>
      <c r="C1831" s="51"/>
      <c r="D1831" s="51"/>
      <c r="E1831" s="51"/>
      <c r="F1831" s="51"/>
      <c r="G1831" s="56"/>
      <c r="H1831" s="55"/>
      <c r="I1831" s="55"/>
      <c r="J1831" s="55"/>
      <c r="K1831" s="55"/>
      <c r="L1831" s="55"/>
      <c r="M1831" s="55"/>
      <c r="N1831" s="55"/>
      <c r="O1831" s="55"/>
      <c r="P1831" s="55"/>
      <c r="Q1831" s="55"/>
      <c r="R1831" s="55"/>
      <c r="S1831" s="55"/>
      <c r="T1831" s="55"/>
      <c r="U1831" s="55"/>
      <c r="V1831" s="55"/>
      <c r="W1831" s="55"/>
      <c r="X1831" s="55"/>
      <c r="Y1831" s="55"/>
      <c r="Z1831" s="55"/>
      <c r="AA1831" s="56"/>
      <c r="AB1831" s="55"/>
      <c r="AC1831" s="55"/>
      <c r="AD1831" s="55"/>
      <c r="AE1831" s="55"/>
      <c r="AF1831" s="55"/>
      <c r="AG1831" s="55"/>
      <c r="AH1831" s="56"/>
      <c r="AI1831" s="55"/>
      <c r="AJ1831" s="55"/>
      <c r="AK1831" s="56"/>
      <c r="AL1831" s="56"/>
    </row>
    <row r="1832" spans="1:38" ht="15.75" thickBot="1" x14ac:dyDescent="0.3">
      <c r="A1832" s="51"/>
      <c r="B1832" s="51"/>
      <c r="C1832" s="51"/>
      <c r="D1832" s="51"/>
      <c r="E1832" s="51"/>
      <c r="F1832" s="51"/>
      <c r="G1832" s="54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4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4"/>
      <c r="AI1832" s="53"/>
      <c r="AJ1832" s="53"/>
      <c r="AK1832" s="54"/>
      <c r="AL1832" s="54"/>
    </row>
    <row r="1833" spans="1:38" ht="15.75" thickBot="1" x14ac:dyDescent="0.3">
      <c r="A1833" s="51"/>
      <c r="B1833" s="51"/>
      <c r="C1833" s="51"/>
      <c r="D1833" s="51"/>
      <c r="E1833" s="51"/>
      <c r="F1833" s="51"/>
      <c r="G1833" s="56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/>
      <c r="R1833" s="56"/>
      <c r="S1833" s="55"/>
      <c r="T1833" s="55"/>
      <c r="U1833" s="55"/>
      <c r="V1833" s="55"/>
      <c r="W1833" s="55"/>
      <c r="X1833" s="55"/>
      <c r="Y1833" s="55"/>
      <c r="Z1833" s="55"/>
      <c r="AA1833" s="55"/>
      <c r="AB1833" s="55"/>
      <c r="AC1833" s="55"/>
      <c r="AD1833" s="55"/>
      <c r="AE1833" s="55"/>
      <c r="AF1833" s="55"/>
      <c r="AG1833" s="55"/>
      <c r="AH1833" s="56"/>
      <c r="AI1833" s="55"/>
      <c r="AJ1833" s="55"/>
      <c r="AK1833" s="56"/>
      <c r="AL1833" s="56"/>
    </row>
    <row r="1834" spans="1:38" ht="15.75" thickBot="1" x14ac:dyDescent="0.3">
      <c r="A1834" s="51"/>
      <c r="B1834" s="51"/>
      <c r="C1834" s="51"/>
      <c r="D1834" s="51"/>
      <c r="E1834" s="51"/>
      <c r="F1834" s="51"/>
      <c r="G1834" s="54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4"/>
      <c r="AD1834" s="53"/>
      <c r="AE1834" s="53"/>
      <c r="AF1834" s="53"/>
      <c r="AG1834" s="53"/>
      <c r="AH1834" s="54"/>
      <c r="AI1834" s="53"/>
      <c r="AJ1834" s="53"/>
      <c r="AK1834" s="54"/>
      <c r="AL1834" s="54"/>
    </row>
    <row r="1835" spans="1:38" ht="15.75" thickBot="1" x14ac:dyDescent="0.3">
      <c r="A1835" s="51"/>
      <c r="B1835" s="51"/>
      <c r="C1835" s="51"/>
      <c r="D1835" s="51"/>
      <c r="E1835" s="51"/>
      <c r="F1835" s="51"/>
      <c r="G1835" s="56"/>
      <c r="H1835" s="55"/>
      <c r="I1835" s="55"/>
      <c r="J1835" s="55"/>
      <c r="K1835" s="55"/>
      <c r="L1835" s="55"/>
      <c r="M1835" s="55"/>
      <c r="N1835" s="55"/>
      <c r="O1835" s="55"/>
      <c r="P1835" s="55"/>
      <c r="Q1835" s="55"/>
      <c r="R1835" s="55"/>
      <c r="S1835" s="55"/>
      <c r="T1835" s="55"/>
      <c r="U1835" s="55"/>
      <c r="V1835" s="55"/>
      <c r="W1835" s="55"/>
      <c r="X1835" s="55"/>
      <c r="Y1835" s="55"/>
      <c r="Z1835" s="55"/>
      <c r="AA1835" s="55"/>
      <c r="AB1835" s="55"/>
      <c r="AC1835" s="56"/>
      <c r="AD1835" s="55"/>
      <c r="AE1835" s="55"/>
      <c r="AF1835" s="55"/>
      <c r="AG1835" s="55"/>
      <c r="AH1835" s="56"/>
      <c r="AI1835" s="55"/>
      <c r="AJ1835" s="55"/>
      <c r="AK1835" s="56"/>
      <c r="AL1835" s="56"/>
    </row>
    <row r="1836" spans="1:38" ht="15.75" thickBot="1" x14ac:dyDescent="0.3">
      <c r="A1836" s="51"/>
      <c r="B1836" s="51"/>
      <c r="C1836" s="51"/>
      <c r="D1836" s="51"/>
      <c r="E1836" s="51"/>
      <c r="F1836" s="51"/>
      <c r="G1836" s="54"/>
      <c r="H1836" s="53"/>
      <c r="I1836" s="53"/>
      <c r="J1836" s="53"/>
      <c r="K1836" s="54"/>
      <c r="L1836" s="53"/>
      <c r="M1836" s="53"/>
      <c r="N1836" s="53"/>
      <c r="O1836" s="53"/>
      <c r="P1836" s="53"/>
      <c r="Q1836" s="53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53"/>
      <c r="AC1836" s="53"/>
      <c r="AD1836" s="53"/>
      <c r="AE1836" s="53"/>
      <c r="AF1836" s="53"/>
      <c r="AG1836" s="53"/>
      <c r="AH1836" s="54"/>
      <c r="AI1836" s="53"/>
      <c r="AJ1836" s="53"/>
      <c r="AK1836" s="54"/>
      <c r="AL1836" s="54"/>
    </row>
    <row r="1837" spans="1:38" ht="15.75" thickBot="1" x14ac:dyDescent="0.3">
      <c r="A1837" s="51"/>
      <c r="B1837" s="51"/>
      <c r="C1837" s="51"/>
      <c r="D1837" s="51"/>
      <c r="E1837" s="51"/>
      <c r="F1837" s="51"/>
      <c r="G1837" s="56"/>
      <c r="H1837" s="55"/>
      <c r="I1837" s="55"/>
      <c r="J1837" s="55"/>
      <c r="K1837" s="56"/>
      <c r="L1837" s="55"/>
      <c r="M1837" s="55"/>
      <c r="N1837" s="55"/>
      <c r="O1837" s="55"/>
      <c r="P1837" s="55"/>
      <c r="Q1837" s="55"/>
      <c r="R1837" s="55"/>
      <c r="S1837" s="55"/>
      <c r="T1837" s="55"/>
      <c r="U1837" s="55"/>
      <c r="V1837" s="55"/>
      <c r="W1837" s="55"/>
      <c r="X1837" s="55"/>
      <c r="Y1837" s="55"/>
      <c r="Z1837" s="55"/>
      <c r="AA1837" s="55"/>
      <c r="AB1837" s="55"/>
      <c r="AC1837" s="55"/>
      <c r="AD1837" s="55"/>
      <c r="AE1837" s="55"/>
      <c r="AF1837" s="55"/>
      <c r="AG1837" s="55"/>
      <c r="AH1837" s="56"/>
      <c r="AI1837" s="55"/>
      <c r="AJ1837" s="55"/>
      <c r="AK1837" s="56"/>
      <c r="AL1837" s="56"/>
    </row>
    <row r="1838" spans="1:38" ht="15.75" thickBot="1" x14ac:dyDescent="0.3">
      <c r="A1838" s="51"/>
      <c r="B1838" s="51"/>
      <c r="C1838" s="51"/>
      <c r="D1838" s="51"/>
      <c r="E1838" s="51"/>
      <c r="F1838" s="51"/>
      <c r="G1838" s="54"/>
      <c r="H1838" s="54"/>
      <c r="I1838" s="53"/>
      <c r="J1838" s="53"/>
      <c r="K1838" s="53"/>
      <c r="L1838" s="53"/>
      <c r="M1838" s="54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3"/>
      <c r="AD1838" s="53"/>
      <c r="AE1838" s="53"/>
      <c r="AF1838" s="53"/>
      <c r="AG1838" s="53"/>
      <c r="AH1838" s="54"/>
      <c r="AI1838" s="53"/>
      <c r="AJ1838" s="53"/>
      <c r="AK1838" s="54"/>
      <c r="AL1838" s="54"/>
    </row>
    <row r="1839" spans="1:38" ht="15.75" thickBot="1" x14ac:dyDescent="0.3">
      <c r="A1839" s="51"/>
      <c r="B1839" s="51"/>
      <c r="C1839" s="51"/>
      <c r="D1839" s="51"/>
      <c r="E1839" s="51"/>
      <c r="F1839" s="51"/>
      <c r="G1839" s="56"/>
      <c r="H1839" s="148"/>
      <c r="I1839" s="55"/>
      <c r="J1839" s="55"/>
      <c r="K1839" s="55"/>
      <c r="L1839" s="55"/>
      <c r="M1839" s="56"/>
      <c r="N1839" s="55"/>
      <c r="O1839" s="55"/>
      <c r="P1839" s="55"/>
      <c r="Q1839" s="55"/>
      <c r="R1839" s="55"/>
      <c r="S1839" s="55"/>
      <c r="T1839" s="55"/>
      <c r="U1839" s="55"/>
      <c r="V1839" s="55"/>
      <c r="W1839" s="55"/>
      <c r="X1839" s="55"/>
      <c r="Y1839" s="55"/>
      <c r="Z1839" s="55"/>
      <c r="AA1839" s="55"/>
      <c r="AB1839" s="55"/>
      <c r="AC1839" s="55"/>
      <c r="AD1839" s="55"/>
      <c r="AE1839" s="55"/>
      <c r="AF1839" s="55"/>
      <c r="AG1839" s="55"/>
      <c r="AH1839" s="56"/>
      <c r="AI1839" s="55"/>
      <c r="AJ1839" s="55"/>
      <c r="AK1839" s="56"/>
      <c r="AL1839" s="56"/>
    </row>
    <row r="1840" spans="1:38" ht="15.75" thickBot="1" x14ac:dyDescent="0.3">
      <c r="A1840" s="51"/>
      <c r="B1840" s="51"/>
      <c r="C1840" s="51"/>
      <c r="D1840" s="51"/>
      <c r="E1840" s="51"/>
      <c r="F1840" s="51"/>
      <c r="G1840" s="54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  <c r="U1840" s="53"/>
      <c r="V1840" s="53"/>
      <c r="W1840" s="53"/>
      <c r="X1840" s="53"/>
      <c r="Y1840" s="53"/>
      <c r="Z1840" s="54"/>
      <c r="AA1840" s="53"/>
      <c r="AB1840" s="53"/>
      <c r="AC1840" s="53"/>
      <c r="AD1840" s="53"/>
      <c r="AE1840" s="53"/>
      <c r="AF1840" s="53"/>
      <c r="AG1840" s="53"/>
      <c r="AH1840" s="54"/>
      <c r="AI1840" s="53"/>
      <c r="AJ1840" s="53"/>
      <c r="AK1840" s="54"/>
      <c r="AL1840" s="54"/>
    </row>
    <row r="1841" spans="1:38" ht="15.75" thickBot="1" x14ac:dyDescent="0.3">
      <c r="A1841" s="51"/>
      <c r="B1841" s="51"/>
      <c r="C1841" s="51"/>
      <c r="D1841" s="51"/>
      <c r="E1841" s="51"/>
      <c r="F1841" s="51"/>
      <c r="G1841" s="56"/>
      <c r="H1841" s="55"/>
      <c r="I1841" s="55"/>
      <c r="J1841" s="55"/>
      <c r="K1841" s="55"/>
      <c r="L1841" s="55"/>
      <c r="M1841" s="55"/>
      <c r="N1841" s="55"/>
      <c r="O1841" s="55"/>
      <c r="P1841" s="55"/>
      <c r="Q1841" s="55"/>
      <c r="R1841" s="55"/>
      <c r="S1841" s="55"/>
      <c r="T1841" s="55"/>
      <c r="U1841" s="55"/>
      <c r="V1841" s="55"/>
      <c r="W1841" s="55"/>
      <c r="X1841" s="55"/>
      <c r="Y1841" s="55"/>
      <c r="Z1841" s="56"/>
      <c r="AA1841" s="55"/>
      <c r="AB1841" s="55"/>
      <c r="AC1841" s="55"/>
      <c r="AD1841" s="55"/>
      <c r="AE1841" s="55"/>
      <c r="AF1841" s="55"/>
      <c r="AG1841" s="55"/>
      <c r="AH1841" s="56"/>
      <c r="AI1841" s="55"/>
      <c r="AJ1841" s="55"/>
      <c r="AK1841" s="56"/>
      <c r="AL1841" s="56"/>
    </row>
    <row r="1842" spans="1:38" ht="15.75" thickBot="1" x14ac:dyDescent="0.3">
      <c r="A1842" s="51"/>
      <c r="B1842" s="51"/>
      <c r="C1842" s="51"/>
      <c r="D1842" s="51"/>
      <c r="E1842" s="51"/>
      <c r="F1842" s="51"/>
      <c r="G1842" s="54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4"/>
      <c r="AB1842" s="53"/>
      <c r="AC1842" s="53"/>
      <c r="AD1842" s="53"/>
      <c r="AE1842" s="53"/>
      <c r="AF1842" s="53"/>
      <c r="AG1842" s="53"/>
      <c r="AH1842" s="54"/>
      <c r="AI1842" s="53"/>
      <c r="AJ1842" s="53"/>
      <c r="AK1842" s="54"/>
      <c r="AL1842" s="54"/>
    </row>
    <row r="1843" spans="1:38" ht="15.75" thickBot="1" x14ac:dyDescent="0.3">
      <c r="A1843" s="51"/>
      <c r="B1843" s="51"/>
      <c r="C1843" s="51"/>
      <c r="D1843" s="51"/>
      <c r="E1843" s="51"/>
      <c r="F1843" s="51"/>
      <c r="G1843" s="56"/>
      <c r="H1843" s="55"/>
      <c r="I1843" s="55"/>
      <c r="J1843" s="55"/>
      <c r="K1843" s="55"/>
      <c r="L1843" s="55"/>
      <c r="M1843" s="55"/>
      <c r="N1843" s="55"/>
      <c r="O1843" s="55"/>
      <c r="P1843" s="55"/>
      <c r="Q1843" s="55"/>
      <c r="R1843" s="55"/>
      <c r="S1843" s="55"/>
      <c r="T1843" s="55"/>
      <c r="U1843" s="55"/>
      <c r="V1843" s="55"/>
      <c r="W1843" s="55"/>
      <c r="X1843" s="55"/>
      <c r="Y1843" s="55"/>
      <c r="Z1843" s="55"/>
      <c r="AA1843" s="56"/>
      <c r="AB1843" s="55"/>
      <c r="AC1843" s="55"/>
      <c r="AD1843" s="55"/>
      <c r="AE1843" s="55"/>
      <c r="AF1843" s="55"/>
      <c r="AG1843" s="55"/>
      <c r="AH1843" s="56"/>
      <c r="AI1843" s="55"/>
      <c r="AJ1843" s="55"/>
      <c r="AK1843" s="56"/>
      <c r="AL1843" s="56"/>
    </row>
    <row r="1844" spans="1:38" ht="15.75" thickBot="1" x14ac:dyDescent="0.3">
      <c r="A1844" s="51"/>
      <c r="B1844" s="51"/>
      <c r="C1844" s="51"/>
      <c r="D1844" s="51"/>
      <c r="E1844" s="51"/>
      <c r="F1844" s="51"/>
      <c r="G1844" s="54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4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53"/>
      <c r="AC1844" s="53"/>
      <c r="AD1844" s="53"/>
      <c r="AE1844" s="53"/>
      <c r="AF1844" s="53"/>
      <c r="AG1844" s="53"/>
      <c r="AH1844" s="54"/>
      <c r="AI1844" s="53"/>
      <c r="AJ1844" s="53"/>
      <c r="AK1844" s="54"/>
      <c r="AL1844" s="54"/>
    </row>
    <row r="1845" spans="1:38" ht="15.75" thickBot="1" x14ac:dyDescent="0.3">
      <c r="A1845" s="51"/>
      <c r="B1845" s="51"/>
      <c r="C1845" s="51"/>
      <c r="D1845" s="51"/>
      <c r="E1845" s="51"/>
      <c r="F1845" s="51"/>
      <c r="G1845" s="56"/>
      <c r="H1845" s="55"/>
      <c r="I1845" s="55"/>
      <c r="J1845" s="55"/>
      <c r="K1845" s="55"/>
      <c r="L1845" s="55"/>
      <c r="M1845" s="55"/>
      <c r="N1845" s="55"/>
      <c r="O1845" s="55"/>
      <c r="P1845" s="55"/>
      <c r="Q1845" s="55"/>
      <c r="R1845" s="56"/>
      <c r="S1845" s="55"/>
      <c r="T1845" s="55"/>
      <c r="U1845" s="55"/>
      <c r="V1845" s="55"/>
      <c r="W1845" s="55"/>
      <c r="X1845" s="55"/>
      <c r="Y1845" s="55"/>
      <c r="Z1845" s="55"/>
      <c r="AA1845" s="55"/>
      <c r="AB1845" s="55"/>
      <c r="AC1845" s="55"/>
      <c r="AD1845" s="55"/>
      <c r="AE1845" s="55"/>
      <c r="AF1845" s="55"/>
      <c r="AG1845" s="55"/>
      <c r="AH1845" s="56"/>
      <c r="AI1845" s="55"/>
      <c r="AJ1845" s="55"/>
      <c r="AK1845" s="56"/>
      <c r="AL1845" s="56"/>
    </row>
    <row r="1846" spans="1:38" ht="15.75" thickBot="1" x14ac:dyDescent="0.3">
      <c r="A1846" s="51"/>
      <c r="B1846" s="51"/>
      <c r="C1846" s="51"/>
      <c r="D1846" s="51"/>
      <c r="E1846" s="51"/>
      <c r="F1846" s="51"/>
      <c r="G1846" s="54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  <c r="AB1846" s="53"/>
      <c r="AC1846" s="54"/>
      <c r="AD1846" s="53"/>
      <c r="AE1846" s="53"/>
      <c r="AF1846" s="53"/>
      <c r="AG1846" s="53"/>
      <c r="AH1846" s="54"/>
      <c r="AI1846" s="53"/>
      <c r="AJ1846" s="53"/>
      <c r="AK1846" s="54"/>
      <c r="AL1846" s="54"/>
    </row>
    <row r="1847" spans="1:38" ht="15.75" thickBot="1" x14ac:dyDescent="0.3">
      <c r="A1847" s="51"/>
      <c r="B1847" s="51"/>
      <c r="C1847" s="51"/>
      <c r="D1847" s="51"/>
      <c r="E1847" s="51"/>
      <c r="F1847" s="51"/>
      <c r="G1847" s="56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/>
      <c r="S1847" s="55"/>
      <c r="T1847" s="55"/>
      <c r="U1847" s="55"/>
      <c r="V1847" s="55"/>
      <c r="W1847" s="55"/>
      <c r="X1847" s="55"/>
      <c r="Y1847" s="55"/>
      <c r="Z1847" s="55"/>
      <c r="AA1847" s="55"/>
      <c r="AB1847" s="55"/>
      <c r="AC1847" s="56"/>
      <c r="AD1847" s="55"/>
      <c r="AE1847" s="55"/>
      <c r="AF1847" s="55"/>
      <c r="AG1847" s="55"/>
      <c r="AH1847" s="56"/>
      <c r="AI1847" s="55"/>
      <c r="AJ1847" s="55"/>
      <c r="AK1847" s="56"/>
      <c r="AL1847" s="56"/>
    </row>
    <row r="1848" spans="1:38" ht="15.75" thickBot="1" x14ac:dyDescent="0.3">
      <c r="A1848" s="51"/>
      <c r="B1848" s="51"/>
      <c r="C1848" s="51"/>
      <c r="D1848" s="51"/>
      <c r="E1848" s="51"/>
      <c r="F1848" s="51"/>
      <c r="G1848" s="54"/>
      <c r="H1848" s="53"/>
      <c r="I1848" s="53"/>
      <c r="J1848" s="53"/>
      <c r="K1848" s="54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3"/>
      <c r="AD1848" s="53"/>
      <c r="AE1848" s="53"/>
      <c r="AF1848" s="53"/>
      <c r="AG1848" s="53"/>
      <c r="AH1848" s="54"/>
      <c r="AI1848" s="53"/>
      <c r="AJ1848" s="53"/>
      <c r="AK1848" s="54"/>
      <c r="AL1848" s="54"/>
    </row>
    <row r="1849" spans="1:38" ht="15.75" thickBot="1" x14ac:dyDescent="0.3">
      <c r="A1849" s="51"/>
      <c r="B1849" s="51"/>
      <c r="C1849" s="51"/>
      <c r="D1849" s="51"/>
      <c r="E1849" s="51"/>
      <c r="F1849" s="51"/>
      <c r="G1849" s="56"/>
      <c r="H1849" s="55"/>
      <c r="I1849" s="55"/>
      <c r="J1849" s="55"/>
      <c r="K1849" s="56"/>
      <c r="L1849" s="55"/>
      <c r="M1849" s="55"/>
      <c r="N1849" s="55"/>
      <c r="O1849" s="55"/>
      <c r="P1849" s="55"/>
      <c r="Q1849" s="55"/>
      <c r="R1849" s="55"/>
      <c r="S1849" s="55"/>
      <c r="T1849" s="55"/>
      <c r="U1849" s="55"/>
      <c r="V1849" s="55"/>
      <c r="W1849" s="55"/>
      <c r="X1849" s="55"/>
      <c r="Y1849" s="55"/>
      <c r="Z1849" s="55"/>
      <c r="AA1849" s="55"/>
      <c r="AB1849" s="55"/>
      <c r="AC1849" s="55"/>
      <c r="AD1849" s="55"/>
      <c r="AE1849" s="55"/>
      <c r="AF1849" s="55"/>
      <c r="AG1849" s="55"/>
      <c r="AH1849" s="56"/>
      <c r="AI1849" s="55"/>
      <c r="AJ1849" s="55"/>
      <c r="AK1849" s="56"/>
      <c r="AL1849" s="56"/>
    </row>
    <row r="1850" spans="1:38" ht="15.75" thickBot="1" x14ac:dyDescent="0.3">
      <c r="A1850" s="51"/>
      <c r="B1850" s="51"/>
      <c r="C1850" s="51"/>
      <c r="D1850" s="51"/>
      <c r="E1850" s="51"/>
      <c r="F1850" s="51"/>
      <c r="G1850" s="54"/>
      <c r="H1850" s="54"/>
      <c r="I1850" s="53"/>
      <c r="J1850" s="53"/>
      <c r="K1850" s="53"/>
      <c r="L1850" s="53"/>
      <c r="M1850" s="54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3"/>
      <c r="AD1850" s="53"/>
      <c r="AE1850" s="53"/>
      <c r="AF1850" s="53"/>
      <c r="AG1850" s="53"/>
      <c r="AH1850" s="54"/>
      <c r="AI1850" s="53"/>
      <c r="AJ1850" s="53"/>
      <c r="AK1850" s="54"/>
      <c r="AL1850" s="54"/>
    </row>
    <row r="1851" spans="1:38" ht="15.75" thickBot="1" x14ac:dyDescent="0.3">
      <c r="A1851" s="51"/>
      <c r="B1851" s="51"/>
      <c r="C1851" s="51"/>
      <c r="D1851" s="51"/>
      <c r="E1851" s="51"/>
      <c r="F1851" s="51"/>
      <c r="G1851" s="56"/>
      <c r="H1851" s="148"/>
      <c r="I1851" s="55"/>
      <c r="J1851" s="55"/>
      <c r="K1851" s="55"/>
      <c r="L1851" s="55"/>
      <c r="M1851" s="56"/>
      <c r="N1851" s="55"/>
      <c r="O1851" s="55"/>
      <c r="P1851" s="55"/>
      <c r="Q1851" s="55"/>
      <c r="R1851" s="55"/>
      <c r="S1851" s="55"/>
      <c r="T1851" s="55"/>
      <c r="U1851" s="55"/>
      <c r="V1851" s="55"/>
      <c r="W1851" s="55"/>
      <c r="X1851" s="55"/>
      <c r="Y1851" s="55"/>
      <c r="Z1851" s="55"/>
      <c r="AA1851" s="55"/>
      <c r="AB1851" s="55"/>
      <c r="AC1851" s="55"/>
      <c r="AD1851" s="55"/>
      <c r="AE1851" s="55"/>
      <c r="AF1851" s="55"/>
      <c r="AG1851" s="55"/>
      <c r="AH1851" s="56"/>
      <c r="AI1851" s="55"/>
      <c r="AJ1851" s="55"/>
      <c r="AK1851" s="56"/>
      <c r="AL1851" s="56"/>
    </row>
    <row r="1852" spans="1:38" ht="15.75" thickBot="1" x14ac:dyDescent="0.3">
      <c r="A1852" s="51"/>
      <c r="B1852" s="51"/>
      <c r="C1852" s="51"/>
      <c r="D1852" s="51"/>
      <c r="E1852" s="51"/>
      <c r="F1852" s="51"/>
      <c r="G1852" s="54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4"/>
      <c r="AA1852" s="53"/>
      <c r="AB1852" s="53"/>
      <c r="AC1852" s="53"/>
      <c r="AD1852" s="53"/>
      <c r="AE1852" s="53"/>
      <c r="AF1852" s="53"/>
      <c r="AG1852" s="53"/>
      <c r="AH1852" s="54"/>
      <c r="AI1852" s="53"/>
      <c r="AJ1852" s="53"/>
      <c r="AK1852" s="54"/>
      <c r="AL1852" s="54"/>
    </row>
    <row r="1853" spans="1:38" ht="15.75" thickBot="1" x14ac:dyDescent="0.3">
      <c r="A1853" s="51"/>
      <c r="B1853" s="51"/>
      <c r="C1853" s="51"/>
      <c r="D1853" s="51"/>
      <c r="E1853" s="51"/>
      <c r="F1853" s="51"/>
      <c r="G1853" s="56"/>
      <c r="H1853" s="55"/>
      <c r="I1853" s="55"/>
      <c r="J1853" s="55"/>
      <c r="K1853" s="55"/>
      <c r="L1853" s="55"/>
      <c r="M1853" s="55"/>
      <c r="N1853" s="55"/>
      <c r="O1853" s="55"/>
      <c r="P1853" s="55"/>
      <c r="Q1853" s="55"/>
      <c r="R1853" s="55"/>
      <c r="S1853" s="55"/>
      <c r="T1853" s="55"/>
      <c r="U1853" s="55"/>
      <c r="V1853" s="55"/>
      <c r="W1853" s="55"/>
      <c r="X1853" s="55"/>
      <c r="Y1853" s="55"/>
      <c r="Z1853" s="56"/>
      <c r="AA1853" s="55"/>
      <c r="AB1853" s="55"/>
      <c r="AC1853" s="55"/>
      <c r="AD1853" s="55"/>
      <c r="AE1853" s="55"/>
      <c r="AF1853" s="55"/>
      <c r="AG1853" s="55"/>
      <c r="AH1853" s="56"/>
      <c r="AI1853" s="55"/>
      <c r="AJ1853" s="55"/>
      <c r="AK1853" s="56"/>
      <c r="AL1853" s="56"/>
    </row>
    <row r="1854" spans="1:38" ht="15.75" thickBot="1" x14ac:dyDescent="0.3">
      <c r="A1854" s="51"/>
      <c r="B1854" s="51"/>
      <c r="C1854" s="51"/>
      <c r="D1854" s="51"/>
      <c r="E1854" s="51"/>
      <c r="F1854" s="51"/>
      <c r="G1854" s="54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4"/>
      <c r="AB1854" s="53"/>
      <c r="AC1854" s="53"/>
      <c r="AD1854" s="53"/>
      <c r="AE1854" s="53"/>
      <c r="AF1854" s="53"/>
      <c r="AG1854" s="53"/>
      <c r="AH1854" s="54"/>
      <c r="AI1854" s="53"/>
      <c r="AJ1854" s="53"/>
      <c r="AK1854" s="54"/>
      <c r="AL1854" s="54"/>
    </row>
    <row r="1855" spans="1:38" ht="15.75" thickBot="1" x14ac:dyDescent="0.3">
      <c r="A1855" s="51"/>
      <c r="B1855" s="51"/>
      <c r="C1855" s="51"/>
      <c r="D1855" s="51"/>
      <c r="E1855" s="51"/>
      <c r="F1855" s="51"/>
      <c r="G1855" s="56"/>
      <c r="H1855" s="55"/>
      <c r="I1855" s="55"/>
      <c r="J1855" s="55"/>
      <c r="K1855" s="55"/>
      <c r="L1855" s="55"/>
      <c r="M1855" s="55"/>
      <c r="N1855" s="55"/>
      <c r="O1855" s="55"/>
      <c r="P1855" s="55"/>
      <c r="Q1855" s="55"/>
      <c r="R1855" s="55"/>
      <c r="S1855" s="55"/>
      <c r="T1855" s="55"/>
      <c r="U1855" s="55"/>
      <c r="V1855" s="55"/>
      <c r="W1855" s="55"/>
      <c r="X1855" s="55"/>
      <c r="Y1855" s="55"/>
      <c r="Z1855" s="55"/>
      <c r="AA1855" s="56"/>
      <c r="AB1855" s="55"/>
      <c r="AC1855" s="55"/>
      <c r="AD1855" s="55"/>
      <c r="AE1855" s="55"/>
      <c r="AF1855" s="55"/>
      <c r="AG1855" s="55"/>
      <c r="AH1855" s="56"/>
      <c r="AI1855" s="55"/>
      <c r="AJ1855" s="55"/>
      <c r="AK1855" s="56"/>
      <c r="AL1855" s="56"/>
    </row>
    <row r="1856" spans="1:38" ht="15.75" thickBot="1" x14ac:dyDescent="0.3">
      <c r="A1856" s="51"/>
      <c r="B1856" s="51"/>
      <c r="C1856" s="51"/>
      <c r="D1856" s="51"/>
      <c r="E1856" s="51"/>
      <c r="F1856" s="51"/>
      <c r="G1856" s="54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4"/>
      <c r="Z1856" s="53"/>
      <c r="AA1856" s="53"/>
      <c r="AB1856" s="53"/>
      <c r="AC1856" s="53"/>
      <c r="AD1856" s="53"/>
      <c r="AE1856" s="53"/>
      <c r="AF1856" s="53"/>
      <c r="AG1856" s="53"/>
      <c r="AH1856" s="54"/>
      <c r="AI1856" s="53"/>
      <c r="AJ1856" s="53"/>
      <c r="AK1856" s="54"/>
      <c r="AL1856" s="54"/>
    </row>
    <row r="1857" spans="1:38" ht="15.75" thickBot="1" x14ac:dyDescent="0.3">
      <c r="A1857" s="51"/>
      <c r="B1857" s="51"/>
      <c r="C1857" s="51"/>
      <c r="D1857" s="51"/>
      <c r="E1857" s="51"/>
      <c r="F1857" s="51"/>
      <c r="G1857" s="56"/>
      <c r="H1857" s="55"/>
      <c r="I1857" s="55"/>
      <c r="J1857" s="55"/>
      <c r="K1857" s="55"/>
      <c r="L1857" s="55"/>
      <c r="M1857" s="55"/>
      <c r="N1857" s="55"/>
      <c r="O1857" s="55"/>
      <c r="P1857" s="55"/>
      <c r="Q1857" s="55"/>
      <c r="R1857" s="55"/>
      <c r="S1857" s="55"/>
      <c r="T1857" s="55"/>
      <c r="U1857" s="55"/>
      <c r="V1857" s="55"/>
      <c r="W1857" s="55"/>
      <c r="X1857" s="55"/>
      <c r="Y1857" s="56"/>
      <c r="Z1857" s="55"/>
      <c r="AA1857" s="55"/>
      <c r="AB1857" s="55"/>
      <c r="AC1857" s="55"/>
      <c r="AD1857" s="55"/>
      <c r="AE1857" s="55"/>
      <c r="AF1857" s="55"/>
      <c r="AG1857" s="55"/>
      <c r="AH1857" s="56"/>
      <c r="AI1857" s="55"/>
      <c r="AJ1857" s="55"/>
      <c r="AK1857" s="56"/>
      <c r="AL1857" s="56"/>
    </row>
    <row r="1858" spans="1:38" ht="15.75" thickBot="1" x14ac:dyDescent="0.3">
      <c r="A1858" s="51"/>
      <c r="B1858" s="51"/>
      <c r="C1858" s="51"/>
      <c r="D1858" s="51"/>
      <c r="E1858" s="51"/>
      <c r="F1858" s="51"/>
      <c r="G1858" s="54"/>
      <c r="H1858" s="53"/>
      <c r="I1858" s="53"/>
      <c r="J1858" s="53"/>
      <c r="K1858" s="54"/>
      <c r="L1858" s="53"/>
      <c r="M1858" s="53"/>
      <c r="N1858" s="53"/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3"/>
      <c r="AD1858" s="53"/>
      <c r="AE1858" s="53"/>
      <c r="AF1858" s="53"/>
      <c r="AG1858" s="53"/>
      <c r="AH1858" s="54"/>
      <c r="AI1858" s="53"/>
      <c r="AJ1858" s="53"/>
      <c r="AK1858" s="54"/>
      <c r="AL1858" s="54"/>
    </row>
    <row r="1859" spans="1:38" ht="15.75" thickBot="1" x14ac:dyDescent="0.3">
      <c r="A1859" s="51"/>
      <c r="B1859" s="51"/>
      <c r="C1859" s="51"/>
      <c r="D1859" s="51"/>
      <c r="E1859" s="51"/>
      <c r="F1859" s="51"/>
      <c r="G1859" s="56"/>
      <c r="H1859" s="55"/>
      <c r="I1859" s="55"/>
      <c r="J1859" s="55"/>
      <c r="K1859" s="56"/>
      <c r="L1859" s="55"/>
      <c r="M1859" s="55"/>
      <c r="N1859" s="55"/>
      <c r="O1859" s="55"/>
      <c r="P1859" s="55"/>
      <c r="Q1859" s="55"/>
      <c r="R1859" s="55"/>
      <c r="S1859" s="55"/>
      <c r="T1859" s="55"/>
      <c r="U1859" s="55"/>
      <c r="V1859" s="55"/>
      <c r="W1859" s="55"/>
      <c r="X1859" s="55"/>
      <c r="Y1859" s="55"/>
      <c r="Z1859" s="55"/>
      <c r="AA1859" s="55"/>
      <c r="AB1859" s="55"/>
      <c r="AC1859" s="55"/>
      <c r="AD1859" s="55"/>
      <c r="AE1859" s="55"/>
      <c r="AF1859" s="55"/>
      <c r="AG1859" s="55"/>
      <c r="AH1859" s="56"/>
      <c r="AI1859" s="55"/>
      <c r="AJ1859" s="55"/>
      <c r="AK1859" s="56"/>
      <c r="AL1859" s="56"/>
    </row>
    <row r="1860" spans="1:38" ht="15.75" thickBot="1" x14ac:dyDescent="0.3">
      <c r="A1860" s="51"/>
      <c r="B1860" s="51"/>
      <c r="C1860" s="51"/>
      <c r="D1860" s="51"/>
      <c r="E1860" s="51"/>
      <c r="F1860" s="51"/>
      <c r="G1860" s="54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4"/>
      <c r="AD1860" s="53"/>
      <c r="AE1860" s="53"/>
      <c r="AF1860" s="53"/>
      <c r="AG1860" s="53"/>
      <c r="AH1860" s="54"/>
      <c r="AI1860" s="53"/>
      <c r="AJ1860" s="53"/>
      <c r="AK1860" s="54"/>
      <c r="AL1860" s="54"/>
    </row>
    <row r="1861" spans="1:38" ht="15.75" thickBot="1" x14ac:dyDescent="0.3">
      <c r="A1861" s="51"/>
      <c r="B1861" s="51"/>
      <c r="C1861" s="51"/>
      <c r="D1861" s="51"/>
      <c r="E1861" s="51"/>
      <c r="F1861" s="51"/>
      <c r="G1861" s="56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5"/>
      <c r="AB1861" s="55"/>
      <c r="AC1861" s="56"/>
      <c r="AD1861" s="55"/>
      <c r="AE1861" s="55"/>
      <c r="AF1861" s="55"/>
      <c r="AG1861" s="55"/>
      <c r="AH1861" s="56"/>
      <c r="AI1861" s="55"/>
      <c r="AJ1861" s="55"/>
      <c r="AK1861" s="56"/>
      <c r="AL1861" s="56"/>
    </row>
    <row r="1862" spans="1:38" ht="15.75" thickBot="1" x14ac:dyDescent="0.3">
      <c r="A1862" s="51"/>
      <c r="B1862" s="51"/>
      <c r="C1862" s="51"/>
      <c r="D1862" s="51"/>
      <c r="E1862" s="51"/>
      <c r="F1862" s="51"/>
      <c r="G1862" s="54"/>
      <c r="H1862" s="53"/>
      <c r="I1862" s="53"/>
      <c r="J1862" s="53"/>
      <c r="K1862" s="54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3"/>
      <c r="AD1862" s="53"/>
      <c r="AE1862" s="53"/>
      <c r="AF1862" s="53"/>
      <c r="AG1862" s="53"/>
      <c r="AH1862" s="54"/>
      <c r="AI1862" s="53"/>
      <c r="AJ1862" s="53"/>
      <c r="AK1862" s="54"/>
      <c r="AL1862" s="54"/>
    </row>
    <row r="1863" spans="1:38" ht="15.75" thickBot="1" x14ac:dyDescent="0.3">
      <c r="A1863" s="51"/>
      <c r="B1863" s="51"/>
      <c r="C1863" s="51"/>
      <c r="D1863" s="51"/>
      <c r="E1863" s="51"/>
      <c r="F1863" s="51"/>
      <c r="G1863" s="56"/>
      <c r="H1863" s="55"/>
      <c r="I1863" s="55"/>
      <c r="J1863" s="55"/>
      <c r="K1863" s="56"/>
      <c r="L1863" s="55"/>
      <c r="M1863" s="55"/>
      <c r="N1863" s="55"/>
      <c r="O1863" s="55"/>
      <c r="P1863" s="55"/>
      <c r="Q1863" s="55"/>
      <c r="R1863" s="55"/>
      <c r="S1863" s="55"/>
      <c r="T1863" s="55"/>
      <c r="U1863" s="55"/>
      <c r="V1863" s="55"/>
      <c r="W1863" s="55"/>
      <c r="X1863" s="55"/>
      <c r="Y1863" s="55"/>
      <c r="Z1863" s="55"/>
      <c r="AA1863" s="55"/>
      <c r="AB1863" s="55"/>
      <c r="AC1863" s="55"/>
      <c r="AD1863" s="55"/>
      <c r="AE1863" s="55"/>
      <c r="AF1863" s="55"/>
      <c r="AG1863" s="55"/>
      <c r="AH1863" s="56"/>
      <c r="AI1863" s="55"/>
      <c r="AJ1863" s="55"/>
      <c r="AK1863" s="56"/>
      <c r="AL1863" s="56"/>
    </row>
    <row r="1864" spans="1:38" ht="15.75" thickBot="1" x14ac:dyDescent="0.3">
      <c r="A1864" s="51"/>
      <c r="B1864" s="51"/>
      <c r="C1864" s="51"/>
      <c r="D1864" s="51"/>
      <c r="E1864" s="51"/>
      <c r="F1864" s="51"/>
      <c r="G1864" s="54"/>
      <c r="H1864" s="54"/>
      <c r="I1864" s="53"/>
      <c r="J1864" s="53"/>
      <c r="K1864" s="53"/>
      <c r="L1864" s="53"/>
      <c r="M1864" s="54"/>
      <c r="N1864" s="53"/>
      <c r="O1864" s="53"/>
      <c r="P1864" s="53"/>
      <c r="Q1864" s="53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3"/>
      <c r="AD1864" s="53"/>
      <c r="AE1864" s="53"/>
      <c r="AF1864" s="53"/>
      <c r="AG1864" s="53"/>
      <c r="AH1864" s="54"/>
      <c r="AI1864" s="53"/>
      <c r="AJ1864" s="53"/>
      <c r="AK1864" s="54"/>
      <c r="AL1864" s="54"/>
    </row>
    <row r="1865" spans="1:38" ht="15.75" thickBot="1" x14ac:dyDescent="0.3">
      <c r="A1865" s="51"/>
      <c r="B1865" s="51"/>
      <c r="C1865" s="51"/>
      <c r="D1865" s="51"/>
      <c r="E1865" s="51"/>
      <c r="F1865" s="51"/>
      <c r="G1865" s="56"/>
      <c r="H1865" s="148"/>
      <c r="I1865" s="55"/>
      <c r="J1865" s="55"/>
      <c r="K1865" s="55"/>
      <c r="L1865" s="55"/>
      <c r="M1865" s="56"/>
      <c r="N1865" s="55"/>
      <c r="O1865" s="55"/>
      <c r="P1865" s="55"/>
      <c r="Q1865" s="55"/>
      <c r="R1865" s="55"/>
      <c r="S1865" s="55"/>
      <c r="T1865" s="55"/>
      <c r="U1865" s="55"/>
      <c r="V1865" s="55"/>
      <c r="W1865" s="55"/>
      <c r="X1865" s="55"/>
      <c r="Y1865" s="55"/>
      <c r="Z1865" s="55"/>
      <c r="AA1865" s="55"/>
      <c r="AB1865" s="55"/>
      <c r="AC1865" s="55"/>
      <c r="AD1865" s="55"/>
      <c r="AE1865" s="55"/>
      <c r="AF1865" s="55"/>
      <c r="AG1865" s="55"/>
      <c r="AH1865" s="56"/>
      <c r="AI1865" s="55"/>
      <c r="AJ1865" s="55"/>
      <c r="AK1865" s="56"/>
      <c r="AL1865" s="56"/>
    </row>
    <row r="1866" spans="1:38" ht="15.75" thickBot="1" x14ac:dyDescent="0.3">
      <c r="A1866" s="51"/>
      <c r="B1866" s="51"/>
      <c r="C1866" s="51"/>
      <c r="D1866" s="51"/>
      <c r="E1866" s="51"/>
      <c r="F1866" s="51"/>
      <c r="G1866" s="54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  <c r="U1866" s="53"/>
      <c r="V1866" s="53"/>
      <c r="W1866" s="53"/>
      <c r="X1866" s="53"/>
      <c r="Y1866" s="53"/>
      <c r="Z1866" s="54"/>
      <c r="AA1866" s="53"/>
      <c r="AB1866" s="53"/>
      <c r="AC1866" s="53"/>
      <c r="AD1866" s="53"/>
      <c r="AE1866" s="53"/>
      <c r="AF1866" s="53"/>
      <c r="AG1866" s="53"/>
      <c r="AH1866" s="54"/>
      <c r="AI1866" s="53"/>
      <c r="AJ1866" s="53"/>
      <c r="AK1866" s="54"/>
      <c r="AL1866" s="54"/>
    </row>
    <row r="1867" spans="1:38" ht="15.75" thickBot="1" x14ac:dyDescent="0.3">
      <c r="A1867" s="51"/>
      <c r="B1867" s="51"/>
      <c r="C1867" s="51"/>
      <c r="D1867" s="51"/>
      <c r="E1867" s="51"/>
      <c r="F1867" s="51"/>
      <c r="G1867" s="56"/>
      <c r="H1867" s="55"/>
      <c r="I1867" s="55"/>
      <c r="J1867" s="55"/>
      <c r="K1867" s="55"/>
      <c r="L1867" s="55"/>
      <c r="M1867" s="55"/>
      <c r="N1867" s="55"/>
      <c r="O1867" s="55"/>
      <c r="P1867" s="55"/>
      <c r="Q1867" s="55"/>
      <c r="R1867" s="55"/>
      <c r="S1867" s="55"/>
      <c r="T1867" s="55"/>
      <c r="U1867" s="55"/>
      <c r="V1867" s="55"/>
      <c r="W1867" s="55"/>
      <c r="X1867" s="55"/>
      <c r="Y1867" s="55"/>
      <c r="Z1867" s="56"/>
      <c r="AA1867" s="55"/>
      <c r="AB1867" s="55"/>
      <c r="AC1867" s="55"/>
      <c r="AD1867" s="55"/>
      <c r="AE1867" s="55"/>
      <c r="AF1867" s="55"/>
      <c r="AG1867" s="55"/>
      <c r="AH1867" s="56"/>
      <c r="AI1867" s="55"/>
      <c r="AJ1867" s="55"/>
      <c r="AK1867" s="56"/>
      <c r="AL1867" s="56"/>
    </row>
    <row r="1868" spans="1:38" ht="15.75" thickBot="1" x14ac:dyDescent="0.3">
      <c r="A1868" s="51"/>
      <c r="B1868" s="51"/>
      <c r="C1868" s="51"/>
      <c r="D1868" s="51"/>
      <c r="E1868" s="51"/>
      <c r="F1868" s="51"/>
      <c r="G1868" s="54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4"/>
      <c r="AB1868" s="53"/>
      <c r="AC1868" s="53"/>
      <c r="AD1868" s="53"/>
      <c r="AE1868" s="53"/>
      <c r="AF1868" s="53"/>
      <c r="AG1868" s="53"/>
      <c r="AH1868" s="54"/>
      <c r="AI1868" s="53"/>
      <c r="AJ1868" s="53"/>
      <c r="AK1868" s="54"/>
      <c r="AL1868" s="54"/>
    </row>
    <row r="1869" spans="1:38" ht="15.75" thickBot="1" x14ac:dyDescent="0.3">
      <c r="A1869" s="51"/>
      <c r="B1869" s="51"/>
      <c r="C1869" s="51"/>
      <c r="D1869" s="51"/>
      <c r="E1869" s="51"/>
      <c r="F1869" s="51"/>
      <c r="G1869" s="56"/>
      <c r="H1869" s="55"/>
      <c r="I1869" s="55"/>
      <c r="J1869" s="55"/>
      <c r="K1869" s="55"/>
      <c r="L1869" s="55"/>
      <c r="M1869" s="55"/>
      <c r="N1869" s="55"/>
      <c r="O1869" s="55"/>
      <c r="P1869" s="55"/>
      <c r="Q1869" s="55"/>
      <c r="R1869" s="55"/>
      <c r="S1869" s="55"/>
      <c r="T1869" s="55"/>
      <c r="U1869" s="55"/>
      <c r="V1869" s="55"/>
      <c r="W1869" s="55"/>
      <c r="X1869" s="55"/>
      <c r="Y1869" s="55"/>
      <c r="Z1869" s="55"/>
      <c r="AA1869" s="56"/>
      <c r="AB1869" s="55"/>
      <c r="AC1869" s="55"/>
      <c r="AD1869" s="55"/>
      <c r="AE1869" s="55"/>
      <c r="AF1869" s="55"/>
      <c r="AG1869" s="55"/>
      <c r="AH1869" s="56"/>
      <c r="AI1869" s="55"/>
      <c r="AJ1869" s="55"/>
      <c r="AK1869" s="56"/>
      <c r="AL1869" s="56"/>
    </row>
    <row r="1870" spans="1:38" ht="15.75" thickBot="1" x14ac:dyDescent="0.3">
      <c r="A1870" s="51"/>
      <c r="B1870" s="51"/>
      <c r="C1870" s="51"/>
      <c r="D1870" s="51"/>
      <c r="E1870" s="51"/>
      <c r="F1870" s="51"/>
      <c r="G1870" s="54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4"/>
      <c r="Z1870" s="53"/>
      <c r="AA1870" s="53"/>
      <c r="AB1870" s="53"/>
      <c r="AC1870" s="53"/>
      <c r="AD1870" s="53"/>
      <c r="AE1870" s="53"/>
      <c r="AF1870" s="53"/>
      <c r="AG1870" s="53"/>
      <c r="AH1870" s="54"/>
      <c r="AI1870" s="53"/>
      <c r="AJ1870" s="53"/>
      <c r="AK1870" s="54"/>
      <c r="AL1870" s="54"/>
    </row>
    <row r="1871" spans="1:38" ht="15.75" thickBot="1" x14ac:dyDescent="0.3">
      <c r="A1871" s="51"/>
      <c r="B1871" s="51"/>
      <c r="C1871" s="51"/>
      <c r="D1871" s="51"/>
      <c r="E1871" s="51"/>
      <c r="F1871" s="51"/>
      <c r="G1871" s="56"/>
      <c r="H1871" s="55"/>
      <c r="I1871" s="55"/>
      <c r="J1871" s="55"/>
      <c r="K1871" s="55"/>
      <c r="L1871" s="55"/>
      <c r="M1871" s="55"/>
      <c r="N1871" s="55"/>
      <c r="O1871" s="55"/>
      <c r="P1871" s="55"/>
      <c r="Q1871" s="55"/>
      <c r="R1871" s="55"/>
      <c r="S1871" s="55"/>
      <c r="T1871" s="55"/>
      <c r="U1871" s="55"/>
      <c r="V1871" s="55"/>
      <c r="W1871" s="55"/>
      <c r="X1871" s="55"/>
      <c r="Y1871" s="56"/>
      <c r="Z1871" s="55"/>
      <c r="AA1871" s="55"/>
      <c r="AB1871" s="55"/>
      <c r="AC1871" s="55"/>
      <c r="AD1871" s="55"/>
      <c r="AE1871" s="55"/>
      <c r="AF1871" s="55"/>
      <c r="AG1871" s="55"/>
      <c r="AH1871" s="56"/>
      <c r="AI1871" s="55"/>
      <c r="AJ1871" s="55"/>
      <c r="AK1871" s="56"/>
      <c r="AL1871" s="56"/>
    </row>
    <row r="1872" spans="1:38" ht="15.75" thickBot="1" x14ac:dyDescent="0.3">
      <c r="A1872" s="51"/>
      <c r="B1872" s="51"/>
      <c r="C1872" s="51"/>
      <c r="D1872" s="51"/>
      <c r="E1872" s="51"/>
      <c r="F1872" s="51"/>
      <c r="G1872" s="54"/>
      <c r="H1872" s="53"/>
      <c r="I1872" s="53"/>
      <c r="J1872" s="53"/>
      <c r="K1872" s="54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3"/>
      <c r="AD1872" s="53"/>
      <c r="AE1872" s="53"/>
      <c r="AF1872" s="53"/>
      <c r="AG1872" s="53"/>
      <c r="AH1872" s="54"/>
      <c r="AI1872" s="53"/>
      <c r="AJ1872" s="53"/>
      <c r="AK1872" s="54"/>
      <c r="AL1872" s="54"/>
    </row>
    <row r="1873" spans="1:38" ht="15.75" thickBot="1" x14ac:dyDescent="0.3">
      <c r="A1873" s="51"/>
      <c r="B1873" s="51"/>
      <c r="C1873" s="51"/>
      <c r="D1873" s="51"/>
      <c r="E1873" s="51"/>
      <c r="F1873" s="51"/>
      <c r="G1873" s="56"/>
      <c r="H1873" s="55"/>
      <c r="I1873" s="55"/>
      <c r="J1873" s="55"/>
      <c r="K1873" s="56"/>
      <c r="L1873" s="55"/>
      <c r="M1873" s="55"/>
      <c r="N1873" s="55"/>
      <c r="O1873" s="55"/>
      <c r="P1873" s="55"/>
      <c r="Q1873" s="55"/>
      <c r="R1873" s="55"/>
      <c r="S1873" s="55"/>
      <c r="T1873" s="55"/>
      <c r="U1873" s="55"/>
      <c r="V1873" s="55"/>
      <c r="W1873" s="55"/>
      <c r="X1873" s="55"/>
      <c r="Y1873" s="55"/>
      <c r="Z1873" s="55"/>
      <c r="AA1873" s="55"/>
      <c r="AB1873" s="55"/>
      <c r="AC1873" s="55"/>
      <c r="AD1873" s="55"/>
      <c r="AE1873" s="55"/>
      <c r="AF1873" s="55"/>
      <c r="AG1873" s="55"/>
      <c r="AH1873" s="56"/>
      <c r="AI1873" s="55"/>
      <c r="AJ1873" s="55"/>
      <c r="AK1873" s="56"/>
      <c r="AL1873" s="56"/>
    </row>
    <row r="1874" spans="1:38" ht="15.75" thickBot="1" x14ac:dyDescent="0.3">
      <c r="A1874" s="51"/>
      <c r="B1874" s="51"/>
      <c r="C1874" s="51"/>
      <c r="D1874" s="51"/>
      <c r="E1874" s="51"/>
      <c r="F1874" s="51"/>
      <c r="G1874" s="54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4"/>
      <c r="AD1874" s="53"/>
      <c r="AE1874" s="53"/>
      <c r="AF1874" s="53"/>
      <c r="AG1874" s="53"/>
      <c r="AH1874" s="54"/>
      <c r="AI1874" s="53"/>
      <c r="AJ1874" s="53"/>
      <c r="AK1874" s="54"/>
      <c r="AL1874" s="54"/>
    </row>
    <row r="1875" spans="1:38" ht="15.75" thickBot="1" x14ac:dyDescent="0.3">
      <c r="A1875" s="51"/>
      <c r="B1875" s="51"/>
      <c r="C1875" s="51"/>
      <c r="D1875" s="51"/>
      <c r="E1875" s="51"/>
      <c r="F1875" s="51"/>
      <c r="G1875" s="56"/>
      <c r="H1875" s="55"/>
      <c r="I1875" s="55"/>
      <c r="J1875" s="55"/>
      <c r="K1875" s="55"/>
      <c r="L1875" s="55"/>
      <c r="M1875" s="55"/>
      <c r="N1875" s="55"/>
      <c r="O1875" s="55"/>
      <c r="P1875" s="55"/>
      <c r="Q1875" s="55"/>
      <c r="R1875" s="55"/>
      <c r="S1875" s="55"/>
      <c r="T1875" s="55"/>
      <c r="U1875" s="55"/>
      <c r="V1875" s="55"/>
      <c r="W1875" s="55"/>
      <c r="X1875" s="55"/>
      <c r="Y1875" s="55"/>
      <c r="Z1875" s="55"/>
      <c r="AA1875" s="55"/>
      <c r="AB1875" s="55"/>
      <c r="AC1875" s="56"/>
      <c r="AD1875" s="55"/>
      <c r="AE1875" s="55"/>
      <c r="AF1875" s="55"/>
      <c r="AG1875" s="55"/>
      <c r="AH1875" s="56"/>
      <c r="AI1875" s="55"/>
      <c r="AJ1875" s="55"/>
      <c r="AK1875" s="56"/>
      <c r="AL1875" s="56"/>
    </row>
    <row r="1876" spans="1:38" ht="15.75" thickBot="1" x14ac:dyDescent="0.3">
      <c r="A1876" s="51"/>
      <c r="B1876" s="51"/>
      <c r="C1876" s="51"/>
      <c r="D1876" s="51"/>
      <c r="E1876" s="51"/>
      <c r="F1876" s="51"/>
      <c r="G1876" s="54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4"/>
      <c r="U1876" s="53"/>
      <c r="V1876" s="53"/>
      <c r="W1876" s="53"/>
      <c r="X1876" s="53"/>
      <c r="Y1876" s="53"/>
      <c r="Z1876" s="53"/>
      <c r="AA1876" s="53"/>
      <c r="AB1876" s="53"/>
      <c r="AC1876" s="53"/>
      <c r="AD1876" s="53"/>
      <c r="AE1876" s="53"/>
      <c r="AF1876" s="53"/>
      <c r="AG1876" s="53"/>
      <c r="AH1876" s="54"/>
      <c r="AI1876" s="53"/>
      <c r="AJ1876" s="53"/>
      <c r="AK1876" s="54"/>
      <c r="AL1876" s="54"/>
    </row>
    <row r="1877" spans="1:38" ht="15.75" thickBot="1" x14ac:dyDescent="0.3">
      <c r="A1877" s="51"/>
      <c r="B1877" s="51"/>
      <c r="C1877" s="51"/>
      <c r="D1877" s="51"/>
      <c r="E1877" s="51"/>
      <c r="F1877" s="51"/>
      <c r="G1877" s="56"/>
      <c r="H1877" s="55"/>
      <c r="I1877" s="55"/>
      <c r="J1877" s="55"/>
      <c r="K1877" s="55"/>
      <c r="L1877" s="55"/>
      <c r="M1877" s="55"/>
      <c r="N1877" s="55"/>
      <c r="O1877" s="55"/>
      <c r="P1877" s="55"/>
      <c r="Q1877" s="55"/>
      <c r="R1877" s="55"/>
      <c r="S1877" s="55"/>
      <c r="T1877" s="56"/>
      <c r="U1877" s="55"/>
      <c r="V1877" s="55"/>
      <c r="W1877" s="55"/>
      <c r="X1877" s="55"/>
      <c r="Y1877" s="55"/>
      <c r="Z1877" s="55"/>
      <c r="AA1877" s="55"/>
      <c r="AB1877" s="55"/>
      <c r="AC1877" s="55"/>
      <c r="AD1877" s="55"/>
      <c r="AE1877" s="55"/>
      <c r="AF1877" s="55"/>
      <c r="AG1877" s="55"/>
      <c r="AH1877" s="56"/>
      <c r="AI1877" s="55"/>
      <c r="AJ1877" s="55"/>
      <c r="AK1877" s="56"/>
      <c r="AL1877" s="56"/>
    </row>
    <row r="1878" spans="1:38" ht="15.75" thickBot="1" x14ac:dyDescent="0.3">
      <c r="A1878" s="51"/>
      <c r="B1878" s="51"/>
      <c r="C1878" s="51"/>
      <c r="D1878" s="51"/>
      <c r="E1878" s="51"/>
      <c r="F1878" s="51"/>
      <c r="G1878" s="54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  <c r="U1878" s="54"/>
      <c r="V1878" s="53"/>
      <c r="W1878" s="53"/>
      <c r="X1878" s="53"/>
      <c r="Y1878" s="53"/>
      <c r="Z1878" s="53"/>
      <c r="AA1878" s="53"/>
      <c r="AB1878" s="53"/>
      <c r="AC1878" s="53"/>
      <c r="AD1878" s="53"/>
      <c r="AE1878" s="53"/>
      <c r="AF1878" s="53"/>
      <c r="AG1878" s="53"/>
      <c r="AH1878" s="54"/>
      <c r="AI1878" s="53"/>
      <c r="AJ1878" s="53"/>
      <c r="AK1878" s="54"/>
      <c r="AL1878" s="54"/>
    </row>
    <row r="1879" spans="1:38" ht="15.75" thickBot="1" x14ac:dyDescent="0.3">
      <c r="A1879" s="51"/>
      <c r="B1879" s="51"/>
      <c r="C1879" s="51"/>
      <c r="D1879" s="51"/>
      <c r="E1879" s="51"/>
      <c r="F1879" s="51"/>
      <c r="G1879" s="56"/>
      <c r="H1879" s="55"/>
      <c r="I1879" s="55"/>
      <c r="J1879" s="55"/>
      <c r="K1879" s="55"/>
      <c r="L1879" s="55"/>
      <c r="M1879" s="55"/>
      <c r="N1879" s="55"/>
      <c r="O1879" s="55"/>
      <c r="P1879" s="55"/>
      <c r="Q1879" s="55"/>
      <c r="R1879" s="55"/>
      <c r="S1879" s="55"/>
      <c r="T1879" s="55"/>
      <c r="U1879" s="56"/>
      <c r="V1879" s="55"/>
      <c r="W1879" s="55"/>
      <c r="X1879" s="55"/>
      <c r="Y1879" s="55"/>
      <c r="Z1879" s="55"/>
      <c r="AA1879" s="55"/>
      <c r="AB1879" s="55"/>
      <c r="AC1879" s="55"/>
      <c r="AD1879" s="55"/>
      <c r="AE1879" s="55"/>
      <c r="AF1879" s="55"/>
      <c r="AG1879" s="55"/>
      <c r="AH1879" s="56"/>
      <c r="AI1879" s="55"/>
      <c r="AJ1879" s="55"/>
      <c r="AK1879" s="56"/>
      <c r="AL1879" s="56"/>
    </row>
    <row r="1880" spans="1:38" ht="15.75" thickBot="1" x14ac:dyDescent="0.3">
      <c r="A1880" s="51"/>
      <c r="B1880" s="51"/>
      <c r="C1880" s="51"/>
      <c r="D1880" s="51"/>
      <c r="E1880" s="51"/>
      <c r="F1880" s="51"/>
      <c r="G1880" s="54"/>
      <c r="H1880" s="53"/>
      <c r="I1880" s="53"/>
      <c r="J1880" s="53"/>
      <c r="K1880" s="54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3"/>
      <c r="AD1880" s="53"/>
      <c r="AE1880" s="53"/>
      <c r="AF1880" s="53"/>
      <c r="AG1880" s="53"/>
      <c r="AH1880" s="54"/>
      <c r="AI1880" s="53"/>
      <c r="AJ1880" s="53"/>
      <c r="AK1880" s="54"/>
      <c r="AL1880" s="54"/>
    </row>
    <row r="1881" spans="1:38" ht="15.75" thickBot="1" x14ac:dyDescent="0.3">
      <c r="A1881" s="51"/>
      <c r="B1881" s="51"/>
      <c r="C1881" s="51"/>
      <c r="D1881" s="51"/>
      <c r="E1881" s="51"/>
      <c r="F1881" s="51"/>
      <c r="G1881" s="56"/>
      <c r="H1881" s="55"/>
      <c r="I1881" s="55"/>
      <c r="J1881" s="55"/>
      <c r="K1881" s="56"/>
      <c r="L1881" s="55"/>
      <c r="M1881" s="55"/>
      <c r="N1881" s="55"/>
      <c r="O1881" s="55"/>
      <c r="P1881" s="55"/>
      <c r="Q1881" s="55"/>
      <c r="R1881" s="55"/>
      <c r="S1881" s="55"/>
      <c r="T1881" s="55"/>
      <c r="U1881" s="55"/>
      <c r="V1881" s="55"/>
      <c r="W1881" s="55"/>
      <c r="X1881" s="55"/>
      <c r="Y1881" s="55"/>
      <c r="Z1881" s="55"/>
      <c r="AA1881" s="55"/>
      <c r="AB1881" s="55"/>
      <c r="AC1881" s="55"/>
      <c r="AD1881" s="55"/>
      <c r="AE1881" s="55"/>
      <c r="AF1881" s="55"/>
      <c r="AG1881" s="55"/>
      <c r="AH1881" s="56"/>
      <c r="AI1881" s="55"/>
      <c r="AJ1881" s="55"/>
      <c r="AK1881" s="56"/>
      <c r="AL1881" s="56"/>
    </row>
    <row r="1882" spans="1:38" ht="15.75" thickBot="1" x14ac:dyDescent="0.3">
      <c r="A1882" s="51"/>
      <c r="B1882" s="51"/>
      <c r="C1882" s="51"/>
      <c r="D1882" s="51"/>
      <c r="E1882" s="51"/>
      <c r="F1882" s="51"/>
      <c r="G1882" s="54"/>
      <c r="H1882" s="53"/>
      <c r="I1882" s="53"/>
      <c r="J1882" s="53"/>
      <c r="K1882" s="54"/>
      <c r="L1882" s="53"/>
      <c r="M1882" s="53"/>
      <c r="N1882" s="53"/>
      <c r="O1882" s="53"/>
      <c r="P1882" s="53"/>
      <c r="Q1882" s="53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53"/>
      <c r="AC1882" s="53"/>
      <c r="AD1882" s="53"/>
      <c r="AE1882" s="53"/>
      <c r="AF1882" s="53"/>
      <c r="AG1882" s="53"/>
      <c r="AH1882" s="54"/>
      <c r="AI1882" s="53"/>
      <c r="AJ1882" s="53"/>
      <c r="AK1882" s="54"/>
      <c r="AL1882" s="54"/>
    </row>
    <row r="1883" spans="1:38" ht="15.75" thickBot="1" x14ac:dyDescent="0.3">
      <c r="A1883" s="51"/>
      <c r="B1883" s="51"/>
      <c r="C1883" s="51"/>
      <c r="D1883" s="51"/>
      <c r="E1883" s="51"/>
      <c r="F1883" s="51"/>
      <c r="G1883" s="56"/>
      <c r="H1883" s="55"/>
      <c r="I1883" s="55"/>
      <c r="J1883" s="55"/>
      <c r="K1883" s="56"/>
      <c r="L1883" s="55"/>
      <c r="M1883" s="55"/>
      <c r="N1883" s="55"/>
      <c r="O1883" s="55"/>
      <c r="P1883" s="55"/>
      <c r="Q1883" s="55"/>
      <c r="R1883" s="55"/>
      <c r="S1883" s="55"/>
      <c r="T1883" s="55"/>
      <c r="U1883" s="55"/>
      <c r="V1883" s="55"/>
      <c r="W1883" s="55"/>
      <c r="X1883" s="55"/>
      <c r="Y1883" s="55"/>
      <c r="Z1883" s="55"/>
      <c r="AA1883" s="55"/>
      <c r="AB1883" s="55"/>
      <c r="AC1883" s="55"/>
      <c r="AD1883" s="55"/>
      <c r="AE1883" s="55"/>
      <c r="AF1883" s="55"/>
      <c r="AG1883" s="55"/>
      <c r="AH1883" s="56"/>
      <c r="AI1883" s="55"/>
      <c r="AJ1883" s="55"/>
      <c r="AK1883" s="56"/>
      <c r="AL1883" s="56"/>
    </row>
    <row r="1884" spans="1:38" ht="15.75" thickBot="1" x14ac:dyDescent="0.3">
      <c r="A1884" s="51"/>
      <c r="B1884" s="51"/>
      <c r="C1884" s="51"/>
      <c r="D1884" s="51"/>
      <c r="E1884" s="51"/>
      <c r="F1884" s="51"/>
      <c r="G1884" s="54"/>
      <c r="H1884" s="54"/>
      <c r="I1884" s="53"/>
      <c r="J1884" s="53"/>
      <c r="K1884" s="53"/>
      <c r="L1884" s="53"/>
      <c r="M1884" s="54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3"/>
      <c r="AD1884" s="53"/>
      <c r="AE1884" s="53"/>
      <c r="AF1884" s="53"/>
      <c r="AG1884" s="53"/>
      <c r="AH1884" s="54"/>
      <c r="AI1884" s="53"/>
      <c r="AJ1884" s="53"/>
      <c r="AK1884" s="54"/>
      <c r="AL1884" s="54"/>
    </row>
    <row r="1885" spans="1:38" ht="15.75" thickBot="1" x14ac:dyDescent="0.3">
      <c r="A1885" s="51"/>
      <c r="B1885" s="51"/>
      <c r="C1885" s="51"/>
      <c r="D1885" s="51"/>
      <c r="E1885" s="51"/>
      <c r="F1885" s="51"/>
      <c r="G1885" s="56"/>
      <c r="H1885" s="148"/>
      <c r="I1885" s="55"/>
      <c r="J1885" s="55"/>
      <c r="K1885" s="55"/>
      <c r="L1885" s="55"/>
      <c r="M1885" s="56"/>
      <c r="N1885" s="55"/>
      <c r="O1885" s="55"/>
      <c r="P1885" s="55"/>
      <c r="Q1885" s="55"/>
      <c r="R1885" s="55"/>
      <c r="S1885" s="55"/>
      <c r="T1885" s="55"/>
      <c r="U1885" s="55"/>
      <c r="V1885" s="55"/>
      <c r="W1885" s="55"/>
      <c r="X1885" s="55"/>
      <c r="Y1885" s="55"/>
      <c r="Z1885" s="55"/>
      <c r="AA1885" s="55"/>
      <c r="AB1885" s="55"/>
      <c r="AC1885" s="55"/>
      <c r="AD1885" s="55"/>
      <c r="AE1885" s="55"/>
      <c r="AF1885" s="55"/>
      <c r="AG1885" s="55"/>
      <c r="AH1885" s="56"/>
      <c r="AI1885" s="55"/>
      <c r="AJ1885" s="55"/>
      <c r="AK1885" s="56"/>
      <c r="AL1885" s="56"/>
    </row>
    <row r="1886" spans="1:38" ht="15.75" thickBot="1" x14ac:dyDescent="0.3">
      <c r="A1886" s="51"/>
      <c r="B1886" s="51"/>
      <c r="C1886" s="51"/>
      <c r="D1886" s="51"/>
      <c r="E1886" s="51"/>
      <c r="F1886" s="51"/>
      <c r="G1886" s="54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  <c r="U1886" s="53"/>
      <c r="V1886" s="53"/>
      <c r="W1886" s="53"/>
      <c r="X1886" s="53"/>
      <c r="Y1886" s="53"/>
      <c r="Z1886" s="54"/>
      <c r="AA1886" s="53"/>
      <c r="AB1886" s="53"/>
      <c r="AC1886" s="53"/>
      <c r="AD1886" s="53"/>
      <c r="AE1886" s="53"/>
      <c r="AF1886" s="53"/>
      <c r="AG1886" s="53"/>
      <c r="AH1886" s="54"/>
      <c r="AI1886" s="53"/>
      <c r="AJ1886" s="53"/>
      <c r="AK1886" s="54"/>
      <c r="AL1886" s="54"/>
    </row>
    <row r="1887" spans="1:38" ht="15.75" thickBot="1" x14ac:dyDescent="0.3">
      <c r="A1887" s="51"/>
      <c r="B1887" s="51"/>
      <c r="C1887" s="51"/>
      <c r="D1887" s="51"/>
      <c r="E1887" s="51"/>
      <c r="F1887" s="51"/>
      <c r="G1887" s="56"/>
      <c r="H1887" s="55"/>
      <c r="I1887" s="55"/>
      <c r="J1887" s="55"/>
      <c r="K1887" s="55"/>
      <c r="L1887" s="55"/>
      <c r="M1887" s="55"/>
      <c r="N1887" s="55"/>
      <c r="O1887" s="55"/>
      <c r="P1887" s="55"/>
      <c r="Q1887" s="55"/>
      <c r="R1887" s="55"/>
      <c r="S1887" s="55"/>
      <c r="T1887" s="55"/>
      <c r="U1887" s="55"/>
      <c r="V1887" s="55"/>
      <c r="W1887" s="55"/>
      <c r="X1887" s="55"/>
      <c r="Y1887" s="55"/>
      <c r="Z1887" s="56"/>
      <c r="AA1887" s="55"/>
      <c r="AB1887" s="55"/>
      <c r="AC1887" s="55"/>
      <c r="AD1887" s="55"/>
      <c r="AE1887" s="55"/>
      <c r="AF1887" s="55"/>
      <c r="AG1887" s="55"/>
      <c r="AH1887" s="56"/>
      <c r="AI1887" s="55"/>
      <c r="AJ1887" s="55"/>
      <c r="AK1887" s="56"/>
      <c r="AL1887" s="56"/>
    </row>
    <row r="1888" spans="1:38" ht="15.75" thickBot="1" x14ac:dyDescent="0.3">
      <c r="A1888" s="51"/>
      <c r="B1888" s="51"/>
      <c r="C1888" s="51"/>
      <c r="D1888" s="51"/>
      <c r="E1888" s="51"/>
      <c r="F1888" s="51"/>
      <c r="G1888" s="54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4"/>
      <c r="AB1888" s="53"/>
      <c r="AC1888" s="53"/>
      <c r="AD1888" s="53"/>
      <c r="AE1888" s="53"/>
      <c r="AF1888" s="53"/>
      <c r="AG1888" s="53"/>
      <c r="AH1888" s="54"/>
      <c r="AI1888" s="53"/>
      <c r="AJ1888" s="53"/>
      <c r="AK1888" s="54"/>
      <c r="AL1888" s="54"/>
    </row>
    <row r="1889" spans="1:38" ht="15.75" thickBot="1" x14ac:dyDescent="0.3">
      <c r="A1889" s="51"/>
      <c r="B1889" s="51"/>
      <c r="C1889" s="51"/>
      <c r="D1889" s="51"/>
      <c r="E1889" s="51"/>
      <c r="F1889" s="51"/>
      <c r="G1889" s="56"/>
      <c r="H1889" s="55"/>
      <c r="I1889" s="55"/>
      <c r="J1889" s="55"/>
      <c r="K1889" s="55"/>
      <c r="L1889" s="55"/>
      <c r="M1889" s="55"/>
      <c r="N1889" s="55"/>
      <c r="O1889" s="55"/>
      <c r="P1889" s="55"/>
      <c r="Q1889" s="55"/>
      <c r="R1889" s="55"/>
      <c r="S1889" s="55"/>
      <c r="T1889" s="55"/>
      <c r="U1889" s="55"/>
      <c r="V1889" s="55"/>
      <c r="W1889" s="55"/>
      <c r="X1889" s="55"/>
      <c r="Y1889" s="55"/>
      <c r="Z1889" s="55"/>
      <c r="AA1889" s="56"/>
      <c r="AB1889" s="55"/>
      <c r="AC1889" s="55"/>
      <c r="AD1889" s="55"/>
      <c r="AE1889" s="55"/>
      <c r="AF1889" s="55"/>
      <c r="AG1889" s="55"/>
      <c r="AH1889" s="56"/>
      <c r="AI1889" s="55"/>
      <c r="AJ1889" s="55"/>
      <c r="AK1889" s="56"/>
      <c r="AL1889" s="56"/>
    </row>
    <row r="1890" spans="1:38" ht="15.75" thickBot="1" x14ac:dyDescent="0.3">
      <c r="A1890" s="51"/>
      <c r="B1890" s="51"/>
      <c r="C1890" s="51"/>
      <c r="D1890" s="51"/>
      <c r="E1890" s="51"/>
      <c r="F1890" s="51"/>
      <c r="G1890" s="54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  <c r="U1890" s="53"/>
      <c r="V1890" s="53"/>
      <c r="W1890" s="53"/>
      <c r="X1890" s="53"/>
      <c r="Y1890" s="54"/>
      <c r="Z1890" s="53"/>
      <c r="AA1890" s="53"/>
      <c r="AB1890" s="53"/>
      <c r="AC1890" s="53"/>
      <c r="AD1890" s="53"/>
      <c r="AE1890" s="53"/>
      <c r="AF1890" s="53"/>
      <c r="AG1890" s="53"/>
      <c r="AH1890" s="54"/>
      <c r="AI1890" s="53"/>
      <c r="AJ1890" s="53"/>
      <c r="AK1890" s="54"/>
      <c r="AL1890" s="54"/>
    </row>
    <row r="1891" spans="1:38" ht="15.75" thickBot="1" x14ac:dyDescent="0.3">
      <c r="A1891" s="51"/>
      <c r="B1891" s="51"/>
      <c r="C1891" s="51"/>
      <c r="D1891" s="51"/>
      <c r="E1891" s="51"/>
      <c r="F1891" s="51"/>
      <c r="G1891" s="56"/>
      <c r="H1891" s="55"/>
      <c r="I1891" s="55"/>
      <c r="J1891" s="55"/>
      <c r="K1891" s="55"/>
      <c r="L1891" s="55"/>
      <c r="M1891" s="55"/>
      <c r="N1891" s="55"/>
      <c r="O1891" s="55"/>
      <c r="P1891" s="55"/>
      <c r="Q1891" s="55"/>
      <c r="R1891" s="55"/>
      <c r="S1891" s="55"/>
      <c r="T1891" s="55"/>
      <c r="U1891" s="55"/>
      <c r="V1891" s="55"/>
      <c r="W1891" s="55"/>
      <c r="X1891" s="55"/>
      <c r="Y1891" s="56"/>
      <c r="Z1891" s="55"/>
      <c r="AA1891" s="55"/>
      <c r="AB1891" s="55"/>
      <c r="AC1891" s="55"/>
      <c r="AD1891" s="55"/>
      <c r="AE1891" s="55"/>
      <c r="AF1891" s="55"/>
      <c r="AG1891" s="55"/>
      <c r="AH1891" s="56"/>
      <c r="AI1891" s="55"/>
      <c r="AJ1891" s="55"/>
      <c r="AK1891" s="56"/>
      <c r="AL1891" s="56"/>
    </row>
    <row r="1892" spans="1:38" ht="15.75" thickBot="1" x14ac:dyDescent="0.3">
      <c r="A1892" s="51"/>
      <c r="B1892" s="51"/>
      <c r="C1892" s="51"/>
      <c r="D1892" s="51"/>
      <c r="E1892" s="51"/>
      <c r="F1892" s="51"/>
      <c r="G1892" s="54"/>
      <c r="H1892" s="53"/>
      <c r="I1892" s="53"/>
      <c r="J1892" s="53"/>
      <c r="K1892" s="54"/>
      <c r="L1892" s="53"/>
      <c r="M1892" s="53"/>
      <c r="N1892" s="53"/>
      <c r="O1892" s="53"/>
      <c r="P1892" s="53"/>
      <c r="Q1892" s="53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3"/>
      <c r="AD1892" s="53"/>
      <c r="AE1892" s="53"/>
      <c r="AF1892" s="53"/>
      <c r="AG1892" s="53"/>
      <c r="AH1892" s="54"/>
      <c r="AI1892" s="53"/>
      <c r="AJ1892" s="53"/>
      <c r="AK1892" s="54"/>
      <c r="AL1892" s="54"/>
    </row>
    <row r="1893" spans="1:38" ht="15.75" thickBot="1" x14ac:dyDescent="0.3">
      <c r="A1893" s="51"/>
      <c r="B1893" s="51"/>
      <c r="C1893" s="51"/>
      <c r="D1893" s="51"/>
      <c r="E1893" s="51"/>
      <c r="F1893" s="51"/>
      <c r="G1893" s="56"/>
      <c r="H1893" s="55"/>
      <c r="I1893" s="55"/>
      <c r="J1893" s="55"/>
      <c r="K1893" s="56"/>
      <c r="L1893" s="55"/>
      <c r="M1893" s="55"/>
      <c r="N1893" s="55"/>
      <c r="O1893" s="55"/>
      <c r="P1893" s="55"/>
      <c r="Q1893" s="55"/>
      <c r="R1893" s="55"/>
      <c r="S1893" s="55"/>
      <c r="T1893" s="55"/>
      <c r="U1893" s="55"/>
      <c r="V1893" s="55"/>
      <c r="W1893" s="55"/>
      <c r="X1893" s="55"/>
      <c r="Y1893" s="55"/>
      <c r="Z1893" s="55"/>
      <c r="AA1893" s="55"/>
      <c r="AB1893" s="55"/>
      <c r="AC1893" s="55"/>
      <c r="AD1893" s="55"/>
      <c r="AE1893" s="55"/>
      <c r="AF1893" s="55"/>
      <c r="AG1893" s="55"/>
      <c r="AH1893" s="56"/>
      <c r="AI1893" s="55"/>
      <c r="AJ1893" s="55"/>
      <c r="AK1893" s="56"/>
      <c r="AL1893" s="56"/>
    </row>
    <row r="1894" spans="1:38" ht="15.75" thickBot="1" x14ac:dyDescent="0.3">
      <c r="A1894" s="51"/>
      <c r="B1894" s="51"/>
      <c r="C1894" s="51"/>
      <c r="D1894" s="51"/>
      <c r="E1894" s="51"/>
      <c r="F1894" s="51"/>
      <c r="G1894" s="54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4"/>
      <c r="AD1894" s="53"/>
      <c r="AE1894" s="53"/>
      <c r="AF1894" s="53"/>
      <c r="AG1894" s="53"/>
      <c r="AH1894" s="54"/>
      <c r="AI1894" s="53"/>
      <c r="AJ1894" s="53"/>
      <c r="AK1894" s="54"/>
      <c r="AL1894" s="54"/>
    </row>
    <row r="1895" spans="1:38" ht="15.75" thickBot="1" x14ac:dyDescent="0.3">
      <c r="A1895" s="51"/>
      <c r="B1895" s="51"/>
      <c r="C1895" s="51"/>
      <c r="D1895" s="51"/>
      <c r="E1895" s="51"/>
      <c r="F1895" s="51"/>
      <c r="G1895" s="56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5"/>
      <c r="S1895" s="55"/>
      <c r="T1895" s="55"/>
      <c r="U1895" s="55"/>
      <c r="V1895" s="55"/>
      <c r="W1895" s="55"/>
      <c r="X1895" s="55"/>
      <c r="Y1895" s="55"/>
      <c r="Z1895" s="55"/>
      <c r="AA1895" s="55"/>
      <c r="AB1895" s="55"/>
      <c r="AC1895" s="56"/>
      <c r="AD1895" s="55"/>
      <c r="AE1895" s="55"/>
      <c r="AF1895" s="55"/>
      <c r="AG1895" s="55"/>
      <c r="AH1895" s="56"/>
      <c r="AI1895" s="55"/>
      <c r="AJ1895" s="55"/>
      <c r="AK1895" s="56"/>
      <c r="AL1895" s="56"/>
    </row>
    <row r="1896" spans="1:38" ht="15.75" thickBot="1" x14ac:dyDescent="0.3">
      <c r="A1896" s="51"/>
      <c r="B1896" s="51"/>
      <c r="C1896" s="51"/>
      <c r="D1896" s="51"/>
      <c r="E1896" s="51"/>
      <c r="F1896" s="51"/>
      <c r="G1896" s="54"/>
      <c r="H1896" s="53"/>
      <c r="I1896" s="53"/>
      <c r="J1896" s="53"/>
      <c r="K1896" s="54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53"/>
      <c r="AC1896" s="53"/>
      <c r="AD1896" s="53"/>
      <c r="AE1896" s="53"/>
      <c r="AF1896" s="53"/>
      <c r="AG1896" s="53"/>
      <c r="AH1896" s="54"/>
      <c r="AI1896" s="53"/>
      <c r="AJ1896" s="53"/>
      <c r="AK1896" s="54"/>
      <c r="AL1896" s="54"/>
    </row>
    <row r="1897" spans="1:38" ht="15.75" thickBot="1" x14ac:dyDescent="0.3">
      <c r="A1897" s="51"/>
      <c r="B1897" s="51"/>
      <c r="C1897" s="51"/>
      <c r="D1897" s="51"/>
      <c r="E1897" s="51"/>
      <c r="F1897" s="51"/>
      <c r="G1897" s="56"/>
      <c r="H1897" s="55"/>
      <c r="I1897" s="55"/>
      <c r="J1897" s="55"/>
      <c r="K1897" s="56"/>
      <c r="L1897" s="55"/>
      <c r="M1897" s="55"/>
      <c r="N1897" s="55"/>
      <c r="O1897" s="55"/>
      <c r="P1897" s="55"/>
      <c r="Q1897" s="55"/>
      <c r="R1897" s="55"/>
      <c r="S1897" s="55"/>
      <c r="T1897" s="55"/>
      <c r="U1897" s="55"/>
      <c r="V1897" s="55"/>
      <c r="W1897" s="55"/>
      <c r="X1897" s="55"/>
      <c r="Y1897" s="55"/>
      <c r="Z1897" s="55"/>
      <c r="AA1897" s="55"/>
      <c r="AB1897" s="55"/>
      <c r="AC1897" s="55"/>
      <c r="AD1897" s="55"/>
      <c r="AE1897" s="55"/>
      <c r="AF1897" s="55"/>
      <c r="AG1897" s="55"/>
      <c r="AH1897" s="56"/>
      <c r="AI1897" s="55"/>
      <c r="AJ1897" s="55"/>
      <c r="AK1897" s="56"/>
      <c r="AL1897" s="56"/>
    </row>
    <row r="1898" spans="1:38" ht="15.75" thickBot="1" x14ac:dyDescent="0.3">
      <c r="A1898" s="51"/>
      <c r="B1898" s="51"/>
      <c r="C1898" s="51"/>
      <c r="D1898" s="51"/>
      <c r="E1898" s="51"/>
      <c r="F1898" s="51"/>
      <c r="G1898" s="54"/>
      <c r="H1898" s="54"/>
      <c r="I1898" s="53"/>
      <c r="J1898" s="53"/>
      <c r="K1898" s="53"/>
      <c r="L1898" s="53"/>
      <c r="M1898" s="54"/>
      <c r="N1898" s="53"/>
      <c r="O1898" s="53"/>
      <c r="P1898" s="53"/>
      <c r="Q1898" s="53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3"/>
      <c r="AD1898" s="53"/>
      <c r="AE1898" s="53"/>
      <c r="AF1898" s="53"/>
      <c r="AG1898" s="53"/>
      <c r="AH1898" s="54"/>
      <c r="AI1898" s="53"/>
      <c r="AJ1898" s="53"/>
      <c r="AK1898" s="54"/>
      <c r="AL1898" s="54"/>
    </row>
    <row r="1899" spans="1:38" ht="15.75" thickBot="1" x14ac:dyDescent="0.3">
      <c r="A1899" s="51"/>
      <c r="B1899" s="51"/>
      <c r="C1899" s="51"/>
      <c r="D1899" s="51"/>
      <c r="E1899" s="51"/>
      <c r="F1899" s="51"/>
      <c r="G1899" s="56"/>
      <c r="H1899" s="148"/>
      <c r="I1899" s="55"/>
      <c r="J1899" s="55"/>
      <c r="K1899" s="55"/>
      <c r="L1899" s="55"/>
      <c r="M1899" s="56"/>
      <c r="N1899" s="55"/>
      <c r="O1899" s="55"/>
      <c r="P1899" s="55"/>
      <c r="Q1899" s="55"/>
      <c r="R1899" s="55"/>
      <c r="S1899" s="55"/>
      <c r="T1899" s="55"/>
      <c r="U1899" s="55"/>
      <c r="V1899" s="55"/>
      <c r="W1899" s="55"/>
      <c r="X1899" s="55"/>
      <c r="Y1899" s="55"/>
      <c r="Z1899" s="55"/>
      <c r="AA1899" s="55"/>
      <c r="AB1899" s="55"/>
      <c r="AC1899" s="55"/>
      <c r="AD1899" s="55"/>
      <c r="AE1899" s="55"/>
      <c r="AF1899" s="55"/>
      <c r="AG1899" s="55"/>
      <c r="AH1899" s="56"/>
      <c r="AI1899" s="55"/>
      <c r="AJ1899" s="55"/>
      <c r="AK1899" s="56"/>
      <c r="AL1899" s="56"/>
    </row>
    <row r="1900" spans="1:38" ht="15.75" thickBot="1" x14ac:dyDescent="0.3">
      <c r="A1900" s="51"/>
      <c r="B1900" s="51"/>
      <c r="C1900" s="51"/>
      <c r="D1900" s="51"/>
      <c r="E1900" s="51"/>
      <c r="F1900" s="51"/>
      <c r="G1900" s="54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  <c r="U1900" s="53"/>
      <c r="V1900" s="53"/>
      <c r="W1900" s="53"/>
      <c r="X1900" s="53"/>
      <c r="Y1900" s="53"/>
      <c r="Z1900" s="54"/>
      <c r="AA1900" s="53"/>
      <c r="AB1900" s="53"/>
      <c r="AC1900" s="53"/>
      <c r="AD1900" s="53"/>
      <c r="AE1900" s="53"/>
      <c r="AF1900" s="53"/>
      <c r="AG1900" s="53"/>
      <c r="AH1900" s="54"/>
      <c r="AI1900" s="53"/>
      <c r="AJ1900" s="53"/>
      <c r="AK1900" s="54"/>
      <c r="AL1900" s="54"/>
    </row>
    <row r="1901" spans="1:38" ht="15.75" thickBot="1" x14ac:dyDescent="0.3">
      <c r="A1901" s="51"/>
      <c r="B1901" s="51"/>
      <c r="C1901" s="51"/>
      <c r="D1901" s="51"/>
      <c r="E1901" s="51"/>
      <c r="F1901" s="51"/>
      <c r="G1901" s="56"/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5"/>
      <c r="S1901" s="55"/>
      <c r="T1901" s="55"/>
      <c r="U1901" s="55"/>
      <c r="V1901" s="55"/>
      <c r="W1901" s="55"/>
      <c r="X1901" s="55"/>
      <c r="Y1901" s="55"/>
      <c r="Z1901" s="56"/>
      <c r="AA1901" s="55"/>
      <c r="AB1901" s="55"/>
      <c r="AC1901" s="55"/>
      <c r="AD1901" s="55"/>
      <c r="AE1901" s="55"/>
      <c r="AF1901" s="55"/>
      <c r="AG1901" s="55"/>
      <c r="AH1901" s="56"/>
      <c r="AI1901" s="55"/>
      <c r="AJ1901" s="55"/>
      <c r="AK1901" s="56"/>
      <c r="AL1901" s="56"/>
    </row>
    <row r="1902" spans="1:38" ht="15.75" thickBot="1" x14ac:dyDescent="0.3">
      <c r="A1902" s="51"/>
      <c r="B1902" s="51"/>
      <c r="C1902" s="51"/>
      <c r="D1902" s="51"/>
      <c r="E1902" s="51"/>
      <c r="F1902" s="51"/>
      <c r="G1902" s="54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4"/>
      <c r="AB1902" s="53"/>
      <c r="AC1902" s="53"/>
      <c r="AD1902" s="53"/>
      <c r="AE1902" s="53"/>
      <c r="AF1902" s="53"/>
      <c r="AG1902" s="53"/>
      <c r="AH1902" s="54"/>
      <c r="AI1902" s="53"/>
      <c r="AJ1902" s="53"/>
      <c r="AK1902" s="54"/>
      <c r="AL1902" s="54"/>
    </row>
    <row r="1903" spans="1:38" ht="15.75" thickBot="1" x14ac:dyDescent="0.3">
      <c r="A1903" s="51"/>
      <c r="B1903" s="51"/>
      <c r="C1903" s="51"/>
      <c r="D1903" s="51"/>
      <c r="E1903" s="51"/>
      <c r="F1903" s="51"/>
      <c r="G1903" s="56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/>
      <c r="S1903" s="55"/>
      <c r="T1903" s="55"/>
      <c r="U1903" s="55"/>
      <c r="V1903" s="55"/>
      <c r="W1903" s="55"/>
      <c r="X1903" s="55"/>
      <c r="Y1903" s="55"/>
      <c r="Z1903" s="55"/>
      <c r="AA1903" s="56"/>
      <c r="AB1903" s="55"/>
      <c r="AC1903" s="55"/>
      <c r="AD1903" s="55"/>
      <c r="AE1903" s="55"/>
      <c r="AF1903" s="55"/>
      <c r="AG1903" s="55"/>
      <c r="AH1903" s="56"/>
      <c r="AI1903" s="55"/>
      <c r="AJ1903" s="55"/>
      <c r="AK1903" s="56"/>
      <c r="AL1903" s="56"/>
    </row>
    <row r="1904" spans="1:38" ht="15.75" thickBot="1" x14ac:dyDescent="0.3">
      <c r="A1904" s="51"/>
      <c r="B1904" s="51"/>
      <c r="C1904" s="51"/>
      <c r="D1904" s="51"/>
      <c r="E1904" s="51"/>
      <c r="F1904" s="51"/>
      <c r="G1904" s="54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4"/>
      <c r="Z1904" s="53"/>
      <c r="AA1904" s="53"/>
      <c r="AB1904" s="53"/>
      <c r="AC1904" s="53"/>
      <c r="AD1904" s="53"/>
      <c r="AE1904" s="53"/>
      <c r="AF1904" s="53"/>
      <c r="AG1904" s="53"/>
      <c r="AH1904" s="54"/>
      <c r="AI1904" s="53"/>
      <c r="AJ1904" s="53"/>
      <c r="AK1904" s="54"/>
      <c r="AL1904" s="54"/>
    </row>
    <row r="1905" spans="1:38" ht="15.75" thickBot="1" x14ac:dyDescent="0.3">
      <c r="A1905" s="51"/>
      <c r="B1905" s="51"/>
      <c r="C1905" s="51"/>
      <c r="D1905" s="51"/>
      <c r="E1905" s="51"/>
      <c r="F1905" s="51"/>
      <c r="G1905" s="56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5"/>
      <c r="S1905" s="55"/>
      <c r="T1905" s="55"/>
      <c r="U1905" s="55"/>
      <c r="V1905" s="55"/>
      <c r="W1905" s="55"/>
      <c r="X1905" s="55"/>
      <c r="Y1905" s="56"/>
      <c r="Z1905" s="55"/>
      <c r="AA1905" s="55"/>
      <c r="AB1905" s="55"/>
      <c r="AC1905" s="55"/>
      <c r="AD1905" s="55"/>
      <c r="AE1905" s="55"/>
      <c r="AF1905" s="55"/>
      <c r="AG1905" s="55"/>
      <c r="AH1905" s="56"/>
      <c r="AI1905" s="55"/>
      <c r="AJ1905" s="55"/>
      <c r="AK1905" s="56"/>
      <c r="AL1905" s="56"/>
    </row>
    <row r="1906" spans="1:38" ht="15.75" thickBot="1" x14ac:dyDescent="0.3">
      <c r="A1906" s="51"/>
      <c r="B1906" s="51"/>
      <c r="C1906" s="51"/>
      <c r="D1906" s="51"/>
      <c r="E1906" s="51"/>
      <c r="F1906" s="51"/>
      <c r="G1906" s="54"/>
      <c r="H1906" s="53"/>
      <c r="I1906" s="53"/>
      <c r="J1906" s="53"/>
      <c r="K1906" s="54"/>
      <c r="L1906" s="53"/>
      <c r="M1906" s="53"/>
      <c r="N1906" s="53"/>
      <c r="O1906" s="53"/>
      <c r="P1906" s="53"/>
      <c r="Q1906" s="53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  <c r="AB1906" s="53"/>
      <c r="AC1906" s="53"/>
      <c r="AD1906" s="53"/>
      <c r="AE1906" s="53"/>
      <c r="AF1906" s="53"/>
      <c r="AG1906" s="53"/>
      <c r="AH1906" s="54"/>
      <c r="AI1906" s="53"/>
      <c r="AJ1906" s="53"/>
      <c r="AK1906" s="54"/>
      <c r="AL1906" s="54"/>
    </row>
    <row r="1907" spans="1:38" ht="15.75" thickBot="1" x14ac:dyDescent="0.3">
      <c r="A1907" s="51"/>
      <c r="B1907" s="51"/>
      <c r="C1907" s="51"/>
      <c r="D1907" s="51"/>
      <c r="E1907" s="51"/>
      <c r="F1907" s="51"/>
      <c r="G1907" s="56"/>
      <c r="H1907" s="55"/>
      <c r="I1907" s="55"/>
      <c r="J1907" s="55"/>
      <c r="K1907" s="56"/>
      <c r="L1907" s="55"/>
      <c r="M1907" s="55"/>
      <c r="N1907" s="55"/>
      <c r="O1907" s="55"/>
      <c r="P1907" s="55"/>
      <c r="Q1907" s="55"/>
      <c r="R1907" s="55"/>
      <c r="S1907" s="55"/>
      <c r="T1907" s="55"/>
      <c r="U1907" s="55"/>
      <c r="V1907" s="55"/>
      <c r="W1907" s="55"/>
      <c r="X1907" s="55"/>
      <c r="Y1907" s="55"/>
      <c r="Z1907" s="55"/>
      <c r="AA1907" s="55"/>
      <c r="AB1907" s="55"/>
      <c r="AC1907" s="55"/>
      <c r="AD1907" s="55"/>
      <c r="AE1907" s="55"/>
      <c r="AF1907" s="55"/>
      <c r="AG1907" s="55"/>
      <c r="AH1907" s="56"/>
      <c r="AI1907" s="55"/>
      <c r="AJ1907" s="55"/>
      <c r="AK1907" s="56"/>
      <c r="AL1907" s="56"/>
    </row>
    <row r="1908" spans="1:38" ht="15.75" thickBot="1" x14ac:dyDescent="0.3">
      <c r="A1908" s="51"/>
      <c r="B1908" s="51"/>
      <c r="C1908" s="51"/>
      <c r="D1908" s="51"/>
      <c r="E1908" s="51"/>
      <c r="F1908" s="51"/>
      <c r="G1908" s="54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4"/>
      <c r="AD1908" s="53"/>
      <c r="AE1908" s="53"/>
      <c r="AF1908" s="53"/>
      <c r="AG1908" s="53"/>
      <c r="AH1908" s="54"/>
      <c r="AI1908" s="53"/>
      <c r="AJ1908" s="53"/>
      <c r="AK1908" s="54"/>
      <c r="AL1908" s="54"/>
    </row>
    <row r="1909" spans="1:38" ht="15.75" thickBot="1" x14ac:dyDescent="0.3">
      <c r="A1909" s="51"/>
      <c r="B1909" s="51"/>
      <c r="C1909" s="51"/>
      <c r="D1909" s="51"/>
      <c r="E1909" s="51"/>
      <c r="F1909" s="51"/>
      <c r="G1909" s="56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5"/>
      <c r="S1909" s="55"/>
      <c r="T1909" s="55"/>
      <c r="U1909" s="55"/>
      <c r="V1909" s="55"/>
      <c r="W1909" s="55"/>
      <c r="X1909" s="55"/>
      <c r="Y1909" s="55"/>
      <c r="Z1909" s="55"/>
      <c r="AA1909" s="55"/>
      <c r="AB1909" s="55"/>
      <c r="AC1909" s="56"/>
      <c r="AD1909" s="55"/>
      <c r="AE1909" s="55"/>
      <c r="AF1909" s="55"/>
      <c r="AG1909" s="55"/>
      <c r="AH1909" s="56"/>
      <c r="AI1909" s="55"/>
      <c r="AJ1909" s="55"/>
      <c r="AK1909" s="56"/>
      <c r="AL1909" s="56"/>
    </row>
    <row r="1910" spans="1:38" ht="15.75" thickBot="1" x14ac:dyDescent="0.3">
      <c r="A1910" s="51"/>
      <c r="B1910" s="51"/>
      <c r="C1910" s="51"/>
      <c r="D1910" s="51"/>
      <c r="E1910" s="51"/>
      <c r="F1910" s="51"/>
      <c r="G1910" s="54"/>
      <c r="H1910" s="54"/>
      <c r="I1910" s="53"/>
      <c r="J1910" s="53"/>
      <c r="K1910" s="53"/>
      <c r="L1910" s="53"/>
      <c r="M1910" s="54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3"/>
      <c r="AD1910" s="53"/>
      <c r="AE1910" s="53"/>
      <c r="AF1910" s="53"/>
      <c r="AG1910" s="53"/>
      <c r="AH1910" s="54"/>
      <c r="AI1910" s="53"/>
      <c r="AJ1910" s="53"/>
      <c r="AK1910" s="54"/>
      <c r="AL1910" s="54"/>
    </row>
    <row r="1911" spans="1:38" ht="15.75" thickBot="1" x14ac:dyDescent="0.3">
      <c r="A1911" s="51"/>
      <c r="B1911" s="51"/>
      <c r="C1911" s="51"/>
      <c r="D1911" s="51"/>
      <c r="E1911" s="51"/>
      <c r="F1911" s="51"/>
      <c r="G1911" s="56"/>
      <c r="H1911" s="148"/>
      <c r="I1911" s="55"/>
      <c r="J1911" s="55"/>
      <c r="K1911" s="55"/>
      <c r="L1911" s="55"/>
      <c r="M1911" s="56"/>
      <c r="N1911" s="55"/>
      <c r="O1911" s="55"/>
      <c r="P1911" s="55"/>
      <c r="Q1911" s="55"/>
      <c r="R1911" s="55"/>
      <c r="S1911" s="55"/>
      <c r="T1911" s="55"/>
      <c r="U1911" s="55"/>
      <c r="V1911" s="55"/>
      <c r="W1911" s="55"/>
      <c r="X1911" s="55"/>
      <c r="Y1911" s="55"/>
      <c r="Z1911" s="55"/>
      <c r="AA1911" s="55"/>
      <c r="AB1911" s="55"/>
      <c r="AC1911" s="55"/>
      <c r="AD1911" s="55"/>
      <c r="AE1911" s="55"/>
      <c r="AF1911" s="55"/>
      <c r="AG1911" s="55"/>
      <c r="AH1911" s="56"/>
      <c r="AI1911" s="55"/>
      <c r="AJ1911" s="55"/>
      <c r="AK1911" s="56"/>
      <c r="AL1911" s="56"/>
    </row>
    <row r="1912" spans="1:38" ht="15.75" thickBot="1" x14ac:dyDescent="0.3">
      <c r="A1912" s="51"/>
      <c r="B1912" s="51"/>
      <c r="C1912" s="51"/>
      <c r="D1912" s="51"/>
      <c r="E1912" s="51"/>
      <c r="F1912" s="51"/>
      <c r="G1912" s="54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4"/>
      <c r="AB1912" s="53"/>
      <c r="AC1912" s="53"/>
      <c r="AD1912" s="53"/>
      <c r="AE1912" s="53"/>
      <c r="AF1912" s="53"/>
      <c r="AG1912" s="53"/>
      <c r="AH1912" s="54"/>
      <c r="AI1912" s="53"/>
      <c r="AJ1912" s="53"/>
      <c r="AK1912" s="54"/>
      <c r="AL1912" s="54"/>
    </row>
    <row r="1913" spans="1:38" ht="15.75" thickBot="1" x14ac:dyDescent="0.3">
      <c r="A1913" s="51"/>
      <c r="B1913" s="51"/>
      <c r="C1913" s="51"/>
      <c r="D1913" s="51"/>
      <c r="E1913" s="51"/>
      <c r="F1913" s="51"/>
      <c r="G1913" s="56"/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5"/>
      <c r="S1913" s="55"/>
      <c r="T1913" s="55"/>
      <c r="U1913" s="55"/>
      <c r="V1913" s="55"/>
      <c r="W1913" s="55"/>
      <c r="X1913" s="55"/>
      <c r="Y1913" s="55"/>
      <c r="Z1913" s="55"/>
      <c r="AA1913" s="56"/>
      <c r="AB1913" s="55"/>
      <c r="AC1913" s="55"/>
      <c r="AD1913" s="55"/>
      <c r="AE1913" s="55"/>
      <c r="AF1913" s="55"/>
      <c r="AG1913" s="55"/>
      <c r="AH1913" s="56"/>
      <c r="AI1913" s="55"/>
      <c r="AJ1913" s="55"/>
      <c r="AK1913" s="56"/>
      <c r="AL1913" s="56"/>
    </row>
    <row r="1914" spans="1:38" ht="15.75" thickBot="1" x14ac:dyDescent="0.3">
      <c r="A1914" s="51"/>
      <c r="B1914" s="51"/>
      <c r="C1914" s="51"/>
      <c r="D1914" s="51"/>
      <c r="E1914" s="51"/>
      <c r="F1914" s="51"/>
      <c r="G1914" s="54"/>
      <c r="H1914" s="53"/>
      <c r="I1914" s="53"/>
      <c r="J1914" s="53"/>
      <c r="K1914" s="53"/>
      <c r="L1914" s="53"/>
      <c r="M1914" s="53"/>
      <c r="N1914" s="54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3"/>
      <c r="AD1914" s="53"/>
      <c r="AE1914" s="53"/>
      <c r="AF1914" s="53"/>
      <c r="AG1914" s="53"/>
      <c r="AH1914" s="54"/>
      <c r="AI1914" s="53"/>
      <c r="AJ1914" s="53"/>
      <c r="AK1914" s="54"/>
      <c r="AL1914" s="54"/>
    </row>
    <row r="1915" spans="1:38" ht="15.75" thickBot="1" x14ac:dyDescent="0.3">
      <c r="A1915" s="51"/>
      <c r="B1915" s="51"/>
      <c r="C1915" s="51"/>
      <c r="D1915" s="51"/>
      <c r="E1915" s="51"/>
      <c r="F1915" s="51"/>
      <c r="G1915" s="56"/>
      <c r="H1915" s="55"/>
      <c r="I1915" s="55"/>
      <c r="J1915" s="55"/>
      <c r="K1915" s="55"/>
      <c r="L1915" s="55"/>
      <c r="M1915" s="55"/>
      <c r="N1915" s="56"/>
      <c r="O1915" s="55"/>
      <c r="P1915" s="55"/>
      <c r="Q1915" s="55"/>
      <c r="R1915" s="55"/>
      <c r="S1915" s="55"/>
      <c r="T1915" s="55"/>
      <c r="U1915" s="55"/>
      <c r="V1915" s="55"/>
      <c r="W1915" s="55"/>
      <c r="X1915" s="55"/>
      <c r="Y1915" s="55"/>
      <c r="Z1915" s="55"/>
      <c r="AA1915" s="55"/>
      <c r="AB1915" s="55"/>
      <c r="AC1915" s="55"/>
      <c r="AD1915" s="55"/>
      <c r="AE1915" s="55"/>
      <c r="AF1915" s="55"/>
      <c r="AG1915" s="55"/>
      <c r="AH1915" s="56"/>
      <c r="AI1915" s="55"/>
      <c r="AJ1915" s="55"/>
      <c r="AK1915" s="56"/>
      <c r="AL1915" s="56"/>
    </row>
    <row r="1916" spans="1:38" ht="15.75" thickBot="1" x14ac:dyDescent="0.3">
      <c r="A1916" s="51"/>
      <c r="B1916" s="51"/>
      <c r="C1916" s="51"/>
      <c r="D1916" s="51"/>
      <c r="E1916" s="51"/>
      <c r="F1916" s="51"/>
      <c r="G1916" s="54"/>
      <c r="H1916" s="53"/>
      <c r="I1916" s="53"/>
      <c r="J1916" s="53"/>
      <c r="K1916" s="54"/>
      <c r="L1916" s="53"/>
      <c r="M1916" s="53"/>
      <c r="N1916" s="53"/>
      <c r="O1916" s="53"/>
      <c r="P1916" s="53"/>
      <c r="Q1916" s="53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3"/>
      <c r="AD1916" s="53"/>
      <c r="AE1916" s="53"/>
      <c r="AF1916" s="53"/>
      <c r="AG1916" s="53"/>
      <c r="AH1916" s="54"/>
      <c r="AI1916" s="53"/>
      <c r="AJ1916" s="53"/>
      <c r="AK1916" s="54"/>
      <c r="AL1916" s="54"/>
    </row>
    <row r="1917" spans="1:38" ht="15.75" thickBot="1" x14ac:dyDescent="0.3">
      <c r="A1917" s="51"/>
      <c r="B1917" s="51"/>
      <c r="C1917" s="51"/>
      <c r="D1917" s="51"/>
      <c r="E1917" s="51"/>
      <c r="F1917" s="51"/>
      <c r="G1917" s="56"/>
      <c r="H1917" s="55"/>
      <c r="I1917" s="55"/>
      <c r="J1917" s="55"/>
      <c r="K1917" s="56"/>
      <c r="L1917" s="55"/>
      <c r="M1917" s="55"/>
      <c r="N1917" s="55"/>
      <c r="O1917" s="55"/>
      <c r="P1917" s="55"/>
      <c r="Q1917" s="55"/>
      <c r="R1917" s="55"/>
      <c r="S1917" s="55"/>
      <c r="T1917" s="55"/>
      <c r="U1917" s="55"/>
      <c r="V1917" s="55"/>
      <c r="W1917" s="55"/>
      <c r="X1917" s="55"/>
      <c r="Y1917" s="55"/>
      <c r="Z1917" s="55"/>
      <c r="AA1917" s="55"/>
      <c r="AB1917" s="55"/>
      <c r="AC1917" s="55"/>
      <c r="AD1917" s="55"/>
      <c r="AE1917" s="55"/>
      <c r="AF1917" s="55"/>
      <c r="AG1917" s="55"/>
      <c r="AH1917" s="56"/>
      <c r="AI1917" s="55"/>
      <c r="AJ1917" s="55"/>
      <c r="AK1917" s="56"/>
      <c r="AL1917" s="56"/>
    </row>
    <row r="1918" spans="1:38" ht="15.75" thickBot="1" x14ac:dyDescent="0.3">
      <c r="A1918" s="51"/>
      <c r="B1918" s="51"/>
      <c r="C1918" s="51"/>
      <c r="D1918" s="51"/>
      <c r="E1918" s="51"/>
      <c r="F1918" s="51"/>
      <c r="G1918" s="54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4"/>
      <c r="AD1918" s="53"/>
      <c r="AE1918" s="53"/>
      <c r="AF1918" s="53"/>
      <c r="AG1918" s="53"/>
      <c r="AH1918" s="54"/>
      <c r="AI1918" s="53"/>
      <c r="AJ1918" s="53"/>
      <c r="AK1918" s="54"/>
      <c r="AL1918" s="54"/>
    </row>
    <row r="1919" spans="1:38" ht="15.75" thickBot="1" x14ac:dyDescent="0.3">
      <c r="A1919" s="51"/>
      <c r="B1919" s="51"/>
      <c r="C1919" s="51"/>
      <c r="D1919" s="51"/>
      <c r="E1919" s="51"/>
      <c r="F1919" s="51"/>
      <c r="G1919" s="56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5"/>
      <c r="S1919" s="55"/>
      <c r="T1919" s="55"/>
      <c r="U1919" s="55"/>
      <c r="V1919" s="55"/>
      <c r="W1919" s="55"/>
      <c r="X1919" s="55"/>
      <c r="Y1919" s="55"/>
      <c r="Z1919" s="55"/>
      <c r="AA1919" s="55"/>
      <c r="AB1919" s="55"/>
      <c r="AC1919" s="56"/>
      <c r="AD1919" s="55"/>
      <c r="AE1919" s="55"/>
      <c r="AF1919" s="55"/>
      <c r="AG1919" s="55"/>
      <c r="AH1919" s="56"/>
      <c r="AI1919" s="55"/>
      <c r="AJ1919" s="55"/>
      <c r="AK1919" s="56"/>
      <c r="AL1919" s="56"/>
    </row>
    <row r="1920" spans="1:38" ht="15.75" thickBot="1" x14ac:dyDescent="0.3">
      <c r="A1920" s="51"/>
      <c r="B1920" s="51"/>
      <c r="C1920" s="51"/>
      <c r="D1920" s="51"/>
      <c r="E1920" s="51"/>
      <c r="F1920" s="51"/>
      <c r="G1920" s="54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4"/>
      <c r="U1920" s="53"/>
      <c r="V1920" s="53"/>
      <c r="W1920" s="53"/>
      <c r="X1920" s="53"/>
      <c r="Y1920" s="53"/>
      <c r="Z1920" s="53"/>
      <c r="AA1920" s="53"/>
      <c r="AB1920" s="53"/>
      <c r="AC1920" s="53"/>
      <c r="AD1920" s="53"/>
      <c r="AE1920" s="53"/>
      <c r="AF1920" s="53"/>
      <c r="AG1920" s="53"/>
      <c r="AH1920" s="54"/>
      <c r="AI1920" s="53"/>
      <c r="AJ1920" s="53"/>
      <c r="AK1920" s="54"/>
      <c r="AL1920" s="54"/>
    </row>
    <row r="1921" spans="1:38" ht="15.75" thickBot="1" x14ac:dyDescent="0.3">
      <c r="A1921" s="51"/>
      <c r="B1921" s="51"/>
      <c r="C1921" s="51"/>
      <c r="D1921" s="51"/>
      <c r="E1921" s="51"/>
      <c r="F1921" s="51"/>
      <c r="G1921" s="56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5"/>
      <c r="S1921" s="55"/>
      <c r="T1921" s="56"/>
      <c r="U1921" s="55"/>
      <c r="V1921" s="55"/>
      <c r="W1921" s="55"/>
      <c r="X1921" s="55"/>
      <c r="Y1921" s="55"/>
      <c r="Z1921" s="55"/>
      <c r="AA1921" s="55"/>
      <c r="AB1921" s="55"/>
      <c r="AC1921" s="55"/>
      <c r="AD1921" s="55"/>
      <c r="AE1921" s="55"/>
      <c r="AF1921" s="55"/>
      <c r="AG1921" s="55"/>
      <c r="AH1921" s="56"/>
      <c r="AI1921" s="55"/>
      <c r="AJ1921" s="55"/>
      <c r="AK1921" s="56"/>
      <c r="AL1921" s="56"/>
    </row>
    <row r="1922" spans="1:38" ht="15.75" thickBot="1" x14ac:dyDescent="0.3">
      <c r="A1922" s="51"/>
      <c r="B1922" s="51"/>
      <c r="C1922" s="51"/>
      <c r="D1922" s="51"/>
      <c r="E1922" s="51"/>
      <c r="F1922" s="51"/>
      <c r="G1922" s="54"/>
      <c r="H1922" s="54"/>
      <c r="I1922" s="53"/>
      <c r="J1922" s="53"/>
      <c r="K1922" s="53"/>
      <c r="L1922" s="53"/>
      <c r="M1922" s="54"/>
      <c r="N1922" s="53"/>
      <c r="O1922" s="53"/>
      <c r="P1922" s="53"/>
      <c r="Q1922" s="53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3"/>
      <c r="AD1922" s="53"/>
      <c r="AE1922" s="53"/>
      <c r="AF1922" s="53"/>
      <c r="AG1922" s="53"/>
      <c r="AH1922" s="54"/>
      <c r="AI1922" s="53"/>
      <c r="AJ1922" s="53"/>
      <c r="AK1922" s="54"/>
      <c r="AL1922" s="54"/>
    </row>
    <row r="1923" spans="1:38" ht="15.75" thickBot="1" x14ac:dyDescent="0.3">
      <c r="A1923" s="51"/>
      <c r="B1923" s="51"/>
      <c r="C1923" s="51"/>
      <c r="D1923" s="51"/>
      <c r="E1923" s="51"/>
      <c r="F1923" s="51"/>
      <c r="G1923" s="56"/>
      <c r="H1923" s="148"/>
      <c r="I1923" s="55"/>
      <c r="J1923" s="55"/>
      <c r="K1923" s="55"/>
      <c r="L1923" s="55"/>
      <c r="M1923" s="56"/>
      <c r="N1923" s="55"/>
      <c r="O1923" s="55"/>
      <c r="P1923" s="55"/>
      <c r="Q1923" s="55"/>
      <c r="R1923" s="55"/>
      <c r="S1923" s="55"/>
      <c r="T1923" s="55"/>
      <c r="U1923" s="55"/>
      <c r="V1923" s="55"/>
      <c r="W1923" s="55"/>
      <c r="X1923" s="55"/>
      <c r="Y1923" s="55"/>
      <c r="Z1923" s="55"/>
      <c r="AA1923" s="55"/>
      <c r="AB1923" s="55"/>
      <c r="AC1923" s="55"/>
      <c r="AD1923" s="55"/>
      <c r="AE1923" s="55"/>
      <c r="AF1923" s="55"/>
      <c r="AG1923" s="55"/>
      <c r="AH1923" s="56"/>
      <c r="AI1923" s="55"/>
      <c r="AJ1923" s="55"/>
      <c r="AK1923" s="56"/>
      <c r="AL1923" s="56"/>
    </row>
    <row r="1924" spans="1:38" ht="15.75" thickBot="1" x14ac:dyDescent="0.3">
      <c r="A1924" s="51"/>
      <c r="B1924" s="51"/>
      <c r="C1924" s="51"/>
      <c r="D1924" s="51"/>
      <c r="E1924" s="51"/>
      <c r="F1924" s="51"/>
      <c r="G1924" s="54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4"/>
      <c r="AB1924" s="53"/>
      <c r="AC1924" s="53"/>
      <c r="AD1924" s="53"/>
      <c r="AE1924" s="53"/>
      <c r="AF1924" s="53"/>
      <c r="AG1924" s="53"/>
      <c r="AH1924" s="54"/>
      <c r="AI1924" s="53"/>
      <c r="AJ1924" s="53"/>
      <c r="AK1924" s="54"/>
      <c r="AL1924" s="54"/>
    </row>
    <row r="1925" spans="1:38" ht="15.75" thickBot="1" x14ac:dyDescent="0.3">
      <c r="A1925" s="51"/>
      <c r="B1925" s="51"/>
      <c r="C1925" s="51"/>
      <c r="D1925" s="51"/>
      <c r="E1925" s="51"/>
      <c r="F1925" s="51"/>
      <c r="G1925" s="56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  <c r="T1925" s="55"/>
      <c r="U1925" s="55"/>
      <c r="V1925" s="55"/>
      <c r="W1925" s="55"/>
      <c r="X1925" s="55"/>
      <c r="Y1925" s="55"/>
      <c r="Z1925" s="55"/>
      <c r="AA1925" s="56"/>
      <c r="AB1925" s="55"/>
      <c r="AC1925" s="55"/>
      <c r="AD1925" s="55"/>
      <c r="AE1925" s="55"/>
      <c r="AF1925" s="55"/>
      <c r="AG1925" s="55"/>
      <c r="AH1925" s="56"/>
      <c r="AI1925" s="55"/>
      <c r="AJ1925" s="55"/>
      <c r="AK1925" s="56"/>
      <c r="AL1925" s="56"/>
    </row>
    <row r="1926" spans="1:38" ht="15.75" thickBot="1" x14ac:dyDescent="0.3">
      <c r="A1926" s="51"/>
      <c r="B1926" s="51"/>
      <c r="C1926" s="51"/>
      <c r="D1926" s="51"/>
      <c r="E1926" s="51"/>
      <c r="F1926" s="51"/>
      <c r="G1926" s="54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4"/>
      <c r="V1926" s="53"/>
      <c r="W1926" s="53"/>
      <c r="X1926" s="53"/>
      <c r="Y1926" s="53"/>
      <c r="Z1926" s="53"/>
      <c r="AA1926" s="53"/>
      <c r="AB1926" s="53"/>
      <c r="AC1926" s="53"/>
      <c r="AD1926" s="53"/>
      <c r="AE1926" s="53"/>
      <c r="AF1926" s="53"/>
      <c r="AG1926" s="53"/>
      <c r="AH1926" s="54"/>
      <c r="AI1926" s="53"/>
      <c r="AJ1926" s="53"/>
      <c r="AK1926" s="54"/>
      <c r="AL1926" s="54"/>
    </row>
    <row r="1927" spans="1:38" ht="15.75" thickBot="1" x14ac:dyDescent="0.3">
      <c r="A1927" s="51"/>
      <c r="B1927" s="51"/>
      <c r="C1927" s="51"/>
      <c r="D1927" s="51"/>
      <c r="E1927" s="51"/>
      <c r="F1927" s="51"/>
      <c r="G1927" s="56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5"/>
      <c r="S1927" s="55"/>
      <c r="T1927" s="55"/>
      <c r="U1927" s="56"/>
      <c r="V1927" s="55"/>
      <c r="W1927" s="55"/>
      <c r="X1927" s="55"/>
      <c r="Y1927" s="55"/>
      <c r="Z1927" s="55"/>
      <c r="AA1927" s="55"/>
      <c r="AB1927" s="55"/>
      <c r="AC1927" s="55"/>
      <c r="AD1927" s="55"/>
      <c r="AE1927" s="55"/>
      <c r="AF1927" s="55"/>
      <c r="AG1927" s="55"/>
      <c r="AH1927" s="56"/>
      <c r="AI1927" s="55"/>
      <c r="AJ1927" s="55"/>
      <c r="AK1927" s="56"/>
      <c r="AL1927" s="56"/>
    </row>
    <row r="1928" spans="1:38" ht="15.75" thickBot="1" x14ac:dyDescent="0.3">
      <c r="A1928" s="51"/>
      <c r="B1928" s="51"/>
      <c r="C1928" s="51"/>
      <c r="D1928" s="51"/>
      <c r="E1928" s="51"/>
      <c r="F1928" s="51"/>
      <c r="G1928" s="54"/>
      <c r="H1928" s="53"/>
      <c r="I1928" s="53"/>
      <c r="J1928" s="53"/>
      <c r="K1928" s="53"/>
      <c r="L1928" s="53"/>
      <c r="M1928" s="53"/>
      <c r="N1928" s="54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3"/>
      <c r="AD1928" s="53"/>
      <c r="AE1928" s="53"/>
      <c r="AF1928" s="53"/>
      <c r="AG1928" s="53"/>
      <c r="AH1928" s="54"/>
      <c r="AI1928" s="53"/>
      <c r="AJ1928" s="53"/>
      <c r="AK1928" s="54"/>
      <c r="AL1928" s="54"/>
    </row>
    <row r="1929" spans="1:38" ht="15.75" thickBot="1" x14ac:dyDescent="0.3">
      <c r="A1929" s="51"/>
      <c r="B1929" s="51"/>
      <c r="C1929" s="51"/>
      <c r="D1929" s="51"/>
      <c r="E1929" s="51"/>
      <c r="F1929" s="51"/>
      <c r="G1929" s="56"/>
      <c r="H1929" s="55"/>
      <c r="I1929" s="55"/>
      <c r="J1929" s="55"/>
      <c r="K1929" s="55"/>
      <c r="L1929" s="55"/>
      <c r="M1929" s="55"/>
      <c r="N1929" s="56"/>
      <c r="O1929" s="55"/>
      <c r="P1929" s="55"/>
      <c r="Q1929" s="55"/>
      <c r="R1929" s="55"/>
      <c r="S1929" s="55"/>
      <c r="T1929" s="55"/>
      <c r="U1929" s="55"/>
      <c r="V1929" s="55"/>
      <c r="W1929" s="55"/>
      <c r="X1929" s="55"/>
      <c r="Y1929" s="55"/>
      <c r="Z1929" s="55"/>
      <c r="AA1929" s="55"/>
      <c r="AB1929" s="55"/>
      <c r="AC1929" s="55"/>
      <c r="AD1929" s="55"/>
      <c r="AE1929" s="55"/>
      <c r="AF1929" s="55"/>
      <c r="AG1929" s="55"/>
      <c r="AH1929" s="56"/>
      <c r="AI1929" s="55"/>
      <c r="AJ1929" s="55"/>
      <c r="AK1929" s="56"/>
      <c r="AL1929" s="56"/>
    </row>
    <row r="1930" spans="1:38" ht="15.75" thickBot="1" x14ac:dyDescent="0.3">
      <c r="A1930" s="51"/>
      <c r="B1930" s="51"/>
      <c r="C1930" s="51"/>
      <c r="D1930" s="51"/>
      <c r="E1930" s="51"/>
      <c r="F1930" s="51"/>
      <c r="G1930" s="54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  <c r="U1930" s="53"/>
      <c r="V1930" s="54"/>
      <c r="W1930" s="53"/>
      <c r="X1930" s="53"/>
      <c r="Y1930" s="53"/>
      <c r="Z1930" s="53"/>
      <c r="AA1930" s="53"/>
      <c r="AB1930" s="53"/>
      <c r="AC1930" s="53"/>
      <c r="AD1930" s="53"/>
      <c r="AE1930" s="53"/>
      <c r="AF1930" s="53"/>
      <c r="AG1930" s="53"/>
      <c r="AH1930" s="54"/>
      <c r="AI1930" s="53"/>
      <c r="AJ1930" s="53"/>
      <c r="AK1930" s="54"/>
      <c r="AL1930" s="54"/>
    </row>
    <row r="1931" spans="1:38" ht="15.75" thickBot="1" x14ac:dyDescent="0.3">
      <c r="A1931" s="51"/>
      <c r="B1931" s="51"/>
      <c r="C1931" s="51"/>
      <c r="D1931" s="51"/>
      <c r="E1931" s="51"/>
      <c r="F1931" s="51"/>
      <c r="G1931" s="56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5"/>
      <c r="S1931" s="55"/>
      <c r="T1931" s="55"/>
      <c r="U1931" s="55"/>
      <c r="V1931" s="56"/>
      <c r="W1931" s="55"/>
      <c r="X1931" s="55"/>
      <c r="Y1931" s="55"/>
      <c r="Z1931" s="55"/>
      <c r="AA1931" s="55"/>
      <c r="AB1931" s="55"/>
      <c r="AC1931" s="55"/>
      <c r="AD1931" s="55"/>
      <c r="AE1931" s="55"/>
      <c r="AF1931" s="55"/>
      <c r="AG1931" s="55"/>
      <c r="AH1931" s="56"/>
      <c r="AI1931" s="55"/>
      <c r="AJ1931" s="55"/>
      <c r="AK1931" s="56"/>
      <c r="AL1931" s="56"/>
    </row>
    <row r="1932" spans="1:38" ht="15.75" thickBot="1" x14ac:dyDescent="0.3">
      <c r="A1932" s="51"/>
      <c r="B1932" s="51"/>
      <c r="C1932" s="51"/>
      <c r="D1932" s="51"/>
      <c r="E1932" s="51"/>
      <c r="F1932" s="51"/>
      <c r="G1932" s="54"/>
      <c r="H1932" s="53"/>
      <c r="I1932" s="53"/>
      <c r="J1932" s="53"/>
      <c r="K1932" s="54"/>
      <c r="L1932" s="53"/>
      <c r="M1932" s="53"/>
      <c r="N1932" s="53"/>
      <c r="O1932" s="53"/>
      <c r="P1932" s="53"/>
      <c r="Q1932" s="53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3"/>
      <c r="AD1932" s="53"/>
      <c r="AE1932" s="53"/>
      <c r="AF1932" s="53"/>
      <c r="AG1932" s="53"/>
      <c r="AH1932" s="54"/>
      <c r="AI1932" s="53"/>
      <c r="AJ1932" s="53"/>
      <c r="AK1932" s="54"/>
      <c r="AL1932" s="54"/>
    </row>
    <row r="1933" spans="1:38" ht="15.75" thickBot="1" x14ac:dyDescent="0.3">
      <c r="A1933" s="51"/>
      <c r="B1933" s="51"/>
      <c r="C1933" s="51"/>
      <c r="D1933" s="51"/>
      <c r="E1933" s="51"/>
      <c r="F1933" s="51"/>
      <c r="G1933" s="56"/>
      <c r="H1933" s="55"/>
      <c r="I1933" s="55"/>
      <c r="J1933" s="55"/>
      <c r="K1933" s="56"/>
      <c r="L1933" s="55"/>
      <c r="M1933" s="55"/>
      <c r="N1933" s="55"/>
      <c r="O1933" s="55"/>
      <c r="P1933" s="55"/>
      <c r="Q1933" s="55"/>
      <c r="R1933" s="55"/>
      <c r="S1933" s="55"/>
      <c r="T1933" s="55"/>
      <c r="U1933" s="55"/>
      <c r="V1933" s="55"/>
      <c r="W1933" s="55"/>
      <c r="X1933" s="55"/>
      <c r="Y1933" s="55"/>
      <c r="Z1933" s="55"/>
      <c r="AA1933" s="55"/>
      <c r="AB1933" s="55"/>
      <c r="AC1933" s="55"/>
      <c r="AD1933" s="55"/>
      <c r="AE1933" s="55"/>
      <c r="AF1933" s="55"/>
      <c r="AG1933" s="55"/>
      <c r="AH1933" s="56"/>
      <c r="AI1933" s="55"/>
      <c r="AJ1933" s="55"/>
      <c r="AK1933" s="56"/>
      <c r="AL1933" s="56"/>
    </row>
    <row r="1934" spans="1:38" ht="15.75" thickBot="1" x14ac:dyDescent="0.3">
      <c r="A1934" s="51"/>
      <c r="B1934" s="51"/>
      <c r="C1934" s="51"/>
      <c r="D1934" s="51"/>
      <c r="E1934" s="51"/>
      <c r="F1934" s="51"/>
      <c r="G1934" s="54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4"/>
      <c r="AD1934" s="53"/>
      <c r="AE1934" s="53"/>
      <c r="AF1934" s="53"/>
      <c r="AG1934" s="53"/>
      <c r="AH1934" s="54"/>
      <c r="AI1934" s="53"/>
      <c r="AJ1934" s="53"/>
      <c r="AK1934" s="54"/>
      <c r="AL1934" s="54"/>
    </row>
    <row r="1935" spans="1:38" ht="15.75" thickBot="1" x14ac:dyDescent="0.3">
      <c r="A1935" s="51"/>
      <c r="B1935" s="51"/>
      <c r="C1935" s="51"/>
      <c r="D1935" s="51"/>
      <c r="E1935" s="51"/>
      <c r="F1935" s="51"/>
      <c r="G1935" s="56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5"/>
      <c r="S1935" s="55"/>
      <c r="T1935" s="55"/>
      <c r="U1935" s="55"/>
      <c r="V1935" s="55"/>
      <c r="W1935" s="55"/>
      <c r="X1935" s="55"/>
      <c r="Y1935" s="55"/>
      <c r="Z1935" s="55"/>
      <c r="AA1935" s="55"/>
      <c r="AB1935" s="55"/>
      <c r="AC1935" s="56"/>
      <c r="AD1935" s="55"/>
      <c r="AE1935" s="55"/>
      <c r="AF1935" s="55"/>
      <c r="AG1935" s="55"/>
      <c r="AH1935" s="56"/>
      <c r="AI1935" s="55"/>
      <c r="AJ1935" s="55"/>
      <c r="AK1935" s="56"/>
      <c r="AL1935" s="56"/>
    </row>
    <row r="1936" spans="1:38" ht="15.75" thickBot="1" x14ac:dyDescent="0.3">
      <c r="A1936" s="51"/>
      <c r="B1936" s="51"/>
      <c r="C1936" s="51"/>
      <c r="D1936" s="51"/>
      <c r="E1936" s="51"/>
      <c r="F1936" s="51"/>
      <c r="G1936" s="54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4"/>
      <c r="X1936" s="53"/>
      <c r="Y1936" s="53"/>
      <c r="Z1936" s="53"/>
      <c r="AA1936" s="53"/>
      <c r="AB1936" s="53"/>
      <c r="AC1936" s="53"/>
      <c r="AD1936" s="53"/>
      <c r="AE1936" s="53"/>
      <c r="AF1936" s="53"/>
      <c r="AG1936" s="53"/>
      <c r="AH1936" s="54"/>
      <c r="AI1936" s="53"/>
      <c r="AJ1936" s="53"/>
      <c r="AK1936" s="54"/>
      <c r="AL1936" s="54"/>
    </row>
    <row r="1937" spans="1:38" ht="15.75" thickBot="1" x14ac:dyDescent="0.3">
      <c r="A1937" s="51"/>
      <c r="B1937" s="51"/>
      <c r="C1937" s="51"/>
      <c r="D1937" s="51"/>
      <c r="E1937" s="51"/>
      <c r="F1937" s="51"/>
      <c r="G1937" s="56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5"/>
      <c r="S1937" s="55"/>
      <c r="T1937" s="55"/>
      <c r="U1937" s="55"/>
      <c r="V1937" s="55"/>
      <c r="W1937" s="56"/>
      <c r="X1937" s="55"/>
      <c r="Y1937" s="55"/>
      <c r="Z1937" s="55"/>
      <c r="AA1937" s="55"/>
      <c r="AB1937" s="55"/>
      <c r="AC1937" s="55"/>
      <c r="AD1937" s="55"/>
      <c r="AE1937" s="55"/>
      <c r="AF1937" s="55"/>
      <c r="AG1937" s="55"/>
      <c r="AH1937" s="56"/>
      <c r="AI1937" s="55"/>
      <c r="AJ1937" s="55"/>
      <c r="AK1937" s="56"/>
      <c r="AL1937" s="56"/>
    </row>
    <row r="1938" spans="1:38" ht="15.75" thickBot="1" x14ac:dyDescent="0.3">
      <c r="A1938" s="51"/>
      <c r="B1938" s="51"/>
      <c r="C1938" s="51"/>
      <c r="D1938" s="51"/>
      <c r="E1938" s="51"/>
      <c r="F1938" s="51"/>
      <c r="G1938" s="54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4"/>
      <c r="Y1938" s="53"/>
      <c r="Z1938" s="53"/>
      <c r="AA1938" s="53"/>
      <c r="AB1938" s="53"/>
      <c r="AC1938" s="53"/>
      <c r="AD1938" s="53"/>
      <c r="AE1938" s="53"/>
      <c r="AF1938" s="53"/>
      <c r="AG1938" s="53"/>
      <c r="AH1938" s="54"/>
      <c r="AI1938" s="53"/>
      <c r="AJ1938" s="53"/>
      <c r="AK1938" s="54"/>
      <c r="AL1938" s="54"/>
    </row>
    <row r="1939" spans="1:38" ht="15.75" thickBot="1" x14ac:dyDescent="0.3">
      <c r="A1939" s="51"/>
      <c r="B1939" s="51"/>
      <c r="C1939" s="51"/>
      <c r="D1939" s="51"/>
      <c r="E1939" s="51"/>
      <c r="F1939" s="51"/>
      <c r="G1939" s="56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5"/>
      <c r="S1939" s="55"/>
      <c r="T1939" s="55"/>
      <c r="U1939" s="55"/>
      <c r="V1939" s="55"/>
      <c r="W1939" s="55"/>
      <c r="X1939" s="56"/>
      <c r="Y1939" s="55"/>
      <c r="Z1939" s="55"/>
      <c r="AA1939" s="55"/>
      <c r="AB1939" s="55"/>
      <c r="AC1939" s="55"/>
      <c r="AD1939" s="55"/>
      <c r="AE1939" s="55"/>
      <c r="AF1939" s="55"/>
      <c r="AG1939" s="55"/>
      <c r="AH1939" s="56"/>
      <c r="AI1939" s="55"/>
      <c r="AJ1939" s="55"/>
      <c r="AK1939" s="56"/>
      <c r="AL1939" s="56"/>
    </row>
    <row r="1940" spans="1:38" ht="15.75" thickBot="1" x14ac:dyDescent="0.3">
      <c r="A1940" s="51"/>
      <c r="B1940" s="51"/>
      <c r="C1940" s="51"/>
      <c r="D1940" s="51"/>
      <c r="E1940" s="51"/>
      <c r="F1940" s="51"/>
      <c r="G1940" s="54"/>
      <c r="H1940" s="54"/>
      <c r="I1940" s="53"/>
      <c r="J1940" s="53"/>
      <c r="K1940" s="53"/>
      <c r="L1940" s="53"/>
      <c r="M1940" s="54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3"/>
      <c r="AD1940" s="53"/>
      <c r="AE1940" s="53"/>
      <c r="AF1940" s="53"/>
      <c r="AG1940" s="53"/>
      <c r="AH1940" s="54"/>
      <c r="AI1940" s="53"/>
      <c r="AJ1940" s="53"/>
      <c r="AK1940" s="54"/>
      <c r="AL1940" s="54"/>
    </row>
    <row r="1941" spans="1:38" ht="15.75" thickBot="1" x14ac:dyDescent="0.3">
      <c r="A1941" s="51"/>
      <c r="B1941" s="51"/>
      <c r="C1941" s="51"/>
      <c r="D1941" s="51"/>
      <c r="E1941" s="51"/>
      <c r="F1941" s="51"/>
      <c r="G1941" s="56"/>
      <c r="H1941" s="148"/>
      <c r="I1941" s="55"/>
      <c r="J1941" s="55"/>
      <c r="K1941" s="55"/>
      <c r="L1941" s="55"/>
      <c r="M1941" s="56"/>
      <c r="N1941" s="55"/>
      <c r="O1941" s="55"/>
      <c r="P1941" s="55"/>
      <c r="Q1941" s="55"/>
      <c r="R1941" s="55"/>
      <c r="S1941" s="55"/>
      <c r="T1941" s="55"/>
      <c r="U1941" s="55"/>
      <c r="V1941" s="55"/>
      <c r="W1941" s="55"/>
      <c r="X1941" s="55"/>
      <c r="Y1941" s="55"/>
      <c r="Z1941" s="55"/>
      <c r="AA1941" s="55"/>
      <c r="AB1941" s="55"/>
      <c r="AC1941" s="55"/>
      <c r="AD1941" s="55"/>
      <c r="AE1941" s="55"/>
      <c r="AF1941" s="55"/>
      <c r="AG1941" s="55"/>
      <c r="AH1941" s="56"/>
      <c r="AI1941" s="55"/>
      <c r="AJ1941" s="55"/>
      <c r="AK1941" s="56"/>
      <c r="AL1941" s="56"/>
    </row>
    <row r="1942" spans="1:38" ht="15.75" thickBot="1" x14ac:dyDescent="0.3">
      <c r="A1942" s="51"/>
      <c r="B1942" s="51"/>
      <c r="C1942" s="51"/>
      <c r="D1942" s="51"/>
      <c r="E1942" s="51"/>
      <c r="F1942" s="51"/>
      <c r="G1942" s="54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4"/>
      <c r="AB1942" s="53"/>
      <c r="AC1942" s="53"/>
      <c r="AD1942" s="53"/>
      <c r="AE1942" s="53"/>
      <c r="AF1942" s="53"/>
      <c r="AG1942" s="53"/>
      <c r="AH1942" s="54"/>
      <c r="AI1942" s="53"/>
      <c r="AJ1942" s="53"/>
      <c r="AK1942" s="54"/>
      <c r="AL1942" s="54"/>
    </row>
    <row r="1943" spans="1:38" ht="15.75" thickBot="1" x14ac:dyDescent="0.3">
      <c r="A1943" s="51"/>
      <c r="B1943" s="51"/>
      <c r="C1943" s="51"/>
      <c r="D1943" s="51"/>
      <c r="E1943" s="51"/>
      <c r="F1943" s="51"/>
      <c r="G1943" s="56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5"/>
      <c r="S1943" s="55"/>
      <c r="T1943" s="55"/>
      <c r="U1943" s="55"/>
      <c r="V1943" s="55"/>
      <c r="W1943" s="55"/>
      <c r="X1943" s="55"/>
      <c r="Y1943" s="55"/>
      <c r="Z1943" s="55"/>
      <c r="AA1943" s="56"/>
      <c r="AB1943" s="55"/>
      <c r="AC1943" s="55"/>
      <c r="AD1943" s="55"/>
      <c r="AE1943" s="55"/>
      <c r="AF1943" s="55"/>
      <c r="AG1943" s="55"/>
      <c r="AH1943" s="56"/>
      <c r="AI1943" s="55"/>
      <c r="AJ1943" s="55"/>
      <c r="AK1943" s="56"/>
      <c r="AL1943" s="56"/>
    </row>
    <row r="1944" spans="1:38" ht="15.75" thickBot="1" x14ac:dyDescent="0.3">
      <c r="A1944" s="51"/>
      <c r="B1944" s="51"/>
      <c r="C1944" s="51"/>
      <c r="D1944" s="51"/>
      <c r="E1944" s="51"/>
      <c r="F1944" s="51"/>
      <c r="G1944" s="54"/>
      <c r="H1944" s="53"/>
      <c r="I1944" s="53"/>
      <c r="J1944" s="53"/>
      <c r="K1944" s="54"/>
      <c r="L1944" s="53"/>
      <c r="M1944" s="53"/>
      <c r="N1944" s="53"/>
      <c r="O1944" s="53"/>
      <c r="P1944" s="53"/>
      <c r="Q1944" s="53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3"/>
      <c r="AD1944" s="53"/>
      <c r="AE1944" s="53"/>
      <c r="AF1944" s="53"/>
      <c r="AG1944" s="53"/>
      <c r="AH1944" s="54"/>
      <c r="AI1944" s="53"/>
      <c r="AJ1944" s="53"/>
      <c r="AK1944" s="54"/>
      <c r="AL1944" s="54"/>
    </row>
    <row r="1945" spans="1:38" ht="15.75" thickBot="1" x14ac:dyDescent="0.3">
      <c r="A1945" s="51"/>
      <c r="B1945" s="51"/>
      <c r="C1945" s="51"/>
      <c r="D1945" s="51"/>
      <c r="E1945" s="51"/>
      <c r="F1945" s="51"/>
      <c r="G1945" s="56"/>
      <c r="H1945" s="55"/>
      <c r="I1945" s="55"/>
      <c r="J1945" s="55"/>
      <c r="K1945" s="56"/>
      <c r="L1945" s="55"/>
      <c r="M1945" s="55"/>
      <c r="N1945" s="55"/>
      <c r="O1945" s="55"/>
      <c r="P1945" s="55"/>
      <c r="Q1945" s="55"/>
      <c r="R1945" s="55"/>
      <c r="S1945" s="55"/>
      <c r="T1945" s="55"/>
      <c r="U1945" s="55"/>
      <c r="V1945" s="55"/>
      <c r="W1945" s="55"/>
      <c r="X1945" s="55"/>
      <c r="Y1945" s="55"/>
      <c r="Z1945" s="55"/>
      <c r="AA1945" s="55"/>
      <c r="AB1945" s="55"/>
      <c r="AC1945" s="55"/>
      <c r="AD1945" s="55"/>
      <c r="AE1945" s="55"/>
      <c r="AF1945" s="55"/>
      <c r="AG1945" s="55"/>
      <c r="AH1945" s="56"/>
      <c r="AI1945" s="55"/>
      <c r="AJ1945" s="55"/>
      <c r="AK1945" s="56"/>
      <c r="AL1945" s="56"/>
    </row>
    <row r="1946" spans="1:38" ht="15.75" thickBot="1" x14ac:dyDescent="0.3">
      <c r="A1946" s="51"/>
      <c r="B1946" s="51"/>
      <c r="C1946" s="51"/>
      <c r="D1946" s="51"/>
      <c r="E1946" s="51"/>
      <c r="F1946" s="51"/>
      <c r="G1946" s="54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4"/>
      <c r="AD1946" s="53"/>
      <c r="AE1946" s="53"/>
      <c r="AF1946" s="53"/>
      <c r="AG1946" s="53"/>
      <c r="AH1946" s="54"/>
      <c r="AI1946" s="53"/>
      <c r="AJ1946" s="53"/>
      <c r="AK1946" s="54"/>
      <c r="AL1946" s="54"/>
    </row>
    <row r="1947" spans="1:38" ht="15.75" thickBot="1" x14ac:dyDescent="0.3">
      <c r="A1947" s="51"/>
      <c r="B1947" s="51"/>
      <c r="C1947" s="51"/>
      <c r="D1947" s="51"/>
      <c r="E1947" s="51"/>
      <c r="F1947" s="51"/>
      <c r="G1947" s="56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5"/>
      <c r="S1947" s="55"/>
      <c r="T1947" s="55"/>
      <c r="U1947" s="55"/>
      <c r="V1947" s="55"/>
      <c r="W1947" s="55"/>
      <c r="X1947" s="55"/>
      <c r="Y1947" s="55"/>
      <c r="Z1947" s="55"/>
      <c r="AA1947" s="55"/>
      <c r="AB1947" s="55"/>
      <c r="AC1947" s="56"/>
      <c r="AD1947" s="55"/>
      <c r="AE1947" s="55"/>
      <c r="AF1947" s="55"/>
      <c r="AG1947" s="55"/>
      <c r="AH1947" s="56"/>
      <c r="AI1947" s="55"/>
      <c r="AJ1947" s="55"/>
      <c r="AK1947" s="56"/>
      <c r="AL1947" s="56"/>
    </row>
    <row r="1948" spans="1:38" ht="15.75" thickBot="1" x14ac:dyDescent="0.3">
      <c r="A1948" s="51"/>
      <c r="B1948" s="51"/>
      <c r="C1948" s="51"/>
      <c r="D1948" s="51"/>
      <c r="E1948" s="51"/>
      <c r="F1948" s="51"/>
      <c r="G1948" s="54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4"/>
      <c r="U1948" s="53"/>
      <c r="V1948" s="53"/>
      <c r="W1948" s="53"/>
      <c r="X1948" s="53"/>
      <c r="Y1948" s="53"/>
      <c r="Z1948" s="53"/>
      <c r="AA1948" s="53"/>
      <c r="AB1948" s="53"/>
      <c r="AC1948" s="53"/>
      <c r="AD1948" s="53"/>
      <c r="AE1948" s="53"/>
      <c r="AF1948" s="53"/>
      <c r="AG1948" s="53"/>
      <c r="AH1948" s="54"/>
      <c r="AI1948" s="53"/>
      <c r="AJ1948" s="53"/>
      <c r="AK1948" s="54"/>
      <c r="AL1948" s="54"/>
    </row>
    <row r="1949" spans="1:38" ht="15.75" thickBot="1" x14ac:dyDescent="0.3">
      <c r="A1949" s="51"/>
      <c r="B1949" s="51"/>
      <c r="C1949" s="51"/>
      <c r="D1949" s="51"/>
      <c r="E1949" s="51"/>
      <c r="F1949" s="51"/>
      <c r="G1949" s="56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5"/>
      <c r="S1949" s="55"/>
      <c r="T1949" s="56"/>
      <c r="U1949" s="55"/>
      <c r="V1949" s="55"/>
      <c r="W1949" s="55"/>
      <c r="X1949" s="55"/>
      <c r="Y1949" s="55"/>
      <c r="Z1949" s="55"/>
      <c r="AA1949" s="55"/>
      <c r="AB1949" s="55"/>
      <c r="AC1949" s="55"/>
      <c r="AD1949" s="55"/>
      <c r="AE1949" s="55"/>
      <c r="AF1949" s="55"/>
      <c r="AG1949" s="55"/>
      <c r="AH1949" s="56"/>
      <c r="AI1949" s="55"/>
      <c r="AJ1949" s="55"/>
      <c r="AK1949" s="56"/>
      <c r="AL1949" s="56"/>
    </row>
    <row r="1950" spans="1:38" ht="15.75" thickBot="1" x14ac:dyDescent="0.3">
      <c r="A1950" s="51"/>
      <c r="B1950" s="51"/>
      <c r="C1950" s="51"/>
      <c r="D1950" s="51"/>
      <c r="E1950" s="51"/>
      <c r="F1950" s="51"/>
      <c r="G1950" s="54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  <c r="U1950" s="54"/>
      <c r="V1950" s="53"/>
      <c r="W1950" s="53"/>
      <c r="X1950" s="53"/>
      <c r="Y1950" s="53"/>
      <c r="Z1950" s="53"/>
      <c r="AA1950" s="53"/>
      <c r="AB1950" s="53"/>
      <c r="AC1950" s="53"/>
      <c r="AD1950" s="53"/>
      <c r="AE1950" s="53"/>
      <c r="AF1950" s="53"/>
      <c r="AG1950" s="53"/>
      <c r="AH1950" s="54"/>
      <c r="AI1950" s="53"/>
      <c r="AJ1950" s="53"/>
      <c r="AK1950" s="54"/>
      <c r="AL1950" s="54"/>
    </row>
    <row r="1951" spans="1:38" ht="15.75" thickBot="1" x14ac:dyDescent="0.3">
      <c r="A1951" s="51"/>
      <c r="B1951" s="51"/>
      <c r="C1951" s="51"/>
      <c r="D1951" s="51"/>
      <c r="E1951" s="51"/>
      <c r="F1951" s="51"/>
      <c r="G1951" s="56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5"/>
      <c r="S1951" s="55"/>
      <c r="T1951" s="55"/>
      <c r="U1951" s="56"/>
      <c r="V1951" s="55"/>
      <c r="W1951" s="55"/>
      <c r="X1951" s="55"/>
      <c r="Y1951" s="55"/>
      <c r="Z1951" s="55"/>
      <c r="AA1951" s="55"/>
      <c r="AB1951" s="55"/>
      <c r="AC1951" s="55"/>
      <c r="AD1951" s="55"/>
      <c r="AE1951" s="55"/>
      <c r="AF1951" s="55"/>
      <c r="AG1951" s="55"/>
      <c r="AH1951" s="56"/>
      <c r="AI1951" s="55"/>
      <c r="AJ1951" s="55"/>
      <c r="AK1951" s="56"/>
      <c r="AL1951" s="56"/>
    </row>
    <row r="1952" spans="1:38" ht="15.75" thickBot="1" x14ac:dyDescent="0.3">
      <c r="A1952" s="51"/>
      <c r="B1952" s="51"/>
      <c r="C1952" s="51"/>
      <c r="D1952" s="51"/>
      <c r="E1952" s="51"/>
      <c r="F1952" s="51"/>
      <c r="G1952" s="54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  <c r="U1952" s="53"/>
      <c r="V1952" s="54"/>
      <c r="W1952" s="53"/>
      <c r="X1952" s="53"/>
      <c r="Y1952" s="53"/>
      <c r="Z1952" s="53"/>
      <c r="AA1952" s="53"/>
      <c r="AB1952" s="53"/>
      <c r="AC1952" s="53"/>
      <c r="AD1952" s="53"/>
      <c r="AE1952" s="53"/>
      <c r="AF1952" s="53"/>
      <c r="AG1952" s="53"/>
      <c r="AH1952" s="54"/>
      <c r="AI1952" s="53"/>
      <c r="AJ1952" s="53"/>
      <c r="AK1952" s="54"/>
      <c r="AL1952" s="54"/>
    </row>
    <row r="1953" spans="1:38" ht="15.75" thickBot="1" x14ac:dyDescent="0.3">
      <c r="A1953" s="51"/>
      <c r="B1953" s="51"/>
      <c r="C1953" s="51"/>
      <c r="D1953" s="51"/>
      <c r="E1953" s="51"/>
      <c r="F1953" s="51"/>
      <c r="G1953" s="56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5"/>
      <c r="S1953" s="55"/>
      <c r="T1953" s="55"/>
      <c r="U1953" s="55"/>
      <c r="V1953" s="56"/>
      <c r="W1953" s="55"/>
      <c r="X1953" s="55"/>
      <c r="Y1953" s="55"/>
      <c r="Z1953" s="55"/>
      <c r="AA1953" s="55"/>
      <c r="AB1953" s="55"/>
      <c r="AC1953" s="55"/>
      <c r="AD1953" s="55"/>
      <c r="AE1953" s="55"/>
      <c r="AF1953" s="55"/>
      <c r="AG1953" s="55"/>
      <c r="AH1953" s="56"/>
      <c r="AI1953" s="55"/>
      <c r="AJ1953" s="55"/>
      <c r="AK1953" s="56"/>
      <c r="AL1953" s="56"/>
    </row>
    <row r="1954" spans="1:38" ht="15.75" thickBot="1" x14ac:dyDescent="0.3">
      <c r="A1954" s="51"/>
      <c r="B1954" s="51"/>
      <c r="C1954" s="51"/>
      <c r="D1954" s="51"/>
      <c r="E1954" s="51"/>
      <c r="F1954" s="51"/>
      <c r="G1954" s="54"/>
      <c r="H1954" s="53"/>
      <c r="I1954" s="53"/>
      <c r="J1954" s="53"/>
      <c r="K1954" s="54"/>
      <c r="L1954" s="53"/>
      <c r="M1954" s="53"/>
      <c r="N1954" s="53"/>
      <c r="O1954" s="53"/>
      <c r="P1954" s="53"/>
      <c r="Q1954" s="53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  <c r="AB1954" s="53"/>
      <c r="AC1954" s="53"/>
      <c r="AD1954" s="53"/>
      <c r="AE1954" s="53"/>
      <c r="AF1954" s="53"/>
      <c r="AG1954" s="53"/>
      <c r="AH1954" s="54"/>
      <c r="AI1954" s="53"/>
      <c r="AJ1954" s="53"/>
      <c r="AK1954" s="54"/>
      <c r="AL1954" s="54"/>
    </row>
    <row r="1955" spans="1:38" ht="15.75" thickBot="1" x14ac:dyDescent="0.3">
      <c r="A1955" s="51"/>
      <c r="B1955" s="51"/>
      <c r="C1955" s="51"/>
      <c r="D1955" s="51"/>
      <c r="E1955" s="51"/>
      <c r="F1955" s="51"/>
      <c r="G1955" s="56"/>
      <c r="H1955" s="55"/>
      <c r="I1955" s="55"/>
      <c r="J1955" s="55"/>
      <c r="K1955" s="56"/>
      <c r="L1955" s="55"/>
      <c r="M1955" s="55"/>
      <c r="N1955" s="55"/>
      <c r="O1955" s="55"/>
      <c r="P1955" s="55"/>
      <c r="Q1955" s="55"/>
      <c r="R1955" s="55"/>
      <c r="S1955" s="55"/>
      <c r="T1955" s="55"/>
      <c r="U1955" s="55"/>
      <c r="V1955" s="55"/>
      <c r="W1955" s="55"/>
      <c r="X1955" s="55"/>
      <c r="Y1955" s="55"/>
      <c r="Z1955" s="55"/>
      <c r="AA1955" s="55"/>
      <c r="AB1955" s="55"/>
      <c r="AC1955" s="55"/>
      <c r="AD1955" s="55"/>
      <c r="AE1955" s="55"/>
      <c r="AF1955" s="55"/>
      <c r="AG1955" s="55"/>
      <c r="AH1955" s="56"/>
      <c r="AI1955" s="55"/>
      <c r="AJ1955" s="55"/>
      <c r="AK1955" s="56"/>
      <c r="AL1955" s="56"/>
    </row>
    <row r="1956" spans="1:38" ht="15.75" thickBot="1" x14ac:dyDescent="0.3">
      <c r="A1956" s="51"/>
      <c r="B1956" s="51"/>
      <c r="C1956" s="51"/>
      <c r="D1956" s="51"/>
      <c r="E1956" s="51"/>
      <c r="F1956" s="51"/>
      <c r="G1956" s="54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  <c r="U1956" s="53"/>
      <c r="V1956" s="53"/>
      <c r="W1956" s="54"/>
      <c r="X1956" s="53"/>
      <c r="Y1956" s="53"/>
      <c r="Z1956" s="53"/>
      <c r="AA1956" s="53"/>
      <c r="AB1956" s="53"/>
      <c r="AC1956" s="53"/>
      <c r="AD1956" s="53"/>
      <c r="AE1956" s="53"/>
      <c r="AF1956" s="53"/>
      <c r="AG1956" s="53"/>
      <c r="AH1956" s="54"/>
      <c r="AI1956" s="53"/>
      <c r="AJ1956" s="53"/>
      <c r="AK1956" s="54"/>
      <c r="AL1956" s="54"/>
    </row>
    <row r="1957" spans="1:38" ht="15.75" thickBot="1" x14ac:dyDescent="0.3">
      <c r="A1957" s="51"/>
      <c r="B1957" s="51"/>
      <c r="C1957" s="51"/>
      <c r="D1957" s="51"/>
      <c r="E1957" s="51"/>
      <c r="F1957" s="51"/>
      <c r="G1957" s="56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  <c r="T1957" s="55"/>
      <c r="U1957" s="55"/>
      <c r="V1957" s="55"/>
      <c r="W1957" s="56"/>
      <c r="X1957" s="55"/>
      <c r="Y1957" s="55"/>
      <c r="Z1957" s="55"/>
      <c r="AA1957" s="55"/>
      <c r="AB1957" s="55"/>
      <c r="AC1957" s="55"/>
      <c r="AD1957" s="55"/>
      <c r="AE1957" s="55"/>
      <c r="AF1957" s="55"/>
      <c r="AG1957" s="55"/>
      <c r="AH1957" s="56"/>
      <c r="AI1957" s="55"/>
      <c r="AJ1957" s="55"/>
      <c r="AK1957" s="56"/>
      <c r="AL1957" s="56"/>
    </row>
    <row r="1958" spans="1:38" ht="15.75" thickBot="1" x14ac:dyDescent="0.3">
      <c r="A1958" s="51"/>
      <c r="B1958" s="51"/>
      <c r="C1958" s="51"/>
      <c r="D1958" s="51"/>
      <c r="E1958" s="51"/>
      <c r="F1958" s="51"/>
      <c r="G1958" s="54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  <c r="U1958" s="53"/>
      <c r="V1958" s="53"/>
      <c r="W1958" s="53"/>
      <c r="X1958" s="54"/>
      <c r="Y1958" s="53"/>
      <c r="Z1958" s="53"/>
      <c r="AA1958" s="53"/>
      <c r="AB1958" s="53"/>
      <c r="AC1958" s="53"/>
      <c r="AD1958" s="53"/>
      <c r="AE1958" s="53"/>
      <c r="AF1958" s="53"/>
      <c r="AG1958" s="53"/>
      <c r="AH1958" s="54"/>
      <c r="AI1958" s="53"/>
      <c r="AJ1958" s="53"/>
      <c r="AK1958" s="54"/>
      <c r="AL1958" s="54"/>
    </row>
    <row r="1959" spans="1:38" ht="15.75" thickBot="1" x14ac:dyDescent="0.3">
      <c r="A1959" s="51"/>
      <c r="B1959" s="51"/>
      <c r="C1959" s="51"/>
      <c r="D1959" s="51"/>
      <c r="E1959" s="51"/>
      <c r="F1959" s="51"/>
      <c r="G1959" s="56"/>
      <c r="H1959" s="55"/>
      <c r="I1959" s="55"/>
      <c r="J1959" s="55"/>
      <c r="K1959" s="55"/>
      <c r="L1959" s="55"/>
      <c r="M1959" s="55"/>
      <c r="N1959" s="55"/>
      <c r="O1959" s="55"/>
      <c r="P1959" s="55"/>
      <c r="Q1959" s="55"/>
      <c r="R1959" s="55"/>
      <c r="S1959" s="55"/>
      <c r="T1959" s="55"/>
      <c r="U1959" s="55"/>
      <c r="V1959" s="55"/>
      <c r="W1959" s="55"/>
      <c r="X1959" s="56"/>
      <c r="Y1959" s="55"/>
      <c r="Z1959" s="55"/>
      <c r="AA1959" s="55"/>
      <c r="AB1959" s="55"/>
      <c r="AC1959" s="55"/>
      <c r="AD1959" s="55"/>
      <c r="AE1959" s="55"/>
      <c r="AF1959" s="55"/>
      <c r="AG1959" s="55"/>
      <c r="AH1959" s="56"/>
      <c r="AI1959" s="55"/>
      <c r="AJ1959" s="55"/>
      <c r="AK1959" s="56"/>
      <c r="AL1959" s="56"/>
    </row>
    <row r="1960" spans="1:38" ht="15.75" thickBot="1" x14ac:dyDescent="0.3">
      <c r="A1960" s="51"/>
      <c r="B1960" s="51"/>
      <c r="C1960" s="51"/>
      <c r="D1960" s="51"/>
      <c r="E1960" s="51"/>
      <c r="F1960" s="51"/>
      <c r="G1960" s="54"/>
      <c r="H1960" s="53"/>
      <c r="I1960" s="53"/>
      <c r="J1960" s="53"/>
      <c r="K1960" s="54"/>
      <c r="L1960" s="53"/>
      <c r="M1960" s="53"/>
      <c r="N1960" s="53"/>
      <c r="O1960" s="53"/>
      <c r="P1960" s="53"/>
      <c r="Q1960" s="53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3"/>
      <c r="AB1960" s="53"/>
      <c r="AC1960" s="53"/>
      <c r="AD1960" s="53"/>
      <c r="AE1960" s="53"/>
      <c r="AF1960" s="53"/>
      <c r="AG1960" s="53"/>
      <c r="AH1960" s="54"/>
      <c r="AI1960" s="53"/>
      <c r="AJ1960" s="53"/>
      <c r="AK1960" s="54"/>
      <c r="AL1960" s="54"/>
    </row>
    <row r="1961" spans="1:38" ht="15.75" thickBot="1" x14ac:dyDescent="0.3">
      <c r="A1961" s="51"/>
      <c r="B1961" s="51"/>
      <c r="C1961" s="51"/>
      <c r="D1961" s="51"/>
      <c r="E1961" s="51"/>
      <c r="F1961" s="51"/>
      <c r="G1961" s="56"/>
      <c r="H1961" s="55"/>
      <c r="I1961" s="55"/>
      <c r="J1961" s="55"/>
      <c r="K1961" s="56"/>
      <c r="L1961" s="55"/>
      <c r="M1961" s="55"/>
      <c r="N1961" s="55"/>
      <c r="O1961" s="55"/>
      <c r="P1961" s="55"/>
      <c r="Q1961" s="55"/>
      <c r="R1961" s="55"/>
      <c r="S1961" s="55"/>
      <c r="T1961" s="55"/>
      <c r="U1961" s="55"/>
      <c r="V1961" s="55"/>
      <c r="W1961" s="55"/>
      <c r="X1961" s="55"/>
      <c r="Y1961" s="55"/>
      <c r="Z1961" s="55"/>
      <c r="AA1961" s="55"/>
      <c r="AB1961" s="55"/>
      <c r="AC1961" s="55"/>
      <c r="AD1961" s="55"/>
      <c r="AE1961" s="55"/>
      <c r="AF1961" s="55"/>
      <c r="AG1961" s="55"/>
      <c r="AH1961" s="56"/>
      <c r="AI1961" s="55"/>
      <c r="AJ1961" s="55"/>
      <c r="AK1961" s="56"/>
      <c r="AL1961" s="56"/>
    </row>
    <row r="1962" spans="1:38" ht="15.75" thickBot="1" x14ac:dyDescent="0.3">
      <c r="A1962" s="51"/>
      <c r="B1962" s="51"/>
      <c r="C1962" s="51"/>
      <c r="D1962" s="51"/>
      <c r="E1962" s="51"/>
      <c r="F1962" s="51"/>
      <c r="G1962" s="54"/>
      <c r="H1962" s="53"/>
      <c r="I1962" s="53"/>
      <c r="J1962" s="53"/>
      <c r="K1962" s="53"/>
      <c r="L1962" s="54"/>
      <c r="M1962" s="53"/>
      <c r="N1962" s="53"/>
      <c r="O1962" s="53"/>
      <c r="P1962" s="53"/>
      <c r="Q1962" s="53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53"/>
      <c r="AC1962" s="53"/>
      <c r="AD1962" s="53"/>
      <c r="AE1962" s="53"/>
      <c r="AF1962" s="53"/>
      <c r="AG1962" s="53"/>
      <c r="AH1962" s="54"/>
      <c r="AI1962" s="53"/>
      <c r="AJ1962" s="53"/>
      <c r="AK1962" s="54"/>
      <c r="AL1962" s="54"/>
    </row>
    <row r="1963" spans="1:38" ht="15.75" thickBot="1" x14ac:dyDescent="0.3">
      <c r="A1963" s="51"/>
      <c r="B1963" s="51"/>
      <c r="C1963" s="51"/>
      <c r="D1963" s="51"/>
      <c r="E1963" s="51"/>
      <c r="F1963" s="51"/>
      <c r="G1963" s="56"/>
      <c r="H1963" s="55"/>
      <c r="I1963" s="55"/>
      <c r="J1963" s="55"/>
      <c r="K1963" s="55"/>
      <c r="L1963" s="56"/>
      <c r="M1963" s="55"/>
      <c r="N1963" s="55"/>
      <c r="O1963" s="55"/>
      <c r="P1963" s="55"/>
      <c r="Q1963" s="55"/>
      <c r="R1963" s="55"/>
      <c r="S1963" s="55"/>
      <c r="T1963" s="55"/>
      <c r="U1963" s="55"/>
      <c r="V1963" s="55"/>
      <c r="W1963" s="55"/>
      <c r="X1963" s="55"/>
      <c r="Y1963" s="55"/>
      <c r="Z1963" s="55"/>
      <c r="AA1963" s="55"/>
      <c r="AB1963" s="55"/>
      <c r="AC1963" s="55"/>
      <c r="AD1963" s="55"/>
      <c r="AE1963" s="55"/>
      <c r="AF1963" s="55"/>
      <c r="AG1963" s="55"/>
      <c r="AH1963" s="56"/>
      <c r="AI1963" s="55"/>
      <c r="AJ1963" s="55"/>
      <c r="AK1963" s="56"/>
      <c r="AL1963" s="56"/>
    </row>
    <row r="1964" spans="1:38" ht="15.75" thickBot="1" x14ac:dyDescent="0.3">
      <c r="A1964" s="51"/>
      <c r="B1964" s="51"/>
      <c r="C1964" s="51"/>
      <c r="D1964" s="51"/>
      <c r="E1964" s="51"/>
      <c r="F1964" s="51"/>
      <c r="G1964" s="54"/>
      <c r="H1964" s="54"/>
      <c r="I1964" s="53"/>
      <c r="J1964" s="53"/>
      <c r="K1964" s="53"/>
      <c r="L1964" s="53"/>
      <c r="M1964" s="54"/>
      <c r="N1964" s="53"/>
      <c r="O1964" s="53"/>
      <c r="P1964" s="53"/>
      <c r="Q1964" s="53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3"/>
      <c r="AB1964" s="53"/>
      <c r="AC1964" s="53"/>
      <c r="AD1964" s="53"/>
      <c r="AE1964" s="53"/>
      <c r="AF1964" s="53"/>
      <c r="AG1964" s="53"/>
      <c r="AH1964" s="54"/>
      <c r="AI1964" s="53"/>
      <c r="AJ1964" s="53"/>
      <c r="AK1964" s="54"/>
      <c r="AL1964" s="54"/>
    </row>
    <row r="1965" spans="1:38" ht="15.75" thickBot="1" x14ac:dyDescent="0.3">
      <c r="A1965" s="51"/>
      <c r="B1965" s="51"/>
      <c r="C1965" s="51"/>
      <c r="D1965" s="51"/>
      <c r="E1965" s="51"/>
      <c r="F1965" s="51"/>
      <c r="G1965" s="56"/>
      <c r="H1965" s="148"/>
      <c r="I1965" s="55"/>
      <c r="J1965" s="55"/>
      <c r="K1965" s="55"/>
      <c r="L1965" s="55"/>
      <c r="M1965" s="56"/>
      <c r="N1965" s="55"/>
      <c r="O1965" s="55"/>
      <c r="P1965" s="55"/>
      <c r="Q1965" s="55"/>
      <c r="R1965" s="55"/>
      <c r="S1965" s="55"/>
      <c r="T1965" s="55"/>
      <c r="U1965" s="55"/>
      <c r="V1965" s="55"/>
      <c r="W1965" s="55"/>
      <c r="X1965" s="55"/>
      <c r="Y1965" s="55"/>
      <c r="Z1965" s="55"/>
      <c r="AA1965" s="55"/>
      <c r="AB1965" s="55"/>
      <c r="AC1965" s="55"/>
      <c r="AD1965" s="55"/>
      <c r="AE1965" s="55"/>
      <c r="AF1965" s="55"/>
      <c r="AG1965" s="55"/>
      <c r="AH1965" s="56"/>
      <c r="AI1965" s="55"/>
      <c r="AJ1965" s="55"/>
      <c r="AK1965" s="56"/>
      <c r="AL1965" s="56"/>
    </row>
    <row r="1966" spans="1:38" ht="15.75" thickBot="1" x14ac:dyDescent="0.3">
      <c r="A1966" s="51"/>
      <c r="B1966" s="51"/>
      <c r="C1966" s="51"/>
      <c r="D1966" s="51"/>
      <c r="E1966" s="51"/>
      <c r="F1966" s="51"/>
      <c r="G1966" s="54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  <c r="U1966" s="53"/>
      <c r="V1966" s="53"/>
      <c r="W1966" s="53"/>
      <c r="X1966" s="53"/>
      <c r="Y1966" s="53"/>
      <c r="Z1966" s="54"/>
      <c r="AA1966" s="53"/>
      <c r="AB1966" s="53"/>
      <c r="AC1966" s="53"/>
      <c r="AD1966" s="53"/>
      <c r="AE1966" s="53"/>
      <c r="AF1966" s="53"/>
      <c r="AG1966" s="53"/>
      <c r="AH1966" s="54"/>
      <c r="AI1966" s="53"/>
      <c r="AJ1966" s="53"/>
      <c r="AK1966" s="54"/>
      <c r="AL1966" s="54"/>
    </row>
    <row r="1967" spans="1:38" ht="15.75" thickBot="1" x14ac:dyDescent="0.3">
      <c r="A1967" s="51"/>
      <c r="B1967" s="51"/>
      <c r="C1967" s="51"/>
      <c r="D1967" s="51"/>
      <c r="E1967" s="51"/>
      <c r="F1967" s="51"/>
      <c r="G1967" s="56"/>
      <c r="H1967" s="55"/>
      <c r="I1967" s="55"/>
      <c r="J1967" s="55"/>
      <c r="K1967" s="55"/>
      <c r="L1967" s="55"/>
      <c r="M1967" s="55"/>
      <c r="N1967" s="55"/>
      <c r="O1967" s="55"/>
      <c r="P1967" s="55"/>
      <c r="Q1967" s="55"/>
      <c r="R1967" s="55"/>
      <c r="S1967" s="55"/>
      <c r="T1967" s="55"/>
      <c r="U1967" s="55"/>
      <c r="V1967" s="55"/>
      <c r="W1967" s="55"/>
      <c r="X1967" s="55"/>
      <c r="Y1967" s="55"/>
      <c r="Z1967" s="56"/>
      <c r="AA1967" s="55"/>
      <c r="AB1967" s="55"/>
      <c r="AC1967" s="55"/>
      <c r="AD1967" s="55"/>
      <c r="AE1967" s="55"/>
      <c r="AF1967" s="55"/>
      <c r="AG1967" s="55"/>
      <c r="AH1967" s="56"/>
      <c r="AI1967" s="55"/>
      <c r="AJ1967" s="55"/>
      <c r="AK1967" s="56"/>
      <c r="AL1967" s="56"/>
    </row>
    <row r="1968" spans="1:38" ht="15.75" thickBot="1" x14ac:dyDescent="0.3">
      <c r="A1968" s="51"/>
      <c r="B1968" s="51"/>
      <c r="C1968" s="51"/>
      <c r="D1968" s="51"/>
      <c r="E1968" s="51"/>
      <c r="F1968" s="51"/>
      <c r="G1968" s="54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4"/>
      <c r="AB1968" s="53"/>
      <c r="AC1968" s="53"/>
      <c r="AD1968" s="53"/>
      <c r="AE1968" s="53"/>
      <c r="AF1968" s="53"/>
      <c r="AG1968" s="53"/>
      <c r="AH1968" s="54"/>
      <c r="AI1968" s="53"/>
      <c r="AJ1968" s="53"/>
      <c r="AK1968" s="54"/>
      <c r="AL1968" s="54"/>
    </row>
    <row r="1969" spans="1:38" ht="15.75" thickBot="1" x14ac:dyDescent="0.3">
      <c r="A1969" s="51"/>
      <c r="B1969" s="51"/>
      <c r="C1969" s="51"/>
      <c r="D1969" s="51"/>
      <c r="E1969" s="51"/>
      <c r="F1969" s="51"/>
      <c r="G1969" s="56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/>
      <c r="R1969" s="55"/>
      <c r="S1969" s="55"/>
      <c r="T1969" s="55"/>
      <c r="U1969" s="55"/>
      <c r="V1969" s="55"/>
      <c r="W1969" s="55"/>
      <c r="X1969" s="55"/>
      <c r="Y1969" s="55"/>
      <c r="Z1969" s="55"/>
      <c r="AA1969" s="56"/>
      <c r="AB1969" s="55"/>
      <c r="AC1969" s="55"/>
      <c r="AD1969" s="55"/>
      <c r="AE1969" s="55"/>
      <c r="AF1969" s="55"/>
      <c r="AG1969" s="55"/>
      <c r="AH1969" s="56"/>
      <c r="AI1969" s="55"/>
      <c r="AJ1969" s="55"/>
      <c r="AK1969" s="56"/>
      <c r="AL1969" s="56"/>
    </row>
    <row r="1970" spans="1:38" ht="15.75" thickBot="1" x14ac:dyDescent="0.3">
      <c r="A1970" s="51"/>
      <c r="B1970" s="51"/>
      <c r="C1970" s="51"/>
      <c r="D1970" s="51"/>
      <c r="E1970" s="51"/>
      <c r="F1970" s="51"/>
      <c r="G1970" s="54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4"/>
      <c r="S1970" s="53"/>
      <c r="T1970" s="53"/>
      <c r="U1970" s="53"/>
      <c r="V1970" s="53"/>
      <c r="W1970" s="53"/>
      <c r="X1970" s="53"/>
      <c r="Y1970" s="53"/>
      <c r="Z1970" s="53"/>
      <c r="AA1970" s="53"/>
      <c r="AB1970" s="53"/>
      <c r="AC1970" s="53"/>
      <c r="AD1970" s="53"/>
      <c r="AE1970" s="53"/>
      <c r="AF1970" s="53"/>
      <c r="AG1970" s="53"/>
      <c r="AH1970" s="54"/>
      <c r="AI1970" s="53"/>
      <c r="AJ1970" s="53"/>
      <c r="AK1970" s="54"/>
      <c r="AL1970" s="54"/>
    </row>
    <row r="1971" spans="1:38" ht="15.75" thickBot="1" x14ac:dyDescent="0.3">
      <c r="A1971" s="51"/>
      <c r="B1971" s="51"/>
      <c r="C1971" s="51"/>
      <c r="D1971" s="51"/>
      <c r="E1971" s="51"/>
      <c r="F1971" s="51"/>
      <c r="G1971" s="56"/>
      <c r="H1971" s="55"/>
      <c r="I1971" s="55"/>
      <c r="J1971" s="55"/>
      <c r="K1971" s="55"/>
      <c r="L1971" s="55"/>
      <c r="M1971" s="55"/>
      <c r="N1971" s="55"/>
      <c r="O1971" s="55"/>
      <c r="P1971" s="55"/>
      <c r="Q1971" s="55"/>
      <c r="R1971" s="56"/>
      <c r="S1971" s="55"/>
      <c r="T1971" s="55"/>
      <c r="U1971" s="55"/>
      <c r="V1971" s="55"/>
      <c r="W1971" s="55"/>
      <c r="X1971" s="55"/>
      <c r="Y1971" s="55"/>
      <c r="Z1971" s="55"/>
      <c r="AA1971" s="55"/>
      <c r="AB1971" s="55"/>
      <c r="AC1971" s="55"/>
      <c r="AD1971" s="55"/>
      <c r="AE1971" s="55"/>
      <c r="AF1971" s="55"/>
      <c r="AG1971" s="55"/>
      <c r="AH1971" s="56"/>
      <c r="AI1971" s="55"/>
      <c r="AJ1971" s="55"/>
      <c r="AK1971" s="56"/>
      <c r="AL1971" s="56"/>
    </row>
    <row r="1972" spans="1:38" ht="15.75" thickBot="1" x14ac:dyDescent="0.3">
      <c r="A1972" s="51"/>
      <c r="B1972" s="51"/>
      <c r="C1972" s="51"/>
      <c r="D1972" s="51"/>
      <c r="E1972" s="51"/>
      <c r="F1972" s="51"/>
      <c r="G1972" s="54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3"/>
      <c r="AB1972" s="53"/>
      <c r="AC1972" s="54"/>
      <c r="AD1972" s="53"/>
      <c r="AE1972" s="53"/>
      <c r="AF1972" s="53"/>
      <c r="AG1972" s="53"/>
      <c r="AH1972" s="54"/>
      <c r="AI1972" s="53"/>
      <c r="AJ1972" s="53"/>
      <c r="AK1972" s="54"/>
      <c r="AL1972" s="54"/>
    </row>
    <row r="1973" spans="1:38" ht="15.75" thickBot="1" x14ac:dyDescent="0.3">
      <c r="A1973" s="51"/>
      <c r="B1973" s="51"/>
      <c r="C1973" s="51"/>
      <c r="D1973" s="51"/>
      <c r="E1973" s="51"/>
      <c r="F1973" s="51"/>
      <c r="G1973" s="56"/>
      <c r="H1973" s="55"/>
      <c r="I1973" s="55"/>
      <c r="J1973" s="55"/>
      <c r="K1973" s="55"/>
      <c r="L1973" s="55"/>
      <c r="M1973" s="55"/>
      <c r="N1973" s="55"/>
      <c r="O1973" s="55"/>
      <c r="P1973" s="55"/>
      <c r="Q1973" s="55"/>
      <c r="R1973" s="55"/>
      <c r="S1973" s="55"/>
      <c r="T1973" s="55"/>
      <c r="U1973" s="55"/>
      <c r="V1973" s="55"/>
      <c r="W1973" s="55"/>
      <c r="X1973" s="55"/>
      <c r="Y1973" s="55"/>
      <c r="Z1973" s="55"/>
      <c r="AA1973" s="55"/>
      <c r="AB1973" s="55"/>
      <c r="AC1973" s="56"/>
      <c r="AD1973" s="55"/>
      <c r="AE1973" s="55"/>
      <c r="AF1973" s="55"/>
      <c r="AG1973" s="55"/>
      <c r="AH1973" s="56"/>
      <c r="AI1973" s="55"/>
      <c r="AJ1973" s="55"/>
      <c r="AK1973" s="56"/>
      <c r="AL1973" s="56"/>
    </row>
    <row r="1974" spans="1:38" ht="15.75" thickBot="1" x14ac:dyDescent="0.3">
      <c r="A1974" s="51"/>
      <c r="B1974" s="51"/>
      <c r="C1974" s="51"/>
      <c r="D1974" s="51"/>
      <c r="E1974" s="51"/>
      <c r="F1974" s="51"/>
      <c r="G1974" s="54"/>
      <c r="H1974" s="53"/>
      <c r="I1974" s="53"/>
      <c r="J1974" s="53"/>
      <c r="K1974" s="54"/>
      <c r="L1974" s="53"/>
      <c r="M1974" s="53"/>
      <c r="N1974" s="53"/>
      <c r="O1974" s="53"/>
      <c r="P1974" s="53"/>
      <c r="Q1974" s="53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3"/>
      <c r="AB1974" s="53"/>
      <c r="AC1974" s="53"/>
      <c r="AD1974" s="53"/>
      <c r="AE1974" s="53"/>
      <c r="AF1974" s="53"/>
      <c r="AG1974" s="53"/>
      <c r="AH1974" s="54"/>
      <c r="AI1974" s="53"/>
      <c r="AJ1974" s="53"/>
      <c r="AK1974" s="54"/>
      <c r="AL1974" s="54"/>
    </row>
    <row r="1975" spans="1:38" ht="15.75" thickBot="1" x14ac:dyDescent="0.3">
      <c r="A1975" s="51"/>
      <c r="B1975" s="51"/>
      <c r="C1975" s="51"/>
      <c r="D1975" s="51"/>
      <c r="E1975" s="51"/>
      <c r="F1975" s="51"/>
      <c r="G1975" s="56"/>
      <c r="H1975" s="55"/>
      <c r="I1975" s="55"/>
      <c r="J1975" s="55"/>
      <c r="K1975" s="56"/>
      <c r="L1975" s="55"/>
      <c r="M1975" s="55"/>
      <c r="N1975" s="55"/>
      <c r="O1975" s="55"/>
      <c r="P1975" s="55"/>
      <c r="Q1975" s="55"/>
      <c r="R1975" s="55"/>
      <c r="S1975" s="55"/>
      <c r="T1975" s="55"/>
      <c r="U1975" s="55"/>
      <c r="V1975" s="55"/>
      <c r="W1975" s="55"/>
      <c r="X1975" s="55"/>
      <c r="Y1975" s="55"/>
      <c r="Z1975" s="55"/>
      <c r="AA1975" s="55"/>
      <c r="AB1975" s="55"/>
      <c r="AC1975" s="55"/>
      <c r="AD1975" s="55"/>
      <c r="AE1975" s="55"/>
      <c r="AF1975" s="55"/>
      <c r="AG1975" s="55"/>
      <c r="AH1975" s="56"/>
      <c r="AI1975" s="55"/>
      <c r="AJ1975" s="55"/>
      <c r="AK1975" s="56"/>
      <c r="AL1975" s="56"/>
    </row>
    <row r="1976" spans="1:38" ht="15.75" thickBot="1" x14ac:dyDescent="0.3">
      <c r="A1976" s="51"/>
      <c r="B1976" s="51"/>
      <c r="C1976" s="51"/>
      <c r="D1976" s="51"/>
      <c r="E1976" s="51"/>
      <c r="F1976" s="51"/>
      <c r="G1976" s="54"/>
      <c r="H1976" s="54"/>
      <c r="I1976" s="53"/>
      <c r="J1976" s="53"/>
      <c r="K1976" s="53"/>
      <c r="L1976" s="53"/>
      <c r="M1976" s="54"/>
      <c r="N1976" s="53"/>
      <c r="O1976" s="53"/>
      <c r="P1976" s="53"/>
      <c r="Q1976" s="53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3"/>
      <c r="AB1976" s="53"/>
      <c r="AC1976" s="53"/>
      <c r="AD1976" s="53"/>
      <c r="AE1976" s="53"/>
      <c r="AF1976" s="53"/>
      <c r="AG1976" s="53"/>
      <c r="AH1976" s="54"/>
      <c r="AI1976" s="53"/>
      <c r="AJ1976" s="53"/>
      <c r="AK1976" s="54"/>
      <c r="AL1976" s="54"/>
    </row>
    <row r="1977" spans="1:38" ht="15.75" thickBot="1" x14ac:dyDescent="0.3">
      <c r="A1977" s="51"/>
      <c r="B1977" s="51"/>
      <c r="C1977" s="51"/>
      <c r="D1977" s="51"/>
      <c r="E1977" s="51"/>
      <c r="F1977" s="51"/>
      <c r="G1977" s="56"/>
      <c r="H1977" s="148"/>
      <c r="I1977" s="55"/>
      <c r="J1977" s="55"/>
      <c r="K1977" s="55"/>
      <c r="L1977" s="55"/>
      <c r="M1977" s="56"/>
      <c r="N1977" s="55"/>
      <c r="O1977" s="55"/>
      <c r="P1977" s="55"/>
      <c r="Q1977" s="55"/>
      <c r="R1977" s="55"/>
      <c r="S1977" s="55"/>
      <c r="T1977" s="55"/>
      <c r="U1977" s="55"/>
      <c r="V1977" s="55"/>
      <c r="W1977" s="55"/>
      <c r="X1977" s="55"/>
      <c r="Y1977" s="55"/>
      <c r="Z1977" s="55"/>
      <c r="AA1977" s="55"/>
      <c r="AB1977" s="55"/>
      <c r="AC1977" s="55"/>
      <c r="AD1977" s="55"/>
      <c r="AE1977" s="55"/>
      <c r="AF1977" s="55"/>
      <c r="AG1977" s="55"/>
      <c r="AH1977" s="56"/>
      <c r="AI1977" s="55"/>
      <c r="AJ1977" s="55"/>
      <c r="AK1977" s="56"/>
      <c r="AL1977" s="56"/>
    </row>
    <row r="1978" spans="1:38" ht="15.75" thickBot="1" x14ac:dyDescent="0.3">
      <c r="A1978" s="51"/>
      <c r="B1978" s="51"/>
      <c r="C1978" s="51"/>
      <c r="D1978" s="51"/>
      <c r="E1978" s="51"/>
      <c r="F1978" s="51"/>
      <c r="G1978" s="54"/>
      <c r="H1978" s="53"/>
      <c r="I1978" s="53"/>
      <c r="J1978" s="53"/>
      <c r="K1978" s="53"/>
      <c r="L1978" s="53"/>
      <c r="M1978" s="53"/>
      <c r="N1978" s="53"/>
      <c r="O1978" s="53"/>
      <c r="P1978" s="53"/>
      <c r="Q1978" s="54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53"/>
      <c r="AC1978" s="53"/>
      <c r="AD1978" s="53"/>
      <c r="AE1978" s="53"/>
      <c r="AF1978" s="53"/>
      <c r="AG1978" s="53"/>
      <c r="AH1978" s="54"/>
      <c r="AI1978" s="53"/>
      <c r="AJ1978" s="53"/>
      <c r="AK1978" s="54"/>
      <c r="AL1978" s="54"/>
    </row>
    <row r="1979" spans="1:38" ht="15.75" thickBot="1" x14ac:dyDescent="0.3">
      <c r="A1979" s="51"/>
      <c r="B1979" s="51"/>
      <c r="C1979" s="51"/>
      <c r="D1979" s="51"/>
      <c r="E1979" s="51"/>
      <c r="F1979" s="51"/>
      <c r="G1979" s="56"/>
      <c r="H1979" s="55"/>
      <c r="I1979" s="55"/>
      <c r="J1979" s="55"/>
      <c r="K1979" s="55"/>
      <c r="L1979" s="55"/>
      <c r="M1979" s="55"/>
      <c r="N1979" s="55"/>
      <c r="O1979" s="55"/>
      <c r="P1979" s="55"/>
      <c r="Q1979" s="56"/>
      <c r="R1979" s="55"/>
      <c r="S1979" s="55"/>
      <c r="T1979" s="55"/>
      <c r="U1979" s="55"/>
      <c r="V1979" s="55"/>
      <c r="W1979" s="55"/>
      <c r="X1979" s="55"/>
      <c r="Y1979" s="55"/>
      <c r="Z1979" s="55"/>
      <c r="AA1979" s="55"/>
      <c r="AB1979" s="55"/>
      <c r="AC1979" s="55"/>
      <c r="AD1979" s="55"/>
      <c r="AE1979" s="55"/>
      <c r="AF1979" s="55"/>
      <c r="AG1979" s="55"/>
      <c r="AH1979" s="56"/>
      <c r="AI1979" s="55"/>
      <c r="AJ1979" s="55"/>
      <c r="AK1979" s="56"/>
      <c r="AL1979" s="56"/>
    </row>
    <row r="1980" spans="1:38" ht="15.75" thickBot="1" x14ac:dyDescent="0.3">
      <c r="A1980" s="51"/>
      <c r="B1980" s="51"/>
      <c r="C1980" s="51"/>
      <c r="D1980" s="51"/>
      <c r="E1980" s="51"/>
      <c r="F1980" s="51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3"/>
      <c r="AB1980" s="53"/>
      <c r="AC1980" s="53"/>
      <c r="AD1980" s="53"/>
      <c r="AE1980" s="53"/>
      <c r="AF1980" s="54"/>
      <c r="AG1980" s="53"/>
      <c r="AH1980" s="54"/>
      <c r="AI1980" s="53"/>
      <c r="AJ1980" s="53"/>
      <c r="AK1980" s="54"/>
      <c r="AL1980" s="54"/>
    </row>
    <row r="1981" spans="1:38" ht="15.75" thickBot="1" x14ac:dyDescent="0.3">
      <c r="A1981" s="51"/>
      <c r="B1981" s="51"/>
      <c r="C1981" s="51"/>
      <c r="D1981" s="51"/>
      <c r="E1981" s="51"/>
      <c r="F1981" s="51"/>
      <c r="G1981" s="55"/>
      <c r="H1981" s="55"/>
      <c r="I1981" s="55"/>
      <c r="J1981" s="55"/>
      <c r="K1981" s="55"/>
      <c r="L1981" s="55"/>
      <c r="M1981" s="55"/>
      <c r="N1981" s="55"/>
      <c r="O1981" s="55"/>
      <c r="P1981" s="55"/>
      <c r="Q1981" s="55"/>
      <c r="R1981" s="55"/>
      <c r="S1981" s="55"/>
      <c r="T1981" s="55"/>
      <c r="U1981" s="55"/>
      <c r="V1981" s="55"/>
      <c r="W1981" s="55"/>
      <c r="X1981" s="55"/>
      <c r="Y1981" s="55"/>
      <c r="Z1981" s="55"/>
      <c r="AA1981" s="55"/>
      <c r="AB1981" s="55"/>
      <c r="AC1981" s="55"/>
      <c r="AD1981" s="55"/>
      <c r="AE1981" s="55"/>
      <c r="AF1981" s="56"/>
      <c r="AG1981" s="55"/>
      <c r="AH1981" s="56"/>
      <c r="AI1981" s="55"/>
      <c r="AJ1981" s="55"/>
      <c r="AK1981" s="56"/>
      <c r="AL1981" s="56"/>
    </row>
    <row r="1982" spans="1:38" ht="15.75" thickBot="1" x14ac:dyDescent="0.3">
      <c r="A1982" s="51"/>
      <c r="B1982" s="51"/>
      <c r="C1982" s="51"/>
      <c r="D1982" s="51"/>
      <c r="E1982" s="51"/>
      <c r="F1982" s="51"/>
      <c r="G1982" s="54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  <c r="U1982" s="53"/>
      <c r="V1982" s="53"/>
      <c r="W1982" s="53"/>
      <c r="X1982" s="53"/>
      <c r="Y1982" s="53"/>
      <c r="Z1982" s="54"/>
      <c r="AA1982" s="53"/>
      <c r="AB1982" s="53"/>
      <c r="AC1982" s="53"/>
      <c r="AD1982" s="53"/>
      <c r="AE1982" s="53"/>
      <c r="AF1982" s="53"/>
      <c r="AG1982" s="53"/>
      <c r="AH1982" s="54"/>
      <c r="AI1982" s="53"/>
      <c r="AJ1982" s="53"/>
      <c r="AK1982" s="54"/>
      <c r="AL1982" s="54"/>
    </row>
    <row r="1983" spans="1:38" ht="15.75" thickBot="1" x14ac:dyDescent="0.3">
      <c r="A1983" s="51"/>
      <c r="B1983" s="51"/>
      <c r="C1983" s="51"/>
      <c r="D1983" s="51"/>
      <c r="E1983" s="51"/>
      <c r="F1983" s="51"/>
      <c r="G1983" s="56"/>
      <c r="H1983" s="55"/>
      <c r="I1983" s="55"/>
      <c r="J1983" s="55"/>
      <c r="K1983" s="55"/>
      <c r="L1983" s="55"/>
      <c r="M1983" s="55"/>
      <c r="N1983" s="55"/>
      <c r="O1983" s="55"/>
      <c r="P1983" s="55"/>
      <c r="Q1983" s="55"/>
      <c r="R1983" s="55"/>
      <c r="S1983" s="55"/>
      <c r="T1983" s="55"/>
      <c r="U1983" s="55"/>
      <c r="V1983" s="55"/>
      <c r="W1983" s="55"/>
      <c r="X1983" s="55"/>
      <c r="Y1983" s="55"/>
      <c r="Z1983" s="56"/>
      <c r="AA1983" s="55"/>
      <c r="AB1983" s="55"/>
      <c r="AC1983" s="55"/>
      <c r="AD1983" s="55"/>
      <c r="AE1983" s="55"/>
      <c r="AF1983" s="55"/>
      <c r="AG1983" s="55"/>
      <c r="AH1983" s="56"/>
      <c r="AI1983" s="55"/>
      <c r="AJ1983" s="55"/>
      <c r="AK1983" s="56"/>
      <c r="AL1983" s="56"/>
    </row>
    <row r="1984" spans="1:38" ht="15.75" thickBot="1" x14ac:dyDescent="0.3">
      <c r="A1984" s="51"/>
      <c r="B1984" s="51"/>
      <c r="C1984" s="51"/>
      <c r="D1984" s="51"/>
      <c r="E1984" s="51"/>
      <c r="F1984" s="51"/>
      <c r="G1984" s="54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4"/>
      <c r="AB1984" s="53"/>
      <c r="AC1984" s="53"/>
      <c r="AD1984" s="53"/>
      <c r="AE1984" s="53"/>
      <c r="AF1984" s="53"/>
      <c r="AG1984" s="53"/>
      <c r="AH1984" s="54"/>
      <c r="AI1984" s="53"/>
      <c r="AJ1984" s="53"/>
      <c r="AK1984" s="54"/>
      <c r="AL1984" s="54"/>
    </row>
    <row r="1985" spans="1:38" ht="15.75" thickBot="1" x14ac:dyDescent="0.3">
      <c r="A1985" s="51"/>
      <c r="B1985" s="51"/>
      <c r="C1985" s="51"/>
      <c r="D1985" s="51"/>
      <c r="E1985" s="51"/>
      <c r="F1985" s="51"/>
      <c r="G1985" s="56"/>
      <c r="H1985" s="55"/>
      <c r="I1985" s="55"/>
      <c r="J1985" s="55"/>
      <c r="K1985" s="55"/>
      <c r="L1985" s="55"/>
      <c r="M1985" s="55"/>
      <c r="N1985" s="55"/>
      <c r="O1985" s="55"/>
      <c r="P1985" s="55"/>
      <c r="Q1985" s="55"/>
      <c r="R1985" s="55"/>
      <c r="S1985" s="55"/>
      <c r="T1985" s="55"/>
      <c r="U1985" s="55"/>
      <c r="V1985" s="55"/>
      <c r="W1985" s="55"/>
      <c r="X1985" s="55"/>
      <c r="Y1985" s="55"/>
      <c r="Z1985" s="55"/>
      <c r="AA1985" s="56"/>
      <c r="AB1985" s="55"/>
      <c r="AC1985" s="55"/>
      <c r="AD1985" s="55"/>
      <c r="AE1985" s="55"/>
      <c r="AF1985" s="55"/>
      <c r="AG1985" s="55"/>
      <c r="AH1985" s="56"/>
      <c r="AI1985" s="55"/>
      <c r="AJ1985" s="55"/>
      <c r="AK1985" s="56"/>
      <c r="AL1985" s="56"/>
    </row>
    <row r="1986" spans="1:38" ht="15.75" thickBot="1" x14ac:dyDescent="0.3">
      <c r="A1986" s="51"/>
      <c r="B1986" s="51"/>
      <c r="C1986" s="51"/>
      <c r="D1986" s="51"/>
      <c r="E1986" s="51"/>
      <c r="F1986" s="51"/>
      <c r="G1986" s="54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4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53"/>
      <c r="AC1986" s="53"/>
      <c r="AD1986" s="53"/>
      <c r="AE1986" s="53"/>
      <c r="AF1986" s="53"/>
      <c r="AG1986" s="53"/>
      <c r="AH1986" s="54"/>
      <c r="AI1986" s="53"/>
      <c r="AJ1986" s="53"/>
      <c r="AK1986" s="54"/>
      <c r="AL1986" s="54"/>
    </row>
    <row r="1987" spans="1:38" ht="15.75" thickBot="1" x14ac:dyDescent="0.3">
      <c r="A1987" s="51"/>
      <c r="B1987" s="51"/>
      <c r="C1987" s="51"/>
      <c r="D1987" s="51"/>
      <c r="E1987" s="51"/>
      <c r="F1987" s="51"/>
      <c r="G1987" s="56"/>
      <c r="H1987" s="55"/>
      <c r="I1987" s="55"/>
      <c r="J1987" s="55"/>
      <c r="K1987" s="55"/>
      <c r="L1987" s="55"/>
      <c r="M1987" s="55"/>
      <c r="N1987" s="55"/>
      <c r="O1987" s="55"/>
      <c r="P1987" s="55"/>
      <c r="Q1987" s="55"/>
      <c r="R1987" s="56"/>
      <c r="S1987" s="55"/>
      <c r="T1987" s="55"/>
      <c r="U1987" s="55"/>
      <c r="V1987" s="55"/>
      <c r="W1987" s="55"/>
      <c r="X1987" s="55"/>
      <c r="Y1987" s="55"/>
      <c r="Z1987" s="55"/>
      <c r="AA1987" s="55"/>
      <c r="AB1987" s="55"/>
      <c r="AC1987" s="55"/>
      <c r="AD1987" s="55"/>
      <c r="AE1987" s="55"/>
      <c r="AF1987" s="55"/>
      <c r="AG1987" s="55"/>
      <c r="AH1987" s="56"/>
      <c r="AI1987" s="55"/>
      <c r="AJ1987" s="55"/>
      <c r="AK1987" s="56"/>
      <c r="AL1987" s="56"/>
    </row>
    <row r="1988" spans="1:38" ht="15.75" thickBot="1" x14ac:dyDescent="0.3">
      <c r="A1988" s="51"/>
      <c r="B1988" s="51"/>
      <c r="C1988" s="51"/>
      <c r="D1988" s="51"/>
      <c r="E1988" s="51"/>
      <c r="F1988" s="51"/>
      <c r="G1988" s="54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3"/>
      <c r="AB1988" s="53"/>
      <c r="AC1988" s="54"/>
      <c r="AD1988" s="53"/>
      <c r="AE1988" s="53"/>
      <c r="AF1988" s="53"/>
      <c r="AG1988" s="53"/>
      <c r="AH1988" s="54"/>
      <c r="AI1988" s="53"/>
      <c r="AJ1988" s="53"/>
      <c r="AK1988" s="54"/>
      <c r="AL1988" s="54"/>
    </row>
    <row r="1989" spans="1:38" ht="15.75" thickBot="1" x14ac:dyDescent="0.3">
      <c r="A1989" s="51"/>
      <c r="B1989" s="51"/>
      <c r="C1989" s="51"/>
      <c r="D1989" s="51"/>
      <c r="E1989" s="51"/>
      <c r="F1989" s="51"/>
      <c r="G1989" s="56"/>
      <c r="H1989" s="55"/>
      <c r="I1989" s="55"/>
      <c r="J1989" s="55"/>
      <c r="K1989" s="55"/>
      <c r="L1989" s="55"/>
      <c r="M1989" s="55"/>
      <c r="N1989" s="55"/>
      <c r="O1989" s="55"/>
      <c r="P1989" s="55"/>
      <c r="Q1989" s="55"/>
      <c r="R1989" s="55"/>
      <c r="S1989" s="55"/>
      <c r="T1989" s="55"/>
      <c r="U1989" s="55"/>
      <c r="V1989" s="55"/>
      <c r="W1989" s="55"/>
      <c r="X1989" s="55"/>
      <c r="Y1989" s="55"/>
      <c r="Z1989" s="55"/>
      <c r="AA1989" s="55"/>
      <c r="AB1989" s="55"/>
      <c r="AC1989" s="56"/>
      <c r="AD1989" s="55"/>
      <c r="AE1989" s="55"/>
      <c r="AF1989" s="55"/>
      <c r="AG1989" s="55"/>
      <c r="AH1989" s="56"/>
      <c r="AI1989" s="55"/>
      <c r="AJ1989" s="55"/>
      <c r="AK1989" s="56"/>
      <c r="AL1989" s="56"/>
    </row>
    <row r="1990" spans="1:38" ht="15.75" thickBot="1" x14ac:dyDescent="0.3">
      <c r="A1990" s="51"/>
      <c r="B1990" s="51"/>
      <c r="C1990" s="51"/>
      <c r="D1990" s="51"/>
      <c r="E1990" s="51"/>
      <c r="F1990" s="51"/>
      <c r="G1990" s="54"/>
      <c r="H1990" s="53"/>
      <c r="I1990" s="53"/>
      <c r="J1990" s="53"/>
      <c r="K1990" s="54"/>
      <c r="L1990" s="53"/>
      <c r="M1990" s="53"/>
      <c r="N1990" s="53"/>
      <c r="O1990" s="53"/>
      <c r="P1990" s="53"/>
      <c r="Q1990" s="53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3"/>
      <c r="AB1990" s="53"/>
      <c r="AC1990" s="53"/>
      <c r="AD1990" s="53"/>
      <c r="AE1990" s="53"/>
      <c r="AF1990" s="53"/>
      <c r="AG1990" s="53"/>
      <c r="AH1990" s="54"/>
      <c r="AI1990" s="53"/>
      <c r="AJ1990" s="53"/>
      <c r="AK1990" s="54"/>
      <c r="AL1990" s="54"/>
    </row>
    <row r="1991" spans="1:38" ht="15.75" thickBot="1" x14ac:dyDescent="0.3">
      <c r="A1991" s="51"/>
      <c r="B1991" s="51"/>
      <c r="C1991" s="51"/>
      <c r="D1991" s="51"/>
      <c r="E1991" s="51"/>
      <c r="F1991" s="51"/>
      <c r="G1991" s="56"/>
      <c r="H1991" s="55"/>
      <c r="I1991" s="55"/>
      <c r="J1991" s="55"/>
      <c r="K1991" s="56"/>
      <c r="L1991" s="55"/>
      <c r="M1991" s="55"/>
      <c r="N1991" s="55"/>
      <c r="O1991" s="55"/>
      <c r="P1991" s="55"/>
      <c r="Q1991" s="55"/>
      <c r="R1991" s="55"/>
      <c r="S1991" s="55"/>
      <c r="T1991" s="55"/>
      <c r="U1991" s="55"/>
      <c r="V1991" s="55"/>
      <c r="W1991" s="55"/>
      <c r="X1991" s="55"/>
      <c r="Y1991" s="55"/>
      <c r="Z1991" s="55"/>
      <c r="AA1991" s="55"/>
      <c r="AB1991" s="55"/>
      <c r="AC1991" s="55"/>
      <c r="AD1991" s="55"/>
      <c r="AE1991" s="55"/>
      <c r="AF1991" s="55"/>
      <c r="AG1991" s="55"/>
      <c r="AH1991" s="56"/>
      <c r="AI1991" s="55"/>
      <c r="AJ1991" s="55"/>
      <c r="AK1991" s="56"/>
      <c r="AL1991" s="56"/>
    </row>
    <row r="1992" spans="1:38" ht="15.75" thickBot="1" x14ac:dyDescent="0.3">
      <c r="A1992" s="51"/>
      <c r="B1992" s="51"/>
      <c r="C1992" s="51"/>
      <c r="D1992" s="51"/>
      <c r="E1992" s="51"/>
      <c r="F1992" s="51"/>
      <c r="G1992" s="54"/>
      <c r="H1992" s="54"/>
      <c r="I1992" s="53"/>
      <c r="J1992" s="53"/>
      <c r="K1992" s="53"/>
      <c r="L1992" s="53"/>
      <c r="M1992" s="54"/>
      <c r="N1992" s="53"/>
      <c r="O1992" s="53"/>
      <c r="P1992" s="53"/>
      <c r="Q1992" s="53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3"/>
      <c r="AB1992" s="53"/>
      <c r="AC1992" s="53"/>
      <c r="AD1992" s="53"/>
      <c r="AE1992" s="53"/>
      <c r="AF1992" s="53"/>
      <c r="AG1992" s="53"/>
      <c r="AH1992" s="54"/>
      <c r="AI1992" s="53"/>
      <c r="AJ1992" s="53"/>
      <c r="AK1992" s="54"/>
      <c r="AL1992" s="54"/>
    </row>
    <row r="1993" spans="1:38" ht="15.75" thickBot="1" x14ac:dyDescent="0.3">
      <c r="A1993" s="51"/>
      <c r="B1993" s="51"/>
      <c r="C1993" s="51"/>
      <c r="D1993" s="51"/>
      <c r="E1993" s="51"/>
      <c r="F1993" s="51"/>
      <c r="G1993" s="56"/>
      <c r="H1993" s="148"/>
      <c r="I1993" s="55"/>
      <c r="J1993" s="55"/>
      <c r="K1993" s="55"/>
      <c r="L1993" s="55"/>
      <c r="M1993" s="56"/>
      <c r="N1993" s="55"/>
      <c r="O1993" s="55"/>
      <c r="P1993" s="55"/>
      <c r="Q1993" s="55"/>
      <c r="R1993" s="55"/>
      <c r="S1993" s="55"/>
      <c r="T1993" s="55"/>
      <c r="U1993" s="55"/>
      <c r="V1993" s="55"/>
      <c r="W1993" s="55"/>
      <c r="X1993" s="55"/>
      <c r="Y1993" s="55"/>
      <c r="Z1993" s="55"/>
      <c r="AA1993" s="55"/>
      <c r="AB1993" s="55"/>
      <c r="AC1993" s="55"/>
      <c r="AD1993" s="55"/>
      <c r="AE1993" s="55"/>
      <c r="AF1993" s="55"/>
      <c r="AG1993" s="55"/>
      <c r="AH1993" s="56"/>
      <c r="AI1993" s="55"/>
      <c r="AJ1993" s="55"/>
      <c r="AK1993" s="56"/>
      <c r="AL1993" s="56"/>
    </row>
    <row r="1994" spans="1:38" ht="15.75" thickBot="1" x14ac:dyDescent="0.3">
      <c r="A1994" s="51"/>
      <c r="B1994" s="51"/>
      <c r="C1994" s="51"/>
      <c r="D1994" s="51"/>
      <c r="E1994" s="51"/>
      <c r="F1994" s="51"/>
      <c r="G1994" s="54"/>
      <c r="H1994" s="53"/>
      <c r="I1994" s="53"/>
      <c r="J1994" s="53"/>
      <c r="K1994" s="53"/>
      <c r="L1994" s="53"/>
      <c r="M1994" s="53"/>
      <c r="N1994" s="53"/>
      <c r="O1994" s="53"/>
      <c r="P1994" s="53"/>
      <c r="Q1994" s="54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53"/>
      <c r="AC1994" s="53"/>
      <c r="AD1994" s="53"/>
      <c r="AE1994" s="53"/>
      <c r="AF1994" s="53"/>
      <c r="AG1994" s="53"/>
      <c r="AH1994" s="54"/>
      <c r="AI1994" s="53"/>
      <c r="AJ1994" s="53"/>
      <c r="AK1994" s="54"/>
      <c r="AL1994" s="54"/>
    </row>
    <row r="1995" spans="1:38" ht="15.75" thickBot="1" x14ac:dyDescent="0.3">
      <c r="A1995" s="51"/>
      <c r="B1995" s="51"/>
      <c r="C1995" s="51"/>
      <c r="D1995" s="51"/>
      <c r="E1995" s="51"/>
      <c r="F1995" s="51"/>
      <c r="G1995" s="56"/>
      <c r="H1995" s="55"/>
      <c r="I1995" s="55"/>
      <c r="J1995" s="55"/>
      <c r="K1995" s="55"/>
      <c r="L1995" s="55"/>
      <c r="M1995" s="55"/>
      <c r="N1995" s="55"/>
      <c r="O1995" s="55"/>
      <c r="P1995" s="55"/>
      <c r="Q1995" s="56"/>
      <c r="R1995" s="55"/>
      <c r="S1995" s="55"/>
      <c r="T1995" s="55"/>
      <c r="U1995" s="55"/>
      <c r="V1995" s="55"/>
      <c r="W1995" s="55"/>
      <c r="X1995" s="55"/>
      <c r="Y1995" s="55"/>
      <c r="Z1995" s="55"/>
      <c r="AA1995" s="55"/>
      <c r="AB1995" s="55"/>
      <c r="AC1995" s="55"/>
      <c r="AD1995" s="55"/>
      <c r="AE1995" s="55"/>
      <c r="AF1995" s="55"/>
      <c r="AG1995" s="55"/>
      <c r="AH1995" s="56"/>
      <c r="AI1995" s="55"/>
      <c r="AJ1995" s="55"/>
      <c r="AK1995" s="56"/>
      <c r="AL1995" s="56"/>
    </row>
    <row r="1996" spans="1:38" ht="15.75" thickBot="1" x14ac:dyDescent="0.3">
      <c r="A1996" s="51"/>
      <c r="B1996" s="51"/>
      <c r="C1996" s="51"/>
      <c r="D1996" s="51"/>
      <c r="E1996" s="51"/>
      <c r="F1996" s="51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3"/>
      <c r="AB1996" s="53"/>
      <c r="AC1996" s="53"/>
      <c r="AD1996" s="53"/>
      <c r="AE1996" s="53"/>
      <c r="AF1996" s="54"/>
      <c r="AG1996" s="53"/>
      <c r="AH1996" s="54"/>
      <c r="AI1996" s="53"/>
      <c r="AJ1996" s="53"/>
      <c r="AK1996" s="54"/>
      <c r="AL1996" s="54"/>
    </row>
    <row r="1997" spans="1:38" ht="15.75" thickBot="1" x14ac:dyDescent="0.3">
      <c r="A1997" s="51"/>
      <c r="B1997" s="51"/>
      <c r="C1997" s="51"/>
      <c r="D1997" s="51"/>
      <c r="E1997" s="51"/>
      <c r="F1997" s="51"/>
      <c r="G1997" s="55"/>
      <c r="H1997" s="55"/>
      <c r="I1997" s="55"/>
      <c r="J1997" s="55"/>
      <c r="K1997" s="55"/>
      <c r="L1997" s="55"/>
      <c r="M1997" s="55"/>
      <c r="N1997" s="55"/>
      <c r="O1997" s="55"/>
      <c r="P1997" s="55"/>
      <c r="Q1997" s="55"/>
      <c r="R1997" s="55"/>
      <c r="S1997" s="55"/>
      <c r="T1997" s="55"/>
      <c r="U1997" s="55"/>
      <c r="V1997" s="55"/>
      <c r="W1997" s="55"/>
      <c r="X1997" s="55"/>
      <c r="Y1997" s="55"/>
      <c r="Z1997" s="55"/>
      <c r="AA1997" s="55"/>
      <c r="AB1997" s="55"/>
      <c r="AC1997" s="55"/>
      <c r="AD1997" s="55"/>
      <c r="AE1997" s="55"/>
      <c r="AF1997" s="56"/>
      <c r="AG1997" s="55"/>
      <c r="AH1997" s="56"/>
      <c r="AI1997" s="55"/>
      <c r="AJ1997" s="55"/>
      <c r="AK1997" s="56"/>
      <c r="AL1997" s="56"/>
    </row>
    <row r="1998" spans="1:38" ht="15.75" thickBot="1" x14ac:dyDescent="0.3">
      <c r="A1998" s="51"/>
      <c r="B1998" s="51"/>
      <c r="C1998" s="51"/>
      <c r="D1998" s="51"/>
      <c r="E1998" s="51"/>
      <c r="F1998" s="51"/>
      <c r="G1998" s="54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  <c r="U1998" s="53"/>
      <c r="V1998" s="53"/>
      <c r="W1998" s="53"/>
      <c r="X1998" s="53"/>
      <c r="Y1998" s="53"/>
      <c r="Z1998" s="54"/>
      <c r="AA1998" s="53"/>
      <c r="AB1998" s="53"/>
      <c r="AC1998" s="53"/>
      <c r="AD1998" s="53"/>
      <c r="AE1998" s="53"/>
      <c r="AF1998" s="53"/>
      <c r="AG1998" s="53"/>
      <c r="AH1998" s="54"/>
      <c r="AI1998" s="53"/>
      <c r="AJ1998" s="53"/>
      <c r="AK1998" s="54"/>
      <c r="AL1998" s="54"/>
    </row>
    <row r="1999" spans="1:38" ht="15.75" thickBot="1" x14ac:dyDescent="0.3">
      <c r="A1999" s="51"/>
      <c r="B1999" s="51"/>
      <c r="C1999" s="51"/>
      <c r="D1999" s="51"/>
      <c r="E1999" s="51"/>
      <c r="F1999" s="51"/>
      <c r="G1999" s="56"/>
      <c r="H1999" s="55"/>
      <c r="I1999" s="55"/>
      <c r="J1999" s="55"/>
      <c r="K1999" s="55"/>
      <c r="L1999" s="55"/>
      <c r="M1999" s="55"/>
      <c r="N1999" s="55"/>
      <c r="O1999" s="55"/>
      <c r="P1999" s="55"/>
      <c r="Q1999" s="55"/>
      <c r="R1999" s="55"/>
      <c r="S1999" s="55"/>
      <c r="T1999" s="55"/>
      <c r="U1999" s="55"/>
      <c r="V1999" s="55"/>
      <c r="W1999" s="55"/>
      <c r="X1999" s="55"/>
      <c r="Y1999" s="55"/>
      <c r="Z1999" s="56"/>
      <c r="AA1999" s="55"/>
      <c r="AB1999" s="55"/>
      <c r="AC1999" s="55"/>
      <c r="AD1999" s="55"/>
      <c r="AE1999" s="55"/>
      <c r="AF1999" s="55"/>
      <c r="AG1999" s="55"/>
      <c r="AH1999" s="56"/>
      <c r="AI1999" s="55"/>
      <c r="AJ1999" s="55"/>
      <c r="AK1999" s="56"/>
      <c r="AL1999" s="56"/>
    </row>
    <row r="2000" spans="1:38" ht="15.75" thickBot="1" x14ac:dyDescent="0.3">
      <c r="A2000" s="51"/>
      <c r="B2000" s="51"/>
      <c r="C2000" s="51"/>
      <c r="D2000" s="51"/>
      <c r="E2000" s="51"/>
      <c r="F2000" s="51"/>
      <c r="G2000" s="54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4"/>
      <c r="AB2000" s="53"/>
      <c r="AC2000" s="53"/>
      <c r="AD2000" s="53"/>
      <c r="AE2000" s="53"/>
      <c r="AF2000" s="53"/>
      <c r="AG2000" s="53"/>
      <c r="AH2000" s="54"/>
      <c r="AI2000" s="53"/>
      <c r="AJ2000" s="53"/>
      <c r="AK2000" s="54"/>
      <c r="AL2000" s="54"/>
    </row>
    <row r="2001" spans="1:38" ht="15.75" thickBot="1" x14ac:dyDescent="0.3">
      <c r="A2001" s="51"/>
      <c r="B2001" s="51"/>
      <c r="C2001" s="51"/>
      <c r="D2001" s="51"/>
      <c r="E2001" s="51"/>
      <c r="F2001" s="51"/>
      <c r="G2001" s="56"/>
      <c r="H2001" s="55"/>
      <c r="I2001" s="55"/>
      <c r="J2001" s="55"/>
      <c r="K2001" s="55"/>
      <c r="L2001" s="55"/>
      <c r="M2001" s="55"/>
      <c r="N2001" s="55"/>
      <c r="O2001" s="55"/>
      <c r="P2001" s="55"/>
      <c r="Q2001" s="55"/>
      <c r="R2001" s="55"/>
      <c r="S2001" s="55"/>
      <c r="T2001" s="55"/>
      <c r="U2001" s="55"/>
      <c r="V2001" s="55"/>
      <c r="W2001" s="55"/>
      <c r="X2001" s="55"/>
      <c r="Y2001" s="55"/>
      <c r="Z2001" s="55"/>
      <c r="AA2001" s="56"/>
      <c r="AB2001" s="55"/>
      <c r="AC2001" s="55"/>
      <c r="AD2001" s="55"/>
      <c r="AE2001" s="55"/>
      <c r="AF2001" s="55"/>
      <c r="AG2001" s="55"/>
      <c r="AH2001" s="56"/>
      <c r="AI2001" s="55"/>
      <c r="AJ2001" s="55"/>
      <c r="AK2001" s="56"/>
      <c r="AL2001" s="56"/>
    </row>
    <row r="2002" spans="1:38" ht="15.75" thickBot="1" x14ac:dyDescent="0.3">
      <c r="A2002" s="51"/>
      <c r="B2002" s="51"/>
      <c r="C2002" s="51"/>
      <c r="D2002" s="51"/>
      <c r="E2002" s="51"/>
      <c r="F2002" s="51"/>
      <c r="G2002" s="54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4"/>
      <c r="S2002" s="53"/>
      <c r="T2002" s="53"/>
      <c r="U2002" s="53"/>
      <c r="V2002" s="53"/>
      <c r="W2002" s="53"/>
      <c r="X2002" s="53"/>
      <c r="Y2002" s="53"/>
      <c r="Z2002" s="53"/>
      <c r="AA2002" s="53"/>
      <c r="AB2002" s="53"/>
      <c r="AC2002" s="53"/>
      <c r="AD2002" s="53"/>
      <c r="AE2002" s="53"/>
      <c r="AF2002" s="53"/>
      <c r="AG2002" s="53"/>
      <c r="AH2002" s="54"/>
      <c r="AI2002" s="53"/>
      <c r="AJ2002" s="53"/>
      <c r="AK2002" s="54"/>
      <c r="AL2002" s="54"/>
    </row>
    <row r="2003" spans="1:38" ht="15.75" thickBot="1" x14ac:dyDescent="0.3">
      <c r="A2003" s="51"/>
      <c r="B2003" s="51"/>
      <c r="C2003" s="51"/>
      <c r="D2003" s="51"/>
      <c r="E2003" s="51"/>
      <c r="F2003" s="51"/>
      <c r="G2003" s="56"/>
      <c r="H2003" s="55"/>
      <c r="I2003" s="55"/>
      <c r="J2003" s="55"/>
      <c r="K2003" s="55"/>
      <c r="L2003" s="55"/>
      <c r="M2003" s="55"/>
      <c r="N2003" s="55"/>
      <c r="O2003" s="55"/>
      <c r="P2003" s="55"/>
      <c r="Q2003" s="55"/>
      <c r="R2003" s="56"/>
      <c r="S2003" s="55"/>
      <c r="T2003" s="55"/>
      <c r="U2003" s="55"/>
      <c r="V2003" s="55"/>
      <c r="W2003" s="55"/>
      <c r="X2003" s="55"/>
      <c r="Y2003" s="55"/>
      <c r="Z2003" s="55"/>
      <c r="AA2003" s="55"/>
      <c r="AB2003" s="55"/>
      <c r="AC2003" s="55"/>
      <c r="AD2003" s="55"/>
      <c r="AE2003" s="55"/>
      <c r="AF2003" s="55"/>
      <c r="AG2003" s="55"/>
      <c r="AH2003" s="56"/>
      <c r="AI2003" s="55"/>
      <c r="AJ2003" s="55"/>
      <c r="AK2003" s="56"/>
      <c r="AL2003" s="56"/>
    </row>
    <row r="2004" spans="1:38" ht="15.75" thickBot="1" x14ac:dyDescent="0.3">
      <c r="A2004" s="51"/>
      <c r="B2004" s="51"/>
      <c r="C2004" s="51"/>
      <c r="D2004" s="51"/>
      <c r="E2004" s="51"/>
      <c r="F2004" s="51"/>
      <c r="G2004" s="54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53"/>
      <c r="AC2004" s="54"/>
      <c r="AD2004" s="53"/>
      <c r="AE2004" s="53"/>
      <c r="AF2004" s="53"/>
      <c r="AG2004" s="53"/>
      <c r="AH2004" s="54"/>
      <c r="AI2004" s="53"/>
      <c r="AJ2004" s="53"/>
      <c r="AK2004" s="54"/>
      <c r="AL2004" s="54"/>
    </row>
    <row r="2005" spans="1:38" ht="15.75" thickBot="1" x14ac:dyDescent="0.3">
      <c r="A2005" s="51"/>
      <c r="B2005" s="51"/>
      <c r="C2005" s="51"/>
      <c r="D2005" s="51"/>
      <c r="E2005" s="51"/>
      <c r="F2005" s="51"/>
      <c r="G2005" s="56"/>
      <c r="H2005" s="55"/>
      <c r="I2005" s="55"/>
      <c r="J2005" s="55"/>
      <c r="K2005" s="55"/>
      <c r="L2005" s="55"/>
      <c r="M2005" s="55"/>
      <c r="N2005" s="55"/>
      <c r="O2005" s="55"/>
      <c r="P2005" s="55"/>
      <c r="Q2005" s="55"/>
      <c r="R2005" s="55"/>
      <c r="S2005" s="55"/>
      <c r="T2005" s="55"/>
      <c r="U2005" s="55"/>
      <c r="V2005" s="55"/>
      <c r="W2005" s="55"/>
      <c r="X2005" s="55"/>
      <c r="Y2005" s="55"/>
      <c r="Z2005" s="55"/>
      <c r="AA2005" s="55"/>
      <c r="AB2005" s="55"/>
      <c r="AC2005" s="56"/>
      <c r="AD2005" s="55"/>
      <c r="AE2005" s="55"/>
      <c r="AF2005" s="55"/>
      <c r="AG2005" s="55"/>
      <c r="AH2005" s="56"/>
      <c r="AI2005" s="55"/>
      <c r="AJ2005" s="55"/>
      <c r="AK2005" s="56"/>
      <c r="AL2005" s="56"/>
    </row>
    <row r="2006" spans="1:38" ht="15.75" thickBot="1" x14ac:dyDescent="0.3">
      <c r="A2006" s="51"/>
      <c r="B2006" s="51"/>
      <c r="C2006" s="51"/>
      <c r="D2006" s="51"/>
      <c r="E2006" s="51"/>
      <c r="F2006" s="51"/>
      <c r="G2006" s="54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3"/>
      <c r="AB2006" s="54"/>
      <c r="AC2006" s="53"/>
      <c r="AD2006" s="53"/>
      <c r="AE2006" s="53"/>
      <c r="AF2006" s="53"/>
      <c r="AG2006" s="53"/>
      <c r="AH2006" s="54"/>
      <c r="AI2006" s="53"/>
      <c r="AJ2006" s="53"/>
      <c r="AK2006" s="54"/>
      <c r="AL2006" s="54"/>
    </row>
    <row r="2007" spans="1:38" ht="15.75" thickBot="1" x14ac:dyDescent="0.3">
      <c r="A2007" s="51"/>
      <c r="B2007" s="51"/>
      <c r="C2007" s="51"/>
      <c r="D2007" s="51"/>
      <c r="E2007" s="51"/>
      <c r="F2007" s="51"/>
      <c r="G2007" s="56"/>
      <c r="H2007" s="55"/>
      <c r="I2007" s="55"/>
      <c r="J2007" s="55"/>
      <c r="K2007" s="55"/>
      <c r="L2007" s="55"/>
      <c r="M2007" s="55"/>
      <c r="N2007" s="55"/>
      <c r="O2007" s="55"/>
      <c r="P2007" s="55"/>
      <c r="Q2007" s="55"/>
      <c r="R2007" s="55"/>
      <c r="S2007" s="55"/>
      <c r="T2007" s="55"/>
      <c r="U2007" s="55"/>
      <c r="V2007" s="55"/>
      <c r="W2007" s="55"/>
      <c r="X2007" s="55"/>
      <c r="Y2007" s="55"/>
      <c r="Z2007" s="55"/>
      <c r="AA2007" s="55"/>
      <c r="AB2007" s="56"/>
      <c r="AC2007" s="55"/>
      <c r="AD2007" s="55"/>
      <c r="AE2007" s="55"/>
      <c r="AF2007" s="55"/>
      <c r="AG2007" s="55"/>
      <c r="AH2007" s="56"/>
      <c r="AI2007" s="55"/>
      <c r="AJ2007" s="55"/>
      <c r="AK2007" s="56"/>
      <c r="AL2007" s="56"/>
    </row>
    <row r="2008" spans="1:38" ht="15.75" thickBot="1" x14ac:dyDescent="0.3">
      <c r="A2008" s="51"/>
      <c r="B2008" s="51"/>
      <c r="C2008" s="51"/>
      <c r="D2008" s="51"/>
      <c r="E2008" s="51"/>
      <c r="F2008" s="51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3"/>
      <c r="AB2008" s="53"/>
      <c r="AC2008" s="53"/>
      <c r="AD2008" s="53"/>
      <c r="AE2008" s="53"/>
      <c r="AF2008" s="53"/>
      <c r="AG2008" s="54"/>
      <c r="AH2008" s="54"/>
      <c r="AI2008" s="53"/>
      <c r="AJ2008" s="53"/>
      <c r="AK2008" s="54"/>
      <c r="AL2008" s="54"/>
    </row>
    <row r="2009" spans="1:38" ht="15.75" thickBot="1" x14ac:dyDescent="0.3">
      <c r="A2009" s="51"/>
      <c r="B2009" s="51"/>
      <c r="C2009" s="51"/>
      <c r="D2009" s="51"/>
      <c r="E2009" s="51"/>
      <c r="F2009" s="51"/>
      <c r="G2009" s="55"/>
      <c r="H2009" s="55"/>
      <c r="I2009" s="55"/>
      <c r="J2009" s="55"/>
      <c r="K2009" s="55"/>
      <c r="L2009" s="55"/>
      <c r="M2009" s="55"/>
      <c r="N2009" s="55"/>
      <c r="O2009" s="55"/>
      <c r="P2009" s="55"/>
      <c r="Q2009" s="55"/>
      <c r="R2009" s="55"/>
      <c r="S2009" s="55"/>
      <c r="T2009" s="55"/>
      <c r="U2009" s="55"/>
      <c r="V2009" s="55"/>
      <c r="W2009" s="55"/>
      <c r="X2009" s="55"/>
      <c r="Y2009" s="55"/>
      <c r="Z2009" s="55"/>
      <c r="AA2009" s="55"/>
      <c r="AB2009" s="55"/>
      <c r="AC2009" s="55"/>
      <c r="AD2009" s="55"/>
      <c r="AE2009" s="55"/>
      <c r="AF2009" s="55"/>
      <c r="AG2009" s="56"/>
      <c r="AH2009" s="56"/>
      <c r="AI2009" s="55"/>
      <c r="AJ2009" s="55"/>
      <c r="AK2009" s="56"/>
      <c r="AL2009" s="56"/>
    </row>
    <row r="2010" spans="1:38" ht="15.75" thickBot="1" x14ac:dyDescent="0.3">
      <c r="A2010" s="51"/>
      <c r="B2010" s="51"/>
      <c r="C2010" s="51"/>
      <c r="D2010" s="51"/>
      <c r="E2010" s="51"/>
      <c r="F2010" s="51"/>
      <c r="G2010" s="54"/>
      <c r="H2010" s="53"/>
      <c r="I2010" s="53"/>
      <c r="J2010" s="53"/>
      <c r="K2010" s="54"/>
      <c r="L2010" s="53"/>
      <c r="M2010" s="53"/>
      <c r="N2010" s="53"/>
      <c r="O2010" s="53"/>
      <c r="P2010" s="53"/>
      <c r="Q2010" s="53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3"/>
      <c r="AB2010" s="53"/>
      <c r="AC2010" s="53"/>
      <c r="AD2010" s="53"/>
      <c r="AE2010" s="53"/>
      <c r="AF2010" s="53"/>
      <c r="AG2010" s="53"/>
      <c r="AH2010" s="54"/>
      <c r="AI2010" s="53"/>
      <c r="AJ2010" s="53"/>
      <c r="AK2010" s="54"/>
      <c r="AL2010" s="54"/>
    </row>
    <row r="2011" spans="1:38" ht="15.75" thickBot="1" x14ac:dyDescent="0.3">
      <c r="A2011" s="51"/>
      <c r="B2011" s="51"/>
      <c r="C2011" s="51"/>
      <c r="D2011" s="51"/>
      <c r="E2011" s="51"/>
      <c r="F2011" s="51"/>
      <c r="G2011" s="56"/>
      <c r="H2011" s="55"/>
      <c r="I2011" s="55"/>
      <c r="J2011" s="55"/>
      <c r="K2011" s="56"/>
      <c r="L2011" s="55"/>
      <c r="M2011" s="55"/>
      <c r="N2011" s="55"/>
      <c r="O2011" s="55"/>
      <c r="P2011" s="55"/>
      <c r="Q2011" s="55"/>
      <c r="R2011" s="55"/>
      <c r="S2011" s="55"/>
      <c r="T2011" s="55"/>
      <c r="U2011" s="55"/>
      <c r="V2011" s="55"/>
      <c r="W2011" s="55"/>
      <c r="X2011" s="55"/>
      <c r="Y2011" s="55"/>
      <c r="Z2011" s="55"/>
      <c r="AA2011" s="55"/>
      <c r="AB2011" s="55"/>
      <c r="AC2011" s="55"/>
      <c r="AD2011" s="55"/>
      <c r="AE2011" s="55"/>
      <c r="AF2011" s="55"/>
      <c r="AG2011" s="55"/>
      <c r="AH2011" s="56"/>
      <c r="AI2011" s="55"/>
      <c r="AJ2011" s="55"/>
      <c r="AK2011" s="56"/>
      <c r="AL2011" s="56"/>
    </row>
    <row r="2012" spans="1:38" ht="15.75" thickBot="1" x14ac:dyDescent="0.3">
      <c r="A2012" s="51"/>
      <c r="B2012" s="51"/>
      <c r="C2012" s="51"/>
      <c r="D2012" s="51"/>
      <c r="E2012" s="51"/>
      <c r="F2012" s="51"/>
      <c r="G2012" s="54"/>
      <c r="H2012" s="54"/>
      <c r="I2012" s="53"/>
      <c r="J2012" s="53"/>
      <c r="K2012" s="53"/>
      <c r="L2012" s="53"/>
      <c r="M2012" s="54"/>
      <c r="N2012" s="53"/>
      <c r="O2012" s="53"/>
      <c r="P2012" s="53"/>
      <c r="Q2012" s="53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3"/>
      <c r="AB2012" s="53"/>
      <c r="AC2012" s="53"/>
      <c r="AD2012" s="53"/>
      <c r="AE2012" s="53"/>
      <c r="AF2012" s="53"/>
      <c r="AG2012" s="53"/>
      <c r="AH2012" s="54"/>
      <c r="AI2012" s="53"/>
      <c r="AJ2012" s="53"/>
      <c r="AK2012" s="54"/>
      <c r="AL2012" s="54"/>
    </row>
    <row r="2013" spans="1:38" ht="15.75" thickBot="1" x14ac:dyDescent="0.3">
      <c r="A2013" s="51"/>
      <c r="B2013" s="51"/>
      <c r="C2013" s="51"/>
      <c r="D2013" s="51"/>
      <c r="E2013" s="51"/>
      <c r="F2013" s="51"/>
      <c r="G2013" s="56"/>
      <c r="H2013" s="148"/>
      <c r="I2013" s="55"/>
      <c r="J2013" s="55"/>
      <c r="K2013" s="55"/>
      <c r="L2013" s="55"/>
      <c r="M2013" s="56"/>
      <c r="N2013" s="55"/>
      <c r="O2013" s="55"/>
      <c r="P2013" s="55"/>
      <c r="Q2013" s="55"/>
      <c r="R2013" s="55"/>
      <c r="S2013" s="55"/>
      <c r="T2013" s="55"/>
      <c r="U2013" s="55"/>
      <c r="V2013" s="55"/>
      <c r="W2013" s="55"/>
      <c r="X2013" s="55"/>
      <c r="Y2013" s="55"/>
      <c r="Z2013" s="55"/>
      <c r="AA2013" s="55"/>
      <c r="AB2013" s="55"/>
      <c r="AC2013" s="55"/>
      <c r="AD2013" s="55"/>
      <c r="AE2013" s="55"/>
      <c r="AF2013" s="55"/>
      <c r="AG2013" s="55"/>
      <c r="AH2013" s="56"/>
      <c r="AI2013" s="55"/>
      <c r="AJ2013" s="55"/>
      <c r="AK2013" s="56"/>
      <c r="AL2013" s="56"/>
    </row>
    <row r="2014" spans="1:38" ht="15.75" thickBot="1" x14ac:dyDescent="0.3">
      <c r="A2014" s="51"/>
      <c r="B2014" s="51"/>
      <c r="C2014" s="51"/>
      <c r="D2014" s="51"/>
      <c r="E2014" s="51"/>
      <c r="F2014" s="51"/>
      <c r="G2014" s="54"/>
      <c r="H2014" s="53"/>
      <c r="I2014" s="53"/>
      <c r="J2014" s="53"/>
      <c r="K2014" s="53"/>
      <c r="L2014" s="53"/>
      <c r="M2014" s="53"/>
      <c r="N2014" s="53"/>
      <c r="O2014" s="53"/>
      <c r="P2014" s="53"/>
      <c r="Q2014" s="54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3"/>
      <c r="AB2014" s="53"/>
      <c r="AC2014" s="53"/>
      <c r="AD2014" s="53"/>
      <c r="AE2014" s="53"/>
      <c r="AF2014" s="53"/>
      <c r="AG2014" s="53"/>
      <c r="AH2014" s="54"/>
      <c r="AI2014" s="53"/>
      <c r="AJ2014" s="53"/>
      <c r="AK2014" s="54"/>
      <c r="AL2014" s="54"/>
    </row>
    <row r="2015" spans="1:38" ht="15.75" thickBot="1" x14ac:dyDescent="0.3">
      <c r="A2015" s="51"/>
      <c r="B2015" s="51"/>
      <c r="C2015" s="51"/>
      <c r="D2015" s="51"/>
      <c r="E2015" s="51"/>
      <c r="F2015" s="51"/>
      <c r="G2015" s="56"/>
      <c r="H2015" s="55"/>
      <c r="I2015" s="55"/>
      <c r="J2015" s="55"/>
      <c r="K2015" s="55"/>
      <c r="L2015" s="55"/>
      <c r="M2015" s="55"/>
      <c r="N2015" s="55"/>
      <c r="O2015" s="55"/>
      <c r="P2015" s="55"/>
      <c r="Q2015" s="56"/>
      <c r="R2015" s="55"/>
      <c r="S2015" s="55"/>
      <c r="T2015" s="55"/>
      <c r="U2015" s="55"/>
      <c r="V2015" s="55"/>
      <c r="W2015" s="55"/>
      <c r="X2015" s="55"/>
      <c r="Y2015" s="55"/>
      <c r="Z2015" s="55"/>
      <c r="AA2015" s="55"/>
      <c r="AB2015" s="55"/>
      <c r="AC2015" s="55"/>
      <c r="AD2015" s="55"/>
      <c r="AE2015" s="55"/>
      <c r="AF2015" s="55"/>
      <c r="AG2015" s="55"/>
      <c r="AH2015" s="56"/>
      <c r="AI2015" s="55"/>
      <c r="AJ2015" s="55"/>
      <c r="AK2015" s="56"/>
      <c r="AL2015" s="56"/>
    </row>
    <row r="2016" spans="1:38" ht="15.75" thickBot="1" x14ac:dyDescent="0.3">
      <c r="A2016" s="51"/>
      <c r="B2016" s="51"/>
      <c r="C2016" s="51"/>
      <c r="D2016" s="51"/>
      <c r="E2016" s="51"/>
      <c r="F2016" s="51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53"/>
      <c r="AC2016" s="53"/>
      <c r="AD2016" s="53"/>
      <c r="AE2016" s="53"/>
      <c r="AF2016" s="54"/>
      <c r="AG2016" s="53"/>
      <c r="AH2016" s="54"/>
      <c r="AI2016" s="53"/>
      <c r="AJ2016" s="53"/>
      <c r="AK2016" s="54"/>
      <c r="AL2016" s="54"/>
    </row>
    <row r="2017" spans="1:38" ht="15.75" thickBot="1" x14ac:dyDescent="0.3">
      <c r="A2017" s="51"/>
      <c r="B2017" s="51"/>
      <c r="C2017" s="51"/>
      <c r="D2017" s="51"/>
      <c r="E2017" s="51"/>
      <c r="F2017" s="51"/>
      <c r="G2017" s="55"/>
      <c r="H2017" s="55"/>
      <c r="I2017" s="55"/>
      <c r="J2017" s="55"/>
      <c r="K2017" s="55"/>
      <c r="L2017" s="55"/>
      <c r="M2017" s="55"/>
      <c r="N2017" s="55"/>
      <c r="O2017" s="55"/>
      <c r="P2017" s="55"/>
      <c r="Q2017" s="55"/>
      <c r="R2017" s="55"/>
      <c r="S2017" s="55"/>
      <c r="T2017" s="55"/>
      <c r="U2017" s="55"/>
      <c r="V2017" s="55"/>
      <c r="W2017" s="55"/>
      <c r="X2017" s="55"/>
      <c r="Y2017" s="55"/>
      <c r="Z2017" s="55"/>
      <c r="AA2017" s="55"/>
      <c r="AB2017" s="55"/>
      <c r="AC2017" s="55"/>
      <c r="AD2017" s="55"/>
      <c r="AE2017" s="55"/>
      <c r="AF2017" s="56"/>
      <c r="AG2017" s="55"/>
      <c r="AH2017" s="56"/>
      <c r="AI2017" s="55"/>
      <c r="AJ2017" s="55"/>
      <c r="AK2017" s="56"/>
      <c r="AL2017" s="56"/>
    </row>
    <row r="2018" spans="1:38" ht="15.75" thickBot="1" x14ac:dyDescent="0.3">
      <c r="A2018" s="51"/>
      <c r="B2018" s="51"/>
      <c r="C2018" s="51"/>
      <c r="D2018" s="51"/>
      <c r="E2018" s="51"/>
      <c r="F2018" s="51"/>
      <c r="G2018" s="54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  <c r="U2018" s="53"/>
      <c r="V2018" s="53"/>
      <c r="W2018" s="53"/>
      <c r="X2018" s="53"/>
      <c r="Y2018" s="53"/>
      <c r="Z2018" s="54"/>
      <c r="AA2018" s="53"/>
      <c r="AB2018" s="53"/>
      <c r="AC2018" s="53"/>
      <c r="AD2018" s="53"/>
      <c r="AE2018" s="53"/>
      <c r="AF2018" s="53"/>
      <c r="AG2018" s="53"/>
      <c r="AH2018" s="54"/>
      <c r="AI2018" s="53"/>
      <c r="AJ2018" s="53"/>
      <c r="AK2018" s="54"/>
      <c r="AL2018" s="54"/>
    </row>
    <row r="2019" spans="1:38" ht="15.75" thickBot="1" x14ac:dyDescent="0.3">
      <c r="A2019" s="51"/>
      <c r="B2019" s="51"/>
      <c r="C2019" s="51"/>
      <c r="D2019" s="51"/>
      <c r="E2019" s="51"/>
      <c r="F2019" s="51"/>
      <c r="G2019" s="56"/>
      <c r="H2019" s="55"/>
      <c r="I2019" s="55"/>
      <c r="J2019" s="55"/>
      <c r="K2019" s="55"/>
      <c r="L2019" s="55"/>
      <c r="M2019" s="55"/>
      <c r="N2019" s="55"/>
      <c r="O2019" s="55"/>
      <c r="P2019" s="55"/>
      <c r="Q2019" s="55"/>
      <c r="R2019" s="55"/>
      <c r="S2019" s="55"/>
      <c r="T2019" s="55"/>
      <c r="U2019" s="55"/>
      <c r="V2019" s="55"/>
      <c r="W2019" s="55"/>
      <c r="X2019" s="55"/>
      <c r="Y2019" s="55"/>
      <c r="Z2019" s="56"/>
      <c r="AA2019" s="55"/>
      <c r="AB2019" s="55"/>
      <c r="AC2019" s="55"/>
      <c r="AD2019" s="55"/>
      <c r="AE2019" s="55"/>
      <c r="AF2019" s="55"/>
      <c r="AG2019" s="55"/>
      <c r="AH2019" s="56"/>
      <c r="AI2019" s="55"/>
      <c r="AJ2019" s="55"/>
      <c r="AK2019" s="56"/>
      <c r="AL2019" s="56"/>
    </row>
    <row r="2020" spans="1:38" ht="15.75" thickBot="1" x14ac:dyDescent="0.3">
      <c r="A2020" s="51"/>
      <c r="B2020" s="51"/>
      <c r="C2020" s="51"/>
      <c r="D2020" s="51"/>
      <c r="E2020" s="51"/>
      <c r="F2020" s="51"/>
      <c r="G2020" s="54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  <c r="U2020" s="53"/>
      <c r="V2020" s="53"/>
      <c r="W2020" s="53"/>
      <c r="X2020" s="53"/>
      <c r="Y2020" s="53"/>
      <c r="Z2020" s="54"/>
      <c r="AA2020" s="53"/>
      <c r="AB2020" s="53"/>
      <c r="AC2020" s="53"/>
      <c r="AD2020" s="53"/>
      <c r="AE2020" s="53"/>
      <c r="AF2020" s="53"/>
      <c r="AG2020" s="53"/>
      <c r="AH2020" s="54"/>
      <c r="AI2020" s="53"/>
      <c r="AJ2020" s="53"/>
      <c r="AK2020" s="54"/>
      <c r="AL2020" s="54"/>
    </row>
    <row r="2021" spans="1:38" ht="15.75" thickBot="1" x14ac:dyDescent="0.3">
      <c r="A2021" s="51"/>
      <c r="B2021" s="51"/>
      <c r="C2021" s="51"/>
      <c r="D2021" s="51"/>
      <c r="E2021" s="51"/>
      <c r="F2021" s="51"/>
      <c r="G2021" s="56"/>
      <c r="H2021" s="55"/>
      <c r="I2021" s="55"/>
      <c r="J2021" s="55"/>
      <c r="K2021" s="55"/>
      <c r="L2021" s="55"/>
      <c r="M2021" s="55"/>
      <c r="N2021" s="55"/>
      <c r="O2021" s="55"/>
      <c r="P2021" s="55"/>
      <c r="Q2021" s="55"/>
      <c r="R2021" s="55"/>
      <c r="S2021" s="55"/>
      <c r="T2021" s="55"/>
      <c r="U2021" s="55"/>
      <c r="V2021" s="55"/>
      <c r="W2021" s="55"/>
      <c r="X2021" s="55"/>
      <c r="Y2021" s="55"/>
      <c r="Z2021" s="56"/>
      <c r="AA2021" s="55"/>
      <c r="AB2021" s="55"/>
      <c r="AC2021" s="55"/>
      <c r="AD2021" s="55"/>
      <c r="AE2021" s="55"/>
      <c r="AF2021" s="55"/>
      <c r="AG2021" s="55"/>
      <c r="AH2021" s="56"/>
      <c r="AI2021" s="55"/>
      <c r="AJ2021" s="55"/>
      <c r="AK2021" s="56"/>
      <c r="AL2021" s="56"/>
    </row>
    <row r="2022" spans="1:38" ht="15.75" thickBot="1" x14ac:dyDescent="0.3">
      <c r="A2022" s="51"/>
      <c r="B2022" s="51"/>
      <c r="C2022" s="51"/>
      <c r="D2022" s="51"/>
      <c r="E2022" s="51"/>
      <c r="F2022" s="51"/>
      <c r="G2022" s="54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4"/>
      <c r="AB2022" s="53"/>
      <c r="AC2022" s="53"/>
      <c r="AD2022" s="53"/>
      <c r="AE2022" s="53"/>
      <c r="AF2022" s="53"/>
      <c r="AG2022" s="53"/>
      <c r="AH2022" s="54"/>
      <c r="AI2022" s="53"/>
      <c r="AJ2022" s="53"/>
      <c r="AK2022" s="54"/>
      <c r="AL2022" s="54"/>
    </row>
    <row r="2023" spans="1:38" ht="15.75" thickBot="1" x14ac:dyDescent="0.3">
      <c r="A2023" s="51"/>
      <c r="B2023" s="51"/>
      <c r="C2023" s="51"/>
      <c r="D2023" s="51"/>
      <c r="E2023" s="51"/>
      <c r="F2023" s="51"/>
      <c r="G2023" s="56"/>
      <c r="H2023" s="55"/>
      <c r="I2023" s="55"/>
      <c r="J2023" s="55"/>
      <c r="K2023" s="55"/>
      <c r="L2023" s="55"/>
      <c r="M2023" s="55"/>
      <c r="N2023" s="55"/>
      <c r="O2023" s="55"/>
      <c r="P2023" s="55"/>
      <c r="Q2023" s="55"/>
      <c r="R2023" s="55"/>
      <c r="S2023" s="55"/>
      <c r="T2023" s="55"/>
      <c r="U2023" s="55"/>
      <c r="V2023" s="55"/>
      <c r="W2023" s="55"/>
      <c r="X2023" s="55"/>
      <c r="Y2023" s="55"/>
      <c r="Z2023" s="55"/>
      <c r="AA2023" s="56"/>
      <c r="AB2023" s="55"/>
      <c r="AC2023" s="55"/>
      <c r="AD2023" s="55"/>
      <c r="AE2023" s="55"/>
      <c r="AF2023" s="55"/>
      <c r="AG2023" s="55"/>
      <c r="AH2023" s="56"/>
      <c r="AI2023" s="55"/>
      <c r="AJ2023" s="55"/>
      <c r="AK2023" s="56"/>
      <c r="AL2023" s="56"/>
    </row>
    <row r="2024" spans="1:38" ht="15.75" thickBot="1" x14ac:dyDescent="0.3">
      <c r="A2024" s="51"/>
      <c r="B2024" s="51"/>
      <c r="C2024" s="51"/>
      <c r="D2024" s="51"/>
      <c r="E2024" s="51"/>
      <c r="F2024" s="51"/>
      <c r="G2024" s="54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4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53"/>
      <c r="AC2024" s="53"/>
      <c r="AD2024" s="53"/>
      <c r="AE2024" s="53"/>
      <c r="AF2024" s="53"/>
      <c r="AG2024" s="53"/>
      <c r="AH2024" s="54"/>
      <c r="AI2024" s="53"/>
      <c r="AJ2024" s="53"/>
      <c r="AK2024" s="54"/>
      <c r="AL2024" s="54"/>
    </row>
    <row r="2025" spans="1:38" ht="15.75" thickBot="1" x14ac:dyDescent="0.3">
      <c r="A2025" s="51"/>
      <c r="B2025" s="51"/>
      <c r="C2025" s="51"/>
      <c r="D2025" s="51"/>
      <c r="E2025" s="51"/>
      <c r="F2025" s="51"/>
      <c r="G2025" s="56"/>
      <c r="H2025" s="55"/>
      <c r="I2025" s="55"/>
      <c r="J2025" s="55"/>
      <c r="K2025" s="55"/>
      <c r="L2025" s="55"/>
      <c r="M2025" s="55"/>
      <c r="N2025" s="55"/>
      <c r="O2025" s="55"/>
      <c r="P2025" s="55"/>
      <c r="Q2025" s="55"/>
      <c r="R2025" s="56"/>
      <c r="S2025" s="55"/>
      <c r="T2025" s="55"/>
      <c r="U2025" s="55"/>
      <c r="V2025" s="55"/>
      <c r="W2025" s="55"/>
      <c r="X2025" s="55"/>
      <c r="Y2025" s="55"/>
      <c r="Z2025" s="55"/>
      <c r="AA2025" s="55"/>
      <c r="AB2025" s="55"/>
      <c r="AC2025" s="55"/>
      <c r="AD2025" s="55"/>
      <c r="AE2025" s="55"/>
      <c r="AF2025" s="55"/>
      <c r="AG2025" s="55"/>
      <c r="AH2025" s="56"/>
      <c r="AI2025" s="55"/>
      <c r="AJ2025" s="55"/>
      <c r="AK2025" s="56"/>
      <c r="AL2025" s="56"/>
    </row>
    <row r="2026" spans="1:38" ht="15.75" thickBot="1" x14ac:dyDescent="0.3">
      <c r="A2026" s="51"/>
      <c r="B2026" s="51"/>
      <c r="C2026" s="51"/>
      <c r="D2026" s="51"/>
      <c r="E2026" s="51"/>
      <c r="F2026" s="51"/>
      <c r="G2026" s="54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3"/>
      <c r="AB2026" s="53"/>
      <c r="AC2026" s="54"/>
      <c r="AD2026" s="53"/>
      <c r="AE2026" s="53"/>
      <c r="AF2026" s="53"/>
      <c r="AG2026" s="53"/>
      <c r="AH2026" s="54"/>
      <c r="AI2026" s="53"/>
      <c r="AJ2026" s="53"/>
      <c r="AK2026" s="54"/>
      <c r="AL2026" s="54"/>
    </row>
    <row r="2027" spans="1:38" ht="15.75" thickBot="1" x14ac:dyDescent="0.3">
      <c r="A2027" s="51"/>
      <c r="B2027" s="51"/>
      <c r="C2027" s="51"/>
      <c r="D2027" s="51"/>
      <c r="E2027" s="51"/>
      <c r="F2027" s="51"/>
      <c r="G2027" s="56"/>
      <c r="H2027" s="55"/>
      <c r="I2027" s="55"/>
      <c r="J2027" s="55"/>
      <c r="K2027" s="55"/>
      <c r="L2027" s="55"/>
      <c r="M2027" s="55"/>
      <c r="N2027" s="55"/>
      <c r="O2027" s="55"/>
      <c r="P2027" s="55"/>
      <c r="Q2027" s="55"/>
      <c r="R2027" s="55"/>
      <c r="S2027" s="55"/>
      <c r="T2027" s="55"/>
      <c r="U2027" s="55"/>
      <c r="V2027" s="55"/>
      <c r="W2027" s="55"/>
      <c r="X2027" s="55"/>
      <c r="Y2027" s="55"/>
      <c r="Z2027" s="55"/>
      <c r="AA2027" s="55"/>
      <c r="AB2027" s="55"/>
      <c r="AC2027" s="56"/>
      <c r="AD2027" s="55"/>
      <c r="AE2027" s="55"/>
      <c r="AF2027" s="55"/>
      <c r="AG2027" s="55"/>
      <c r="AH2027" s="56"/>
      <c r="AI2027" s="55"/>
      <c r="AJ2027" s="55"/>
      <c r="AK2027" s="56"/>
      <c r="AL2027" s="56"/>
    </row>
    <row r="2028" spans="1:38" ht="15.75" thickBot="1" x14ac:dyDescent="0.3">
      <c r="A2028" s="51"/>
      <c r="B2028" s="51"/>
      <c r="C2028" s="51"/>
      <c r="D2028" s="51"/>
      <c r="E2028" s="51"/>
      <c r="F2028" s="51"/>
      <c r="G2028" s="54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3"/>
      <c r="AB2028" s="54"/>
      <c r="AC2028" s="53"/>
      <c r="AD2028" s="53"/>
      <c r="AE2028" s="53"/>
      <c r="AF2028" s="53"/>
      <c r="AG2028" s="53"/>
      <c r="AH2028" s="54"/>
      <c r="AI2028" s="53"/>
      <c r="AJ2028" s="53"/>
      <c r="AK2028" s="54"/>
      <c r="AL2028" s="54"/>
    </row>
    <row r="2029" spans="1:38" ht="15.75" thickBot="1" x14ac:dyDescent="0.3">
      <c r="A2029" s="51"/>
      <c r="B2029" s="51"/>
      <c r="C2029" s="51"/>
      <c r="D2029" s="51"/>
      <c r="E2029" s="51"/>
      <c r="F2029" s="51"/>
      <c r="G2029" s="56"/>
      <c r="H2029" s="55"/>
      <c r="I2029" s="55"/>
      <c r="J2029" s="55"/>
      <c r="K2029" s="55"/>
      <c r="L2029" s="55"/>
      <c r="M2029" s="55"/>
      <c r="N2029" s="55"/>
      <c r="O2029" s="55"/>
      <c r="P2029" s="55"/>
      <c r="Q2029" s="55"/>
      <c r="R2029" s="55"/>
      <c r="S2029" s="55"/>
      <c r="T2029" s="55"/>
      <c r="U2029" s="55"/>
      <c r="V2029" s="55"/>
      <c r="W2029" s="55"/>
      <c r="X2029" s="55"/>
      <c r="Y2029" s="55"/>
      <c r="Z2029" s="55"/>
      <c r="AA2029" s="55"/>
      <c r="AB2029" s="56"/>
      <c r="AC2029" s="55"/>
      <c r="AD2029" s="55"/>
      <c r="AE2029" s="55"/>
      <c r="AF2029" s="55"/>
      <c r="AG2029" s="55"/>
      <c r="AH2029" s="56"/>
      <c r="AI2029" s="55"/>
      <c r="AJ2029" s="55"/>
      <c r="AK2029" s="56"/>
      <c r="AL2029" s="56"/>
    </row>
    <row r="2030" spans="1:38" ht="15.75" thickBot="1" x14ac:dyDescent="0.3">
      <c r="A2030" s="51"/>
      <c r="B2030" s="51"/>
      <c r="C2030" s="51"/>
      <c r="D2030" s="51"/>
      <c r="E2030" s="51"/>
      <c r="F2030" s="51"/>
      <c r="G2030" s="54"/>
      <c r="H2030" s="53"/>
      <c r="I2030" s="53"/>
      <c r="J2030" s="53"/>
      <c r="K2030" s="54"/>
      <c r="L2030" s="53"/>
      <c r="M2030" s="53"/>
      <c r="N2030" s="53"/>
      <c r="O2030" s="53"/>
      <c r="P2030" s="53"/>
      <c r="Q2030" s="53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3"/>
      <c r="AB2030" s="53"/>
      <c r="AC2030" s="53"/>
      <c r="AD2030" s="53"/>
      <c r="AE2030" s="53"/>
      <c r="AF2030" s="53"/>
      <c r="AG2030" s="53"/>
      <c r="AH2030" s="54"/>
      <c r="AI2030" s="53"/>
      <c r="AJ2030" s="53"/>
      <c r="AK2030" s="54"/>
      <c r="AL2030" s="54"/>
    </row>
    <row r="2031" spans="1:38" ht="15.75" thickBot="1" x14ac:dyDescent="0.3">
      <c r="A2031" s="51"/>
      <c r="B2031" s="51"/>
      <c r="C2031" s="51"/>
      <c r="D2031" s="51"/>
      <c r="E2031" s="51"/>
      <c r="F2031" s="51"/>
      <c r="G2031" s="56"/>
      <c r="H2031" s="55"/>
      <c r="I2031" s="55"/>
      <c r="J2031" s="55"/>
      <c r="K2031" s="56"/>
      <c r="L2031" s="55"/>
      <c r="M2031" s="55"/>
      <c r="N2031" s="55"/>
      <c r="O2031" s="55"/>
      <c r="P2031" s="55"/>
      <c r="Q2031" s="55"/>
      <c r="R2031" s="55"/>
      <c r="S2031" s="55"/>
      <c r="T2031" s="55"/>
      <c r="U2031" s="55"/>
      <c r="V2031" s="55"/>
      <c r="W2031" s="55"/>
      <c r="X2031" s="55"/>
      <c r="Y2031" s="55"/>
      <c r="Z2031" s="55"/>
      <c r="AA2031" s="55"/>
      <c r="AB2031" s="55"/>
      <c r="AC2031" s="55"/>
      <c r="AD2031" s="55"/>
      <c r="AE2031" s="55"/>
      <c r="AF2031" s="55"/>
      <c r="AG2031" s="55"/>
      <c r="AH2031" s="56"/>
      <c r="AI2031" s="55"/>
      <c r="AJ2031" s="55"/>
      <c r="AK2031" s="56"/>
      <c r="AL2031" s="56"/>
    </row>
    <row r="2032" spans="1:38" ht="15.75" thickBot="1" x14ac:dyDescent="0.3">
      <c r="A2032" s="51"/>
      <c r="B2032" s="51"/>
      <c r="C2032" s="51"/>
      <c r="D2032" s="51"/>
      <c r="E2032" s="51"/>
      <c r="F2032" s="51"/>
      <c r="G2032" s="54"/>
      <c r="H2032" s="54"/>
      <c r="I2032" s="53"/>
      <c r="J2032" s="53"/>
      <c r="K2032" s="53"/>
      <c r="L2032" s="53"/>
      <c r="M2032" s="54"/>
      <c r="N2032" s="53"/>
      <c r="O2032" s="53"/>
      <c r="P2032" s="53"/>
      <c r="Q2032" s="53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3"/>
      <c r="AB2032" s="53"/>
      <c r="AC2032" s="53"/>
      <c r="AD2032" s="53"/>
      <c r="AE2032" s="53"/>
      <c r="AF2032" s="53"/>
      <c r="AG2032" s="53"/>
      <c r="AH2032" s="54"/>
      <c r="AI2032" s="53"/>
      <c r="AJ2032" s="53"/>
      <c r="AK2032" s="54"/>
      <c r="AL2032" s="54"/>
    </row>
    <row r="2033" spans="1:38" ht="15.75" thickBot="1" x14ac:dyDescent="0.3">
      <c r="A2033" s="51"/>
      <c r="B2033" s="51"/>
      <c r="C2033" s="51"/>
      <c r="D2033" s="51"/>
      <c r="E2033" s="51"/>
      <c r="F2033" s="51"/>
      <c r="G2033" s="56"/>
      <c r="H2033" s="148"/>
      <c r="I2033" s="55"/>
      <c r="J2033" s="55"/>
      <c r="K2033" s="55"/>
      <c r="L2033" s="55"/>
      <c r="M2033" s="56"/>
      <c r="N2033" s="55"/>
      <c r="O2033" s="55"/>
      <c r="P2033" s="55"/>
      <c r="Q2033" s="55"/>
      <c r="R2033" s="55"/>
      <c r="S2033" s="55"/>
      <c r="T2033" s="55"/>
      <c r="U2033" s="55"/>
      <c r="V2033" s="55"/>
      <c r="W2033" s="55"/>
      <c r="X2033" s="55"/>
      <c r="Y2033" s="55"/>
      <c r="Z2033" s="55"/>
      <c r="AA2033" s="55"/>
      <c r="AB2033" s="55"/>
      <c r="AC2033" s="55"/>
      <c r="AD2033" s="55"/>
      <c r="AE2033" s="55"/>
      <c r="AF2033" s="55"/>
      <c r="AG2033" s="55"/>
      <c r="AH2033" s="56"/>
      <c r="AI2033" s="55"/>
      <c r="AJ2033" s="55"/>
      <c r="AK2033" s="56"/>
      <c r="AL2033" s="56"/>
    </row>
    <row r="2034" spans="1:38" ht="15.75" thickBot="1" x14ac:dyDescent="0.3">
      <c r="A2034" s="51"/>
      <c r="B2034" s="51"/>
      <c r="C2034" s="51"/>
      <c r="D2034" s="51"/>
      <c r="E2034" s="51"/>
      <c r="F2034" s="51"/>
      <c r="G2034" s="54"/>
      <c r="H2034" s="53"/>
      <c r="I2034" s="53"/>
      <c r="J2034" s="53"/>
      <c r="K2034" s="53"/>
      <c r="L2034" s="53"/>
      <c r="M2034" s="53"/>
      <c r="N2034" s="53"/>
      <c r="O2034" s="53"/>
      <c r="P2034" s="53"/>
      <c r="Q2034" s="54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3"/>
      <c r="AB2034" s="53"/>
      <c r="AC2034" s="53"/>
      <c r="AD2034" s="53"/>
      <c r="AE2034" s="53"/>
      <c r="AF2034" s="53"/>
      <c r="AG2034" s="53"/>
      <c r="AH2034" s="54"/>
      <c r="AI2034" s="53"/>
      <c r="AJ2034" s="53"/>
      <c r="AK2034" s="54"/>
      <c r="AL2034" s="54"/>
    </row>
    <row r="2035" spans="1:38" ht="15.75" thickBot="1" x14ac:dyDescent="0.3">
      <c r="A2035" s="51"/>
      <c r="B2035" s="51"/>
      <c r="C2035" s="51"/>
      <c r="D2035" s="51"/>
      <c r="E2035" s="51"/>
      <c r="F2035" s="51"/>
      <c r="G2035" s="56"/>
      <c r="H2035" s="55"/>
      <c r="I2035" s="55"/>
      <c r="J2035" s="55"/>
      <c r="K2035" s="55"/>
      <c r="L2035" s="55"/>
      <c r="M2035" s="55"/>
      <c r="N2035" s="55"/>
      <c r="O2035" s="55"/>
      <c r="P2035" s="55"/>
      <c r="Q2035" s="56"/>
      <c r="R2035" s="55"/>
      <c r="S2035" s="55"/>
      <c r="T2035" s="55"/>
      <c r="U2035" s="55"/>
      <c r="V2035" s="55"/>
      <c r="W2035" s="55"/>
      <c r="X2035" s="55"/>
      <c r="Y2035" s="55"/>
      <c r="Z2035" s="55"/>
      <c r="AA2035" s="55"/>
      <c r="AB2035" s="55"/>
      <c r="AC2035" s="55"/>
      <c r="AD2035" s="55"/>
      <c r="AE2035" s="55"/>
      <c r="AF2035" s="55"/>
      <c r="AG2035" s="55"/>
      <c r="AH2035" s="56"/>
      <c r="AI2035" s="55"/>
      <c r="AJ2035" s="55"/>
      <c r="AK2035" s="56"/>
      <c r="AL2035" s="56"/>
    </row>
    <row r="2036" spans="1:38" ht="15.75" thickBot="1" x14ac:dyDescent="0.3">
      <c r="A2036" s="51"/>
      <c r="B2036" s="51"/>
      <c r="C2036" s="51"/>
      <c r="D2036" s="51"/>
      <c r="E2036" s="51"/>
      <c r="F2036" s="51"/>
      <c r="G2036" s="54"/>
      <c r="H2036" s="53"/>
      <c r="I2036" s="53"/>
      <c r="J2036" s="53"/>
      <c r="K2036" s="53"/>
      <c r="L2036" s="53"/>
      <c r="M2036" s="53"/>
      <c r="N2036" s="53"/>
      <c r="O2036" s="53"/>
      <c r="P2036" s="53"/>
      <c r="Q2036" s="53"/>
      <c r="R2036" s="53"/>
      <c r="S2036" s="53"/>
      <c r="T2036" s="53"/>
      <c r="U2036" s="53"/>
      <c r="V2036" s="53"/>
      <c r="W2036" s="53"/>
      <c r="X2036" s="53"/>
      <c r="Y2036" s="53"/>
      <c r="Z2036" s="54"/>
      <c r="AA2036" s="53"/>
      <c r="AB2036" s="53"/>
      <c r="AC2036" s="53"/>
      <c r="AD2036" s="53"/>
      <c r="AE2036" s="53"/>
      <c r="AF2036" s="53"/>
      <c r="AG2036" s="53"/>
      <c r="AH2036" s="54"/>
      <c r="AI2036" s="53"/>
      <c r="AJ2036" s="53"/>
      <c r="AK2036" s="54"/>
      <c r="AL2036" s="54"/>
    </row>
    <row r="2037" spans="1:38" ht="15.75" thickBot="1" x14ac:dyDescent="0.3">
      <c r="A2037" s="51"/>
      <c r="B2037" s="51"/>
      <c r="C2037" s="51"/>
      <c r="D2037" s="51"/>
      <c r="E2037" s="51"/>
      <c r="F2037" s="51"/>
      <c r="G2037" s="56"/>
      <c r="H2037" s="55"/>
      <c r="I2037" s="55"/>
      <c r="J2037" s="55"/>
      <c r="K2037" s="55"/>
      <c r="L2037" s="55"/>
      <c r="M2037" s="55"/>
      <c r="N2037" s="55"/>
      <c r="O2037" s="55"/>
      <c r="P2037" s="55"/>
      <c r="Q2037" s="55"/>
      <c r="R2037" s="55"/>
      <c r="S2037" s="55"/>
      <c r="T2037" s="55"/>
      <c r="U2037" s="55"/>
      <c r="V2037" s="55"/>
      <c r="W2037" s="55"/>
      <c r="X2037" s="55"/>
      <c r="Y2037" s="55"/>
      <c r="Z2037" s="56"/>
      <c r="AA2037" s="55"/>
      <c r="AB2037" s="55"/>
      <c r="AC2037" s="55"/>
      <c r="AD2037" s="55"/>
      <c r="AE2037" s="55"/>
      <c r="AF2037" s="55"/>
      <c r="AG2037" s="55"/>
      <c r="AH2037" s="56"/>
      <c r="AI2037" s="55"/>
      <c r="AJ2037" s="55"/>
      <c r="AK2037" s="56"/>
      <c r="AL2037" s="56"/>
    </row>
    <row r="2038" spans="1:38" ht="15.75" thickBot="1" x14ac:dyDescent="0.3">
      <c r="A2038" s="51"/>
      <c r="B2038" s="51"/>
      <c r="C2038" s="51"/>
      <c r="D2038" s="51"/>
      <c r="E2038" s="51"/>
      <c r="F2038" s="51"/>
      <c r="G2038" s="54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4"/>
      <c r="AB2038" s="53"/>
      <c r="AC2038" s="53"/>
      <c r="AD2038" s="53"/>
      <c r="AE2038" s="53"/>
      <c r="AF2038" s="53"/>
      <c r="AG2038" s="53"/>
      <c r="AH2038" s="54"/>
      <c r="AI2038" s="53"/>
      <c r="AJ2038" s="53"/>
      <c r="AK2038" s="54"/>
      <c r="AL2038" s="54"/>
    </row>
    <row r="2039" spans="1:38" ht="15.75" thickBot="1" x14ac:dyDescent="0.3">
      <c r="A2039" s="51"/>
      <c r="B2039" s="51"/>
      <c r="C2039" s="51"/>
      <c r="D2039" s="51"/>
      <c r="E2039" s="51"/>
      <c r="F2039" s="51"/>
      <c r="G2039" s="56"/>
      <c r="H2039" s="55"/>
      <c r="I2039" s="55"/>
      <c r="J2039" s="55"/>
      <c r="K2039" s="55"/>
      <c r="L2039" s="55"/>
      <c r="M2039" s="55"/>
      <c r="N2039" s="55"/>
      <c r="O2039" s="55"/>
      <c r="P2039" s="55"/>
      <c r="Q2039" s="55"/>
      <c r="R2039" s="55"/>
      <c r="S2039" s="55"/>
      <c r="T2039" s="55"/>
      <c r="U2039" s="55"/>
      <c r="V2039" s="55"/>
      <c r="W2039" s="55"/>
      <c r="X2039" s="55"/>
      <c r="Y2039" s="55"/>
      <c r="Z2039" s="55"/>
      <c r="AA2039" s="56"/>
      <c r="AB2039" s="55"/>
      <c r="AC2039" s="55"/>
      <c r="AD2039" s="55"/>
      <c r="AE2039" s="55"/>
      <c r="AF2039" s="55"/>
      <c r="AG2039" s="55"/>
      <c r="AH2039" s="56"/>
      <c r="AI2039" s="55"/>
      <c r="AJ2039" s="55"/>
      <c r="AK2039" s="56"/>
      <c r="AL2039" s="56"/>
    </row>
    <row r="2040" spans="1:38" ht="15.75" thickBot="1" x14ac:dyDescent="0.3">
      <c r="A2040" s="51"/>
      <c r="B2040" s="51"/>
      <c r="C2040" s="51"/>
      <c r="D2040" s="51"/>
      <c r="E2040" s="51"/>
      <c r="F2040" s="51"/>
      <c r="G2040" s="54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4"/>
      <c r="S2040" s="53"/>
      <c r="T2040" s="53"/>
      <c r="U2040" s="53"/>
      <c r="V2040" s="53"/>
      <c r="W2040" s="53"/>
      <c r="X2040" s="53"/>
      <c r="Y2040" s="53"/>
      <c r="Z2040" s="53"/>
      <c r="AA2040" s="53"/>
      <c r="AB2040" s="53"/>
      <c r="AC2040" s="53"/>
      <c r="AD2040" s="53"/>
      <c r="AE2040" s="53"/>
      <c r="AF2040" s="53"/>
      <c r="AG2040" s="53"/>
      <c r="AH2040" s="54"/>
      <c r="AI2040" s="53"/>
      <c r="AJ2040" s="53"/>
      <c r="AK2040" s="54"/>
      <c r="AL2040" s="54"/>
    </row>
    <row r="2041" spans="1:38" ht="15.75" thickBot="1" x14ac:dyDescent="0.3">
      <c r="A2041" s="51"/>
      <c r="B2041" s="51"/>
      <c r="C2041" s="51"/>
      <c r="D2041" s="51"/>
      <c r="E2041" s="51"/>
      <c r="F2041" s="51"/>
      <c r="G2041" s="56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6"/>
      <c r="S2041" s="55"/>
      <c r="T2041" s="55"/>
      <c r="U2041" s="55"/>
      <c r="V2041" s="55"/>
      <c r="W2041" s="55"/>
      <c r="X2041" s="55"/>
      <c r="Y2041" s="55"/>
      <c r="Z2041" s="55"/>
      <c r="AA2041" s="55"/>
      <c r="AB2041" s="55"/>
      <c r="AC2041" s="55"/>
      <c r="AD2041" s="55"/>
      <c r="AE2041" s="55"/>
      <c r="AF2041" s="55"/>
      <c r="AG2041" s="55"/>
      <c r="AH2041" s="56"/>
      <c r="AI2041" s="55"/>
      <c r="AJ2041" s="55"/>
      <c r="AK2041" s="56"/>
      <c r="AL2041" s="56"/>
    </row>
    <row r="2042" spans="1:38" ht="15.75" thickBot="1" x14ac:dyDescent="0.3">
      <c r="A2042" s="51"/>
      <c r="B2042" s="51"/>
      <c r="C2042" s="51"/>
      <c r="D2042" s="51"/>
      <c r="E2042" s="51"/>
      <c r="F2042" s="51"/>
      <c r="G2042" s="54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53"/>
      <c r="AC2042" s="54"/>
      <c r="AD2042" s="53"/>
      <c r="AE2042" s="53"/>
      <c r="AF2042" s="53"/>
      <c r="AG2042" s="53"/>
      <c r="AH2042" s="54"/>
      <c r="AI2042" s="53"/>
      <c r="AJ2042" s="53"/>
      <c r="AK2042" s="54"/>
      <c r="AL2042" s="54"/>
    </row>
    <row r="2043" spans="1:38" ht="15.75" thickBot="1" x14ac:dyDescent="0.3">
      <c r="A2043" s="51"/>
      <c r="B2043" s="51"/>
      <c r="C2043" s="51"/>
      <c r="D2043" s="51"/>
      <c r="E2043" s="51"/>
      <c r="F2043" s="51"/>
      <c r="G2043" s="56"/>
      <c r="H2043" s="55"/>
      <c r="I2043" s="55"/>
      <c r="J2043" s="55"/>
      <c r="K2043" s="55"/>
      <c r="L2043" s="55"/>
      <c r="M2043" s="55"/>
      <c r="N2043" s="55"/>
      <c r="O2043" s="55"/>
      <c r="P2043" s="55"/>
      <c r="Q2043" s="55"/>
      <c r="R2043" s="55"/>
      <c r="S2043" s="55"/>
      <c r="T2043" s="55"/>
      <c r="U2043" s="55"/>
      <c r="V2043" s="55"/>
      <c r="W2043" s="55"/>
      <c r="X2043" s="55"/>
      <c r="Y2043" s="55"/>
      <c r="Z2043" s="55"/>
      <c r="AA2043" s="55"/>
      <c r="AB2043" s="55"/>
      <c r="AC2043" s="56"/>
      <c r="AD2043" s="55"/>
      <c r="AE2043" s="55"/>
      <c r="AF2043" s="55"/>
      <c r="AG2043" s="55"/>
      <c r="AH2043" s="56"/>
      <c r="AI2043" s="55"/>
      <c r="AJ2043" s="55"/>
      <c r="AK2043" s="56"/>
      <c r="AL2043" s="56"/>
    </row>
    <row r="2044" spans="1:38" ht="15.75" thickBot="1" x14ac:dyDescent="0.3">
      <c r="A2044" s="51"/>
      <c r="B2044" s="51"/>
      <c r="C2044" s="51"/>
      <c r="D2044" s="51"/>
      <c r="E2044" s="51"/>
      <c r="F2044" s="51"/>
      <c r="G2044" s="54"/>
      <c r="H2044" s="53"/>
      <c r="I2044" s="53"/>
      <c r="J2044" s="53"/>
      <c r="K2044" s="54"/>
      <c r="L2044" s="53"/>
      <c r="M2044" s="53"/>
      <c r="N2044" s="53"/>
      <c r="O2044" s="53"/>
      <c r="P2044" s="53"/>
      <c r="Q2044" s="53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53"/>
      <c r="AC2044" s="53"/>
      <c r="AD2044" s="53"/>
      <c r="AE2044" s="53"/>
      <c r="AF2044" s="53"/>
      <c r="AG2044" s="53"/>
      <c r="AH2044" s="54"/>
      <c r="AI2044" s="53"/>
      <c r="AJ2044" s="53"/>
      <c r="AK2044" s="54"/>
      <c r="AL2044" s="54"/>
    </row>
    <row r="2045" spans="1:38" ht="15.75" thickBot="1" x14ac:dyDescent="0.3">
      <c r="A2045" s="51"/>
      <c r="B2045" s="51"/>
      <c r="C2045" s="51"/>
      <c r="D2045" s="51"/>
      <c r="E2045" s="51"/>
      <c r="F2045" s="51"/>
      <c r="G2045" s="56"/>
      <c r="H2045" s="55"/>
      <c r="I2045" s="55"/>
      <c r="J2045" s="55"/>
      <c r="K2045" s="56"/>
      <c r="L2045" s="55"/>
      <c r="M2045" s="55"/>
      <c r="N2045" s="55"/>
      <c r="O2045" s="55"/>
      <c r="P2045" s="55"/>
      <c r="Q2045" s="55"/>
      <c r="R2045" s="55"/>
      <c r="S2045" s="55"/>
      <c r="T2045" s="55"/>
      <c r="U2045" s="55"/>
      <c r="V2045" s="55"/>
      <c r="W2045" s="55"/>
      <c r="X2045" s="55"/>
      <c r="Y2045" s="55"/>
      <c r="Z2045" s="55"/>
      <c r="AA2045" s="55"/>
      <c r="AB2045" s="55"/>
      <c r="AC2045" s="55"/>
      <c r="AD2045" s="55"/>
      <c r="AE2045" s="55"/>
      <c r="AF2045" s="55"/>
      <c r="AG2045" s="55"/>
      <c r="AH2045" s="56"/>
      <c r="AI2045" s="55"/>
      <c r="AJ2045" s="55"/>
      <c r="AK2045" s="56"/>
      <c r="AL2045" s="56"/>
    </row>
    <row r="2046" spans="1:38" ht="15.75" thickBot="1" x14ac:dyDescent="0.3">
      <c r="A2046" s="51"/>
      <c r="B2046" s="51"/>
      <c r="C2046" s="51"/>
      <c r="D2046" s="51"/>
      <c r="E2046" s="51"/>
      <c r="F2046" s="51"/>
      <c r="G2046" s="54"/>
      <c r="H2046" s="54"/>
      <c r="I2046" s="53"/>
      <c r="J2046" s="53"/>
      <c r="K2046" s="53"/>
      <c r="L2046" s="53"/>
      <c r="M2046" s="54"/>
      <c r="N2046" s="53"/>
      <c r="O2046" s="53"/>
      <c r="P2046" s="53"/>
      <c r="Q2046" s="53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3"/>
      <c r="AB2046" s="53"/>
      <c r="AC2046" s="53"/>
      <c r="AD2046" s="53"/>
      <c r="AE2046" s="53"/>
      <c r="AF2046" s="53"/>
      <c r="AG2046" s="53"/>
      <c r="AH2046" s="54"/>
      <c r="AI2046" s="53"/>
      <c r="AJ2046" s="53"/>
      <c r="AK2046" s="54"/>
      <c r="AL2046" s="54"/>
    </row>
    <row r="2047" spans="1:38" ht="15.75" thickBot="1" x14ac:dyDescent="0.3">
      <c r="A2047" s="51"/>
      <c r="B2047" s="51"/>
      <c r="C2047" s="51"/>
      <c r="D2047" s="51"/>
      <c r="E2047" s="51"/>
      <c r="F2047" s="51"/>
      <c r="G2047" s="56"/>
      <c r="H2047" s="148"/>
      <c r="I2047" s="55"/>
      <c r="J2047" s="55"/>
      <c r="K2047" s="55"/>
      <c r="L2047" s="55"/>
      <c r="M2047" s="56"/>
      <c r="N2047" s="55"/>
      <c r="O2047" s="55"/>
      <c r="P2047" s="55"/>
      <c r="Q2047" s="55"/>
      <c r="R2047" s="55"/>
      <c r="S2047" s="55"/>
      <c r="T2047" s="55"/>
      <c r="U2047" s="55"/>
      <c r="V2047" s="55"/>
      <c r="W2047" s="55"/>
      <c r="X2047" s="55"/>
      <c r="Y2047" s="55"/>
      <c r="Z2047" s="55"/>
      <c r="AA2047" s="55"/>
      <c r="AB2047" s="55"/>
      <c r="AC2047" s="55"/>
      <c r="AD2047" s="55"/>
      <c r="AE2047" s="55"/>
      <c r="AF2047" s="55"/>
      <c r="AG2047" s="55"/>
      <c r="AH2047" s="56"/>
      <c r="AI2047" s="55"/>
      <c r="AJ2047" s="55"/>
      <c r="AK2047" s="56"/>
      <c r="AL2047" s="56"/>
    </row>
    <row r="2048" spans="1:38" ht="15.75" thickBot="1" x14ac:dyDescent="0.3">
      <c r="A2048" s="51"/>
      <c r="B2048" s="51"/>
      <c r="C2048" s="51"/>
      <c r="D2048" s="51"/>
      <c r="E2048" s="51"/>
      <c r="F2048" s="51"/>
      <c r="G2048" s="54"/>
      <c r="H2048" s="53"/>
      <c r="I2048" s="53"/>
      <c r="J2048" s="53"/>
      <c r="K2048" s="53"/>
      <c r="L2048" s="53"/>
      <c r="M2048" s="53"/>
      <c r="N2048" s="53"/>
      <c r="O2048" s="53"/>
      <c r="P2048" s="53"/>
      <c r="Q2048" s="54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53"/>
      <c r="AC2048" s="53"/>
      <c r="AD2048" s="53"/>
      <c r="AE2048" s="53"/>
      <c r="AF2048" s="53"/>
      <c r="AG2048" s="53"/>
      <c r="AH2048" s="54"/>
      <c r="AI2048" s="53"/>
      <c r="AJ2048" s="53"/>
      <c r="AK2048" s="54"/>
      <c r="AL2048" s="54"/>
    </row>
    <row r="2049" spans="1:38" ht="15.75" thickBot="1" x14ac:dyDescent="0.3">
      <c r="A2049" s="51"/>
      <c r="B2049" s="51"/>
      <c r="C2049" s="51"/>
      <c r="D2049" s="51"/>
      <c r="E2049" s="51"/>
      <c r="F2049" s="51"/>
      <c r="G2049" s="56"/>
      <c r="H2049" s="55"/>
      <c r="I2049" s="55"/>
      <c r="J2049" s="55"/>
      <c r="K2049" s="55"/>
      <c r="L2049" s="55"/>
      <c r="M2049" s="55"/>
      <c r="N2049" s="55"/>
      <c r="O2049" s="55"/>
      <c r="P2049" s="55"/>
      <c r="Q2049" s="56"/>
      <c r="R2049" s="55"/>
      <c r="S2049" s="55"/>
      <c r="T2049" s="55"/>
      <c r="U2049" s="55"/>
      <c r="V2049" s="55"/>
      <c r="W2049" s="55"/>
      <c r="X2049" s="55"/>
      <c r="Y2049" s="55"/>
      <c r="Z2049" s="55"/>
      <c r="AA2049" s="55"/>
      <c r="AB2049" s="55"/>
      <c r="AC2049" s="55"/>
      <c r="AD2049" s="55"/>
      <c r="AE2049" s="55"/>
      <c r="AF2049" s="55"/>
      <c r="AG2049" s="55"/>
      <c r="AH2049" s="56"/>
      <c r="AI2049" s="55"/>
      <c r="AJ2049" s="55"/>
      <c r="AK2049" s="56"/>
      <c r="AL2049" s="56"/>
    </row>
    <row r="2050" spans="1:38" ht="15.75" thickBot="1" x14ac:dyDescent="0.3">
      <c r="A2050" s="51"/>
      <c r="B2050" s="51"/>
      <c r="C2050" s="51"/>
      <c r="D2050" s="51"/>
      <c r="E2050" s="51"/>
      <c r="F2050" s="51"/>
      <c r="G2050" s="54"/>
      <c r="H2050" s="53"/>
      <c r="I2050" s="53"/>
      <c r="J2050" s="53"/>
      <c r="K2050" s="53"/>
      <c r="L2050" s="53"/>
      <c r="M2050" s="53"/>
      <c r="N2050" s="53"/>
      <c r="O2050" s="53"/>
      <c r="P2050" s="53"/>
      <c r="Q2050" s="53"/>
      <c r="R2050" s="53"/>
      <c r="S2050" s="53"/>
      <c r="T2050" s="53"/>
      <c r="U2050" s="53"/>
      <c r="V2050" s="53"/>
      <c r="W2050" s="53"/>
      <c r="X2050" s="53"/>
      <c r="Y2050" s="53"/>
      <c r="Z2050" s="54"/>
      <c r="AA2050" s="53"/>
      <c r="AB2050" s="53"/>
      <c r="AC2050" s="53"/>
      <c r="AD2050" s="53"/>
      <c r="AE2050" s="53"/>
      <c r="AF2050" s="53"/>
      <c r="AG2050" s="53"/>
      <c r="AH2050" s="54"/>
      <c r="AI2050" s="53"/>
      <c r="AJ2050" s="53"/>
      <c r="AK2050" s="54"/>
      <c r="AL2050" s="54"/>
    </row>
    <row r="2051" spans="1:38" ht="15.75" thickBot="1" x14ac:dyDescent="0.3">
      <c r="A2051" s="51"/>
      <c r="B2051" s="51"/>
      <c r="C2051" s="51"/>
      <c r="D2051" s="51"/>
      <c r="E2051" s="51"/>
      <c r="F2051" s="51"/>
      <c r="G2051" s="56"/>
      <c r="H2051" s="55"/>
      <c r="I2051" s="55"/>
      <c r="J2051" s="55"/>
      <c r="K2051" s="55"/>
      <c r="L2051" s="55"/>
      <c r="M2051" s="55"/>
      <c r="N2051" s="55"/>
      <c r="O2051" s="55"/>
      <c r="P2051" s="55"/>
      <c r="Q2051" s="55"/>
      <c r="R2051" s="55"/>
      <c r="S2051" s="55"/>
      <c r="T2051" s="55"/>
      <c r="U2051" s="55"/>
      <c r="V2051" s="55"/>
      <c r="W2051" s="55"/>
      <c r="X2051" s="55"/>
      <c r="Y2051" s="55"/>
      <c r="Z2051" s="56"/>
      <c r="AA2051" s="55"/>
      <c r="AB2051" s="55"/>
      <c r="AC2051" s="55"/>
      <c r="AD2051" s="55"/>
      <c r="AE2051" s="55"/>
      <c r="AF2051" s="55"/>
      <c r="AG2051" s="55"/>
      <c r="AH2051" s="56"/>
      <c r="AI2051" s="55"/>
      <c r="AJ2051" s="55"/>
      <c r="AK2051" s="56"/>
      <c r="AL2051" s="56"/>
    </row>
    <row r="2052" spans="1:38" ht="15.75" thickBot="1" x14ac:dyDescent="0.3">
      <c r="A2052" s="51"/>
      <c r="B2052" s="51"/>
      <c r="C2052" s="51"/>
      <c r="D2052" s="51"/>
      <c r="E2052" s="51"/>
      <c r="F2052" s="51"/>
      <c r="G2052" s="54"/>
      <c r="H2052" s="53"/>
      <c r="I2052" s="53"/>
      <c r="J2052" s="53"/>
      <c r="K2052" s="53"/>
      <c r="L2052" s="53"/>
      <c r="M2052" s="53"/>
      <c r="N2052" s="53"/>
      <c r="O2052" s="53"/>
      <c r="P2052" s="53"/>
      <c r="Q2052" s="53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4"/>
      <c r="AB2052" s="53"/>
      <c r="AC2052" s="53"/>
      <c r="AD2052" s="53"/>
      <c r="AE2052" s="53"/>
      <c r="AF2052" s="53"/>
      <c r="AG2052" s="53"/>
      <c r="AH2052" s="54"/>
      <c r="AI2052" s="53"/>
      <c r="AJ2052" s="53"/>
      <c r="AK2052" s="54"/>
      <c r="AL2052" s="54"/>
    </row>
    <row r="2053" spans="1:38" ht="15.75" thickBot="1" x14ac:dyDescent="0.3">
      <c r="A2053" s="51"/>
      <c r="B2053" s="51"/>
      <c r="C2053" s="51"/>
      <c r="D2053" s="51"/>
      <c r="E2053" s="51"/>
      <c r="F2053" s="51"/>
      <c r="G2053" s="56"/>
      <c r="H2053" s="55"/>
      <c r="I2053" s="55"/>
      <c r="J2053" s="55"/>
      <c r="K2053" s="55"/>
      <c r="L2053" s="55"/>
      <c r="M2053" s="55"/>
      <c r="N2053" s="55"/>
      <c r="O2053" s="55"/>
      <c r="P2053" s="55"/>
      <c r="Q2053" s="55"/>
      <c r="R2053" s="55"/>
      <c r="S2053" s="55"/>
      <c r="T2053" s="55"/>
      <c r="U2053" s="55"/>
      <c r="V2053" s="55"/>
      <c r="W2053" s="55"/>
      <c r="X2053" s="55"/>
      <c r="Y2053" s="55"/>
      <c r="Z2053" s="55"/>
      <c r="AA2053" s="56"/>
      <c r="AB2053" s="55"/>
      <c r="AC2053" s="55"/>
      <c r="AD2053" s="55"/>
      <c r="AE2053" s="55"/>
      <c r="AF2053" s="55"/>
      <c r="AG2053" s="55"/>
      <c r="AH2053" s="56"/>
      <c r="AI2053" s="55"/>
      <c r="AJ2053" s="55"/>
      <c r="AK2053" s="56"/>
      <c r="AL2053" s="56"/>
    </row>
    <row r="2054" spans="1:38" ht="15.75" thickBot="1" x14ac:dyDescent="0.3">
      <c r="A2054" s="51"/>
      <c r="B2054" s="51"/>
      <c r="C2054" s="51"/>
      <c r="D2054" s="51"/>
      <c r="E2054" s="51"/>
      <c r="F2054" s="51"/>
      <c r="G2054" s="54"/>
      <c r="H2054" s="53"/>
      <c r="I2054" s="53"/>
      <c r="J2054" s="53"/>
      <c r="K2054" s="53"/>
      <c r="L2054" s="53"/>
      <c r="M2054" s="53"/>
      <c r="N2054" s="53"/>
      <c r="O2054" s="53"/>
      <c r="P2054" s="53"/>
      <c r="Q2054" s="53"/>
      <c r="R2054" s="54"/>
      <c r="S2054" s="53"/>
      <c r="T2054" s="53"/>
      <c r="U2054" s="53"/>
      <c r="V2054" s="53"/>
      <c r="W2054" s="53"/>
      <c r="X2054" s="53"/>
      <c r="Y2054" s="53"/>
      <c r="Z2054" s="53"/>
      <c r="AA2054" s="53"/>
      <c r="AB2054" s="53"/>
      <c r="AC2054" s="53"/>
      <c r="AD2054" s="53"/>
      <c r="AE2054" s="53"/>
      <c r="AF2054" s="53"/>
      <c r="AG2054" s="53"/>
      <c r="AH2054" s="54"/>
      <c r="AI2054" s="53"/>
      <c r="AJ2054" s="53"/>
      <c r="AK2054" s="54"/>
      <c r="AL2054" s="54"/>
    </row>
    <row r="2055" spans="1:38" ht="15.75" thickBot="1" x14ac:dyDescent="0.3">
      <c r="A2055" s="51"/>
      <c r="B2055" s="51"/>
      <c r="C2055" s="51"/>
      <c r="D2055" s="51"/>
      <c r="E2055" s="51"/>
      <c r="F2055" s="51"/>
      <c r="G2055" s="56"/>
      <c r="H2055" s="55"/>
      <c r="I2055" s="55"/>
      <c r="J2055" s="55"/>
      <c r="K2055" s="55"/>
      <c r="L2055" s="55"/>
      <c r="M2055" s="55"/>
      <c r="N2055" s="55"/>
      <c r="O2055" s="55"/>
      <c r="P2055" s="55"/>
      <c r="Q2055" s="55"/>
      <c r="R2055" s="56"/>
      <c r="S2055" s="55"/>
      <c r="T2055" s="55"/>
      <c r="U2055" s="55"/>
      <c r="V2055" s="55"/>
      <c r="W2055" s="55"/>
      <c r="X2055" s="55"/>
      <c r="Y2055" s="55"/>
      <c r="Z2055" s="55"/>
      <c r="AA2055" s="55"/>
      <c r="AB2055" s="55"/>
      <c r="AC2055" s="55"/>
      <c r="AD2055" s="55"/>
      <c r="AE2055" s="55"/>
      <c r="AF2055" s="55"/>
      <c r="AG2055" s="55"/>
      <c r="AH2055" s="56"/>
      <c r="AI2055" s="55"/>
      <c r="AJ2055" s="55"/>
      <c r="AK2055" s="56"/>
      <c r="AL2055" s="56"/>
    </row>
    <row r="2056" spans="1:38" ht="15.75" thickBot="1" x14ac:dyDescent="0.3">
      <c r="A2056" s="51"/>
      <c r="B2056" s="51"/>
      <c r="C2056" s="51"/>
      <c r="D2056" s="51"/>
      <c r="E2056" s="51"/>
      <c r="F2056" s="51"/>
      <c r="G2056" s="54"/>
      <c r="H2056" s="53"/>
      <c r="I2056" s="53"/>
      <c r="J2056" s="53"/>
      <c r="K2056" s="53"/>
      <c r="L2056" s="53"/>
      <c r="M2056" s="53"/>
      <c r="N2056" s="53"/>
      <c r="O2056" s="53"/>
      <c r="P2056" s="53"/>
      <c r="Q2056" s="53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3"/>
      <c r="AB2056" s="53"/>
      <c r="AC2056" s="54"/>
      <c r="AD2056" s="53"/>
      <c r="AE2056" s="53"/>
      <c r="AF2056" s="53"/>
      <c r="AG2056" s="53"/>
      <c r="AH2056" s="54"/>
      <c r="AI2056" s="53"/>
      <c r="AJ2056" s="53"/>
      <c r="AK2056" s="54"/>
      <c r="AL2056" s="54"/>
    </row>
    <row r="2057" spans="1:38" ht="15.75" thickBot="1" x14ac:dyDescent="0.3">
      <c r="A2057" s="51"/>
      <c r="B2057" s="51"/>
      <c r="C2057" s="51"/>
      <c r="D2057" s="51"/>
      <c r="E2057" s="51"/>
      <c r="F2057" s="51"/>
      <c r="G2057" s="56"/>
      <c r="H2057" s="55"/>
      <c r="I2057" s="55"/>
      <c r="J2057" s="55"/>
      <c r="K2057" s="55"/>
      <c r="L2057" s="55"/>
      <c r="M2057" s="55"/>
      <c r="N2057" s="55"/>
      <c r="O2057" s="55"/>
      <c r="P2057" s="55"/>
      <c r="Q2057" s="55"/>
      <c r="R2057" s="55"/>
      <c r="S2057" s="55"/>
      <c r="T2057" s="55"/>
      <c r="U2057" s="55"/>
      <c r="V2057" s="55"/>
      <c r="W2057" s="55"/>
      <c r="X2057" s="55"/>
      <c r="Y2057" s="55"/>
      <c r="Z2057" s="55"/>
      <c r="AA2057" s="55"/>
      <c r="AB2057" s="55"/>
      <c r="AC2057" s="56"/>
      <c r="AD2057" s="55"/>
      <c r="AE2057" s="55"/>
      <c r="AF2057" s="55"/>
      <c r="AG2057" s="55"/>
      <c r="AH2057" s="56"/>
      <c r="AI2057" s="55"/>
      <c r="AJ2057" s="55"/>
      <c r="AK2057" s="56"/>
      <c r="AL2057" s="56"/>
    </row>
    <row r="2058" spans="1:38" ht="15.75" thickBot="1" x14ac:dyDescent="0.3">
      <c r="A2058" s="51"/>
      <c r="B2058" s="51"/>
      <c r="C2058" s="51"/>
      <c r="D2058" s="51"/>
      <c r="E2058" s="51"/>
      <c r="F2058" s="51"/>
      <c r="G2058" s="54"/>
      <c r="H2058" s="53"/>
      <c r="I2058" s="53"/>
      <c r="J2058" s="53"/>
      <c r="K2058" s="54"/>
      <c r="L2058" s="53"/>
      <c r="M2058" s="53"/>
      <c r="N2058" s="53"/>
      <c r="O2058" s="53"/>
      <c r="P2058" s="53"/>
      <c r="Q2058" s="53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3"/>
      <c r="AB2058" s="53"/>
      <c r="AC2058" s="53"/>
      <c r="AD2058" s="53"/>
      <c r="AE2058" s="53"/>
      <c r="AF2058" s="53"/>
      <c r="AG2058" s="53"/>
      <c r="AH2058" s="54"/>
      <c r="AI2058" s="53"/>
      <c r="AJ2058" s="53"/>
      <c r="AK2058" s="54"/>
      <c r="AL2058" s="54"/>
    </row>
    <row r="2059" spans="1:38" ht="15.75" thickBot="1" x14ac:dyDescent="0.3">
      <c r="A2059" s="51"/>
      <c r="B2059" s="51"/>
      <c r="C2059" s="51"/>
      <c r="D2059" s="51"/>
      <c r="E2059" s="51"/>
      <c r="F2059" s="51"/>
      <c r="G2059" s="56"/>
      <c r="H2059" s="55"/>
      <c r="I2059" s="55"/>
      <c r="J2059" s="55"/>
      <c r="K2059" s="56"/>
      <c r="L2059" s="55"/>
      <c r="M2059" s="55"/>
      <c r="N2059" s="55"/>
      <c r="O2059" s="55"/>
      <c r="P2059" s="55"/>
      <c r="Q2059" s="55"/>
      <c r="R2059" s="55"/>
      <c r="S2059" s="55"/>
      <c r="T2059" s="55"/>
      <c r="U2059" s="55"/>
      <c r="V2059" s="55"/>
      <c r="W2059" s="55"/>
      <c r="X2059" s="55"/>
      <c r="Y2059" s="55"/>
      <c r="Z2059" s="55"/>
      <c r="AA2059" s="55"/>
      <c r="AB2059" s="55"/>
      <c r="AC2059" s="55"/>
      <c r="AD2059" s="55"/>
      <c r="AE2059" s="55"/>
      <c r="AF2059" s="55"/>
      <c r="AG2059" s="55"/>
      <c r="AH2059" s="56"/>
      <c r="AI2059" s="55"/>
      <c r="AJ2059" s="55"/>
      <c r="AK2059" s="56"/>
      <c r="AL2059" s="56"/>
    </row>
    <row r="2060" spans="1:38" ht="15.75" thickBot="1" x14ac:dyDescent="0.3">
      <c r="A2060" s="51"/>
      <c r="B2060" s="51"/>
      <c r="C2060" s="51"/>
      <c r="D2060" s="51"/>
      <c r="E2060" s="51"/>
      <c r="F2060" s="51"/>
      <c r="G2060" s="54"/>
      <c r="H2060" s="54"/>
      <c r="I2060" s="53"/>
      <c r="J2060" s="53"/>
      <c r="K2060" s="53"/>
      <c r="L2060" s="53"/>
      <c r="M2060" s="54"/>
      <c r="N2060" s="53"/>
      <c r="O2060" s="53"/>
      <c r="P2060" s="53"/>
      <c r="Q2060" s="53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53"/>
      <c r="AC2060" s="53"/>
      <c r="AD2060" s="53"/>
      <c r="AE2060" s="53"/>
      <c r="AF2060" s="53"/>
      <c r="AG2060" s="53"/>
      <c r="AH2060" s="54"/>
      <c r="AI2060" s="53"/>
      <c r="AJ2060" s="53"/>
      <c r="AK2060" s="54"/>
      <c r="AL2060" s="54"/>
    </row>
    <row r="2061" spans="1:38" ht="15.75" thickBot="1" x14ac:dyDescent="0.3">
      <c r="A2061" s="51"/>
      <c r="B2061" s="51"/>
      <c r="C2061" s="51"/>
      <c r="D2061" s="51"/>
      <c r="E2061" s="51"/>
      <c r="F2061" s="51"/>
      <c r="G2061" s="56"/>
      <c r="H2061" s="148"/>
      <c r="I2061" s="55"/>
      <c r="J2061" s="55"/>
      <c r="K2061" s="55"/>
      <c r="L2061" s="55"/>
      <c r="M2061" s="56"/>
      <c r="N2061" s="55"/>
      <c r="O2061" s="55"/>
      <c r="P2061" s="55"/>
      <c r="Q2061" s="55"/>
      <c r="R2061" s="55"/>
      <c r="S2061" s="55"/>
      <c r="T2061" s="55"/>
      <c r="U2061" s="55"/>
      <c r="V2061" s="55"/>
      <c r="W2061" s="55"/>
      <c r="X2061" s="55"/>
      <c r="Y2061" s="55"/>
      <c r="Z2061" s="55"/>
      <c r="AA2061" s="55"/>
      <c r="AB2061" s="55"/>
      <c r="AC2061" s="55"/>
      <c r="AD2061" s="55"/>
      <c r="AE2061" s="55"/>
      <c r="AF2061" s="55"/>
      <c r="AG2061" s="55"/>
      <c r="AH2061" s="56"/>
      <c r="AI2061" s="55"/>
      <c r="AJ2061" s="55"/>
      <c r="AK2061" s="56"/>
      <c r="AL2061" s="56"/>
    </row>
    <row r="2062" spans="1:38" ht="15.75" thickBot="1" x14ac:dyDescent="0.3">
      <c r="A2062" s="51"/>
      <c r="B2062" s="51"/>
      <c r="C2062" s="51"/>
      <c r="D2062" s="51"/>
      <c r="E2062" s="51"/>
      <c r="F2062" s="51"/>
      <c r="G2062" s="54"/>
      <c r="H2062" s="53"/>
      <c r="I2062" s="53"/>
      <c r="J2062" s="53"/>
      <c r="K2062" s="53"/>
      <c r="L2062" s="53"/>
      <c r="M2062" s="53"/>
      <c r="N2062" s="53"/>
      <c r="O2062" s="53"/>
      <c r="P2062" s="53"/>
      <c r="Q2062" s="54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53"/>
      <c r="AC2062" s="53"/>
      <c r="AD2062" s="53"/>
      <c r="AE2062" s="53"/>
      <c r="AF2062" s="53"/>
      <c r="AG2062" s="53"/>
      <c r="AH2062" s="54"/>
      <c r="AI2062" s="53"/>
      <c r="AJ2062" s="53"/>
      <c r="AK2062" s="54"/>
      <c r="AL2062" s="54"/>
    </row>
    <row r="2063" spans="1:38" ht="15.75" thickBot="1" x14ac:dyDescent="0.3">
      <c r="A2063" s="51"/>
      <c r="B2063" s="51"/>
      <c r="C2063" s="51"/>
      <c r="D2063" s="51"/>
      <c r="E2063" s="51"/>
      <c r="F2063" s="51"/>
      <c r="G2063" s="56"/>
      <c r="H2063" s="55"/>
      <c r="I2063" s="55"/>
      <c r="J2063" s="55"/>
      <c r="K2063" s="55"/>
      <c r="L2063" s="55"/>
      <c r="M2063" s="55"/>
      <c r="N2063" s="55"/>
      <c r="O2063" s="55"/>
      <c r="P2063" s="55"/>
      <c r="Q2063" s="56"/>
      <c r="R2063" s="55"/>
      <c r="S2063" s="55"/>
      <c r="T2063" s="55"/>
      <c r="U2063" s="55"/>
      <c r="V2063" s="55"/>
      <c r="W2063" s="55"/>
      <c r="X2063" s="55"/>
      <c r="Y2063" s="55"/>
      <c r="Z2063" s="55"/>
      <c r="AA2063" s="55"/>
      <c r="AB2063" s="55"/>
      <c r="AC2063" s="55"/>
      <c r="AD2063" s="55"/>
      <c r="AE2063" s="55"/>
      <c r="AF2063" s="55"/>
      <c r="AG2063" s="55"/>
      <c r="AH2063" s="56"/>
      <c r="AI2063" s="55"/>
      <c r="AJ2063" s="55"/>
      <c r="AK2063" s="56"/>
      <c r="AL2063" s="56"/>
    </row>
    <row r="2064" spans="1:38" ht="15.75" thickBot="1" x14ac:dyDescent="0.3">
      <c r="A2064" s="51"/>
      <c r="B2064" s="51"/>
      <c r="C2064" s="51"/>
      <c r="D2064" s="51"/>
      <c r="E2064" s="51"/>
      <c r="F2064" s="51"/>
      <c r="G2064" s="54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  <c r="T2064" s="53"/>
      <c r="U2064" s="53"/>
      <c r="V2064" s="53"/>
      <c r="W2064" s="53"/>
      <c r="X2064" s="53"/>
      <c r="Y2064" s="53"/>
      <c r="Z2064" s="54"/>
      <c r="AA2064" s="53"/>
      <c r="AB2064" s="53"/>
      <c r="AC2064" s="53"/>
      <c r="AD2064" s="53"/>
      <c r="AE2064" s="53"/>
      <c r="AF2064" s="53"/>
      <c r="AG2064" s="53"/>
      <c r="AH2064" s="54"/>
      <c r="AI2064" s="53"/>
      <c r="AJ2064" s="53"/>
      <c r="AK2064" s="54"/>
      <c r="AL2064" s="54"/>
    </row>
    <row r="2065" spans="1:38" ht="15.75" thickBot="1" x14ac:dyDescent="0.3">
      <c r="A2065" s="51"/>
      <c r="B2065" s="51"/>
      <c r="C2065" s="51"/>
      <c r="D2065" s="51"/>
      <c r="E2065" s="51"/>
      <c r="F2065" s="51"/>
      <c r="G2065" s="56"/>
      <c r="H2065" s="55"/>
      <c r="I2065" s="55"/>
      <c r="J2065" s="55"/>
      <c r="K2065" s="55"/>
      <c r="L2065" s="55"/>
      <c r="M2065" s="55"/>
      <c r="N2065" s="55"/>
      <c r="O2065" s="55"/>
      <c r="P2065" s="55"/>
      <c r="Q2065" s="55"/>
      <c r="R2065" s="55"/>
      <c r="S2065" s="55"/>
      <c r="T2065" s="55"/>
      <c r="U2065" s="55"/>
      <c r="V2065" s="55"/>
      <c r="W2065" s="55"/>
      <c r="X2065" s="55"/>
      <c r="Y2065" s="55"/>
      <c r="Z2065" s="56"/>
      <c r="AA2065" s="55"/>
      <c r="AB2065" s="55"/>
      <c r="AC2065" s="55"/>
      <c r="AD2065" s="55"/>
      <c r="AE2065" s="55"/>
      <c r="AF2065" s="55"/>
      <c r="AG2065" s="55"/>
      <c r="AH2065" s="56"/>
      <c r="AI2065" s="55"/>
      <c r="AJ2065" s="55"/>
      <c r="AK2065" s="56"/>
      <c r="AL2065" s="56"/>
    </row>
    <row r="2066" spans="1:38" ht="15.75" thickBot="1" x14ac:dyDescent="0.3">
      <c r="A2066" s="51"/>
      <c r="B2066" s="51"/>
      <c r="C2066" s="51"/>
      <c r="D2066" s="51"/>
      <c r="E2066" s="51"/>
      <c r="F2066" s="51"/>
      <c r="G2066" s="54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4"/>
      <c r="AB2066" s="53"/>
      <c r="AC2066" s="53"/>
      <c r="AD2066" s="53"/>
      <c r="AE2066" s="53"/>
      <c r="AF2066" s="53"/>
      <c r="AG2066" s="53"/>
      <c r="AH2066" s="54"/>
      <c r="AI2066" s="53"/>
      <c r="AJ2066" s="53"/>
      <c r="AK2066" s="54"/>
      <c r="AL2066" s="54"/>
    </row>
    <row r="2067" spans="1:38" ht="15.75" thickBot="1" x14ac:dyDescent="0.3">
      <c r="A2067" s="51"/>
      <c r="B2067" s="51"/>
      <c r="C2067" s="51"/>
      <c r="D2067" s="51"/>
      <c r="E2067" s="51"/>
      <c r="F2067" s="51"/>
      <c r="G2067" s="56"/>
      <c r="H2067" s="55"/>
      <c r="I2067" s="55"/>
      <c r="J2067" s="55"/>
      <c r="K2067" s="55"/>
      <c r="L2067" s="55"/>
      <c r="M2067" s="55"/>
      <c r="N2067" s="55"/>
      <c r="O2067" s="55"/>
      <c r="P2067" s="55"/>
      <c r="Q2067" s="55"/>
      <c r="R2067" s="55"/>
      <c r="S2067" s="55"/>
      <c r="T2067" s="55"/>
      <c r="U2067" s="55"/>
      <c r="V2067" s="55"/>
      <c r="W2067" s="55"/>
      <c r="X2067" s="55"/>
      <c r="Y2067" s="55"/>
      <c r="Z2067" s="55"/>
      <c r="AA2067" s="56"/>
      <c r="AB2067" s="55"/>
      <c r="AC2067" s="55"/>
      <c r="AD2067" s="55"/>
      <c r="AE2067" s="55"/>
      <c r="AF2067" s="55"/>
      <c r="AG2067" s="55"/>
      <c r="AH2067" s="56"/>
      <c r="AI2067" s="55"/>
      <c r="AJ2067" s="55"/>
      <c r="AK2067" s="56"/>
      <c r="AL2067" s="56"/>
    </row>
    <row r="2068" spans="1:38" ht="15.75" thickBot="1" x14ac:dyDescent="0.3">
      <c r="A2068" s="51"/>
      <c r="B2068" s="51"/>
      <c r="C2068" s="51"/>
      <c r="D2068" s="51"/>
      <c r="E2068" s="51"/>
      <c r="F2068" s="51"/>
      <c r="G2068" s="54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4"/>
      <c r="S2068" s="53"/>
      <c r="T2068" s="53"/>
      <c r="U2068" s="53"/>
      <c r="V2068" s="53"/>
      <c r="W2068" s="53"/>
      <c r="X2068" s="53"/>
      <c r="Y2068" s="53"/>
      <c r="Z2068" s="53"/>
      <c r="AA2068" s="53"/>
      <c r="AB2068" s="53"/>
      <c r="AC2068" s="53"/>
      <c r="AD2068" s="53"/>
      <c r="AE2068" s="53"/>
      <c r="AF2068" s="53"/>
      <c r="AG2068" s="53"/>
      <c r="AH2068" s="54"/>
      <c r="AI2068" s="53"/>
      <c r="AJ2068" s="53"/>
      <c r="AK2068" s="54"/>
      <c r="AL2068" s="54"/>
    </row>
    <row r="2069" spans="1:38" ht="15.75" thickBot="1" x14ac:dyDescent="0.3">
      <c r="A2069" s="51"/>
      <c r="B2069" s="51"/>
      <c r="C2069" s="51"/>
      <c r="D2069" s="51"/>
      <c r="E2069" s="51"/>
      <c r="F2069" s="51"/>
      <c r="G2069" s="56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6"/>
      <c r="S2069" s="55"/>
      <c r="T2069" s="55"/>
      <c r="U2069" s="55"/>
      <c r="V2069" s="55"/>
      <c r="W2069" s="55"/>
      <c r="X2069" s="55"/>
      <c r="Y2069" s="55"/>
      <c r="Z2069" s="55"/>
      <c r="AA2069" s="55"/>
      <c r="AB2069" s="55"/>
      <c r="AC2069" s="55"/>
      <c r="AD2069" s="55"/>
      <c r="AE2069" s="55"/>
      <c r="AF2069" s="55"/>
      <c r="AG2069" s="55"/>
      <c r="AH2069" s="56"/>
      <c r="AI2069" s="55"/>
      <c r="AJ2069" s="55"/>
      <c r="AK2069" s="56"/>
      <c r="AL2069" s="56"/>
    </row>
    <row r="2070" spans="1:38" ht="15.75" thickBot="1" x14ac:dyDescent="0.3">
      <c r="A2070" s="51"/>
      <c r="B2070" s="51"/>
      <c r="C2070" s="51"/>
      <c r="D2070" s="51"/>
      <c r="E2070" s="51"/>
      <c r="F2070" s="51"/>
      <c r="G2070" s="54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3"/>
      <c r="AB2070" s="53"/>
      <c r="AC2070" s="54"/>
      <c r="AD2070" s="53"/>
      <c r="AE2070" s="53"/>
      <c r="AF2070" s="53"/>
      <c r="AG2070" s="53"/>
      <c r="AH2070" s="54"/>
      <c r="AI2070" s="53"/>
      <c r="AJ2070" s="53"/>
      <c r="AK2070" s="54"/>
      <c r="AL2070" s="54"/>
    </row>
    <row r="2071" spans="1:38" ht="15.75" thickBot="1" x14ac:dyDescent="0.3">
      <c r="A2071" s="51"/>
      <c r="B2071" s="51"/>
      <c r="C2071" s="51"/>
      <c r="D2071" s="51"/>
      <c r="E2071" s="51"/>
      <c r="F2071" s="51"/>
      <c r="G2071" s="56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/>
      <c r="R2071" s="55"/>
      <c r="S2071" s="55"/>
      <c r="T2071" s="55"/>
      <c r="U2071" s="55"/>
      <c r="V2071" s="55"/>
      <c r="W2071" s="55"/>
      <c r="X2071" s="55"/>
      <c r="Y2071" s="55"/>
      <c r="Z2071" s="55"/>
      <c r="AA2071" s="55"/>
      <c r="AB2071" s="55"/>
      <c r="AC2071" s="56"/>
      <c r="AD2071" s="55"/>
      <c r="AE2071" s="55"/>
      <c r="AF2071" s="55"/>
      <c r="AG2071" s="55"/>
      <c r="AH2071" s="56"/>
      <c r="AI2071" s="55"/>
      <c r="AJ2071" s="55"/>
      <c r="AK2071" s="56"/>
      <c r="AL2071" s="56"/>
    </row>
    <row r="2072" spans="1:38" ht="15.75" thickBot="1" x14ac:dyDescent="0.3">
      <c r="A2072" s="51"/>
      <c r="B2072" s="51"/>
      <c r="C2072" s="51"/>
      <c r="D2072" s="51"/>
      <c r="E2072" s="51"/>
      <c r="F2072" s="51"/>
      <c r="G2072" s="53"/>
      <c r="H2072" s="53"/>
      <c r="I2072" s="53"/>
      <c r="J2072" s="53"/>
      <c r="K2072" s="53"/>
      <c r="L2072" s="53"/>
      <c r="M2072" s="53"/>
      <c r="N2072" s="53"/>
      <c r="O2072" s="53"/>
      <c r="P2072" s="53"/>
      <c r="Q2072" s="53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3"/>
      <c r="AB2072" s="53"/>
      <c r="AC2072" s="53"/>
      <c r="AD2072" s="53"/>
      <c r="AE2072" s="53"/>
      <c r="AF2072" s="53"/>
      <c r="AG2072" s="54"/>
      <c r="AH2072" s="54"/>
      <c r="AI2072" s="53"/>
      <c r="AJ2072" s="53"/>
      <c r="AK2072" s="54"/>
      <c r="AL2072" s="54"/>
    </row>
    <row r="2073" spans="1:38" ht="15.75" thickBot="1" x14ac:dyDescent="0.3">
      <c r="A2073" s="51"/>
      <c r="B2073" s="51"/>
      <c r="C2073" s="51"/>
      <c r="D2073" s="51"/>
      <c r="E2073" s="51"/>
      <c r="F2073" s="51"/>
      <c r="G2073" s="55"/>
      <c r="H2073" s="55"/>
      <c r="I2073" s="55"/>
      <c r="J2073" s="55"/>
      <c r="K2073" s="55"/>
      <c r="L2073" s="55"/>
      <c r="M2073" s="55"/>
      <c r="N2073" s="55"/>
      <c r="O2073" s="55"/>
      <c r="P2073" s="55"/>
      <c r="Q2073" s="55"/>
      <c r="R2073" s="55"/>
      <c r="S2073" s="55"/>
      <c r="T2073" s="55"/>
      <c r="U2073" s="55"/>
      <c r="V2073" s="55"/>
      <c r="W2073" s="55"/>
      <c r="X2073" s="55"/>
      <c r="Y2073" s="55"/>
      <c r="Z2073" s="55"/>
      <c r="AA2073" s="55"/>
      <c r="AB2073" s="55"/>
      <c r="AC2073" s="55"/>
      <c r="AD2073" s="55"/>
      <c r="AE2073" s="55"/>
      <c r="AF2073" s="55"/>
      <c r="AG2073" s="56"/>
      <c r="AH2073" s="56"/>
      <c r="AI2073" s="55"/>
      <c r="AJ2073" s="55"/>
      <c r="AK2073" s="56"/>
      <c r="AL2073" s="56"/>
    </row>
    <row r="2074" spans="1:38" ht="15.75" thickBot="1" x14ac:dyDescent="0.3">
      <c r="A2074" s="51"/>
      <c r="B2074" s="51"/>
      <c r="C2074" s="51"/>
      <c r="D2074" s="51"/>
      <c r="E2074" s="51"/>
      <c r="F2074" s="51"/>
      <c r="G2074" s="54"/>
      <c r="H2074" s="53"/>
      <c r="I2074" s="53"/>
      <c r="J2074" s="53"/>
      <c r="K2074" s="54"/>
      <c r="L2074" s="53"/>
      <c r="M2074" s="53"/>
      <c r="N2074" s="53"/>
      <c r="O2074" s="53"/>
      <c r="P2074" s="53"/>
      <c r="Q2074" s="53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3"/>
      <c r="AB2074" s="53"/>
      <c r="AC2074" s="53"/>
      <c r="AD2074" s="53"/>
      <c r="AE2074" s="53"/>
      <c r="AF2074" s="53"/>
      <c r="AG2074" s="53"/>
      <c r="AH2074" s="54"/>
      <c r="AI2074" s="53"/>
      <c r="AJ2074" s="53"/>
      <c r="AK2074" s="54"/>
      <c r="AL2074" s="54"/>
    </row>
    <row r="2075" spans="1:38" ht="15.75" thickBot="1" x14ac:dyDescent="0.3">
      <c r="A2075" s="51"/>
      <c r="B2075" s="51"/>
      <c r="C2075" s="51"/>
      <c r="D2075" s="51"/>
      <c r="E2075" s="51"/>
      <c r="F2075" s="51"/>
      <c r="G2075" s="56"/>
      <c r="H2075" s="55"/>
      <c r="I2075" s="55"/>
      <c r="J2075" s="55"/>
      <c r="K2075" s="56"/>
      <c r="L2075" s="55"/>
      <c r="M2075" s="55"/>
      <c r="N2075" s="55"/>
      <c r="O2075" s="55"/>
      <c r="P2075" s="55"/>
      <c r="Q2075" s="55"/>
      <c r="R2075" s="55"/>
      <c r="S2075" s="55"/>
      <c r="T2075" s="55"/>
      <c r="U2075" s="55"/>
      <c r="V2075" s="55"/>
      <c r="W2075" s="55"/>
      <c r="X2075" s="55"/>
      <c r="Y2075" s="55"/>
      <c r="Z2075" s="55"/>
      <c r="AA2075" s="55"/>
      <c r="AB2075" s="55"/>
      <c r="AC2075" s="55"/>
      <c r="AD2075" s="55"/>
      <c r="AE2075" s="55"/>
      <c r="AF2075" s="55"/>
      <c r="AG2075" s="55"/>
      <c r="AH2075" s="56"/>
      <c r="AI2075" s="55"/>
      <c r="AJ2075" s="55"/>
      <c r="AK2075" s="56"/>
      <c r="AL2075" s="56"/>
    </row>
    <row r="2076" spans="1:38" ht="15.75" thickBot="1" x14ac:dyDescent="0.3">
      <c r="A2076" s="51"/>
      <c r="B2076" s="51"/>
      <c r="C2076" s="51"/>
      <c r="D2076" s="51"/>
      <c r="E2076" s="51"/>
      <c r="F2076" s="51"/>
      <c r="G2076" s="54"/>
      <c r="H2076" s="54"/>
      <c r="I2076" s="53"/>
      <c r="J2076" s="53"/>
      <c r="K2076" s="53"/>
      <c r="L2076" s="53"/>
      <c r="M2076" s="54"/>
      <c r="N2076" s="53"/>
      <c r="O2076" s="53"/>
      <c r="P2076" s="53"/>
      <c r="Q2076" s="53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3"/>
      <c r="AB2076" s="53"/>
      <c r="AC2076" s="53"/>
      <c r="AD2076" s="53"/>
      <c r="AE2076" s="53"/>
      <c r="AF2076" s="53"/>
      <c r="AG2076" s="53"/>
      <c r="AH2076" s="54"/>
      <c r="AI2076" s="53"/>
      <c r="AJ2076" s="53"/>
      <c r="AK2076" s="54"/>
      <c r="AL2076" s="54"/>
    </row>
    <row r="2077" spans="1:38" ht="15.75" thickBot="1" x14ac:dyDescent="0.3">
      <c r="A2077" s="51"/>
      <c r="B2077" s="51"/>
      <c r="C2077" s="51"/>
      <c r="D2077" s="51"/>
      <c r="E2077" s="51"/>
      <c r="F2077" s="51"/>
      <c r="G2077" s="56"/>
      <c r="H2077" s="148"/>
      <c r="I2077" s="55"/>
      <c r="J2077" s="55"/>
      <c r="K2077" s="55"/>
      <c r="L2077" s="55"/>
      <c r="M2077" s="56"/>
      <c r="N2077" s="55"/>
      <c r="O2077" s="55"/>
      <c r="P2077" s="55"/>
      <c r="Q2077" s="55"/>
      <c r="R2077" s="55"/>
      <c r="S2077" s="55"/>
      <c r="T2077" s="55"/>
      <c r="U2077" s="55"/>
      <c r="V2077" s="55"/>
      <c r="W2077" s="55"/>
      <c r="X2077" s="55"/>
      <c r="Y2077" s="55"/>
      <c r="Z2077" s="55"/>
      <c r="AA2077" s="55"/>
      <c r="AB2077" s="55"/>
      <c r="AC2077" s="55"/>
      <c r="AD2077" s="55"/>
      <c r="AE2077" s="55"/>
      <c r="AF2077" s="55"/>
      <c r="AG2077" s="55"/>
      <c r="AH2077" s="56"/>
      <c r="AI2077" s="55"/>
      <c r="AJ2077" s="55"/>
      <c r="AK2077" s="56"/>
      <c r="AL2077" s="56"/>
    </row>
    <row r="2078" spans="1:38" ht="15.75" thickBot="1" x14ac:dyDescent="0.3">
      <c r="A2078" s="51"/>
      <c r="B2078" s="51"/>
      <c r="C2078" s="51"/>
      <c r="D2078" s="51"/>
      <c r="E2078" s="51"/>
      <c r="F2078" s="51"/>
      <c r="G2078" s="54"/>
      <c r="H2078" s="53"/>
      <c r="I2078" s="53"/>
      <c r="J2078" s="53"/>
      <c r="K2078" s="53"/>
      <c r="L2078" s="53"/>
      <c r="M2078" s="53"/>
      <c r="N2078" s="53"/>
      <c r="O2078" s="53"/>
      <c r="P2078" s="53"/>
      <c r="Q2078" s="54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53"/>
      <c r="AC2078" s="53"/>
      <c r="AD2078" s="53"/>
      <c r="AE2078" s="53"/>
      <c r="AF2078" s="53"/>
      <c r="AG2078" s="53"/>
      <c r="AH2078" s="54"/>
      <c r="AI2078" s="53"/>
      <c r="AJ2078" s="53"/>
      <c r="AK2078" s="54"/>
      <c r="AL2078" s="54"/>
    </row>
    <row r="2079" spans="1:38" ht="15.75" thickBot="1" x14ac:dyDescent="0.3">
      <c r="A2079" s="51"/>
      <c r="B2079" s="51"/>
      <c r="C2079" s="51"/>
      <c r="D2079" s="51"/>
      <c r="E2079" s="51"/>
      <c r="F2079" s="51"/>
      <c r="G2079" s="56"/>
      <c r="H2079" s="55"/>
      <c r="I2079" s="55"/>
      <c r="J2079" s="55"/>
      <c r="K2079" s="55"/>
      <c r="L2079" s="55"/>
      <c r="M2079" s="55"/>
      <c r="N2079" s="55"/>
      <c r="O2079" s="55"/>
      <c r="P2079" s="55"/>
      <c r="Q2079" s="56"/>
      <c r="R2079" s="55"/>
      <c r="S2079" s="55"/>
      <c r="T2079" s="55"/>
      <c r="U2079" s="55"/>
      <c r="V2079" s="55"/>
      <c r="W2079" s="55"/>
      <c r="X2079" s="55"/>
      <c r="Y2079" s="55"/>
      <c r="Z2079" s="55"/>
      <c r="AA2079" s="55"/>
      <c r="AB2079" s="55"/>
      <c r="AC2079" s="55"/>
      <c r="AD2079" s="55"/>
      <c r="AE2079" s="55"/>
      <c r="AF2079" s="55"/>
      <c r="AG2079" s="55"/>
      <c r="AH2079" s="56"/>
      <c r="AI2079" s="55"/>
      <c r="AJ2079" s="55"/>
      <c r="AK2079" s="56"/>
      <c r="AL2079" s="56"/>
    </row>
    <row r="2080" spans="1:38" ht="15.75" thickBot="1" x14ac:dyDescent="0.3">
      <c r="A2080" s="51"/>
      <c r="B2080" s="51"/>
      <c r="C2080" s="51"/>
      <c r="D2080" s="51"/>
      <c r="E2080" s="51"/>
      <c r="F2080" s="51"/>
      <c r="G2080" s="54"/>
      <c r="H2080" s="53"/>
      <c r="I2080" s="53"/>
      <c r="J2080" s="53"/>
      <c r="K2080" s="53"/>
      <c r="L2080" s="53"/>
      <c r="M2080" s="53"/>
      <c r="N2080" s="53"/>
      <c r="O2080" s="53"/>
      <c r="P2080" s="53"/>
      <c r="Q2080" s="53"/>
      <c r="R2080" s="53"/>
      <c r="S2080" s="53"/>
      <c r="T2080" s="53"/>
      <c r="U2080" s="53"/>
      <c r="V2080" s="53"/>
      <c r="W2080" s="53"/>
      <c r="X2080" s="53"/>
      <c r="Y2080" s="53"/>
      <c r="Z2080" s="54"/>
      <c r="AA2080" s="53"/>
      <c r="AB2080" s="53"/>
      <c r="AC2080" s="53"/>
      <c r="AD2080" s="53"/>
      <c r="AE2080" s="53"/>
      <c r="AF2080" s="53"/>
      <c r="AG2080" s="53"/>
      <c r="AH2080" s="54"/>
      <c r="AI2080" s="53"/>
      <c r="AJ2080" s="53"/>
      <c r="AK2080" s="54"/>
      <c r="AL2080" s="54"/>
    </row>
    <row r="2081" spans="1:38" ht="15.75" thickBot="1" x14ac:dyDescent="0.3">
      <c r="A2081" s="51"/>
      <c r="B2081" s="51"/>
      <c r="C2081" s="51"/>
      <c r="D2081" s="51"/>
      <c r="E2081" s="51"/>
      <c r="F2081" s="51"/>
      <c r="G2081" s="56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/>
      <c r="S2081" s="55"/>
      <c r="T2081" s="55"/>
      <c r="U2081" s="55"/>
      <c r="V2081" s="55"/>
      <c r="W2081" s="55"/>
      <c r="X2081" s="55"/>
      <c r="Y2081" s="55"/>
      <c r="Z2081" s="56"/>
      <c r="AA2081" s="55"/>
      <c r="AB2081" s="55"/>
      <c r="AC2081" s="55"/>
      <c r="AD2081" s="55"/>
      <c r="AE2081" s="55"/>
      <c r="AF2081" s="55"/>
      <c r="AG2081" s="55"/>
      <c r="AH2081" s="56"/>
      <c r="AI2081" s="55"/>
      <c r="AJ2081" s="55"/>
      <c r="AK2081" s="56"/>
      <c r="AL2081" s="56"/>
    </row>
    <row r="2082" spans="1:38" ht="15.75" thickBot="1" x14ac:dyDescent="0.3">
      <c r="A2082" s="51"/>
      <c r="B2082" s="51"/>
      <c r="C2082" s="51"/>
      <c r="D2082" s="51"/>
      <c r="E2082" s="51"/>
      <c r="F2082" s="51"/>
      <c r="G2082" s="54"/>
      <c r="H2082" s="53"/>
      <c r="I2082" s="53"/>
      <c r="J2082" s="53"/>
      <c r="K2082" s="53"/>
      <c r="L2082" s="53"/>
      <c r="M2082" s="53"/>
      <c r="N2082" s="53"/>
      <c r="O2082" s="53"/>
      <c r="P2082" s="53"/>
      <c r="Q2082" s="53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4"/>
      <c r="AB2082" s="53"/>
      <c r="AC2082" s="53"/>
      <c r="AD2082" s="53"/>
      <c r="AE2082" s="53"/>
      <c r="AF2082" s="53"/>
      <c r="AG2082" s="53"/>
      <c r="AH2082" s="54"/>
      <c r="AI2082" s="53"/>
      <c r="AJ2082" s="53"/>
      <c r="AK2082" s="54"/>
      <c r="AL2082" s="54"/>
    </row>
    <row r="2083" spans="1:38" ht="15.75" thickBot="1" x14ac:dyDescent="0.3">
      <c r="A2083" s="51"/>
      <c r="B2083" s="51"/>
      <c r="C2083" s="51"/>
      <c r="D2083" s="51"/>
      <c r="E2083" s="51"/>
      <c r="F2083" s="51"/>
      <c r="G2083" s="56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/>
      <c r="S2083" s="55"/>
      <c r="T2083" s="55"/>
      <c r="U2083" s="55"/>
      <c r="V2083" s="55"/>
      <c r="W2083" s="55"/>
      <c r="X2083" s="55"/>
      <c r="Y2083" s="55"/>
      <c r="Z2083" s="55"/>
      <c r="AA2083" s="56"/>
      <c r="AB2083" s="55"/>
      <c r="AC2083" s="55"/>
      <c r="AD2083" s="55"/>
      <c r="AE2083" s="55"/>
      <c r="AF2083" s="55"/>
      <c r="AG2083" s="55"/>
      <c r="AH2083" s="56"/>
      <c r="AI2083" s="55"/>
      <c r="AJ2083" s="55"/>
      <c r="AK2083" s="56"/>
      <c r="AL2083" s="56"/>
    </row>
    <row r="2084" spans="1:38" ht="15.75" thickBot="1" x14ac:dyDescent="0.3">
      <c r="A2084" s="51"/>
      <c r="B2084" s="51"/>
      <c r="C2084" s="51"/>
      <c r="D2084" s="51"/>
      <c r="E2084" s="51"/>
      <c r="F2084" s="51"/>
      <c r="G2084" s="54"/>
      <c r="H2084" s="53"/>
      <c r="I2084" s="53"/>
      <c r="J2084" s="53"/>
      <c r="K2084" s="53"/>
      <c r="L2084" s="53"/>
      <c r="M2084" s="53"/>
      <c r="N2084" s="53"/>
      <c r="O2084" s="53"/>
      <c r="P2084" s="53"/>
      <c r="Q2084" s="53"/>
      <c r="R2084" s="54"/>
      <c r="S2084" s="53"/>
      <c r="T2084" s="53"/>
      <c r="U2084" s="53"/>
      <c r="V2084" s="53"/>
      <c r="W2084" s="53"/>
      <c r="X2084" s="53"/>
      <c r="Y2084" s="53"/>
      <c r="Z2084" s="53"/>
      <c r="AA2084" s="53"/>
      <c r="AB2084" s="53"/>
      <c r="AC2084" s="53"/>
      <c r="AD2084" s="53"/>
      <c r="AE2084" s="53"/>
      <c r="AF2084" s="53"/>
      <c r="AG2084" s="53"/>
      <c r="AH2084" s="54"/>
      <c r="AI2084" s="53"/>
      <c r="AJ2084" s="53"/>
      <c r="AK2084" s="54"/>
      <c r="AL2084" s="54"/>
    </row>
    <row r="2085" spans="1:38" ht="15.75" thickBot="1" x14ac:dyDescent="0.3">
      <c r="A2085" s="51"/>
      <c r="B2085" s="51"/>
      <c r="C2085" s="51"/>
      <c r="D2085" s="51"/>
      <c r="E2085" s="51"/>
      <c r="F2085" s="51"/>
      <c r="G2085" s="56"/>
      <c r="H2085" s="55"/>
      <c r="I2085" s="55"/>
      <c r="J2085" s="55"/>
      <c r="K2085" s="55"/>
      <c r="L2085" s="55"/>
      <c r="M2085" s="55"/>
      <c r="N2085" s="55"/>
      <c r="O2085" s="55"/>
      <c r="P2085" s="55"/>
      <c r="Q2085" s="55"/>
      <c r="R2085" s="56"/>
      <c r="S2085" s="55"/>
      <c r="T2085" s="55"/>
      <c r="U2085" s="55"/>
      <c r="V2085" s="55"/>
      <c r="W2085" s="55"/>
      <c r="X2085" s="55"/>
      <c r="Y2085" s="55"/>
      <c r="Z2085" s="55"/>
      <c r="AA2085" s="55"/>
      <c r="AB2085" s="55"/>
      <c r="AC2085" s="55"/>
      <c r="AD2085" s="55"/>
      <c r="AE2085" s="55"/>
      <c r="AF2085" s="55"/>
      <c r="AG2085" s="55"/>
      <c r="AH2085" s="56"/>
      <c r="AI2085" s="55"/>
      <c r="AJ2085" s="55"/>
      <c r="AK2085" s="56"/>
      <c r="AL2085" s="56"/>
    </row>
    <row r="2086" spans="1:38" ht="15.75" thickBot="1" x14ac:dyDescent="0.3">
      <c r="A2086" s="51"/>
      <c r="B2086" s="51"/>
      <c r="C2086" s="51"/>
      <c r="D2086" s="51"/>
      <c r="E2086" s="51"/>
      <c r="F2086" s="51"/>
      <c r="G2086" s="54"/>
      <c r="H2086" s="53"/>
      <c r="I2086" s="53"/>
      <c r="J2086" s="53"/>
      <c r="K2086" s="53"/>
      <c r="L2086" s="53"/>
      <c r="M2086" s="53"/>
      <c r="N2086" s="53"/>
      <c r="O2086" s="53"/>
      <c r="P2086" s="53"/>
      <c r="Q2086" s="53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3"/>
      <c r="AB2086" s="53"/>
      <c r="AC2086" s="54"/>
      <c r="AD2086" s="53"/>
      <c r="AE2086" s="53"/>
      <c r="AF2086" s="53"/>
      <c r="AG2086" s="53"/>
      <c r="AH2086" s="54"/>
      <c r="AI2086" s="53"/>
      <c r="AJ2086" s="53"/>
      <c r="AK2086" s="54"/>
      <c r="AL2086" s="54"/>
    </row>
    <row r="2087" spans="1:38" ht="15.75" thickBot="1" x14ac:dyDescent="0.3">
      <c r="A2087" s="51"/>
      <c r="B2087" s="51"/>
      <c r="C2087" s="51"/>
      <c r="D2087" s="51"/>
      <c r="E2087" s="51"/>
      <c r="F2087" s="51"/>
      <c r="G2087" s="56"/>
      <c r="H2087" s="55"/>
      <c r="I2087" s="55"/>
      <c r="J2087" s="55"/>
      <c r="K2087" s="55"/>
      <c r="L2087" s="55"/>
      <c r="M2087" s="55"/>
      <c r="N2087" s="55"/>
      <c r="O2087" s="55"/>
      <c r="P2087" s="55"/>
      <c r="Q2087" s="55"/>
      <c r="R2087" s="55"/>
      <c r="S2087" s="55"/>
      <c r="T2087" s="55"/>
      <c r="U2087" s="55"/>
      <c r="V2087" s="55"/>
      <c r="W2087" s="55"/>
      <c r="X2087" s="55"/>
      <c r="Y2087" s="55"/>
      <c r="Z2087" s="55"/>
      <c r="AA2087" s="55"/>
      <c r="AB2087" s="55"/>
      <c r="AC2087" s="56"/>
      <c r="AD2087" s="55"/>
      <c r="AE2087" s="55"/>
      <c r="AF2087" s="55"/>
      <c r="AG2087" s="55"/>
      <c r="AH2087" s="56"/>
      <c r="AI2087" s="55"/>
      <c r="AJ2087" s="55"/>
      <c r="AK2087" s="56"/>
      <c r="AL2087" s="56"/>
    </row>
    <row r="2088" spans="1:38" ht="15.75" thickBot="1" x14ac:dyDescent="0.3">
      <c r="A2088" s="51"/>
      <c r="B2088" s="51"/>
      <c r="C2088" s="51"/>
      <c r="D2088" s="51"/>
      <c r="E2088" s="51"/>
      <c r="F2088" s="51"/>
      <c r="G2088" s="54"/>
      <c r="H2088" s="53"/>
      <c r="I2088" s="53"/>
      <c r="J2088" s="53"/>
      <c r="K2088" s="53"/>
      <c r="L2088" s="53"/>
      <c r="M2088" s="53"/>
      <c r="N2088" s="53"/>
      <c r="O2088" s="53"/>
      <c r="P2088" s="53"/>
      <c r="Q2088" s="53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54"/>
      <c r="AC2088" s="53"/>
      <c r="AD2088" s="53"/>
      <c r="AE2088" s="53"/>
      <c r="AF2088" s="53"/>
      <c r="AG2088" s="53"/>
      <c r="AH2088" s="54"/>
      <c r="AI2088" s="53"/>
      <c r="AJ2088" s="53"/>
      <c r="AK2088" s="54"/>
      <c r="AL2088" s="54"/>
    </row>
    <row r="2089" spans="1:38" ht="15.75" thickBot="1" x14ac:dyDescent="0.3">
      <c r="A2089" s="51"/>
      <c r="B2089" s="51"/>
      <c r="C2089" s="51"/>
      <c r="D2089" s="51"/>
      <c r="E2089" s="51"/>
      <c r="F2089" s="51"/>
      <c r="G2089" s="56"/>
      <c r="H2089" s="55"/>
      <c r="I2089" s="55"/>
      <c r="J2089" s="55"/>
      <c r="K2089" s="55"/>
      <c r="L2089" s="55"/>
      <c r="M2089" s="55"/>
      <c r="N2089" s="55"/>
      <c r="O2089" s="55"/>
      <c r="P2089" s="55"/>
      <c r="Q2089" s="55"/>
      <c r="R2089" s="55"/>
      <c r="S2089" s="55"/>
      <c r="T2089" s="55"/>
      <c r="U2089" s="55"/>
      <c r="V2089" s="55"/>
      <c r="W2089" s="55"/>
      <c r="X2089" s="55"/>
      <c r="Y2089" s="55"/>
      <c r="Z2089" s="55"/>
      <c r="AA2089" s="55"/>
      <c r="AB2089" s="56"/>
      <c r="AC2089" s="55"/>
      <c r="AD2089" s="55"/>
      <c r="AE2089" s="55"/>
      <c r="AF2089" s="55"/>
      <c r="AG2089" s="55"/>
      <c r="AH2089" s="56"/>
      <c r="AI2089" s="55"/>
      <c r="AJ2089" s="55"/>
      <c r="AK2089" s="56"/>
      <c r="AL2089" s="56"/>
    </row>
    <row r="2090" spans="1:38" ht="15.75" thickBot="1" x14ac:dyDescent="0.3">
      <c r="A2090" s="51"/>
      <c r="B2090" s="51"/>
      <c r="C2090" s="51"/>
      <c r="D2090" s="51"/>
      <c r="E2090" s="51"/>
      <c r="F2090" s="51"/>
      <c r="G2090" s="53"/>
      <c r="H2090" s="53"/>
      <c r="I2090" s="53"/>
      <c r="J2090" s="53"/>
      <c r="K2090" s="53"/>
      <c r="L2090" s="53"/>
      <c r="M2090" s="53"/>
      <c r="N2090" s="53"/>
      <c r="O2090" s="53"/>
      <c r="P2090" s="53"/>
      <c r="Q2090" s="53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3"/>
      <c r="AB2090" s="53"/>
      <c r="AC2090" s="53"/>
      <c r="AD2090" s="53"/>
      <c r="AE2090" s="53"/>
      <c r="AF2090" s="53"/>
      <c r="AG2090" s="54"/>
      <c r="AH2090" s="54"/>
      <c r="AI2090" s="53"/>
      <c r="AJ2090" s="53"/>
      <c r="AK2090" s="54"/>
      <c r="AL2090" s="54"/>
    </row>
    <row r="2091" spans="1:38" ht="15.75" thickBot="1" x14ac:dyDescent="0.3">
      <c r="A2091" s="51"/>
      <c r="B2091" s="51"/>
      <c r="C2091" s="51"/>
      <c r="D2091" s="51"/>
      <c r="E2091" s="51"/>
      <c r="F2091" s="51"/>
      <c r="G2091" s="55"/>
      <c r="H2091" s="55"/>
      <c r="I2091" s="55"/>
      <c r="J2091" s="55"/>
      <c r="K2091" s="55"/>
      <c r="L2091" s="55"/>
      <c r="M2091" s="55"/>
      <c r="N2091" s="55"/>
      <c r="O2091" s="55"/>
      <c r="P2091" s="55"/>
      <c r="Q2091" s="55"/>
      <c r="R2091" s="55"/>
      <c r="S2091" s="55"/>
      <c r="T2091" s="55"/>
      <c r="U2091" s="55"/>
      <c r="V2091" s="55"/>
      <c r="W2091" s="55"/>
      <c r="X2091" s="55"/>
      <c r="Y2091" s="55"/>
      <c r="Z2091" s="55"/>
      <c r="AA2091" s="55"/>
      <c r="AB2091" s="55"/>
      <c r="AC2091" s="55"/>
      <c r="AD2091" s="55"/>
      <c r="AE2091" s="55"/>
      <c r="AF2091" s="55"/>
      <c r="AG2091" s="56"/>
      <c r="AH2091" s="56"/>
      <c r="AI2091" s="55"/>
      <c r="AJ2091" s="55"/>
      <c r="AK2091" s="56"/>
      <c r="AL2091" s="56"/>
    </row>
    <row r="2092" spans="1:38" ht="15.75" thickBot="1" x14ac:dyDescent="0.3">
      <c r="A2092" s="51"/>
      <c r="B2092" s="51"/>
      <c r="C2092" s="51"/>
      <c r="D2092" s="51"/>
      <c r="E2092" s="51"/>
      <c r="F2092" s="51"/>
      <c r="G2092" s="54"/>
      <c r="H2092" s="53"/>
      <c r="I2092" s="53"/>
      <c r="J2092" s="53"/>
      <c r="K2092" s="54"/>
      <c r="L2092" s="53"/>
      <c r="M2092" s="53"/>
      <c r="N2092" s="53"/>
      <c r="O2092" s="53"/>
      <c r="P2092" s="53"/>
      <c r="Q2092" s="53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3"/>
      <c r="AB2092" s="53"/>
      <c r="AC2092" s="53"/>
      <c r="AD2092" s="53"/>
      <c r="AE2092" s="53"/>
      <c r="AF2092" s="53"/>
      <c r="AG2092" s="53"/>
      <c r="AH2092" s="54"/>
      <c r="AI2092" s="53"/>
      <c r="AJ2092" s="53"/>
      <c r="AK2092" s="54"/>
      <c r="AL2092" s="54"/>
    </row>
    <row r="2093" spans="1:38" ht="15.75" thickBot="1" x14ac:dyDescent="0.3">
      <c r="A2093" s="51"/>
      <c r="B2093" s="51"/>
      <c r="C2093" s="51"/>
      <c r="D2093" s="51"/>
      <c r="E2093" s="51"/>
      <c r="F2093" s="51"/>
      <c r="G2093" s="56"/>
      <c r="H2093" s="55"/>
      <c r="I2093" s="55"/>
      <c r="J2093" s="55"/>
      <c r="K2093" s="56"/>
      <c r="L2093" s="55"/>
      <c r="M2093" s="55"/>
      <c r="N2093" s="55"/>
      <c r="O2093" s="55"/>
      <c r="P2093" s="55"/>
      <c r="Q2093" s="55"/>
      <c r="R2093" s="55"/>
      <c r="S2093" s="55"/>
      <c r="T2093" s="55"/>
      <c r="U2093" s="55"/>
      <c r="V2093" s="55"/>
      <c r="W2093" s="55"/>
      <c r="X2093" s="55"/>
      <c r="Y2093" s="55"/>
      <c r="Z2093" s="55"/>
      <c r="AA2093" s="55"/>
      <c r="AB2093" s="55"/>
      <c r="AC2093" s="55"/>
      <c r="AD2093" s="55"/>
      <c r="AE2093" s="55"/>
      <c r="AF2093" s="55"/>
      <c r="AG2093" s="55"/>
      <c r="AH2093" s="56"/>
      <c r="AI2093" s="55"/>
      <c r="AJ2093" s="55"/>
      <c r="AK2093" s="56"/>
      <c r="AL2093" s="56"/>
    </row>
    <row r="2094" spans="1:38" ht="15.75" thickBot="1" x14ac:dyDescent="0.3">
      <c r="A2094" s="51"/>
      <c r="B2094" s="51"/>
      <c r="C2094" s="51"/>
      <c r="D2094" s="51"/>
      <c r="E2094" s="51"/>
      <c r="F2094" s="51"/>
      <c r="G2094" s="54"/>
      <c r="H2094" s="54"/>
      <c r="I2094" s="53"/>
      <c r="J2094" s="53"/>
      <c r="K2094" s="53"/>
      <c r="L2094" s="53"/>
      <c r="M2094" s="54"/>
      <c r="N2094" s="53"/>
      <c r="O2094" s="53"/>
      <c r="P2094" s="53"/>
      <c r="Q2094" s="53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3"/>
      <c r="AB2094" s="53"/>
      <c r="AC2094" s="53"/>
      <c r="AD2094" s="53"/>
      <c r="AE2094" s="53"/>
      <c r="AF2094" s="53"/>
      <c r="AG2094" s="53"/>
      <c r="AH2094" s="54"/>
      <c r="AI2094" s="53"/>
      <c r="AJ2094" s="53"/>
      <c r="AK2094" s="54"/>
      <c r="AL2094" s="54"/>
    </row>
    <row r="2095" spans="1:38" ht="15.75" thickBot="1" x14ac:dyDescent="0.3">
      <c r="A2095" s="51"/>
      <c r="B2095" s="51"/>
      <c r="C2095" s="51"/>
      <c r="D2095" s="51"/>
      <c r="E2095" s="51"/>
      <c r="F2095" s="51"/>
      <c r="G2095" s="56"/>
      <c r="H2095" s="148"/>
      <c r="I2095" s="55"/>
      <c r="J2095" s="55"/>
      <c r="K2095" s="55"/>
      <c r="L2095" s="55"/>
      <c r="M2095" s="56"/>
      <c r="N2095" s="55"/>
      <c r="O2095" s="55"/>
      <c r="P2095" s="55"/>
      <c r="Q2095" s="55"/>
      <c r="R2095" s="55"/>
      <c r="S2095" s="55"/>
      <c r="T2095" s="55"/>
      <c r="U2095" s="55"/>
      <c r="V2095" s="55"/>
      <c r="W2095" s="55"/>
      <c r="X2095" s="55"/>
      <c r="Y2095" s="55"/>
      <c r="Z2095" s="55"/>
      <c r="AA2095" s="55"/>
      <c r="AB2095" s="55"/>
      <c r="AC2095" s="55"/>
      <c r="AD2095" s="55"/>
      <c r="AE2095" s="55"/>
      <c r="AF2095" s="55"/>
      <c r="AG2095" s="55"/>
      <c r="AH2095" s="56"/>
      <c r="AI2095" s="55"/>
      <c r="AJ2095" s="55"/>
      <c r="AK2095" s="56"/>
      <c r="AL2095" s="56"/>
    </row>
    <row r="2096" spans="1:38" ht="15.75" thickBot="1" x14ac:dyDescent="0.3">
      <c r="A2096" s="51"/>
      <c r="B2096" s="51"/>
      <c r="C2096" s="51"/>
      <c r="D2096" s="51"/>
      <c r="E2096" s="51"/>
      <c r="F2096" s="51"/>
      <c r="G2096" s="54"/>
      <c r="H2096" s="53"/>
      <c r="I2096" s="53"/>
      <c r="J2096" s="53"/>
      <c r="K2096" s="53"/>
      <c r="L2096" s="53"/>
      <c r="M2096" s="53"/>
      <c r="N2096" s="53"/>
      <c r="O2096" s="53"/>
      <c r="P2096" s="53"/>
      <c r="Q2096" s="54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3"/>
      <c r="AB2096" s="53"/>
      <c r="AC2096" s="53"/>
      <c r="AD2096" s="53"/>
      <c r="AE2096" s="53"/>
      <c r="AF2096" s="53"/>
      <c r="AG2096" s="53"/>
      <c r="AH2096" s="54"/>
      <c r="AI2096" s="53"/>
      <c r="AJ2096" s="53"/>
      <c r="AK2096" s="54"/>
      <c r="AL2096" s="54"/>
    </row>
    <row r="2097" spans="1:38" ht="15.75" thickBot="1" x14ac:dyDescent="0.3">
      <c r="A2097" s="51"/>
      <c r="B2097" s="51"/>
      <c r="C2097" s="51"/>
      <c r="D2097" s="51"/>
      <c r="E2097" s="51"/>
      <c r="F2097" s="51"/>
      <c r="G2097" s="56"/>
      <c r="H2097" s="55"/>
      <c r="I2097" s="55"/>
      <c r="J2097" s="55"/>
      <c r="K2097" s="55"/>
      <c r="L2097" s="55"/>
      <c r="M2097" s="55"/>
      <c r="N2097" s="55"/>
      <c r="O2097" s="55"/>
      <c r="P2097" s="55"/>
      <c r="Q2097" s="56"/>
      <c r="R2097" s="55"/>
      <c r="S2097" s="55"/>
      <c r="T2097" s="55"/>
      <c r="U2097" s="55"/>
      <c r="V2097" s="55"/>
      <c r="W2097" s="55"/>
      <c r="X2097" s="55"/>
      <c r="Y2097" s="55"/>
      <c r="Z2097" s="55"/>
      <c r="AA2097" s="55"/>
      <c r="AB2097" s="55"/>
      <c r="AC2097" s="55"/>
      <c r="AD2097" s="55"/>
      <c r="AE2097" s="55"/>
      <c r="AF2097" s="55"/>
      <c r="AG2097" s="55"/>
      <c r="AH2097" s="56"/>
      <c r="AI2097" s="55"/>
      <c r="AJ2097" s="55"/>
      <c r="AK2097" s="56"/>
      <c r="AL2097" s="56"/>
    </row>
    <row r="2098" spans="1:38" ht="15.75" thickBot="1" x14ac:dyDescent="0.3">
      <c r="A2098" s="51"/>
      <c r="B2098" s="51"/>
      <c r="C2098" s="51"/>
      <c r="D2098" s="51"/>
      <c r="E2098" s="51"/>
      <c r="F2098" s="51"/>
      <c r="G2098" s="54"/>
      <c r="H2098" s="53"/>
      <c r="I2098" s="53"/>
      <c r="J2098" s="53"/>
      <c r="K2098" s="53"/>
      <c r="L2098" s="53"/>
      <c r="M2098" s="53"/>
      <c r="N2098" s="53"/>
      <c r="O2098" s="53"/>
      <c r="P2098" s="53"/>
      <c r="Q2098" s="53"/>
      <c r="R2098" s="53"/>
      <c r="S2098" s="53"/>
      <c r="T2098" s="53"/>
      <c r="U2098" s="53"/>
      <c r="V2098" s="53"/>
      <c r="W2098" s="53"/>
      <c r="X2098" s="53"/>
      <c r="Y2098" s="53"/>
      <c r="Z2098" s="54"/>
      <c r="AA2098" s="53"/>
      <c r="AB2098" s="53"/>
      <c r="AC2098" s="53"/>
      <c r="AD2098" s="53"/>
      <c r="AE2098" s="53"/>
      <c r="AF2098" s="53"/>
      <c r="AG2098" s="53"/>
      <c r="AH2098" s="54"/>
      <c r="AI2098" s="53"/>
      <c r="AJ2098" s="53"/>
      <c r="AK2098" s="54"/>
      <c r="AL2098" s="54"/>
    </row>
    <row r="2099" spans="1:38" ht="15.75" thickBot="1" x14ac:dyDescent="0.3">
      <c r="A2099" s="51"/>
      <c r="B2099" s="51"/>
      <c r="C2099" s="51"/>
      <c r="D2099" s="51"/>
      <c r="E2099" s="51"/>
      <c r="F2099" s="51"/>
      <c r="G2099" s="56"/>
      <c r="H2099" s="55"/>
      <c r="I2099" s="55"/>
      <c r="J2099" s="55"/>
      <c r="K2099" s="55"/>
      <c r="L2099" s="55"/>
      <c r="M2099" s="55"/>
      <c r="N2099" s="55"/>
      <c r="O2099" s="55"/>
      <c r="P2099" s="55"/>
      <c r="Q2099" s="55"/>
      <c r="R2099" s="55"/>
      <c r="S2099" s="55"/>
      <c r="T2099" s="55"/>
      <c r="U2099" s="55"/>
      <c r="V2099" s="55"/>
      <c r="W2099" s="55"/>
      <c r="X2099" s="55"/>
      <c r="Y2099" s="55"/>
      <c r="Z2099" s="56"/>
      <c r="AA2099" s="55"/>
      <c r="AB2099" s="55"/>
      <c r="AC2099" s="55"/>
      <c r="AD2099" s="55"/>
      <c r="AE2099" s="55"/>
      <c r="AF2099" s="55"/>
      <c r="AG2099" s="55"/>
      <c r="AH2099" s="56"/>
      <c r="AI2099" s="55"/>
      <c r="AJ2099" s="55"/>
      <c r="AK2099" s="56"/>
      <c r="AL2099" s="56"/>
    </row>
    <row r="2100" spans="1:38" ht="15.75" thickBot="1" x14ac:dyDescent="0.3">
      <c r="A2100" s="51"/>
      <c r="B2100" s="51"/>
      <c r="C2100" s="51"/>
      <c r="D2100" s="51"/>
      <c r="E2100" s="51"/>
      <c r="F2100" s="51"/>
      <c r="G2100" s="54"/>
      <c r="H2100" s="53"/>
      <c r="I2100" s="53"/>
      <c r="J2100" s="53"/>
      <c r="K2100" s="53"/>
      <c r="L2100" s="53"/>
      <c r="M2100" s="53"/>
      <c r="N2100" s="53"/>
      <c r="O2100" s="53"/>
      <c r="P2100" s="53"/>
      <c r="Q2100" s="53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4"/>
      <c r="AB2100" s="53"/>
      <c r="AC2100" s="53"/>
      <c r="AD2100" s="53"/>
      <c r="AE2100" s="53"/>
      <c r="AF2100" s="53"/>
      <c r="AG2100" s="53"/>
      <c r="AH2100" s="54"/>
      <c r="AI2100" s="53"/>
      <c r="AJ2100" s="53"/>
      <c r="AK2100" s="54"/>
      <c r="AL2100" s="54"/>
    </row>
    <row r="2101" spans="1:38" ht="15.75" thickBot="1" x14ac:dyDescent="0.3">
      <c r="A2101" s="51"/>
      <c r="B2101" s="51"/>
      <c r="C2101" s="51"/>
      <c r="D2101" s="51"/>
      <c r="E2101" s="51"/>
      <c r="F2101" s="51"/>
      <c r="G2101" s="56"/>
      <c r="H2101" s="55"/>
      <c r="I2101" s="55"/>
      <c r="J2101" s="55"/>
      <c r="K2101" s="55"/>
      <c r="L2101" s="55"/>
      <c r="M2101" s="55"/>
      <c r="N2101" s="55"/>
      <c r="O2101" s="55"/>
      <c r="P2101" s="55"/>
      <c r="Q2101" s="55"/>
      <c r="R2101" s="55"/>
      <c r="S2101" s="55"/>
      <c r="T2101" s="55"/>
      <c r="U2101" s="55"/>
      <c r="V2101" s="55"/>
      <c r="W2101" s="55"/>
      <c r="X2101" s="55"/>
      <c r="Y2101" s="55"/>
      <c r="Z2101" s="55"/>
      <c r="AA2101" s="56"/>
      <c r="AB2101" s="55"/>
      <c r="AC2101" s="55"/>
      <c r="AD2101" s="55"/>
      <c r="AE2101" s="55"/>
      <c r="AF2101" s="55"/>
      <c r="AG2101" s="55"/>
      <c r="AH2101" s="56"/>
      <c r="AI2101" s="55"/>
      <c r="AJ2101" s="55"/>
      <c r="AK2101" s="56"/>
      <c r="AL2101" s="56"/>
    </row>
    <row r="2102" spans="1:38" ht="15.75" thickBot="1" x14ac:dyDescent="0.3">
      <c r="A2102" s="51"/>
      <c r="B2102" s="51"/>
      <c r="C2102" s="51"/>
      <c r="D2102" s="51"/>
      <c r="E2102" s="51"/>
      <c r="F2102" s="51"/>
      <c r="G2102" s="54"/>
      <c r="H2102" s="53"/>
      <c r="I2102" s="53"/>
      <c r="J2102" s="53"/>
      <c r="K2102" s="53"/>
      <c r="L2102" s="53"/>
      <c r="M2102" s="53"/>
      <c r="N2102" s="53"/>
      <c r="O2102" s="53"/>
      <c r="P2102" s="53"/>
      <c r="Q2102" s="53"/>
      <c r="R2102" s="54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53"/>
      <c r="AC2102" s="53"/>
      <c r="AD2102" s="53"/>
      <c r="AE2102" s="53"/>
      <c r="AF2102" s="53"/>
      <c r="AG2102" s="53"/>
      <c r="AH2102" s="54"/>
      <c r="AI2102" s="53"/>
      <c r="AJ2102" s="53"/>
      <c r="AK2102" s="54"/>
      <c r="AL2102" s="54"/>
    </row>
    <row r="2103" spans="1:38" ht="15.75" thickBot="1" x14ac:dyDescent="0.3">
      <c r="A2103" s="51"/>
      <c r="B2103" s="51"/>
      <c r="C2103" s="51"/>
      <c r="D2103" s="51"/>
      <c r="E2103" s="51"/>
      <c r="F2103" s="51"/>
      <c r="G2103" s="56"/>
      <c r="H2103" s="55"/>
      <c r="I2103" s="55"/>
      <c r="J2103" s="55"/>
      <c r="K2103" s="55"/>
      <c r="L2103" s="55"/>
      <c r="M2103" s="55"/>
      <c r="N2103" s="55"/>
      <c r="O2103" s="55"/>
      <c r="P2103" s="55"/>
      <c r="Q2103" s="55"/>
      <c r="R2103" s="56"/>
      <c r="S2103" s="55"/>
      <c r="T2103" s="55"/>
      <c r="U2103" s="55"/>
      <c r="V2103" s="55"/>
      <c r="W2103" s="55"/>
      <c r="X2103" s="55"/>
      <c r="Y2103" s="55"/>
      <c r="Z2103" s="55"/>
      <c r="AA2103" s="55"/>
      <c r="AB2103" s="55"/>
      <c r="AC2103" s="55"/>
      <c r="AD2103" s="55"/>
      <c r="AE2103" s="55"/>
      <c r="AF2103" s="55"/>
      <c r="AG2103" s="55"/>
      <c r="AH2103" s="56"/>
      <c r="AI2103" s="55"/>
      <c r="AJ2103" s="55"/>
      <c r="AK2103" s="56"/>
      <c r="AL2103" s="56"/>
    </row>
    <row r="2104" spans="1:38" ht="15.75" thickBot="1" x14ac:dyDescent="0.3">
      <c r="A2104" s="51"/>
      <c r="B2104" s="51"/>
      <c r="C2104" s="51"/>
      <c r="D2104" s="51"/>
      <c r="E2104" s="51"/>
      <c r="F2104" s="51"/>
      <c r="G2104" s="54"/>
      <c r="H2104" s="53"/>
      <c r="I2104" s="53"/>
      <c r="J2104" s="53"/>
      <c r="K2104" s="53"/>
      <c r="L2104" s="53"/>
      <c r="M2104" s="53"/>
      <c r="N2104" s="53"/>
      <c r="O2104" s="53"/>
      <c r="P2104" s="53"/>
      <c r="Q2104" s="53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53"/>
      <c r="AC2104" s="54"/>
      <c r="AD2104" s="53"/>
      <c r="AE2104" s="53"/>
      <c r="AF2104" s="53"/>
      <c r="AG2104" s="53"/>
      <c r="AH2104" s="54"/>
      <c r="AI2104" s="53"/>
      <c r="AJ2104" s="53"/>
      <c r="AK2104" s="54"/>
      <c r="AL2104" s="54"/>
    </row>
    <row r="2105" spans="1:38" ht="15.75" thickBot="1" x14ac:dyDescent="0.3">
      <c r="A2105" s="51"/>
      <c r="B2105" s="51"/>
      <c r="C2105" s="51"/>
      <c r="D2105" s="51"/>
      <c r="E2105" s="51"/>
      <c r="F2105" s="51"/>
      <c r="G2105" s="56"/>
      <c r="H2105" s="55"/>
      <c r="I2105" s="55"/>
      <c r="J2105" s="55"/>
      <c r="K2105" s="55"/>
      <c r="L2105" s="55"/>
      <c r="M2105" s="55"/>
      <c r="N2105" s="55"/>
      <c r="O2105" s="55"/>
      <c r="P2105" s="55"/>
      <c r="Q2105" s="55"/>
      <c r="R2105" s="55"/>
      <c r="S2105" s="55"/>
      <c r="T2105" s="55"/>
      <c r="U2105" s="55"/>
      <c r="V2105" s="55"/>
      <c r="W2105" s="55"/>
      <c r="X2105" s="55"/>
      <c r="Y2105" s="55"/>
      <c r="Z2105" s="55"/>
      <c r="AA2105" s="55"/>
      <c r="AB2105" s="55"/>
      <c r="AC2105" s="56"/>
      <c r="AD2105" s="55"/>
      <c r="AE2105" s="55"/>
      <c r="AF2105" s="55"/>
      <c r="AG2105" s="55"/>
      <c r="AH2105" s="56"/>
      <c r="AI2105" s="55"/>
      <c r="AJ2105" s="55"/>
      <c r="AK2105" s="56"/>
      <c r="AL2105" s="56"/>
    </row>
    <row r="2106" spans="1:38" ht="15.75" thickBot="1" x14ac:dyDescent="0.3">
      <c r="A2106" s="51"/>
      <c r="B2106" s="51"/>
      <c r="C2106" s="51"/>
      <c r="D2106" s="51"/>
      <c r="E2106" s="51"/>
      <c r="F2106" s="51"/>
      <c r="G2106" s="54"/>
      <c r="H2106" s="53"/>
      <c r="I2106" s="53"/>
      <c r="J2106" s="53"/>
      <c r="K2106" s="53"/>
      <c r="L2106" s="53"/>
      <c r="M2106" s="53"/>
      <c r="N2106" s="53"/>
      <c r="O2106" s="53"/>
      <c r="P2106" s="53"/>
      <c r="Q2106" s="53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54"/>
      <c r="AC2106" s="53"/>
      <c r="AD2106" s="53"/>
      <c r="AE2106" s="53"/>
      <c r="AF2106" s="53"/>
      <c r="AG2106" s="53"/>
      <c r="AH2106" s="54"/>
      <c r="AI2106" s="53"/>
      <c r="AJ2106" s="53"/>
      <c r="AK2106" s="54"/>
      <c r="AL2106" s="54"/>
    </row>
    <row r="2107" spans="1:38" ht="15.75" thickBot="1" x14ac:dyDescent="0.3">
      <c r="A2107" s="51"/>
      <c r="B2107" s="51"/>
      <c r="C2107" s="51"/>
      <c r="D2107" s="51"/>
      <c r="E2107" s="51"/>
      <c r="F2107" s="51"/>
      <c r="G2107" s="56"/>
      <c r="H2107" s="55"/>
      <c r="I2107" s="55"/>
      <c r="J2107" s="55"/>
      <c r="K2107" s="55"/>
      <c r="L2107" s="55"/>
      <c r="M2107" s="55"/>
      <c r="N2107" s="55"/>
      <c r="O2107" s="55"/>
      <c r="P2107" s="55"/>
      <c r="Q2107" s="55"/>
      <c r="R2107" s="55"/>
      <c r="S2107" s="55"/>
      <c r="T2107" s="55"/>
      <c r="U2107" s="55"/>
      <c r="V2107" s="55"/>
      <c r="W2107" s="55"/>
      <c r="X2107" s="55"/>
      <c r="Y2107" s="55"/>
      <c r="Z2107" s="55"/>
      <c r="AA2107" s="55"/>
      <c r="AB2107" s="56"/>
      <c r="AC2107" s="55"/>
      <c r="AD2107" s="55"/>
      <c r="AE2107" s="55"/>
      <c r="AF2107" s="55"/>
      <c r="AG2107" s="55"/>
      <c r="AH2107" s="56"/>
      <c r="AI2107" s="55"/>
      <c r="AJ2107" s="55"/>
      <c r="AK2107" s="56"/>
      <c r="AL2107" s="56"/>
    </row>
    <row r="2108" spans="1:38" ht="15.75" thickBot="1" x14ac:dyDescent="0.3">
      <c r="A2108" s="51"/>
      <c r="B2108" s="51"/>
      <c r="C2108" s="51"/>
      <c r="D2108" s="51"/>
      <c r="E2108" s="51"/>
      <c r="F2108" s="51"/>
      <c r="G2108" s="53"/>
      <c r="H2108" s="53"/>
      <c r="I2108" s="53"/>
      <c r="J2108" s="53"/>
      <c r="K2108" s="53"/>
      <c r="L2108" s="53"/>
      <c r="M2108" s="53"/>
      <c r="N2108" s="53"/>
      <c r="O2108" s="53"/>
      <c r="P2108" s="53"/>
      <c r="Q2108" s="53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3"/>
      <c r="AB2108" s="53"/>
      <c r="AC2108" s="53"/>
      <c r="AD2108" s="53"/>
      <c r="AE2108" s="53"/>
      <c r="AF2108" s="53"/>
      <c r="AG2108" s="54"/>
      <c r="AH2108" s="54"/>
      <c r="AI2108" s="53"/>
      <c r="AJ2108" s="53"/>
      <c r="AK2108" s="54"/>
      <c r="AL2108" s="54"/>
    </row>
    <row r="2109" spans="1:38" ht="15.75" thickBot="1" x14ac:dyDescent="0.3">
      <c r="A2109" s="51"/>
      <c r="B2109" s="51"/>
      <c r="C2109" s="51"/>
      <c r="D2109" s="51"/>
      <c r="E2109" s="51"/>
      <c r="F2109" s="51"/>
      <c r="G2109" s="55"/>
      <c r="H2109" s="55"/>
      <c r="I2109" s="55"/>
      <c r="J2109" s="55"/>
      <c r="K2109" s="55"/>
      <c r="L2109" s="55"/>
      <c r="M2109" s="55"/>
      <c r="N2109" s="55"/>
      <c r="O2109" s="55"/>
      <c r="P2109" s="55"/>
      <c r="Q2109" s="55"/>
      <c r="R2109" s="55"/>
      <c r="S2109" s="55"/>
      <c r="T2109" s="55"/>
      <c r="U2109" s="55"/>
      <c r="V2109" s="55"/>
      <c r="W2109" s="55"/>
      <c r="X2109" s="55"/>
      <c r="Y2109" s="55"/>
      <c r="Z2109" s="55"/>
      <c r="AA2109" s="55"/>
      <c r="AB2109" s="55"/>
      <c r="AC2109" s="55"/>
      <c r="AD2109" s="55"/>
      <c r="AE2109" s="55"/>
      <c r="AF2109" s="55"/>
      <c r="AG2109" s="56"/>
      <c r="AH2109" s="56"/>
      <c r="AI2109" s="55"/>
      <c r="AJ2109" s="55"/>
      <c r="AK2109" s="56"/>
      <c r="AL2109" s="56"/>
    </row>
    <row r="2110" spans="1:38" ht="15.75" thickBot="1" x14ac:dyDescent="0.3">
      <c r="A2110" s="51"/>
      <c r="B2110" s="51"/>
      <c r="C2110" s="51"/>
      <c r="D2110" s="51"/>
      <c r="E2110" s="51"/>
      <c r="F2110" s="51"/>
      <c r="G2110" s="54"/>
      <c r="H2110" s="53"/>
      <c r="I2110" s="53"/>
      <c r="J2110" s="53"/>
      <c r="K2110" s="54"/>
      <c r="L2110" s="53"/>
      <c r="M2110" s="53"/>
      <c r="N2110" s="53"/>
      <c r="O2110" s="53"/>
      <c r="P2110" s="53"/>
      <c r="Q2110" s="53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53"/>
      <c r="AC2110" s="53"/>
      <c r="AD2110" s="53"/>
      <c r="AE2110" s="53"/>
      <c r="AF2110" s="53"/>
      <c r="AG2110" s="53"/>
      <c r="AH2110" s="54"/>
      <c r="AI2110" s="53"/>
      <c r="AJ2110" s="53"/>
      <c r="AK2110" s="54"/>
      <c r="AL2110" s="54"/>
    </row>
    <row r="2111" spans="1:38" ht="15.75" thickBot="1" x14ac:dyDescent="0.3">
      <c r="A2111" s="51"/>
      <c r="B2111" s="51"/>
      <c r="C2111" s="51"/>
      <c r="D2111" s="51"/>
      <c r="E2111" s="51"/>
      <c r="F2111" s="51"/>
      <c r="G2111" s="56"/>
      <c r="H2111" s="55"/>
      <c r="I2111" s="55"/>
      <c r="J2111" s="55"/>
      <c r="K2111" s="56"/>
      <c r="L2111" s="55"/>
      <c r="M2111" s="55"/>
      <c r="N2111" s="55"/>
      <c r="O2111" s="55"/>
      <c r="P2111" s="55"/>
      <c r="Q2111" s="55"/>
      <c r="R2111" s="55"/>
      <c r="S2111" s="55"/>
      <c r="T2111" s="55"/>
      <c r="U2111" s="55"/>
      <c r="V2111" s="55"/>
      <c r="W2111" s="55"/>
      <c r="X2111" s="55"/>
      <c r="Y2111" s="55"/>
      <c r="Z2111" s="55"/>
      <c r="AA2111" s="55"/>
      <c r="AB2111" s="55"/>
      <c r="AC2111" s="55"/>
      <c r="AD2111" s="55"/>
      <c r="AE2111" s="55"/>
      <c r="AF2111" s="55"/>
      <c r="AG2111" s="55"/>
      <c r="AH2111" s="56"/>
      <c r="AI2111" s="55"/>
      <c r="AJ2111" s="55"/>
      <c r="AK2111" s="56"/>
      <c r="AL2111" s="56"/>
    </row>
    <row r="2112" spans="1:38" ht="15.75" thickBot="1" x14ac:dyDescent="0.3">
      <c r="A2112" s="51"/>
      <c r="B2112" s="51"/>
      <c r="C2112" s="51"/>
      <c r="D2112" s="51"/>
      <c r="E2112" s="51"/>
      <c r="F2112" s="51"/>
      <c r="G2112" s="54"/>
      <c r="H2112" s="54"/>
      <c r="I2112" s="53"/>
      <c r="J2112" s="53"/>
      <c r="K2112" s="53"/>
      <c r="L2112" s="53"/>
      <c r="M2112" s="54"/>
      <c r="N2112" s="53"/>
      <c r="O2112" s="53"/>
      <c r="P2112" s="53"/>
      <c r="Q2112" s="53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53"/>
      <c r="AC2112" s="53"/>
      <c r="AD2112" s="53"/>
      <c r="AE2112" s="53"/>
      <c r="AF2112" s="53"/>
      <c r="AG2112" s="53"/>
      <c r="AH2112" s="54"/>
      <c r="AI2112" s="53"/>
      <c r="AJ2112" s="53"/>
      <c r="AK2112" s="54"/>
      <c r="AL2112" s="54"/>
    </row>
    <row r="2113" spans="1:38" ht="15.75" thickBot="1" x14ac:dyDescent="0.3">
      <c r="A2113" s="51"/>
      <c r="B2113" s="51"/>
      <c r="C2113" s="51"/>
      <c r="D2113" s="51"/>
      <c r="E2113" s="51"/>
      <c r="F2113" s="51"/>
      <c r="G2113" s="56"/>
      <c r="H2113" s="148"/>
      <c r="I2113" s="55"/>
      <c r="J2113" s="55"/>
      <c r="K2113" s="55"/>
      <c r="L2113" s="55"/>
      <c r="M2113" s="56"/>
      <c r="N2113" s="55"/>
      <c r="O2113" s="55"/>
      <c r="P2113" s="55"/>
      <c r="Q2113" s="55"/>
      <c r="R2113" s="55"/>
      <c r="S2113" s="55"/>
      <c r="T2113" s="55"/>
      <c r="U2113" s="55"/>
      <c r="V2113" s="55"/>
      <c r="W2113" s="55"/>
      <c r="X2113" s="55"/>
      <c r="Y2113" s="55"/>
      <c r="Z2113" s="55"/>
      <c r="AA2113" s="55"/>
      <c r="AB2113" s="55"/>
      <c r="AC2113" s="55"/>
      <c r="AD2113" s="55"/>
      <c r="AE2113" s="55"/>
      <c r="AF2113" s="55"/>
      <c r="AG2113" s="55"/>
      <c r="AH2113" s="56"/>
      <c r="AI2113" s="55"/>
      <c r="AJ2113" s="55"/>
      <c r="AK2113" s="56"/>
      <c r="AL2113" s="56"/>
    </row>
    <row r="2114" spans="1:38" ht="15.75" thickBot="1" x14ac:dyDescent="0.3">
      <c r="A2114" s="51"/>
      <c r="B2114" s="51"/>
      <c r="C2114" s="51"/>
      <c r="D2114" s="51"/>
      <c r="E2114" s="51"/>
      <c r="F2114" s="51"/>
      <c r="G2114" s="54"/>
      <c r="H2114" s="53"/>
      <c r="I2114" s="53"/>
      <c r="J2114" s="53"/>
      <c r="K2114" s="53"/>
      <c r="L2114" s="53"/>
      <c r="M2114" s="53"/>
      <c r="N2114" s="53"/>
      <c r="O2114" s="53"/>
      <c r="P2114" s="53"/>
      <c r="Q2114" s="54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53"/>
      <c r="AC2114" s="53"/>
      <c r="AD2114" s="53"/>
      <c r="AE2114" s="53"/>
      <c r="AF2114" s="53"/>
      <c r="AG2114" s="53"/>
      <c r="AH2114" s="54"/>
      <c r="AI2114" s="53"/>
      <c r="AJ2114" s="53"/>
      <c r="AK2114" s="54"/>
      <c r="AL2114" s="54"/>
    </row>
    <row r="2115" spans="1:38" ht="15.75" thickBot="1" x14ac:dyDescent="0.3">
      <c r="A2115" s="51"/>
      <c r="B2115" s="51"/>
      <c r="C2115" s="51"/>
      <c r="D2115" s="51"/>
      <c r="E2115" s="51"/>
      <c r="F2115" s="51"/>
      <c r="G2115" s="56"/>
      <c r="H2115" s="55"/>
      <c r="I2115" s="55"/>
      <c r="J2115" s="55"/>
      <c r="K2115" s="55"/>
      <c r="L2115" s="55"/>
      <c r="M2115" s="55"/>
      <c r="N2115" s="55"/>
      <c r="O2115" s="55"/>
      <c r="P2115" s="55"/>
      <c r="Q2115" s="56"/>
      <c r="R2115" s="55"/>
      <c r="S2115" s="55"/>
      <c r="T2115" s="55"/>
      <c r="U2115" s="55"/>
      <c r="V2115" s="55"/>
      <c r="W2115" s="55"/>
      <c r="X2115" s="55"/>
      <c r="Y2115" s="55"/>
      <c r="Z2115" s="55"/>
      <c r="AA2115" s="55"/>
      <c r="AB2115" s="55"/>
      <c r="AC2115" s="55"/>
      <c r="AD2115" s="55"/>
      <c r="AE2115" s="55"/>
      <c r="AF2115" s="55"/>
      <c r="AG2115" s="55"/>
      <c r="AH2115" s="56"/>
      <c r="AI2115" s="55"/>
      <c r="AJ2115" s="55"/>
      <c r="AK2115" s="56"/>
      <c r="AL2115" s="56"/>
    </row>
    <row r="2116" spans="1:38" ht="15.75" thickBot="1" x14ac:dyDescent="0.3">
      <c r="A2116" s="51"/>
      <c r="B2116" s="51"/>
      <c r="C2116" s="51"/>
      <c r="D2116" s="51"/>
      <c r="E2116" s="51"/>
      <c r="F2116" s="51"/>
      <c r="G2116" s="54"/>
      <c r="H2116" s="53"/>
      <c r="I2116" s="53"/>
      <c r="J2116" s="53"/>
      <c r="K2116" s="53"/>
      <c r="L2116" s="53"/>
      <c r="M2116" s="53"/>
      <c r="N2116" s="53"/>
      <c r="O2116" s="53"/>
      <c r="P2116" s="53"/>
      <c r="Q2116" s="53"/>
      <c r="R2116" s="53"/>
      <c r="S2116" s="53"/>
      <c r="T2116" s="53"/>
      <c r="U2116" s="53"/>
      <c r="V2116" s="53"/>
      <c r="W2116" s="53"/>
      <c r="X2116" s="53"/>
      <c r="Y2116" s="53"/>
      <c r="Z2116" s="54"/>
      <c r="AA2116" s="53"/>
      <c r="AB2116" s="53"/>
      <c r="AC2116" s="53"/>
      <c r="AD2116" s="53"/>
      <c r="AE2116" s="53"/>
      <c r="AF2116" s="53"/>
      <c r="AG2116" s="53"/>
      <c r="AH2116" s="54"/>
      <c r="AI2116" s="53"/>
      <c r="AJ2116" s="53"/>
      <c r="AK2116" s="54"/>
      <c r="AL2116" s="54"/>
    </row>
    <row r="2117" spans="1:38" ht="15.75" thickBot="1" x14ac:dyDescent="0.3">
      <c r="A2117" s="51"/>
      <c r="B2117" s="51"/>
      <c r="C2117" s="51"/>
      <c r="D2117" s="51"/>
      <c r="E2117" s="51"/>
      <c r="F2117" s="51"/>
      <c r="G2117" s="56"/>
      <c r="H2117" s="55"/>
      <c r="I2117" s="55"/>
      <c r="J2117" s="55"/>
      <c r="K2117" s="55"/>
      <c r="L2117" s="55"/>
      <c r="M2117" s="55"/>
      <c r="N2117" s="55"/>
      <c r="O2117" s="55"/>
      <c r="P2117" s="55"/>
      <c r="Q2117" s="55"/>
      <c r="R2117" s="55"/>
      <c r="S2117" s="55"/>
      <c r="T2117" s="55"/>
      <c r="U2117" s="55"/>
      <c r="V2117" s="55"/>
      <c r="W2117" s="55"/>
      <c r="X2117" s="55"/>
      <c r="Y2117" s="55"/>
      <c r="Z2117" s="56"/>
      <c r="AA2117" s="55"/>
      <c r="AB2117" s="55"/>
      <c r="AC2117" s="55"/>
      <c r="AD2117" s="55"/>
      <c r="AE2117" s="55"/>
      <c r="AF2117" s="55"/>
      <c r="AG2117" s="55"/>
      <c r="AH2117" s="56"/>
      <c r="AI2117" s="55"/>
      <c r="AJ2117" s="55"/>
      <c r="AK2117" s="56"/>
      <c r="AL2117" s="56"/>
    </row>
    <row r="2118" spans="1:38" ht="15.75" thickBot="1" x14ac:dyDescent="0.3">
      <c r="A2118" s="51"/>
      <c r="B2118" s="51"/>
      <c r="C2118" s="51"/>
      <c r="D2118" s="51"/>
      <c r="E2118" s="51"/>
      <c r="F2118" s="51"/>
      <c r="G2118" s="54"/>
      <c r="H2118" s="53"/>
      <c r="I2118" s="53"/>
      <c r="J2118" s="53"/>
      <c r="K2118" s="53"/>
      <c r="L2118" s="53"/>
      <c r="M2118" s="53"/>
      <c r="N2118" s="53"/>
      <c r="O2118" s="53"/>
      <c r="P2118" s="53"/>
      <c r="Q2118" s="53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4"/>
      <c r="AB2118" s="53"/>
      <c r="AC2118" s="53"/>
      <c r="AD2118" s="53"/>
      <c r="AE2118" s="53"/>
      <c r="AF2118" s="53"/>
      <c r="AG2118" s="53"/>
      <c r="AH2118" s="54"/>
      <c r="AI2118" s="53"/>
      <c r="AJ2118" s="53"/>
      <c r="AK2118" s="54"/>
      <c r="AL2118" s="54"/>
    </row>
    <row r="2119" spans="1:38" ht="15.75" thickBot="1" x14ac:dyDescent="0.3">
      <c r="A2119" s="51"/>
      <c r="B2119" s="51"/>
      <c r="C2119" s="51"/>
      <c r="D2119" s="51"/>
      <c r="E2119" s="51"/>
      <c r="F2119" s="51"/>
      <c r="G2119" s="56"/>
      <c r="H2119" s="55"/>
      <c r="I2119" s="55"/>
      <c r="J2119" s="55"/>
      <c r="K2119" s="55"/>
      <c r="L2119" s="55"/>
      <c r="M2119" s="55"/>
      <c r="N2119" s="55"/>
      <c r="O2119" s="55"/>
      <c r="P2119" s="55"/>
      <c r="Q2119" s="55"/>
      <c r="R2119" s="55"/>
      <c r="S2119" s="55"/>
      <c r="T2119" s="55"/>
      <c r="U2119" s="55"/>
      <c r="V2119" s="55"/>
      <c r="W2119" s="55"/>
      <c r="X2119" s="55"/>
      <c r="Y2119" s="55"/>
      <c r="Z2119" s="55"/>
      <c r="AA2119" s="56"/>
      <c r="AB2119" s="55"/>
      <c r="AC2119" s="55"/>
      <c r="AD2119" s="55"/>
      <c r="AE2119" s="55"/>
      <c r="AF2119" s="55"/>
      <c r="AG2119" s="55"/>
      <c r="AH2119" s="56"/>
      <c r="AI2119" s="55"/>
      <c r="AJ2119" s="55"/>
      <c r="AK2119" s="56"/>
      <c r="AL2119" s="56"/>
    </row>
    <row r="2120" spans="1:38" ht="15.75" thickBot="1" x14ac:dyDescent="0.3">
      <c r="A2120" s="51"/>
      <c r="B2120" s="51"/>
      <c r="C2120" s="51"/>
      <c r="D2120" s="51"/>
      <c r="E2120" s="51"/>
      <c r="F2120" s="51"/>
      <c r="G2120" s="54"/>
      <c r="H2120" s="53"/>
      <c r="I2120" s="53"/>
      <c r="J2120" s="53"/>
      <c r="K2120" s="53"/>
      <c r="L2120" s="53"/>
      <c r="M2120" s="53"/>
      <c r="N2120" s="53"/>
      <c r="O2120" s="53"/>
      <c r="P2120" s="53"/>
      <c r="Q2120" s="53"/>
      <c r="R2120" s="54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53"/>
      <c r="AC2120" s="53"/>
      <c r="AD2120" s="53"/>
      <c r="AE2120" s="53"/>
      <c r="AF2120" s="53"/>
      <c r="AG2120" s="53"/>
      <c r="AH2120" s="54"/>
      <c r="AI2120" s="53"/>
      <c r="AJ2120" s="53"/>
      <c r="AK2120" s="54"/>
      <c r="AL2120" s="54"/>
    </row>
    <row r="2121" spans="1:38" ht="15.75" thickBot="1" x14ac:dyDescent="0.3">
      <c r="A2121" s="51"/>
      <c r="B2121" s="51"/>
      <c r="C2121" s="51"/>
      <c r="D2121" s="51"/>
      <c r="E2121" s="51"/>
      <c r="F2121" s="51"/>
      <c r="G2121" s="56"/>
      <c r="H2121" s="55"/>
      <c r="I2121" s="55"/>
      <c r="J2121" s="55"/>
      <c r="K2121" s="55"/>
      <c r="L2121" s="55"/>
      <c r="M2121" s="55"/>
      <c r="N2121" s="55"/>
      <c r="O2121" s="55"/>
      <c r="P2121" s="55"/>
      <c r="Q2121" s="55"/>
      <c r="R2121" s="56"/>
      <c r="S2121" s="55"/>
      <c r="T2121" s="55"/>
      <c r="U2121" s="55"/>
      <c r="V2121" s="55"/>
      <c r="W2121" s="55"/>
      <c r="X2121" s="55"/>
      <c r="Y2121" s="55"/>
      <c r="Z2121" s="55"/>
      <c r="AA2121" s="55"/>
      <c r="AB2121" s="55"/>
      <c r="AC2121" s="55"/>
      <c r="AD2121" s="55"/>
      <c r="AE2121" s="55"/>
      <c r="AF2121" s="55"/>
      <c r="AG2121" s="55"/>
      <c r="AH2121" s="56"/>
      <c r="AI2121" s="55"/>
      <c r="AJ2121" s="55"/>
      <c r="AK2121" s="56"/>
      <c r="AL2121" s="56"/>
    </row>
    <row r="2122" spans="1:38" ht="15.75" thickBot="1" x14ac:dyDescent="0.3">
      <c r="A2122" s="51"/>
      <c r="B2122" s="51"/>
      <c r="C2122" s="51"/>
      <c r="D2122" s="51"/>
      <c r="E2122" s="51"/>
      <c r="F2122" s="51"/>
      <c r="G2122" s="54"/>
      <c r="H2122" s="53"/>
      <c r="I2122" s="53"/>
      <c r="J2122" s="53"/>
      <c r="K2122" s="53"/>
      <c r="L2122" s="53"/>
      <c r="M2122" s="53"/>
      <c r="N2122" s="53"/>
      <c r="O2122" s="53"/>
      <c r="P2122" s="53"/>
      <c r="Q2122" s="53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53"/>
      <c r="AC2122" s="54"/>
      <c r="AD2122" s="53"/>
      <c r="AE2122" s="53"/>
      <c r="AF2122" s="53"/>
      <c r="AG2122" s="53"/>
      <c r="AH2122" s="54"/>
      <c r="AI2122" s="53"/>
      <c r="AJ2122" s="53"/>
      <c r="AK2122" s="54"/>
      <c r="AL2122" s="54"/>
    </row>
    <row r="2123" spans="1:38" ht="15.75" thickBot="1" x14ac:dyDescent="0.3">
      <c r="A2123" s="51"/>
      <c r="B2123" s="51"/>
      <c r="C2123" s="51"/>
      <c r="D2123" s="51"/>
      <c r="E2123" s="51"/>
      <c r="F2123" s="51"/>
      <c r="G2123" s="56"/>
      <c r="H2123" s="55"/>
      <c r="I2123" s="55"/>
      <c r="J2123" s="55"/>
      <c r="K2123" s="55"/>
      <c r="L2123" s="55"/>
      <c r="M2123" s="55"/>
      <c r="N2123" s="55"/>
      <c r="O2123" s="55"/>
      <c r="P2123" s="55"/>
      <c r="Q2123" s="55"/>
      <c r="R2123" s="55"/>
      <c r="S2123" s="55"/>
      <c r="T2123" s="55"/>
      <c r="U2123" s="55"/>
      <c r="V2123" s="55"/>
      <c r="W2123" s="55"/>
      <c r="X2123" s="55"/>
      <c r="Y2123" s="55"/>
      <c r="Z2123" s="55"/>
      <c r="AA2123" s="55"/>
      <c r="AB2123" s="55"/>
      <c r="AC2123" s="56"/>
      <c r="AD2123" s="55"/>
      <c r="AE2123" s="55"/>
      <c r="AF2123" s="55"/>
      <c r="AG2123" s="55"/>
      <c r="AH2123" s="56"/>
      <c r="AI2123" s="55"/>
      <c r="AJ2123" s="55"/>
      <c r="AK2123" s="56"/>
      <c r="AL2123" s="56"/>
    </row>
    <row r="2124" spans="1:38" ht="15.75" thickBot="1" x14ac:dyDescent="0.3">
      <c r="A2124" s="51"/>
      <c r="B2124" s="51"/>
      <c r="C2124" s="51"/>
      <c r="D2124" s="51"/>
      <c r="E2124" s="51"/>
      <c r="F2124" s="51"/>
      <c r="G2124" s="54"/>
      <c r="H2124" s="53"/>
      <c r="I2124" s="53"/>
      <c r="J2124" s="53"/>
      <c r="K2124" s="54"/>
      <c r="L2124" s="53"/>
      <c r="M2124" s="53"/>
      <c r="N2124" s="53"/>
      <c r="O2124" s="53"/>
      <c r="P2124" s="53"/>
      <c r="Q2124" s="53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53"/>
      <c r="AC2124" s="53"/>
      <c r="AD2124" s="53"/>
      <c r="AE2124" s="53"/>
      <c r="AF2124" s="53"/>
      <c r="AG2124" s="53"/>
      <c r="AH2124" s="54"/>
      <c r="AI2124" s="53"/>
      <c r="AJ2124" s="53"/>
      <c r="AK2124" s="54"/>
      <c r="AL2124" s="54"/>
    </row>
    <row r="2125" spans="1:38" ht="15.75" thickBot="1" x14ac:dyDescent="0.3">
      <c r="A2125" s="51"/>
      <c r="B2125" s="51"/>
      <c r="C2125" s="51"/>
      <c r="D2125" s="51"/>
      <c r="E2125" s="51"/>
      <c r="F2125" s="51"/>
      <c r="G2125" s="56"/>
      <c r="H2125" s="55"/>
      <c r="I2125" s="55"/>
      <c r="J2125" s="55"/>
      <c r="K2125" s="56"/>
      <c r="L2125" s="55"/>
      <c r="M2125" s="55"/>
      <c r="N2125" s="55"/>
      <c r="O2125" s="55"/>
      <c r="P2125" s="55"/>
      <c r="Q2125" s="55"/>
      <c r="R2125" s="55"/>
      <c r="S2125" s="55"/>
      <c r="T2125" s="55"/>
      <c r="U2125" s="55"/>
      <c r="V2125" s="55"/>
      <c r="W2125" s="55"/>
      <c r="X2125" s="55"/>
      <c r="Y2125" s="55"/>
      <c r="Z2125" s="55"/>
      <c r="AA2125" s="55"/>
      <c r="AB2125" s="55"/>
      <c r="AC2125" s="55"/>
      <c r="AD2125" s="55"/>
      <c r="AE2125" s="55"/>
      <c r="AF2125" s="55"/>
      <c r="AG2125" s="55"/>
      <c r="AH2125" s="56"/>
      <c r="AI2125" s="55"/>
      <c r="AJ2125" s="55"/>
      <c r="AK2125" s="56"/>
      <c r="AL2125" s="56"/>
    </row>
    <row r="2126" spans="1:38" ht="15.75" thickBot="1" x14ac:dyDescent="0.3">
      <c r="A2126" s="51"/>
      <c r="B2126" s="51"/>
      <c r="C2126" s="51"/>
      <c r="D2126" s="51"/>
      <c r="E2126" s="51"/>
      <c r="F2126" s="51"/>
      <c r="G2126" s="54"/>
      <c r="H2126" s="54"/>
      <c r="I2126" s="53"/>
      <c r="J2126" s="53"/>
      <c r="K2126" s="53"/>
      <c r="L2126" s="53"/>
      <c r="M2126" s="54"/>
      <c r="N2126" s="53"/>
      <c r="O2126" s="53"/>
      <c r="P2126" s="53"/>
      <c r="Q2126" s="53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3"/>
      <c r="AB2126" s="53"/>
      <c r="AC2126" s="53"/>
      <c r="AD2126" s="53"/>
      <c r="AE2126" s="53"/>
      <c r="AF2126" s="53"/>
      <c r="AG2126" s="53"/>
      <c r="AH2126" s="54"/>
      <c r="AI2126" s="53"/>
      <c r="AJ2126" s="53"/>
      <c r="AK2126" s="54"/>
      <c r="AL2126" s="54"/>
    </row>
    <row r="2127" spans="1:38" ht="15.75" thickBot="1" x14ac:dyDescent="0.3">
      <c r="A2127" s="51"/>
      <c r="B2127" s="51"/>
      <c r="C2127" s="51"/>
      <c r="D2127" s="51"/>
      <c r="E2127" s="51"/>
      <c r="F2127" s="51"/>
      <c r="G2127" s="56"/>
      <c r="H2127" s="148"/>
      <c r="I2127" s="55"/>
      <c r="J2127" s="55"/>
      <c r="K2127" s="55"/>
      <c r="L2127" s="55"/>
      <c r="M2127" s="56"/>
      <c r="N2127" s="55"/>
      <c r="O2127" s="55"/>
      <c r="P2127" s="55"/>
      <c r="Q2127" s="55"/>
      <c r="R2127" s="55"/>
      <c r="S2127" s="55"/>
      <c r="T2127" s="55"/>
      <c r="U2127" s="55"/>
      <c r="V2127" s="55"/>
      <c r="W2127" s="55"/>
      <c r="X2127" s="55"/>
      <c r="Y2127" s="55"/>
      <c r="Z2127" s="55"/>
      <c r="AA2127" s="55"/>
      <c r="AB2127" s="55"/>
      <c r="AC2127" s="55"/>
      <c r="AD2127" s="55"/>
      <c r="AE2127" s="55"/>
      <c r="AF2127" s="55"/>
      <c r="AG2127" s="55"/>
      <c r="AH2127" s="56"/>
      <c r="AI2127" s="55"/>
      <c r="AJ2127" s="55"/>
      <c r="AK2127" s="56"/>
      <c r="AL2127" s="56"/>
    </row>
    <row r="2128" spans="1:38" ht="15.75" thickBot="1" x14ac:dyDescent="0.3">
      <c r="A2128" s="51"/>
      <c r="B2128" s="51"/>
      <c r="C2128" s="51"/>
      <c r="D2128" s="51"/>
      <c r="E2128" s="51"/>
      <c r="F2128" s="51"/>
      <c r="G2128" s="54"/>
      <c r="H2128" s="53"/>
      <c r="I2128" s="53"/>
      <c r="J2128" s="53"/>
      <c r="K2128" s="53"/>
      <c r="L2128" s="53"/>
      <c r="M2128" s="53"/>
      <c r="N2128" s="53"/>
      <c r="O2128" s="53"/>
      <c r="P2128" s="53"/>
      <c r="Q2128" s="54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53"/>
      <c r="AC2128" s="53"/>
      <c r="AD2128" s="53"/>
      <c r="AE2128" s="53"/>
      <c r="AF2128" s="53"/>
      <c r="AG2128" s="53"/>
      <c r="AH2128" s="54"/>
      <c r="AI2128" s="53"/>
      <c r="AJ2128" s="53"/>
      <c r="AK2128" s="54"/>
      <c r="AL2128" s="54"/>
    </row>
    <row r="2129" spans="1:38" ht="15.75" thickBot="1" x14ac:dyDescent="0.3">
      <c r="A2129" s="51"/>
      <c r="B2129" s="51"/>
      <c r="C2129" s="51"/>
      <c r="D2129" s="51"/>
      <c r="E2129" s="51"/>
      <c r="F2129" s="51"/>
      <c r="G2129" s="56"/>
      <c r="H2129" s="55"/>
      <c r="I2129" s="55"/>
      <c r="J2129" s="55"/>
      <c r="K2129" s="55"/>
      <c r="L2129" s="55"/>
      <c r="M2129" s="55"/>
      <c r="N2129" s="55"/>
      <c r="O2129" s="55"/>
      <c r="P2129" s="55"/>
      <c r="Q2129" s="56"/>
      <c r="R2129" s="55"/>
      <c r="S2129" s="55"/>
      <c r="T2129" s="55"/>
      <c r="U2129" s="55"/>
      <c r="V2129" s="55"/>
      <c r="W2129" s="55"/>
      <c r="X2129" s="55"/>
      <c r="Y2129" s="55"/>
      <c r="Z2129" s="55"/>
      <c r="AA2129" s="55"/>
      <c r="AB2129" s="55"/>
      <c r="AC2129" s="55"/>
      <c r="AD2129" s="55"/>
      <c r="AE2129" s="55"/>
      <c r="AF2129" s="55"/>
      <c r="AG2129" s="55"/>
      <c r="AH2129" s="56"/>
      <c r="AI2129" s="55"/>
      <c r="AJ2129" s="55"/>
      <c r="AK2129" s="56"/>
      <c r="AL2129" s="56"/>
    </row>
    <row r="2130" spans="1:38" ht="15.75" thickBot="1" x14ac:dyDescent="0.3">
      <c r="A2130" s="51"/>
      <c r="B2130" s="51"/>
      <c r="C2130" s="51"/>
      <c r="D2130" s="51"/>
      <c r="E2130" s="51"/>
      <c r="F2130" s="51"/>
      <c r="G2130" s="54"/>
      <c r="H2130" s="53"/>
      <c r="I2130" s="53"/>
      <c r="J2130" s="53"/>
      <c r="K2130" s="53"/>
      <c r="L2130" s="53"/>
      <c r="M2130" s="53"/>
      <c r="N2130" s="53"/>
      <c r="O2130" s="53"/>
      <c r="P2130" s="53"/>
      <c r="Q2130" s="53"/>
      <c r="R2130" s="53"/>
      <c r="S2130" s="53"/>
      <c r="T2130" s="53"/>
      <c r="U2130" s="53"/>
      <c r="V2130" s="53"/>
      <c r="W2130" s="53"/>
      <c r="X2130" s="53"/>
      <c r="Y2130" s="53"/>
      <c r="Z2130" s="54"/>
      <c r="AA2130" s="53"/>
      <c r="AB2130" s="53"/>
      <c r="AC2130" s="53"/>
      <c r="AD2130" s="53"/>
      <c r="AE2130" s="53"/>
      <c r="AF2130" s="53"/>
      <c r="AG2130" s="53"/>
      <c r="AH2130" s="54"/>
      <c r="AI2130" s="53"/>
      <c r="AJ2130" s="53"/>
      <c r="AK2130" s="54"/>
      <c r="AL2130" s="54"/>
    </row>
    <row r="2131" spans="1:38" ht="15.75" thickBot="1" x14ac:dyDescent="0.3">
      <c r="A2131" s="51"/>
      <c r="B2131" s="51"/>
      <c r="C2131" s="51"/>
      <c r="D2131" s="51"/>
      <c r="E2131" s="51"/>
      <c r="F2131" s="51"/>
      <c r="G2131" s="56"/>
      <c r="H2131" s="55"/>
      <c r="I2131" s="55"/>
      <c r="J2131" s="55"/>
      <c r="K2131" s="55"/>
      <c r="L2131" s="55"/>
      <c r="M2131" s="55"/>
      <c r="N2131" s="55"/>
      <c r="O2131" s="55"/>
      <c r="P2131" s="55"/>
      <c r="Q2131" s="55"/>
      <c r="R2131" s="55"/>
      <c r="S2131" s="55"/>
      <c r="T2131" s="55"/>
      <c r="U2131" s="55"/>
      <c r="V2131" s="55"/>
      <c r="W2131" s="55"/>
      <c r="X2131" s="55"/>
      <c r="Y2131" s="55"/>
      <c r="Z2131" s="56"/>
      <c r="AA2131" s="55"/>
      <c r="AB2131" s="55"/>
      <c r="AC2131" s="55"/>
      <c r="AD2131" s="55"/>
      <c r="AE2131" s="55"/>
      <c r="AF2131" s="55"/>
      <c r="AG2131" s="55"/>
      <c r="AH2131" s="56"/>
      <c r="AI2131" s="55"/>
      <c r="AJ2131" s="55"/>
      <c r="AK2131" s="56"/>
      <c r="AL2131" s="56"/>
    </row>
    <row r="2132" spans="1:38" ht="15.75" thickBot="1" x14ac:dyDescent="0.3">
      <c r="A2132" s="51"/>
      <c r="B2132" s="51"/>
      <c r="C2132" s="51"/>
      <c r="D2132" s="51"/>
      <c r="E2132" s="51"/>
      <c r="F2132" s="51"/>
      <c r="G2132" s="54"/>
      <c r="H2132" s="53"/>
      <c r="I2132" s="53"/>
      <c r="J2132" s="53"/>
      <c r="K2132" s="53"/>
      <c r="L2132" s="53"/>
      <c r="M2132" s="53"/>
      <c r="N2132" s="53"/>
      <c r="O2132" s="53"/>
      <c r="P2132" s="53"/>
      <c r="Q2132" s="53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4"/>
      <c r="AB2132" s="53"/>
      <c r="AC2132" s="53"/>
      <c r="AD2132" s="53"/>
      <c r="AE2132" s="53"/>
      <c r="AF2132" s="53"/>
      <c r="AG2132" s="53"/>
      <c r="AH2132" s="54"/>
      <c r="AI2132" s="53"/>
      <c r="AJ2132" s="53"/>
      <c r="AK2132" s="54"/>
      <c r="AL2132" s="54"/>
    </row>
    <row r="2133" spans="1:38" ht="15.75" thickBot="1" x14ac:dyDescent="0.3">
      <c r="A2133" s="51"/>
      <c r="B2133" s="51"/>
      <c r="C2133" s="51"/>
      <c r="D2133" s="51"/>
      <c r="E2133" s="51"/>
      <c r="F2133" s="51"/>
      <c r="G2133" s="56"/>
      <c r="H2133" s="55"/>
      <c r="I2133" s="55"/>
      <c r="J2133" s="55"/>
      <c r="K2133" s="55"/>
      <c r="L2133" s="55"/>
      <c r="M2133" s="55"/>
      <c r="N2133" s="55"/>
      <c r="O2133" s="55"/>
      <c r="P2133" s="55"/>
      <c r="Q2133" s="55"/>
      <c r="R2133" s="55"/>
      <c r="S2133" s="55"/>
      <c r="T2133" s="55"/>
      <c r="U2133" s="55"/>
      <c r="V2133" s="55"/>
      <c r="W2133" s="55"/>
      <c r="X2133" s="55"/>
      <c r="Y2133" s="55"/>
      <c r="Z2133" s="55"/>
      <c r="AA2133" s="56"/>
      <c r="AB2133" s="55"/>
      <c r="AC2133" s="55"/>
      <c r="AD2133" s="55"/>
      <c r="AE2133" s="55"/>
      <c r="AF2133" s="55"/>
      <c r="AG2133" s="55"/>
      <c r="AH2133" s="56"/>
      <c r="AI2133" s="55"/>
      <c r="AJ2133" s="55"/>
      <c r="AK2133" s="56"/>
      <c r="AL2133" s="56"/>
    </row>
    <row r="2134" spans="1:38" ht="15.75" thickBot="1" x14ac:dyDescent="0.3">
      <c r="A2134" s="51"/>
      <c r="B2134" s="51"/>
      <c r="C2134" s="51"/>
      <c r="D2134" s="51"/>
      <c r="E2134" s="51"/>
      <c r="F2134" s="51"/>
      <c r="G2134" s="54"/>
      <c r="H2134" s="53"/>
      <c r="I2134" s="53"/>
      <c r="J2134" s="53"/>
      <c r="K2134" s="53"/>
      <c r="L2134" s="53"/>
      <c r="M2134" s="53"/>
      <c r="N2134" s="53"/>
      <c r="O2134" s="53"/>
      <c r="P2134" s="53"/>
      <c r="Q2134" s="53"/>
      <c r="R2134" s="54"/>
      <c r="S2134" s="53"/>
      <c r="T2134" s="53"/>
      <c r="U2134" s="53"/>
      <c r="V2134" s="53"/>
      <c r="W2134" s="53"/>
      <c r="X2134" s="53"/>
      <c r="Y2134" s="53"/>
      <c r="Z2134" s="53"/>
      <c r="AA2134" s="53"/>
      <c r="AB2134" s="53"/>
      <c r="AC2134" s="53"/>
      <c r="AD2134" s="53"/>
      <c r="AE2134" s="53"/>
      <c r="AF2134" s="53"/>
      <c r="AG2134" s="53"/>
      <c r="AH2134" s="54"/>
      <c r="AI2134" s="53"/>
      <c r="AJ2134" s="53"/>
      <c r="AK2134" s="54"/>
      <c r="AL2134" s="54"/>
    </row>
    <row r="2135" spans="1:38" ht="15.75" thickBot="1" x14ac:dyDescent="0.3">
      <c r="A2135" s="51"/>
      <c r="B2135" s="51"/>
      <c r="C2135" s="51"/>
      <c r="D2135" s="51"/>
      <c r="E2135" s="51"/>
      <c r="F2135" s="51"/>
      <c r="G2135" s="56"/>
      <c r="H2135" s="55"/>
      <c r="I2135" s="55"/>
      <c r="J2135" s="55"/>
      <c r="K2135" s="55"/>
      <c r="L2135" s="55"/>
      <c r="M2135" s="55"/>
      <c r="N2135" s="55"/>
      <c r="O2135" s="55"/>
      <c r="P2135" s="55"/>
      <c r="Q2135" s="55"/>
      <c r="R2135" s="56"/>
      <c r="S2135" s="55"/>
      <c r="T2135" s="55"/>
      <c r="U2135" s="55"/>
      <c r="V2135" s="55"/>
      <c r="W2135" s="55"/>
      <c r="X2135" s="55"/>
      <c r="Y2135" s="55"/>
      <c r="Z2135" s="55"/>
      <c r="AA2135" s="55"/>
      <c r="AB2135" s="55"/>
      <c r="AC2135" s="55"/>
      <c r="AD2135" s="55"/>
      <c r="AE2135" s="55"/>
      <c r="AF2135" s="55"/>
      <c r="AG2135" s="55"/>
      <c r="AH2135" s="56"/>
      <c r="AI2135" s="55"/>
      <c r="AJ2135" s="55"/>
      <c r="AK2135" s="56"/>
      <c r="AL2135" s="56"/>
    </row>
    <row r="2136" spans="1:38" ht="15.75" thickBot="1" x14ac:dyDescent="0.3">
      <c r="A2136" s="51"/>
      <c r="B2136" s="51"/>
      <c r="C2136" s="51"/>
      <c r="D2136" s="51"/>
      <c r="E2136" s="51"/>
      <c r="F2136" s="51"/>
      <c r="G2136" s="54"/>
      <c r="H2136" s="53"/>
      <c r="I2136" s="53"/>
      <c r="J2136" s="53"/>
      <c r="K2136" s="53"/>
      <c r="L2136" s="53"/>
      <c r="M2136" s="53"/>
      <c r="N2136" s="53"/>
      <c r="O2136" s="53"/>
      <c r="P2136" s="53"/>
      <c r="Q2136" s="53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53"/>
      <c r="AC2136" s="54"/>
      <c r="AD2136" s="53"/>
      <c r="AE2136" s="53"/>
      <c r="AF2136" s="53"/>
      <c r="AG2136" s="53"/>
      <c r="AH2136" s="54"/>
      <c r="AI2136" s="53"/>
      <c r="AJ2136" s="53"/>
      <c r="AK2136" s="54"/>
      <c r="AL2136" s="54"/>
    </row>
    <row r="2137" spans="1:38" ht="15.75" thickBot="1" x14ac:dyDescent="0.3">
      <c r="A2137" s="51"/>
      <c r="B2137" s="51"/>
      <c r="C2137" s="51"/>
      <c r="D2137" s="51"/>
      <c r="E2137" s="51"/>
      <c r="F2137" s="51"/>
      <c r="G2137" s="56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/>
      <c r="S2137" s="55"/>
      <c r="T2137" s="55"/>
      <c r="U2137" s="55"/>
      <c r="V2137" s="55"/>
      <c r="W2137" s="55"/>
      <c r="X2137" s="55"/>
      <c r="Y2137" s="55"/>
      <c r="Z2137" s="55"/>
      <c r="AA2137" s="55"/>
      <c r="AB2137" s="55"/>
      <c r="AC2137" s="56"/>
      <c r="AD2137" s="55"/>
      <c r="AE2137" s="55"/>
      <c r="AF2137" s="55"/>
      <c r="AG2137" s="55"/>
      <c r="AH2137" s="56"/>
      <c r="AI2137" s="55"/>
      <c r="AJ2137" s="55"/>
      <c r="AK2137" s="56"/>
      <c r="AL2137" s="56"/>
    </row>
    <row r="2138" spans="1:38" ht="15.75" thickBot="1" x14ac:dyDescent="0.3">
      <c r="A2138" s="51"/>
      <c r="B2138" s="51"/>
      <c r="C2138" s="51"/>
      <c r="D2138" s="51"/>
      <c r="E2138" s="51"/>
      <c r="F2138" s="51"/>
      <c r="G2138" s="53"/>
      <c r="H2138" s="53"/>
      <c r="I2138" s="53"/>
      <c r="J2138" s="53"/>
      <c r="K2138" s="53"/>
      <c r="L2138" s="53"/>
      <c r="M2138" s="53"/>
      <c r="N2138" s="53"/>
      <c r="O2138" s="53"/>
      <c r="P2138" s="53"/>
      <c r="Q2138" s="53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3"/>
      <c r="AB2138" s="53"/>
      <c r="AC2138" s="53"/>
      <c r="AD2138" s="53"/>
      <c r="AE2138" s="53"/>
      <c r="AF2138" s="53"/>
      <c r="AG2138" s="54"/>
      <c r="AH2138" s="54"/>
      <c r="AI2138" s="53"/>
      <c r="AJ2138" s="53"/>
      <c r="AK2138" s="54"/>
      <c r="AL2138" s="54"/>
    </row>
    <row r="2139" spans="1:38" ht="15.75" thickBot="1" x14ac:dyDescent="0.3">
      <c r="A2139" s="51"/>
      <c r="B2139" s="51"/>
      <c r="C2139" s="51"/>
      <c r="D2139" s="51"/>
      <c r="E2139" s="51"/>
      <c r="F2139" s="51"/>
      <c r="G2139" s="55"/>
      <c r="H2139" s="55"/>
      <c r="I2139" s="55"/>
      <c r="J2139" s="55"/>
      <c r="K2139" s="55"/>
      <c r="L2139" s="55"/>
      <c r="M2139" s="55"/>
      <c r="N2139" s="55"/>
      <c r="O2139" s="55"/>
      <c r="P2139" s="55"/>
      <c r="Q2139" s="55"/>
      <c r="R2139" s="55"/>
      <c r="S2139" s="55"/>
      <c r="T2139" s="55"/>
      <c r="U2139" s="55"/>
      <c r="V2139" s="55"/>
      <c r="W2139" s="55"/>
      <c r="X2139" s="55"/>
      <c r="Y2139" s="55"/>
      <c r="Z2139" s="55"/>
      <c r="AA2139" s="55"/>
      <c r="AB2139" s="55"/>
      <c r="AC2139" s="55"/>
      <c r="AD2139" s="55"/>
      <c r="AE2139" s="55"/>
      <c r="AF2139" s="55"/>
      <c r="AG2139" s="56"/>
      <c r="AH2139" s="56"/>
      <c r="AI2139" s="55"/>
      <c r="AJ2139" s="55"/>
      <c r="AK2139" s="56"/>
      <c r="AL2139" s="56"/>
    </row>
    <row r="2140" spans="1:38" ht="15.75" thickBot="1" x14ac:dyDescent="0.3">
      <c r="A2140" s="51"/>
      <c r="B2140" s="51"/>
      <c r="C2140" s="51"/>
      <c r="D2140" s="51"/>
      <c r="E2140" s="51"/>
      <c r="F2140" s="51"/>
      <c r="G2140" s="54"/>
      <c r="H2140" s="53"/>
      <c r="I2140" s="53"/>
      <c r="J2140" s="53"/>
      <c r="K2140" s="54"/>
      <c r="L2140" s="53"/>
      <c r="M2140" s="53"/>
      <c r="N2140" s="53"/>
      <c r="O2140" s="53"/>
      <c r="P2140" s="53"/>
      <c r="Q2140" s="53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3"/>
      <c r="AB2140" s="53"/>
      <c r="AC2140" s="53"/>
      <c r="AD2140" s="53"/>
      <c r="AE2140" s="53"/>
      <c r="AF2140" s="53"/>
      <c r="AG2140" s="53"/>
      <c r="AH2140" s="54"/>
      <c r="AI2140" s="53"/>
      <c r="AJ2140" s="53"/>
      <c r="AK2140" s="54"/>
      <c r="AL2140" s="54"/>
    </row>
    <row r="2141" spans="1:38" ht="15.75" thickBot="1" x14ac:dyDescent="0.3">
      <c r="A2141" s="51"/>
      <c r="B2141" s="51"/>
      <c r="C2141" s="51"/>
      <c r="D2141" s="51"/>
      <c r="E2141" s="51"/>
      <c r="F2141" s="51"/>
      <c r="G2141" s="56"/>
      <c r="H2141" s="55"/>
      <c r="I2141" s="55"/>
      <c r="J2141" s="55"/>
      <c r="K2141" s="56"/>
      <c r="L2141" s="55"/>
      <c r="M2141" s="55"/>
      <c r="N2141" s="55"/>
      <c r="O2141" s="55"/>
      <c r="P2141" s="55"/>
      <c r="Q2141" s="55"/>
      <c r="R2141" s="55"/>
      <c r="S2141" s="55"/>
      <c r="T2141" s="55"/>
      <c r="U2141" s="55"/>
      <c r="V2141" s="55"/>
      <c r="W2141" s="55"/>
      <c r="X2141" s="55"/>
      <c r="Y2141" s="55"/>
      <c r="Z2141" s="55"/>
      <c r="AA2141" s="55"/>
      <c r="AB2141" s="55"/>
      <c r="AC2141" s="55"/>
      <c r="AD2141" s="55"/>
      <c r="AE2141" s="55"/>
      <c r="AF2141" s="55"/>
      <c r="AG2141" s="55"/>
      <c r="AH2141" s="56"/>
      <c r="AI2141" s="55"/>
      <c r="AJ2141" s="55"/>
      <c r="AK2141" s="56"/>
      <c r="AL2141" s="56"/>
    </row>
    <row r="2142" spans="1:38" ht="15.75" thickBot="1" x14ac:dyDescent="0.3">
      <c r="A2142" s="51"/>
      <c r="B2142" s="51"/>
      <c r="C2142" s="51"/>
      <c r="D2142" s="51"/>
      <c r="E2142" s="51"/>
      <c r="F2142" s="51"/>
      <c r="G2142" s="54"/>
      <c r="H2142" s="54"/>
      <c r="I2142" s="53"/>
      <c r="J2142" s="53"/>
      <c r="K2142" s="53"/>
      <c r="L2142" s="53"/>
      <c r="M2142" s="54"/>
      <c r="N2142" s="53"/>
      <c r="O2142" s="53"/>
      <c r="P2142" s="53"/>
      <c r="Q2142" s="53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53"/>
      <c r="AC2142" s="53"/>
      <c r="AD2142" s="53"/>
      <c r="AE2142" s="53"/>
      <c r="AF2142" s="53"/>
      <c r="AG2142" s="53"/>
      <c r="AH2142" s="54"/>
      <c r="AI2142" s="53"/>
      <c r="AJ2142" s="53"/>
      <c r="AK2142" s="54"/>
      <c r="AL2142" s="54"/>
    </row>
    <row r="2143" spans="1:38" ht="15.75" thickBot="1" x14ac:dyDescent="0.3">
      <c r="A2143" s="51"/>
      <c r="B2143" s="51"/>
      <c r="C2143" s="51"/>
      <c r="D2143" s="51"/>
      <c r="E2143" s="51"/>
      <c r="F2143" s="51"/>
      <c r="G2143" s="56"/>
      <c r="H2143" s="148"/>
      <c r="I2143" s="55"/>
      <c r="J2143" s="55"/>
      <c r="K2143" s="55"/>
      <c r="L2143" s="55"/>
      <c r="M2143" s="56"/>
      <c r="N2143" s="55"/>
      <c r="O2143" s="55"/>
      <c r="P2143" s="55"/>
      <c r="Q2143" s="55"/>
      <c r="R2143" s="55"/>
      <c r="S2143" s="55"/>
      <c r="T2143" s="55"/>
      <c r="U2143" s="55"/>
      <c r="V2143" s="55"/>
      <c r="W2143" s="55"/>
      <c r="X2143" s="55"/>
      <c r="Y2143" s="55"/>
      <c r="Z2143" s="55"/>
      <c r="AA2143" s="55"/>
      <c r="AB2143" s="55"/>
      <c r="AC2143" s="55"/>
      <c r="AD2143" s="55"/>
      <c r="AE2143" s="55"/>
      <c r="AF2143" s="55"/>
      <c r="AG2143" s="55"/>
      <c r="AH2143" s="56"/>
      <c r="AI2143" s="55"/>
      <c r="AJ2143" s="55"/>
      <c r="AK2143" s="56"/>
      <c r="AL2143" s="56"/>
    </row>
    <row r="2144" spans="1:38" ht="15.75" thickBot="1" x14ac:dyDescent="0.3">
      <c r="A2144" s="51"/>
      <c r="B2144" s="51"/>
      <c r="C2144" s="51"/>
      <c r="D2144" s="51"/>
      <c r="E2144" s="51"/>
      <c r="F2144" s="51"/>
      <c r="G2144" s="54"/>
      <c r="H2144" s="53"/>
      <c r="I2144" s="53"/>
      <c r="J2144" s="53"/>
      <c r="K2144" s="53"/>
      <c r="L2144" s="53"/>
      <c r="M2144" s="53"/>
      <c r="N2144" s="53"/>
      <c r="O2144" s="53"/>
      <c r="P2144" s="53"/>
      <c r="Q2144" s="53"/>
      <c r="R2144" s="53"/>
      <c r="S2144" s="53"/>
      <c r="T2144" s="53"/>
      <c r="U2144" s="53"/>
      <c r="V2144" s="53"/>
      <c r="W2144" s="53"/>
      <c r="X2144" s="53"/>
      <c r="Y2144" s="53"/>
      <c r="Z2144" s="54"/>
      <c r="AA2144" s="53"/>
      <c r="AB2144" s="53"/>
      <c r="AC2144" s="53"/>
      <c r="AD2144" s="53"/>
      <c r="AE2144" s="53"/>
      <c r="AF2144" s="53"/>
      <c r="AG2144" s="53"/>
      <c r="AH2144" s="54"/>
      <c r="AI2144" s="53"/>
      <c r="AJ2144" s="53"/>
      <c r="AK2144" s="54"/>
      <c r="AL2144" s="54"/>
    </row>
    <row r="2145" spans="1:38" ht="15.75" thickBot="1" x14ac:dyDescent="0.3">
      <c r="A2145" s="51"/>
      <c r="B2145" s="51"/>
      <c r="C2145" s="51"/>
      <c r="D2145" s="51"/>
      <c r="E2145" s="51"/>
      <c r="F2145" s="51"/>
      <c r="G2145" s="56"/>
      <c r="H2145" s="55"/>
      <c r="I2145" s="55"/>
      <c r="J2145" s="55"/>
      <c r="K2145" s="55"/>
      <c r="L2145" s="55"/>
      <c r="M2145" s="55"/>
      <c r="N2145" s="55"/>
      <c r="O2145" s="55"/>
      <c r="P2145" s="55"/>
      <c r="Q2145" s="55"/>
      <c r="R2145" s="55"/>
      <c r="S2145" s="55"/>
      <c r="T2145" s="55"/>
      <c r="U2145" s="55"/>
      <c r="V2145" s="55"/>
      <c r="W2145" s="55"/>
      <c r="X2145" s="55"/>
      <c r="Y2145" s="55"/>
      <c r="Z2145" s="56"/>
      <c r="AA2145" s="55"/>
      <c r="AB2145" s="55"/>
      <c r="AC2145" s="55"/>
      <c r="AD2145" s="55"/>
      <c r="AE2145" s="55"/>
      <c r="AF2145" s="55"/>
      <c r="AG2145" s="55"/>
      <c r="AH2145" s="56"/>
      <c r="AI2145" s="55"/>
      <c r="AJ2145" s="55"/>
      <c r="AK2145" s="56"/>
      <c r="AL2145" s="56"/>
    </row>
    <row r="2146" spans="1:38" ht="15.75" thickBot="1" x14ac:dyDescent="0.3">
      <c r="A2146" s="51"/>
      <c r="B2146" s="51"/>
      <c r="C2146" s="51"/>
      <c r="D2146" s="51"/>
      <c r="E2146" s="51"/>
      <c r="F2146" s="51"/>
      <c r="G2146" s="54"/>
      <c r="H2146" s="53"/>
      <c r="I2146" s="53"/>
      <c r="J2146" s="53"/>
      <c r="K2146" s="53"/>
      <c r="L2146" s="53"/>
      <c r="M2146" s="53"/>
      <c r="N2146" s="53"/>
      <c r="O2146" s="53"/>
      <c r="P2146" s="53"/>
      <c r="Q2146" s="53"/>
      <c r="R2146" s="54"/>
      <c r="S2146" s="53"/>
      <c r="T2146" s="53"/>
      <c r="U2146" s="53"/>
      <c r="V2146" s="53"/>
      <c r="W2146" s="53"/>
      <c r="X2146" s="53"/>
      <c r="Y2146" s="53"/>
      <c r="Z2146" s="53"/>
      <c r="AA2146" s="53"/>
      <c r="AB2146" s="53"/>
      <c r="AC2146" s="53"/>
      <c r="AD2146" s="53"/>
      <c r="AE2146" s="53"/>
      <c r="AF2146" s="53"/>
      <c r="AG2146" s="53"/>
      <c r="AH2146" s="54"/>
      <c r="AI2146" s="53"/>
      <c r="AJ2146" s="53"/>
      <c r="AK2146" s="54"/>
      <c r="AL2146" s="54"/>
    </row>
    <row r="2147" spans="1:38" ht="15.75" thickBot="1" x14ac:dyDescent="0.3">
      <c r="A2147" s="51"/>
      <c r="B2147" s="51"/>
      <c r="C2147" s="51"/>
      <c r="D2147" s="51"/>
      <c r="E2147" s="51"/>
      <c r="F2147" s="51"/>
      <c r="G2147" s="56"/>
      <c r="H2147" s="55"/>
      <c r="I2147" s="55"/>
      <c r="J2147" s="55"/>
      <c r="K2147" s="55"/>
      <c r="L2147" s="55"/>
      <c r="M2147" s="55"/>
      <c r="N2147" s="55"/>
      <c r="O2147" s="55"/>
      <c r="P2147" s="55"/>
      <c r="Q2147" s="55"/>
      <c r="R2147" s="56"/>
      <c r="S2147" s="55"/>
      <c r="T2147" s="55"/>
      <c r="U2147" s="55"/>
      <c r="V2147" s="55"/>
      <c r="W2147" s="55"/>
      <c r="X2147" s="55"/>
      <c r="Y2147" s="55"/>
      <c r="Z2147" s="55"/>
      <c r="AA2147" s="55"/>
      <c r="AB2147" s="55"/>
      <c r="AC2147" s="55"/>
      <c r="AD2147" s="55"/>
      <c r="AE2147" s="55"/>
      <c r="AF2147" s="55"/>
      <c r="AG2147" s="55"/>
      <c r="AH2147" s="56"/>
      <c r="AI2147" s="55"/>
      <c r="AJ2147" s="55"/>
      <c r="AK2147" s="56"/>
      <c r="AL2147" s="56"/>
    </row>
    <row r="2148" spans="1:38" ht="15.75" thickBot="1" x14ac:dyDescent="0.3">
      <c r="A2148" s="51"/>
      <c r="B2148" s="51"/>
      <c r="C2148" s="51"/>
      <c r="D2148" s="51"/>
      <c r="E2148" s="51"/>
      <c r="F2148" s="51"/>
      <c r="G2148" s="54"/>
      <c r="H2148" s="53"/>
      <c r="I2148" s="53"/>
      <c r="J2148" s="53"/>
      <c r="K2148" s="53"/>
      <c r="L2148" s="53"/>
      <c r="M2148" s="53"/>
      <c r="N2148" s="53"/>
      <c r="O2148" s="53"/>
      <c r="P2148" s="53"/>
      <c r="Q2148" s="53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3"/>
      <c r="AB2148" s="53"/>
      <c r="AC2148" s="54"/>
      <c r="AD2148" s="53"/>
      <c r="AE2148" s="53"/>
      <c r="AF2148" s="53"/>
      <c r="AG2148" s="53"/>
      <c r="AH2148" s="54"/>
      <c r="AI2148" s="53"/>
      <c r="AJ2148" s="53"/>
      <c r="AK2148" s="54"/>
      <c r="AL2148" s="54"/>
    </row>
    <row r="2149" spans="1:38" ht="15.75" thickBot="1" x14ac:dyDescent="0.3">
      <c r="A2149" s="51"/>
      <c r="B2149" s="51"/>
      <c r="C2149" s="51"/>
      <c r="D2149" s="51"/>
      <c r="E2149" s="51"/>
      <c r="F2149" s="51"/>
      <c r="G2149" s="56"/>
      <c r="H2149" s="55"/>
      <c r="I2149" s="55"/>
      <c r="J2149" s="55"/>
      <c r="K2149" s="55"/>
      <c r="L2149" s="55"/>
      <c r="M2149" s="55"/>
      <c r="N2149" s="55"/>
      <c r="O2149" s="55"/>
      <c r="P2149" s="55"/>
      <c r="Q2149" s="55"/>
      <c r="R2149" s="55"/>
      <c r="S2149" s="55"/>
      <c r="T2149" s="55"/>
      <c r="U2149" s="55"/>
      <c r="V2149" s="55"/>
      <c r="W2149" s="55"/>
      <c r="X2149" s="55"/>
      <c r="Y2149" s="55"/>
      <c r="Z2149" s="55"/>
      <c r="AA2149" s="55"/>
      <c r="AB2149" s="55"/>
      <c r="AC2149" s="56"/>
      <c r="AD2149" s="55"/>
      <c r="AE2149" s="55"/>
      <c r="AF2149" s="55"/>
      <c r="AG2149" s="55"/>
      <c r="AH2149" s="56"/>
      <c r="AI2149" s="55"/>
      <c r="AJ2149" s="55"/>
      <c r="AK2149" s="56"/>
      <c r="AL2149" s="56"/>
    </row>
    <row r="2150" spans="1:38" ht="15.75" thickBot="1" x14ac:dyDescent="0.3">
      <c r="A2150" s="51"/>
      <c r="B2150" s="51"/>
      <c r="C2150" s="51"/>
      <c r="D2150" s="51"/>
      <c r="E2150" s="51"/>
      <c r="F2150" s="51"/>
      <c r="G2150" s="54"/>
      <c r="H2150" s="53"/>
      <c r="I2150" s="53"/>
      <c r="J2150" s="53"/>
      <c r="K2150" s="54"/>
      <c r="L2150" s="53"/>
      <c r="M2150" s="53"/>
      <c r="N2150" s="53"/>
      <c r="O2150" s="53"/>
      <c r="P2150" s="53"/>
      <c r="Q2150" s="53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3"/>
      <c r="AB2150" s="53"/>
      <c r="AC2150" s="53"/>
      <c r="AD2150" s="53"/>
      <c r="AE2150" s="53"/>
      <c r="AF2150" s="53"/>
      <c r="AG2150" s="53"/>
      <c r="AH2150" s="54"/>
      <c r="AI2150" s="53"/>
      <c r="AJ2150" s="53"/>
      <c r="AK2150" s="54"/>
      <c r="AL2150" s="54"/>
    </row>
    <row r="2151" spans="1:38" ht="15.75" thickBot="1" x14ac:dyDescent="0.3">
      <c r="A2151" s="51"/>
      <c r="B2151" s="51"/>
      <c r="C2151" s="51"/>
      <c r="D2151" s="51"/>
      <c r="E2151" s="51"/>
      <c r="F2151" s="51"/>
      <c r="G2151" s="56"/>
      <c r="H2151" s="55"/>
      <c r="I2151" s="55"/>
      <c r="J2151" s="55"/>
      <c r="K2151" s="56"/>
      <c r="L2151" s="55"/>
      <c r="M2151" s="55"/>
      <c r="N2151" s="55"/>
      <c r="O2151" s="55"/>
      <c r="P2151" s="55"/>
      <c r="Q2151" s="55"/>
      <c r="R2151" s="55"/>
      <c r="S2151" s="55"/>
      <c r="T2151" s="55"/>
      <c r="U2151" s="55"/>
      <c r="V2151" s="55"/>
      <c r="W2151" s="55"/>
      <c r="X2151" s="55"/>
      <c r="Y2151" s="55"/>
      <c r="Z2151" s="55"/>
      <c r="AA2151" s="55"/>
      <c r="AB2151" s="55"/>
      <c r="AC2151" s="55"/>
      <c r="AD2151" s="55"/>
      <c r="AE2151" s="55"/>
      <c r="AF2151" s="55"/>
      <c r="AG2151" s="55"/>
      <c r="AH2151" s="56"/>
      <c r="AI2151" s="55"/>
      <c r="AJ2151" s="55"/>
      <c r="AK2151" s="56"/>
      <c r="AL2151" s="56"/>
    </row>
    <row r="2152" spans="1:38" ht="15.75" thickBot="1" x14ac:dyDescent="0.3">
      <c r="A2152" s="51"/>
      <c r="B2152" s="51"/>
      <c r="C2152" s="51"/>
      <c r="D2152" s="51"/>
      <c r="E2152" s="51"/>
      <c r="F2152" s="51"/>
      <c r="G2152" s="54"/>
      <c r="H2152" s="54"/>
      <c r="I2152" s="53"/>
      <c r="J2152" s="53"/>
      <c r="K2152" s="53"/>
      <c r="L2152" s="53"/>
      <c r="M2152" s="54"/>
      <c r="N2152" s="53"/>
      <c r="O2152" s="53"/>
      <c r="P2152" s="53"/>
      <c r="Q2152" s="53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3"/>
      <c r="AB2152" s="53"/>
      <c r="AC2152" s="53"/>
      <c r="AD2152" s="53"/>
      <c r="AE2152" s="53"/>
      <c r="AF2152" s="53"/>
      <c r="AG2152" s="53"/>
      <c r="AH2152" s="54"/>
      <c r="AI2152" s="53"/>
      <c r="AJ2152" s="53"/>
      <c r="AK2152" s="54"/>
      <c r="AL2152" s="54"/>
    </row>
    <row r="2153" spans="1:38" ht="15.75" thickBot="1" x14ac:dyDescent="0.3">
      <c r="A2153" s="51"/>
      <c r="B2153" s="51"/>
      <c r="C2153" s="51"/>
      <c r="D2153" s="51"/>
      <c r="E2153" s="51"/>
      <c r="F2153" s="51"/>
      <c r="G2153" s="56"/>
      <c r="H2153" s="148"/>
      <c r="I2153" s="55"/>
      <c r="J2153" s="55"/>
      <c r="K2153" s="55"/>
      <c r="L2153" s="55"/>
      <c r="M2153" s="56"/>
      <c r="N2153" s="55"/>
      <c r="O2153" s="55"/>
      <c r="P2153" s="55"/>
      <c r="Q2153" s="55"/>
      <c r="R2153" s="55"/>
      <c r="S2153" s="55"/>
      <c r="T2153" s="55"/>
      <c r="U2153" s="55"/>
      <c r="V2153" s="55"/>
      <c r="W2153" s="55"/>
      <c r="X2153" s="55"/>
      <c r="Y2153" s="55"/>
      <c r="Z2153" s="55"/>
      <c r="AA2153" s="55"/>
      <c r="AB2153" s="55"/>
      <c r="AC2153" s="55"/>
      <c r="AD2153" s="55"/>
      <c r="AE2153" s="55"/>
      <c r="AF2153" s="55"/>
      <c r="AG2153" s="55"/>
      <c r="AH2153" s="56"/>
      <c r="AI2153" s="55"/>
      <c r="AJ2153" s="55"/>
      <c r="AK2153" s="56"/>
      <c r="AL2153" s="56"/>
    </row>
    <row r="2154" spans="1:38" ht="15.75" thickBot="1" x14ac:dyDescent="0.3">
      <c r="A2154" s="51"/>
      <c r="B2154" s="51"/>
      <c r="C2154" s="51"/>
      <c r="D2154" s="51"/>
      <c r="E2154" s="51"/>
      <c r="F2154" s="51"/>
      <c r="G2154" s="54"/>
      <c r="H2154" s="53"/>
      <c r="I2154" s="53"/>
      <c r="J2154" s="53"/>
      <c r="K2154" s="53"/>
      <c r="L2154" s="53"/>
      <c r="M2154" s="53"/>
      <c r="N2154" s="53"/>
      <c r="O2154" s="53"/>
      <c r="P2154" s="53"/>
      <c r="Q2154" s="54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53"/>
      <c r="AC2154" s="53"/>
      <c r="AD2154" s="53"/>
      <c r="AE2154" s="53"/>
      <c r="AF2154" s="53"/>
      <c r="AG2154" s="53"/>
      <c r="AH2154" s="54"/>
      <c r="AI2154" s="53"/>
      <c r="AJ2154" s="53"/>
      <c r="AK2154" s="54"/>
      <c r="AL2154" s="54"/>
    </row>
    <row r="2155" spans="1:38" ht="15.75" thickBot="1" x14ac:dyDescent="0.3">
      <c r="A2155" s="51"/>
      <c r="B2155" s="51"/>
      <c r="C2155" s="51"/>
      <c r="D2155" s="51"/>
      <c r="E2155" s="51"/>
      <c r="F2155" s="51"/>
      <c r="G2155" s="56"/>
      <c r="H2155" s="55"/>
      <c r="I2155" s="55"/>
      <c r="J2155" s="55"/>
      <c r="K2155" s="55"/>
      <c r="L2155" s="55"/>
      <c r="M2155" s="55"/>
      <c r="N2155" s="55"/>
      <c r="O2155" s="55"/>
      <c r="P2155" s="55"/>
      <c r="Q2155" s="56"/>
      <c r="R2155" s="55"/>
      <c r="S2155" s="55"/>
      <c r="T2155" s="55"/>
      <c r="U2155" s="55"/>
      <c r="V2155" s="55"/>
      <c r="W2155" s="55"/>
      <c r="X2155" s="55"/>
      <c r="Y2155" s="55"/>
      <c r="Z2155" s="55"/>
      <c r="AA2155" s="55"/>
      <c r="AB2155" s="55"/>
      <c r="AC2155" s="55"/>
      <c r="AD2155" s="55"/>
      <c r="AE2155" s="55"/>
      <c r="AF2155" s="55"/>
      <c r="AG2155" s="55"/>
      <c r="AH2155" s="56"/>
      <c r="AI2155" s="55"/>
      <c r="AJ2155" s="55"/>
      <c r="AK2155" s="56"/>
      <c r="AL2155" s="56"/>
    </row>
    <row r="2156" spans="1:38" ht="15.75" thickBot="1" x14ac:dyDescent="0.3">
      <c r="A2156" s="51"/>
      <c r="B2156" s="51"/>
      <c r="C2156" s="51"/>
      <c r="D2156" s="51"/>
      <c r="E2156" s="51"/>
      <c r="F2156" s="51"/>
      <c r="G2156" s="54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4"/>
      <c r="AA2156" s="53"/>
      <c r="AB2156" s="53"/>
      <c r="AC2156" s="53"/>
      <c r="AD2156" s="53"/>
      <c r="AE2156" s="53"/>
      <c r="AF2156" s="53"/>
      <c r="AG2156" s="53"/>
      <c r="AH2156" s="54"/>
      <c r="AI2156" s="53"/>
      <c r="AJ2156" s="53"/>
      <c r="AK2156" s="54"/>
      <c r="AL2156" s="54"/>
    </row>
    <row r="2157" spans="1:38" ht="15.75" thickBot="1" x14ac:dyDescent="0.3">
      <c r="A2157" s="51"/>
      <c r="B2157" s="51"/>
      <c r="C2157" s="51"/>
      <c r="D2157" s="51"/>
      <c r="E2157" s="51"/>
      <c r="F2157" s="51"/>
      <c r="G2157" s="56"/>
      <c r="H2157" s="55"/>
      <c r="I2157" s="55"/>
      <c r="J2157" s="55"/>
      <c r="K2157" s="55"/>
      <c r="L2157" s="55"/>
      <c r="M2157" s="55"/>
      <c r="N2157" s="55"/>
      <c r="O2157" s="55"/>
      <c r="P2157" s="55"/>
      <c r="Q2157" s="55"/>
      <c r="R2157" s="55"/>
      <c r="S2157" s="55"/>
      <c r="T2157" s="55"/>
      <c r="U2157" s="55"/>
      <c r="V2157" s="55"/>
      <c r="W2157" s="55"/>
      <c r="X2157" s="55"/>
      <c r="Y2157" s="55"/>
      <c r="Z2157" s="56"/>
      <c r="AA2157" s="55"/>
      <c r="AB2157" s="55"/>
      <c r="AC2157" s="55"/>
      <c r="AD2157" s="55"/>
      <c r="AE2157" s="55"/>
      <c r="AF2157" s="55"/>
      <c r="AG2157" s="55"/>
      <c r="AH2157" s="56"/>
      <c r="AI2157" s="55"/>
      <c r="AJ2157" s="55"/>
      <c r="AK2157" s="56"/>
      <c r="AL2157" s="56"/>
    </row>
    <row r="2158" spans="1:38" ht="15.75" thickBot="1" x14ac:dyDescent="0.3">
      <c r="A2158" s="51"/>
      <c r="B2158" s="51"/>
      <c r="C2158" s="51"/>
      <c r="D2158" s="51"/>
      <c r="E2158" s="51"/>
      <c r="F2158" s="51"/>
      <c r="G2158" s="54"/>
      <c r="H2158" s="53"/>
      <c r="I2158" s="53"/>
      <c r="J2158" s="53"/>
      <c r="K2158" s="53"/>
      <c r="L2158" s="53"/>
      <c r="M2158" s="53"/>
      <c r="N2158" s="53"/>
      <c r="O2158" s="53"/>
      <c r="P2158" s="53"/>
      <c r="Q2158" s="53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4"/>
      <c r="AB2158" s="53"/>
      <c r="AC2158" s="53"/>
      <c r="AD2158" s="53"/>
      <c r="AE2158" s="53"/>
      <c r="AF2158" s="53"/>
      <c r="AG2158" s="53"/>
      <c r="AH2158" s="54"/>
      <c r="AI2158" s="53"/>
      <c r="AJ2158" s="53"/>
      <c r="AK2158" s="54"/>
      <c r="AL2158" s="54"/>
    </row>
    <row r="2159" spans="1:38" ht="15.75" thickBot="1" x14ac:dyDescent="0.3">
      <c r="A2159" s="51"/>
      <c r="B2159" s="51"/>
      <c r="C2159" s="51"/>
      <c r="D2159" s="51"/>
      <c r="E2159" s="51"/>
      <c r="F2159" s="51"/>
      <c r="G2159" s="56"/>
      <c r="H2159" s="55"/>
      <c r="I2159" s="55"/>
      <c r="J2159" s="55"/>
      <c r="K2159" s="55"/>
      <c r="L2159" s="55"/>
      <c r="M2159" s="55"/>
      <c r="N2159" s="55"/>
      <c r="O2159" s="55"/>
      <c r="P2159" s="55"/>
      <c r="Q2159" s="55"/>
      <c r="R2159" s="55"/>
      <c r="S2159" s="55"/>
      <c r="T2159" s="55"/>
      <c r="U2159" s="55"/>
      <c r="V2159" s="55"/>
      <c r="W2159" s="55"/>
      <c r="X2159" s="55"/>
      <c r="Y2159" s="55"/>
      <c r="Z2159" s="55"/>
      <c r="AA2159" s="56"/>
      <c r="AB2159" s="55"/>
      <c r="AC2159" s="55"/>
      <c r="AD2159" s="55"/>
      <c r="AE2159" s="55"/>
      <c r="AF2159" s="55"/>
      <c r="AG2159" s="55"/>
      <c r="AH2159" s="56"/>
      <c r="AI2159" s="55"/>
      <c r="AJ2159" s="55"/>
      <c r="AK2159" s="56"/>
      <c r="AL2159" s="56"/>
    </row>
    <row r="2160" spans="1:38" ht="15.75" thickBot="1" x14ac:dyDescent="0.3">
      <c r="A2160" s="51"/>
      <c r="B2160" s="51"/>
      <c r="C2160" s="51"/>
      <c r="D2160" s="51"/>
      <c r="E2160" s="51"/>
      <c r="F2160" s="51"/>
      <c r="G2160" s="54"/>
      <c r="H2160" s="53"/>
      <c r="I2160" s="53"/>
      <c r="J2160" s="53"/>
      <c r="K2160" s="53"/>
      <c r="L2160" s="53"/>
      <c r="M2160" s="53"/>
      <c r="N2160" s="53"/>
      <c r="O2160" s="53"/>
      <c r="P2160" s="53"/>
      <c r="Q2160" s="53"/>
      <c r="R2160" s="54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53"/>
      <c r="AC2160" s="53"/>
      <c r="AD2160" s="53"/>
      <c r="AE2160" s="53"/>
      <c r="AF2160" s="53"/>
      <c r="AG2160" s="53"/>
      <c r="AH2160" s="54"/>
      <c r="AI2160" s="53"/>
      <c r="AJ2160" s="53"/>
      <c r="AK2160" s="54"/>
      <c r="AL2160" s="54"/>
    </row>
    <row r="2161" spans="1:38" ht="15.75" thickBot="1" x14ac:dyDescent="0.3">
      <c r="A2161" s="51"/>
      <c r="B2161" s="51"/>
      <c r="C2161" s="51"/>
      <c r="D2161" s="51"/>
      <c r="E2161" s="51"/>
      <c r="F2161" s="51"/>
      <c r="G2161" s="56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6"/>
      <c r="S2161" s="55"/>
      <c r="T2161" s="55"/>
      <c r="U2161" s="55"/>
      <c r="V2161" s="55"/>
      <c r="W2161" s="55"/>
      <c r="X2161" s="55"/>
      <c r="Y2161" s="55"/>
      <c r="Z2161" s="55"/>
      <c r="AA2161" s="55"/>
      <c r="AB2161" s="55"/>
      <c r="AC2161" s="55"/>
      <c r="AD2161" s="55"/>
      <c r="AE2161" s="55"/>
      <c r="AF2161" s="55"/>
      <c r="AG2161" s="55"/>
      <c r="AH2161" s="56"/>
      <c r="AI2161" s="55"/>
      <c r="AJ2161" s="55"/>
      <c r="AK2161" s="56"/>
      <c r="AL2161" s="56"/>
    </row>
    <row r="2162" spans="1:38" ht="15.75" thickBot="1" x14ac:dyDescent="0.3">
      <c r="A2162" s="51"/>
      <c r="B2162" s="51"/>
      <c r="C2162" s="51"/>
      <c r="D2162" s="51"/>
      <c r="E2162" s="51"/>
      <c r="F2162" s="51"/>
      <c r="G2162" s="54"/>
      <c r="H2162" s="53"/>
      <c r="I2162" s="53"/>
      <c r="J2162" s="53"/>
      <c r="K2162" s="53"/>
      <c r="L2162" s="53"/>
      <c r="M2162" s="53"/>
      <c r="N2162" s="53"/>
      <c r="O2162" s="53"/>
      <c r="P2162" s="53"/>
      <c r="Q2162" s="53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53"/>
      <c r="AC2162" s="54"/>
      <c r="AD2162" s="53"/>
      <c r="AE2162" s="53"/>
      <c r="AF2162" s="53"/>
      <c r="AG2162" s="53"/>
      <c r="AH2162" s="54"/>
      <c r="AI2162" s="53"/>
      <c r="AJ2162" s="53"/>
      <c r="AK2162" s="54"/>
      <c r="AL2162" s="54"/>
    </row>
    <row r="2163" spans="1:38" ht="15.75" thickBot="1" x14ac:dyDescent="0.3">
      <c r="A2163" s="51"/>
      <c r="B2163" s="51"/>
      <c r="C2163" s="51"/>
      <c r="D2163" s="51"/>
      <c r="E2163" s="51"/>
      <c r="F2163" s="51"/>
      <c r="G2163" s="56"/>
      <c r="H2163" s="55"/>
      <c r="I2163" s="55"/>
      <c r="J2163" s="55"/>
      <c r="K2163" s="55"/>
      <c r="L2163" s="55"/>
      <c r="M2163" s="55"/>
      <c r="N2163" s="55"/>
      <c r="O2163" s="55"/>
      <c r="P2163" s="55"/>
      <c r="Q2163" s="55"/>
      <c r="R2163" s="55"/>
      <c r="S2163" s="55"/>
      <c r="T2163" s="55"/>
      <c r="U2163" s="55"/>
      <c r="V2163" s="55"/>
      <c r="W2163" s="55"/>
      <c r="X2163" s="55"/>
      <c r="Y2163" s="55"/>
      <c r="Z2163" s="55"/>
      <c r="AA2163" s="55"/>
      <c r="AB2163" s="55"/>
      <c r="AC2163" s="56"/>
      <c r="AD2163" s="55"/>
      <c r="AE2163" s="55"/>
      <c r="AF2163" s="55"/>
      <c r="AG2163" s="55"/>
      <c r="AH2163" s="56"/>
      <c r="AI2163" s="55"/>
      <c r="AJ2163" s="55"/>
      <c r="AK2163" s="56"/>
      <c r="AL2163" s="56"/>
    </row>
    <row r="2164" spans="1:38" ht="15.75" thickBot="1" x14ac:dyDescent="0.3">
      <c r="A2164" s="51"/>
      <c r="B2164" s="51"/>
      <c r="C2164" s="51"/>
      <c r="D2164" s="51"/>
      <c r="E2164" s="51"/>
      <c r="F2164" s="51"/>
      <c r="G2164" s="54"/>
      <c r="H2164" s="53"/>
      <c r="I2164" s="53"/>
      <c r="J2164" s="53"/>
      <c r="K2164" s="54"/>
      <c r="L2164" s="53"/>
      <c r="M2164" s="53"/>
      <c r="N2164" s="53"/>
      <c r="O2164" s="53"/>
      <c r="P2164" s="53"/>
      <c r="Q2164" s="53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53"/>
      <c r="AC2164" s="53"/>
      <c r="AD2164" s="53"/>
      <c r="AE2164" s="53"/>
      <c r="AF2164" s="53"/>
      <c r="AG2164" s="53"/>
      <c r="AH2164" s="54"/>
      <c r="AI2164" s="53"/>
      <c r="AJ2164" s="53"/>
      <c r="AK2164" s="54"/>
      <c r="AL2164" s="54"/>
    </row>
    <row r="2165" spans="1:38" ht="15.75" thickBot="1" x14ac:dyDescent="0.3">
      <c r="A2165" s="51"/>
      <c r="B2165" s="51"/>
      <c r="C2165" s="51"/>
      <c r="D2165" s="51"/>
      <c r="E2165" s="51"/>
      <c r="F2165" s="51"/>
      <c r="G2165" s="56"/>
      <c r="H2165" s="55"/>
      <c r="I2165" s="55"/>
      <c r="J2165" s="55"/>
      <c r="K2165" s="56"/>
      <c r="L2165" s="55"/>
      <c r="M2165" s="55"/>
      <c r="N2165" s="55"/>
      <c r="O2165" s="55"/>
      <c r="P2165" s="55"/>
      <c r="Q2165" s="55"/>
      <c r="R2165" s="55"/>
      <c r="S2165" s="55"/>
      <c r="T2165" s="55"/>
      <c r="U2165" s="55"/>
      <c r="V2165" s="55"/>
      <c r="W2165" s="55"/>
      <c r="X2165" s="55"/>
      <c r="Y2165" s="55"/>
      <c r="Z2165" s="55"/>
      <c r="AA2165" s="55"/>
      <c r="AB2165" s="55"/>
      <c r="AC2165" s="55"/>
      <c r="AD2165" s="55"/>
      <c r="AE2165" s="55"/>
      <c r="AF2165" s="55"/>
      <c r="AG2165" s="55"/>
      <c r="AH2165" s="56"/>
      <c r="AI2165" s="55"/>
      <c r="AJ2165" s="55"/>
      <c r="AK2165" s="56"/>
      <c r="AL2165" s="56"/>
    </row>
    <row r="2166" spans="1:38" ht="15.75" thickBot="1" x14ac:dyDescent="0.3">
      <c r="A2166" s="51"/>
      <c r="B2166" s="51"/>
      <c r="C2166" s="51"/>
      <c r="D2166" s="51"/>
      <c r="E2166" s="51"/>
      <c r="F2166" s="51"/>
      <c r="G2166" s="54"/>
      <c r="H2166" s="54"/>
      <c r="I2166" s="53"/>
      <c r="J2166" s="53"/>
      <c r="K2166" s="53"/>
      <c r="L2166" s="53"/>
      <c r="M2166" s="54"/>
      <c r="N2166" s="53"/>
      <c r="O2166" s="53"/>
      <c r="P2166" s="53"/>
      <c r="Q2166" s="53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3"/>
      <c r="AB2166" s="53"/>
      <c r="AC2166" s="53"/>
      <c r="AD2166" s="53"/>
      <c r="AE2166" s="53"/>
      <c r="AF2166" s="53"/>
      <c r="AG2166" s="53"/>
      <c r="AH2166" s="54"/>
      <c r="AI2166" s="53"/>
      <c r="AJ2166" s="53"/>
      <c r="AK2166" s="54"/>
      <c r="AL2166" s="54"/>
    </row>
    <row r="2167" spans="1:38" ht="15.75" thickBot="1" x14ac:dyDescent="0.3">
      <c r="A2167" s="51"/>
      <c r="B2167" s="51"/>
      <c r="C2167" s="51"/>
      <c r="D2167" s="51"/>
      <c r="E2167" s="51"/>
      <c r="F2167" s="51"/>
      <c r="G2167" s="56"/>
      <c r="H2167" s="148"/>
      <c r="I2167" s="55"/>
      <c r="J2167" s="55"/>
      <c r="K2167" s="55"/>
      <c r="L2167" s="55"/>
      <c r="M2167" s="56"/>
      <c r="N2167" s="55"/>
      <c r="O2167" s="55"/>
      <c r="P2167" s="55"/>
      <c r="Q2167" s="55"/>
      <c r="R2167" s="55"/>
      <c r="S2167" s="55"/>
      <c r="T2167" s="55"/>
      <c r="U2167" s="55"/>
      <c r="V2167" s="55"/>
      <c r="W2167" s="55"/>
      <c r="X2167" s="55"/>
      <c r="Y2167" s="55"/>
      <c r="Z2167" s="55"/>
      <c r="AA2167" s="55"/>
      <c r="AB2167" s="55"/>
      <c r="AC2167" s="55"/>
      <c r="AD2167" s="55"/>
      <c r="AE2167" s="55"/>
      <c r="AF2167" s="55"/>
      <c r="AG2167" s="55"/>
      <c r="AH2167" s="56"/>
      <c r="AI2167" s="55"/>
      <c r="AJ2167" s="55"/>
      <c r="AK2167" s="56"/>
      <c r="AL2167" s="56"/>
    </row>
    <row r="2168" spans="1:38" ht="15.75" thickBot="1" x14ac:dyDescent="0.3">
      <c r="A2168" s="51"/>
      <c r="B2168" s="51"/>
      <c r="C2168" s="51"/>
      <c r="D2168" s="51"/>
      <c r="E2168" s="51"/>
      <c r="F2168" s="51"/>
      <c r="G2168" s="54"/>
      <c r="H2168" s="53"/>
      <c r="I2168" s="53"/>
      <c r="J2168" s="53"/>
      <c r="K2168" s="53"/>
      <c r="L2168" s="53"/>
      <c r="M2168" s="53"/>
      <c r="N2168" s="53"/>
      <c r="O2168" s="53"/>
      <c r="P2168" s="53"/>
      <c r="Q2168" s="54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53"/>
      <c r="AC2168" s="53"/>
      <c r="AD2168" s="53"/>
      <c r="AE2168" s="53"/>
      <c r="AF2168" s="53"/>
      <c r="AG2168" s="53"/>
      <c r="AH2168" s="54"/>
      <c r="AI2168" s="53"/>
      <c r="AJ2168" s="53"/>
      <c r="AK2168" s="54"/>
      <c r="AL2168" s="54"/>
    </row>
    <row r="2169" spans="1:38" ht="15.75" thickBot="1" x14ac:dyDescent="0.3">
      <c r="A2169" s="51"/>
      <c r="B2169" s="51"/>
      <c r="C2169" s="51"/>
      <c r="D2169" s="51"/>
      <c r="E2169" s="51"/>
      <c r="F2169" s="51"/>
      <c r="G2169" s="56"/>
      <c r="H2169" s="55"/>
      <c r="I2169" s="55"/>
      <c r="J2169" s="55"/>
      <c r="K2169" s="55"/>
      <c r="L2169" s="55"/>
      <c r="M2169" s="55"/>
      <c r="N2169" s="55"/>
      <c r="O2169" s="55"/>
      <c r="P2169" s="55"/>
      <c r="Q2169" s="56"/>
      <c r="R2169" s="55"/>
      <c r="S2169" s="55"/>
      <c r="T2169" s="55"/>
      <c r="U2169" s="55"/>
      <c r="V2169" s="55"/>
      <c r="W2169" s="55"/>
      <c r="X2169" s="55"/>
      <c r="Y2169" s="55"/>
      <c r="Z2169" s="55"/>
      <c r="AA2169" s="55"/>
      <c r="AB2169" s="55"/>
      <c r="AC2169" s="55"/>
      <c r="AD2169" s="55"/>
      <c r="AE2169" s="55"/>
      <c r="AF2169" s="55"/>
      <c r="AG2169" s="55"/>
      <c r="AH2169" s="56"/>
      <c r="AI2169" s="55"/>
      <c r="AJ2169" s="55"/>
      <c r="AK2169" s="56"/>
      <c r="AL2169" s="56"/>
    </row>
    <row r="2170" spans="1:38" ht="15.75" thickBot="1" x14ac:dyDescent="0.3">
      <c r="A2170" s="51"/>
      <c r="B2170" s="51"/>
      <c r="C2170" s="51"/>
      <c r="D2170" s="51"/>
      <c r="E2170" s="51"/>
      <c r="F2170" s="51"/>
      <c r="G2170" s="54"/>
      <c r="H2170" s="53"/>
      <c r="I2170" s="53"/>
      <c r="J2170" s="53"/>
      <c r="K2170" s="53"/>
      <c r="L2170" s="53"/>
      <c r="M2170" s="53"/>
      <c r="N2170" s="53"/>
      <c r="O2170" s="53"/>
      <c r="P2170" s="53"/>
      <c r="Q2170" s="53"/>
      <c r="R2170" s="53"/>
      <c r="S2170" s="53"/>
      <c r="T2170" s="53"/>
      <c r="U2170" s="53"/>
      <c r="V2170" s="53"/>
      <c r="W2170" s="53"/>
      <c r="X2170" s="53"/>
      <c r="Y2170" s="53"/>
      <c r="Z2170" s="54"/>
      <c r="AA2170" s="53"/>
      <c r="AB2170" s="53"/>
      <c r="AC2170" s="53"/>
      <c r="AD2170" s="53"/>
      <c r="AE2170" s="53"/>
      <c r="AF2170" s="53"/>
      <c r="AG2170" s="53"/>
      <c r="AH2170" s="54"/>
      <c r="AI2170" s="53"/>
      <c r="AJ2170" s="53"/>
      <c r="AK2170" s="54"/>
      <c r="AL2170" s="54"/>
    </row>
    <row r="2171" spans="1:38" ht="15.75" thickBot="1" x14ac:dyDescent="0.3">
      <c r="A2171" s="51"/>
      <c r="B2171" s="51"/>
      <c r="C2171" s="51"/>
      <c r="D2171" s="51"/>
      <c r="E2171" s="51"/>
      <c r="F2171" s="51"/>
      <c r="G2171" s="56"/>
      <c r="H2171" s="55"/>
      <c r="I2171" s="55"/>
      <c r="J2171" s="55"/>
      <c r="K2171" s="55"/>
      <c r="L2171" s="55"/>
      <c r="M2171" s="55"/>
      <c r="N2171" s="55"/>
      <c r="O2171" s="55"/>
      <c r="P2171" s="55"/>
      <c r="Q2171" s="55"/>
      <c r="R2171" s="55"/>
      <c r="S2171" s="55"/>
      <c r="T2171" s="55"/>
      <c r="U2171" s="55"/>
      <c r="V2171" s="55"/>
      <c r="W2171" s="55"/>
      <c r="X2171" s="55"/>
      <c r="Y2171" s="55"/>
      <c r="Z2171" s="56"/>
      <c r="AA2171" s="55"/>
      <c r="AB2171" s="55"/>
      <c r="AC2171" s="55"/>
      <c r="AD2171" s="55"/>
      <c r="AE2171" s="55"/>
      <c r="AF2171" s="55"/>
      <c r="AG2171" s="55"/>
      <c r="AH2171" s="56"/>
      <c r="AI2171" s="55"/>
      <c r="AJ2171" s="55"/>
      <c r="AK2171" s="56"/>
      <c r="AL2171" s="56"/>
    </row>
    <row r="2172" spans="1:38" ht="15.75" thickBot="1" x14ac:dyDescent="0.3">
      <c r="A2172" s="51"/>
      <c r="B2172" s="51"/>
      <c r="C2172" s="51"/>
      <c r="D2172" s="51"/>
      <c r="E2172" s="51"/>
      <c r="F2172" s="51"/>
      <c r="G2172" s="54"/>
      <c r="H2172" s="53"/>
      <c r="I2172" s="53"/>
      <c r="J2172" s="53"/>
      <c r="K2172" s="53"/>
      <c r="L2172" s="53"/>
      <c r="M2172" s="53"/>
      <c r="N2172" s="53"/>
      <c r="O2172" s="53"/>
      <c r="P2172" s="53"/>
      <c r="Q2172" s="53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4"/>
      <c r="AB2172" s="53"/>
      <c r="AC2172" s="53"/>
      <c r="AD2172" s="53"/>
      <c r="AE2172" s="53"/>
      <c r="AF2172" s="53"/>
      <c r="AG2172" s="53"/>
      <c r="AH2172" s="54"/>
      <c r="AI2172" s="53"/>
      <c r="AJ2172" s="53"/>
      <c r="AK2172" s="54"/>
      <c r="AL2172" s="54"/>
    </row>
    <row r="2173" spans="1:38" ht="15.75" thickBot="1" x14ac:dyDescent="0.3">
      <c r="A2173" s="51"/>
      <c r="B2173" s="51"/>
      <c r="C2173" s="51"/>
      <c r="D2173" s="51"/>
      <c r="E2173" s="51"/>
      <c r="F2173" s="51"/>
      <c r="G2173" s="56"/>
      <c r="H2173" s="55"/>
      <c r="I2173" s="55"/>
      <c r="J2173" s="55"/>
      <c r="K2173" s="55"/>
      <c r="L2173" s="55"/>
      <c r="M2173" s="55"/>
      <c r="N2173" s="55"/>
      <c r="O2173" s="55"/>
      <c r="P2173" s="55"/>
      <c r="Q2173" s="55"/>
      <c r="R2173" s="55"/>
      <c r="S2173" s="55"/>
      <c r="T2173" s="55"/>
      <c r="U2173" s="55"/>
      <c r="V2173" s="55"/>
      <c r="W2173" s="55"/>
      <c r="X2173" s="55"/>
      <c r="Y2173" s="55"/>
      <c r="Z2173" s="55"/>
      <c r="AA2173" s="56"/>
      <c r="AB2173" s="55"/>
      <c r="AC2173" s="55"/>
      <c r="AD2173" s="55"/>
      <c r="AE2173" s="55"/>
      <c r="AF2173" s="55"/>
      <c r="AG2173" s="55"/>
      <c r="AH2173" s="56"/>
      <c r="AI2173" s="55"/>
      <c r="AJ2173" s="55"/>
      <c r="AK2173" s="56"/>
      <c r="AL2173" s="56"/>
    </row>
    <row r="2174" spans="1:38" ht="15.75" thickBot="1" x14ac:dyDescent="0.3">
      <c r="A2174" s="51"/>
      <c r="B2174" s="51"/>
      <c r="C2174" s="51"/>
      <c r="D2174" s="51"/>
      <c r="E2174" s="51"/>
      <c r="F2174" s="51"/>
      <c r="G2174" s="54"/>
      <c r="H2174" s="53"/>
      <c r="I2174" s="53"/>
      <c r="J2174" s="53"/>
      <c r="K2174" s="53"/>
      <c r="L2174" s="53"/>
      <c r="M2174" s="53"/>
      <c r="N2174" s="53"/>
      <c r="O2174" s="53"/>
      <c r="P2174" s="53"/>
      <c r="Q2174" s="53"/>
      <c r="R2174" s="54"/>
      <c r="S2174" s="53"/>
      <c r="T2174" s="53"/>
      <c r="U2174" s="53"/>
      <c r="V2174" s="53"/>
      <c r="W2174" s="53"/>
      <c r="X2174" s="53"/>
      <c r="Y2174" s="53"/>
      <c r="Z2174" s="53"/>
      <c r="AA2174" s="53"/>
      <c r="AB2174" s="53"/>
      <c r="AC2174" s="53"/>
      <c r="AD2174" s="53"/>
      <c r="AE2174" s="53"/>
      <c r="AF2174" s="53"/>
      <c r="AG2174" s="53"/>
      <c r="AH2174" s="54"/>
      <c r="AI2174" s="53"/>
      <c r="AJ2174" s="53"/>
      <c r="AK2174" s="54"/>
      <c r="AL2174" s="54"/>
    </row>
    <row r="2175" spans="1:38" ht="15.75" thickBot="1" x14ac:dyDescent="0.3">
      <c r="A2175" s="51"/>
      <c r="B2175" s="51"/>
      <c r="C2175" s="51"/>
      <c r="D2175" s="51"/>
      <c r="E2175" s="51"/>
      <c r="F2175" s="51"/>
      <c r="G2175" s="56"/>
      <c r="H2175" s="55"/>
      <c r="I2175" s="55"/>
      <c r="J2175" s="55"/>
      <c r="K2175" s="55"/>
      <c r="L2175" s="55"/>
      <c r="M2175" s="55"/>
      <c r="N2175" s="55"/>
      <c r="O2175" s="55"/>
      <c r="P2175" s="55"/>
      <c r="Q2175" s="55"/>
      <c r="R2175" s="56"/>
      <c r="S2175" s="55"/>
      <c r="T2175" s="55"/>
      <c r="U2175" s="55"/>
      <c r="V2175" s="55"/>
      <c r="W2175" s="55"/>
      <c r="X2175" s="55"/>
      <c r="Y2175" s="55"/>
      <c r="Z2175" s="55"/>
      <c r="AA2175" s="55"/>
      <c r="AB2175" s="55"/>
      <c r="AC2175" s="55"/>
      <c r="AD2175" s="55"/>
      <c r="AE2175" s="55"/>
      <c r="AF2175" s="55"/>
      <c r="AG2175" s="55"/>
      <c r="AH2175" s="56"/>
      <c r="AI2175" s="55"/>
      <c r="AJ2175" s="55"/>
      <c r="AK2175" s="56"/>
      <c r="AL2175" s="56"/>
    </row>
    <row r="2176" spans="1:38" ht="15.75" thickBot="1" x14ac:dyDescent="0.3">
      <c r="A2176" s="51"/>
      <c r="B2176" s="51"/>
      <c r="C2176" s="51"/>
      <c r="D2176" s="51"/>
      <c r="E2176" s="51"/>
      <c r="F2176" s="51"/>
      <c r="G2176" s="54"/>
      <c r="H2176" s="53"/>
      <c r="I2176" s="53"/>
      <c r="J2176" s="53"/>
      <c r="K2176" s="53"/>
      <c r="L2176" s="53"/>
      <c r="M2176" s="53"/>
      <c r="N2176" s="53"/>
      <c r="O2176" s="53"/>
      <c r="P2176" s="53"/>
      <c r="Q2176" s="53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3"/>
      <c r="AB2176" s="53"/>
      <c r="AC2176" s="54"/>
      <c r="AD2176" s="53"/>
      <c r="AE2176" s="53"/>
      <c r="AF2176" s="53"/>
      <c r="AG2176" s="53"/>
      <c r="AH2176" s="54"/>
      <c r="AI2176" s="53"/>
      <c r="AJ2176" s="53"/>
      <c r="AK2176" s="54"/>
      <c r="AL2176" s="54"/>
    </row>
    <row r="2177" spans="1:38" ht="15.75" thickBot="1" x14ac:dyDescent="0.3">
      <c r="A2177" s="51"/>
      <c r="B2177" s="51"/>
      <c r="C2177" s="51"/>
      <c r="D2177" s="51"/>
      <c r="E2177" s="51"/>
      <c r="F2177" s="51"/>
      <c r="G2177" s="56"/>
      <c r="H2177" s="55"/>
      <c r="I2177" s="55"/>
      <c r="J2177" s="55"/>
      <c r="K2177" s="55"/>
      <c r="L2177" s="55"/>
      <c r="M2177" s="55"/>
      <c r="N2177" s="55"/>
      <c r="O2177" s="55"/>
      <c r="P2177" s="55"/>
      <c r="Q2177" s="55"/>
      <c r="R2177" s="55"/>
      <c r="S2177" s="55"/>
      <c r="T2177" s="55"/>
      <c r="U2177" s="55"/>
      <c r="V2177" s="55"/>
      <c r="W2177" s="55"/>
      <c r="X2177" s="55"/>
      <c r="Y2177" s="55"/>
      <c r="Z2177" s="55"/>
      <c r="AA2177" s="55"/>
      <c r="AB2177" s="55"/>
      <c r="AC2177" s="56"/>
      <c r="AD2177" s="55"/>
      <c r="AE2177" s="55"/>
      <c r="AF2177" s="55"/>
      <c r="AG2177" s="55"/>
      <c r="AH2177" s="56"/>
      <c r="AI2177" s="55"/>
      <c r="AJ2177" s="55"/>
      <c r="AK2177" s="56"/>
      <c r="AL2177" s="56"/>
    </row>
    <row r="2178" spans="1:38" ht="15.75" thickBot="1" x14ac:dyDescent="0.3">
      <c r="A2178" s="51"/>
      <c r="B2178" s="51"/>
      <c r="C2178" s="51"/>
      <c r="D2178" s="51"/>
      <c r="E2178" s="51"/>
      <c r="F2178" s="51"/>
      <c r="G2178" s="54"/>
      <c r="H2178" s="53"/>
      <c r="I2178" s="53"/>
      <c r="J2178" s="53"/>
      <c r="K2178" s="54"/>
      <c r="L2178" s="53"/>
      <c r="M2178" s="53"/>
      <c r="N2178" s="53"/>
      <c r="O2178" s="53"/>
      <c r="P2178" s="53"/>
      <c r="Q2178" s="53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3"/>
      <c r="AB2178" s="53"/>
      <c r="AC2178" s="53"/>
      <c r="AD2178" s="53"/>
      <c r="AE2178" s="53"/>
      <c r="AF2178" s="53"/>
      <c r="AG2178" s="53"/>
      <c r="AH2178" s="54"/>
      <c r="AI2178" s="53"/>
      <c r="AJ2178" s="53"/>
      <c r="AK2178" s="54"/>
      <c r="AL2178" s="54"/>
    </row>
    <row r="2179" spans="1:38" ht="15.75" thickBot="1" x14ac:dyDescent="0.3">
      <c r="A2179" s="51"/>
      <c r="B2179" s="51"/>
      <c r="C2179" s="51"/>
      <c r="D2179" s="51"/>
      <c r="E2179" s="51"/>
      <c r="F2179" s="51"/>
      <c r="G2179" s="56"/>
      <c r="H2179" s="55"/>
      <c r="I2179" s="55"/>
      <c r="J2179" s="55"/>
      <c r="K2179" s="56"/>
      <c r="L2179" s="55"/>
      <c r="M2179" s="55"/>
      <c r="N2179" s="55"/>
      <c r="O2179" s="55"/>
      <c r="P2179" s="55"/>
      <c r="Q2179" s="55"/>
      <c r="R2179" s="55"/>
      <c r="S2179" s="55"/>
      <c r="T2179" s="55"/>
      <c r="U2179" s="55"/>
      <c r="V2179" s="55"/>
      <c r="W2179" s="55"/>
      <c r="X2179" s="55"/>
      <c r="Y2179" s="55"/>
      <c r="Z2179" s="55"/>
      <c r="AA2179" s="55"/>
      <c r="AB2179" s="55"/>
      <c r="AC2179" s="55"/>
      <c r="AD2179" s="55"/>
      <c r="AE2179" s="55"/>
      <c r="AF2179" s="55"/>
      <c r="AG2179" s="55"/>
      <c r="AH2179" s="56"/>
      <c r="AI2179" s="55"/>
      <c r="AJ2179" s="55"/>
      <c r="AK2179" s="56"/>
      <c r="AL2179" s="56"/>
    </row>
    <row r="2180" spans="1:38" ht="15.75" thickBot="1" x14ac:dyDescent="0.3">
      <c r="A2180" s="51"/>
      <c r="B2180" s="51"/>
      <c r="C2180" s="51"/>
      <c r="D2180" s="51"/>
      <c r="E2180" s="51"/>
      <c r="F2180" s="51"/>
      <c r="G2180" s="54"/>
      <c r="H2180" s="53"/>
      <c r="I2180" s="53"/>
      <c r="J2180" s="54"/>
      <c r="K2180" s="53"/>
      <c r="L2180" s="54"/>
      <c r="M2180" s="53"/>
      <c r="N2180" s="53"/>
      <c r="O2180" s="53"/>
      <c r="P2180" s="53"/>
      <c r="Q2180" s="53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3"/>
      <c r="AB2180" s="53"/>
      <c r="AC2180" s="53"/>
      <c r="AD2180" s="53"/>
      <c r="AE2180" s="53"/>
      <c r="AF2180" s="53"/>
      <c r="AG2180" s="53"/>
      <c r="AH2180" s="54"/>
      <c r="AI2180" s="53"/>
      <c r="AJ2180" s="53"/>
      <c r="AK2180" s="54"/>
      <c r="AL2180" s="54"/>
    </row>
    <row r="2181" spans="1:38" ht="15.75" thickBot="1" x14ac:dyDescent="0.3">
      <c r="A2181" s="51"/>
      <c r="B2181" s="51"/>
      <c r="C2181" s="51"/>
      <c r="D2181" s="51"/>
      <c r="E2181" s="51"/>
      <c r="F2181" s="51"/>
      <c r="G2181" s="56"/>
      <c r="H2181" s="55"/>
      <c r="I2181" s="55"/>
      <c r="J2181" s="148"/>
      <c r="K2181" s="55"/>
      <c r="L2181" s="56"/>
      <c r="M2181" s="55"/>
      <c r="N2181" s="55"/>
      <c r="O2181" s="55"/>
      <c r="P2181" s="55"/>
      <c r="Q2181" s="55"/>
      <c r="R2181" s="55"/>
      <c r="S2181" s="55"/>
      <c r="T2181" s="55"/>
      <c r="U2181" s="55"/>
      <c r="V2181" s="55"/>
      <c r="W2181" s="55"/>
      <c r="X2181" s="55"/>
      <c r="Y2181" s="55"/>
      <c r="Z2181" s="55"/>
      <c r="AA2181" s="55"/>
      <c r="AB2181" s="55"/>
      <c r="AC2181" s="55"/>
      <c r="AD2181" s="55"/>
      <c r="AE2181" s="55"/>
      <c r="AF2181" s="55"/>
      <c r="AG2181" s="55"/>
      <c r="AH2181" s="56"/>
      <c r="AI2181" s="55"/>
      <c r="AJ2181" s="55"/>
      <c r="AK2181" s="56"/>
      <c r="AL2181" s="56"/>
    </row>
    <row r="2182" spans="1:38" ht="15.75" thickBot="1" x14ac:dyDescent="0.3">
      <c r="A2182" s="51"/>
      <c r="B2182" s="51"/>
      <c r="C2182" s="51"/>
      <c r="D2182" s="51"/>
      <c r="E2182" s="51"/>
      <c r="F2182" s="51"/>
      <c r="G2182" s="54"/>
      <c r="H2182" s="53"/>
      <c r="I2182" s="53"/>
      <c r="J2182" s="53"/>
      <c r="K2182" s="53"/>
      <c r="L2182" s="53"/>
      <c r="M2182" s="53"/>
      <c r="N2182" s="53"/>
      <c r="O2182" s="53"/>
      <c r="P2182" s="53"/>
      <c r="Q2182" s="53"/>
      <c r="R2182" s="53"/>
      <c r="S2182" s="53"/>
      <c r="T2182" s="53"/>
      <c r="U2182" s="53"/>
      <c r="V2182" s="53"/>
      <c r="W2182" s="53"/>
      <c r="X2182" s="53"/>
      <c r="Y2182" s="53"/>
      <c r="Z2182" s="54"/>
      <c r="AA2182" s="53"/>
      <c r="AB2182" s="53"/>
      <c r="AC2182" s="53"/>
      <c r="AD2182" s="53"/>
      <c r="AE2182" s="53"/>
      <c r="AF2182" s="53"/>
      <c r="AG2182" s="53"/>
      <c r="AH2182" s="54"/>
      <c r="AI2182" s="53"/>
      <c r="AJ2182" s="53"/>
      <c r="AK2182" s="54"/>
      <c r="AL2182" s="54"/>
    </row>
    <row r="2183" spans="1:38" ht="15.75" thickBot="1" x14ac:dyDescent="0.3">
      <c r="A2183" s="51"/>
      <c r="B2183" s="51"/>
      <c r="C2183" s="51"/>
      <c r="D2183" s="51"/>
      <c r="E2183" s="51"/>
      <c r="F2183" s="51"/>
      <c r="G2183" s="56"/>
      <c r="H2183" s="55"/>
      <c r="I2183" s="55"/>
      <c r="J2183" s="55"/>
      <c r="K2183" s="55"/>
      <c r="L2183" s="55"/>
      <c r="M2183" s="55"/>
      <c r="N2183" s="55"/>
      <c r="O2183" s="55"/>
      <c r="P2183" s="55"/>
      <c r="Q2183" s="55"/>
      <c r="R2183" s="55"/>
      <c r="S2183" s="55"/>
      <c r="T2183" s="55"/>
      <c r="U2183" s="55"/>
      <c r="V2183" s="55"/>
      <c r="W2183" s="55"/>
      <c r="X2183" s="55"/>
      <c r="Y2183" s="55"/>
      <c r="Z2183" s="56"/>
      <c r="AA2183" s="55"/>
      <c r="AB2183" s="55"/>
      <c r="AC2183" s="55"/>
      <c r="AD2183" s="55"/>
      <c r="AE2183" s="55"/>
      <c r="AF2183" s="55"/>
      <c r="AG2183" s="55"/>
      <c r="AH2183" s="56"/>
      <c r="AI2183" s="55"/>
      <c r="AJ2183" s="55"/>
      <c r="AK2183" s="56"/>
      <c r="AL2183" s="56"/>
    </row>
    <row r="2184" spans="1:38" ht="15.75" thickBot="1" x14ac:dyDescent="0.3">
      <c r="A2184" s="51"/>
      <c r="B2184" s="51"/>
      <c r="C2184" s="51"/>
      <c r="D2184" s="51"/>
      <c r="E2184" s="51"/>
      <c r="F2184" s="51"/>
      <c r="G2184" s="54"/>
      <c r="H2184" s="53"/>
      <c r="I2184" s="53"/>
      <c r="J2184" s="53"/>
      <c r="K2184" s="54"/>
      <c r="L2184" s="53"/>
      <c r="M2184" s="53"/>
      <c r="N2184" s="53"/>
      <c r="O2184" s="53"/>
      <c r="P2184" s="53"/>
      <c r="Q2184" s="53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3"/>
      <c r="AB2184" s="53"/>
      <c r="AC2184" s="53"/>
      <c r="AD2184" s="53"/>
      <c r="AE2184" s="53"/>
      <c r="AF2184" s="53"/>
      <c r="AG2184" s="53"/>
      <c r="AH2184" s="54"/>
      <c r="AI2184" s="53"/>
      <c r="AJ2184" s="53"/>
      <c r="AK2184" s="54"/>
      <c r="AL2184" s="54"/>
    </row>
    <row r="2185" spans="1:38" ht="15.75" thickBot="1" x14ac:dyDescent="0.3">
      <c r="A2185" s="51"/>
      <c r="B2185" s="51"/>
      <c r="C2185" s="51"/>
      <c r="D2185" s="51"/>
      <c r="E2185" s="51"/>
      <c r="F2185" s="51"/>
      <c r="G2185" s="56"/>
      <c r="H2185" s="55"/>
      <c r="I2185" s="55"/>
      <c r="J2185" s="55"/>
      <c r="K2185" s="56"/>
      <c r="L2185" s="55"/>
      <c r="M2185" s="55"/>
      <c r="N2185" s="55"/>
      <c r="O2185" s="55"/>
      <c r="P2185" s="55"/>
      <c r="Q2185" s="55"/>
      <c r="R2185" s="55"/>
      <c r="S2185" s="55"/>
      <c r="T2185" s="55"/>
      <c r="U2185" s="55"/>
      <c r="V2185" s="55"/>
      <c r="W2185" s="55"/>
      <c r="X2185" s="55"/>
      <c r="Y2185" s="55"/>
      <c r="Z2185" s="55"/>
      <c r="AA2185" s="55"/>
      <c r="AB2185" s="55"/>
      <c r="AC2185" s="55"/>
      <c r="AD2185" s="55"/>
      <c r="AE2185" s="55"/>
      <c r="AF2185" s="55"/>
      <c r="AG2185" s="55"/>
      <c r="AH2185" s="56"/>
      <c r="AI2185" s="55"/>
      <c r="AJ2185" s="55"/>
      <c r="AK2185" s="56"/>
      <c r="AL2185" s="56"/>
    </row>
    <row r="2186" spans="1:38" ht="15.75" thickBot="1" x14ac:dyDescent="0.3">
      <c r="A2186" s="51"/>
      <c r="B2186" s="51"/>
      <c r="C2186" s="51"/>
      <c r="D2186" s="51"/>
      <c r="E2186" s="51"/>
      <c r="F2186" s="51"/>
      <c r="G2186" s="54"/>
      <c r="H2186" s="53"/>
      <c r="I2186" s="53"/>
      <c r="J2186" s="53"/>
      <c r="K2186" s="53"/>
      <c r="L2186" s="54"/>
      <c r="M2186" s="53"/>
      <c r="N2186" s="53"/>
      <c r="O2186" s="53"/>
      <c r="P2186" s="53"/>
      <c r="Q2186" s="53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3"/>
      <c r="AB2186" s="53"/>
      <c r="AC2186" s="53"/>
      <c r="AD2186" s="53"/>
      <c r="AE2186" s="53"/>
      <c r="AF2186" s="53"/>
      <c r="AG2186" s="53"/>
      <c r="AH2186" s="54"/>
      <c r="AI2186" s="53"/>
      <c r="AJ2186" s="53"/>
      <c r="AK2186" s="54"/>
      <c r="AL2186" s="54"/>
    </row>
    <row r="2187" spans="1:38" ht="15.75" thickBot="1" x14ac:dyDescent="0.3">
      <c r="A2187" s="51"/>
      <c r="B2187" s="51"/>
      <c r="C2187" s="51"/>
      <c r="D2187" s="51"/>
      <c r="E2187" s="51"/>
      <c r="F2187" s="51"/>
      <c r="G2187" s="56"/>
      <c r="H2187" s="55"/>
      <c r="I2187" s="55"/>
      <c r="J2187" s="55"/>
      <c r="K2187" s="55"/>
      <c r="L2187" s="56"/>
      <c r="M2187" s="55"/>
      <c r="N2187" s="55"/>
      <c r="O2187" s="55"/>
      <c r="P2187" s="55"/>
      <c r="Q2187" s="55"/>
      <c r="R2187" s="55"/>
      <c r="S2187" s="55"/>
      <c r="T2187" s="55"/>
      <c r="U2187" s="55"/>
      <c r="V2187" s="55"/>
      <c r="W2187" s="55"/>
      <c r="X2187" s="55"/>
      <c r="Y2187" s="55"/>
      <c r="Z2187" s="55"/>
      <c r="AA2187" s="55"/>
      <c r="AB2187" s="55"/>
      <c r="AC2187" s="55"/>
      <c r="AD2187" s="55"/>
      <c r="AE2187" s="55"/>
      <c r="AF2187" s="55"/>
      <c r="AG2187" s="55"/>
      <c r="AH2187" s="56"/>
      <c r="AI2187" s="55"/>
      <c r="AJ2187" s="55"/>
      <c r="AK2187" s="56"/>
      <c r="AL2187" s="56"/>
    </row>
    <row r="2188" spans="1:38" ht="15.75" thickBot="1" x14ac:dyDescent="0.3">
      <c r="A2188" s="51"/>
      <c r="B2188" s="51"/>
      <c r="C2188" s="51"/>
      <c r="D2188" s="51"/>
      <c r="E2188" s="51"/>
      <c r="F2188" s="51"/>
      <c r="G2188" s="54"/>
      <c r="H2188" s="54"/>
      <c r="I2188" s="53"/>
      <c r="J2188" s="53"/>
      <c r="K2188" s="53"/>
      <c r="L2188" s="53"/>
      <c r="M2188" s="54"/>
      <c r="N2188" s="53"/>
      <c r="O2188" s="53"/>
      <c r="P2188" s="53"/>
      <c r="Q2188" s="53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3"/>
      <c r="AB2188" s="53"/>
      <c r="AC2188" s="53"/>
      <c r="AD2188" s="53"/>
      <c r="AE2188" s="53"/>
      <c r="AF2188" s="53"/>
      <c r="AG2188" s="53"/>
      <c r="AH2188" s="54"/>
      <c r="AI2188" s="53"/>
      <c r="AJ2188" s="53"/>
      <c r="AK2188" s="54"/>
      <c r="AL2188" s="54"/>
    </row>
    <row r="2189" spans="1:38" ht="15.75" thickBot="1" x14ac:dyDescent="0.3">
      <c r="A2189" s="51"/>
      <c r="B2189" s="51"/>
      <c r="C2189" s="51"/>
      <c r="D2189" s="51"/>
      <c r="E2189" s="51"/>
      <c r="F2189" s="51"/>
      <c r="G2189" s="56"/>
      <c r="H2189" s="148"/>
      <c r="I2189" s="55"/>
      <c r="J2189" s="55"/>
      <c r="K2189" s="55"/>
      <c r="L2189" s="55"/>
      <c r="M2189" s="56"/>
      <c r="N2189" s="55"/>
      <c r="O2189" s="55"/>
      <c r="P2189" s="55"/>
      <c r="Q2189" s="55"/>
      <c r="R2189" s="55"/>
      <c r="S2189" s="55"/>
      <c r="T2189" s="55"/>
      <c r="U2189" s="55"/>
      <c r="V2189" s="55"/>
      <c r="W2189" s="55"/>
      <c r="X2189" s="55"/>
      <c r="Y2189" s="55"/>
      <c r="Z2189" s="55"/>
      <c r="AA2189" s="55"/>
      <c r="AB2189" s="55"/>
      <c r="AC2189" s="55"/>
      <c r="AD2189" s="55"/>
      <c r="AE2189" s="55"/>
      <c r="AF2189" s="55"/>
      <c r="AG2189" s="55"/>
      <c r="AH2189" s="56"/>
      <c r="AI2189" s="55"/>
      <c r="AJ2189" s="55"/>
      <c r="AK2189" s="56"/>
      <c r="AL2189" s="56"/>
    </row>
    <row r="2190" spans="1:38" ht="15.75" thickBot="1" x14ac:dyDescent="0.3">
      <c r="A2190" s="51"/>
      <c r="B2190" s="51"/>
      <c r="C2190" s="51"/>
      <c r="D2190" s="51"/>
      <c r="E2190" s="51"/>
      <c r="F2190" s="51"/>
      <c r="G2190" s="54"/>
      <c r="H2190" s="53"/>
      <c r="I2190" s="53"/>
      <c r="J2190" s="53"/>
      <c r="K2190" s="53"/>
      <c r="L2190" s="53"/>
      <c r="M2190" s="53"/>
      <c r="N2190" s="53"/>
      <c r="O2190" s="53"/>
      <c r="P2190" s="53"/>
      <c r="Q2190" s="53"/>
      <c r="R2190" s="53"/>
      <c r="S2190" s="53"/>
      <c r="T2190" s="53"/>
      <c r="U2190" s="53"/>
      <c r="V2190" s="53"/>
      <c r="W2190" s="53"/>
      <c r="X2190" s="53"/>
      <c r="Y2190" s="53"/>
      <c r="Z2190" s="54"/>
      <c r="AA2190" s="53"/>
      <c r="AB2190" s="53"/>
      <c r="AC2190" s="53"/>
      <c r="AD2190" s="53"/>
      <c r="AE2190" s="53"/>
      <c r="AF2190" s="53"/>
      <c r="AG2190" s="53"/>
      <c r="AH2190" s="54"/>
      <c r="AI2190" s="53"/>
      <c r="AJ2190" s="53"/>
      <c r="AK2190" s="54"/>
      <c r="AL2190" s="54"/>
    </row>
    <row r="2191" spans="1:38" ht="15.75" thickBot="1" x14ac:dyDescent="0.3">
      <c r="A2191" s="51"/>
      <c r="B2191" s="51"/>
      <c r="C2191" s="51"/>
      <c r="D2191" s="51"/>
      <c r="E2191" s="51"/>
      <c r="F2191" s="51"/>
      <c r="G2191" s="56"/>
      <c r="H2191" s="55"/>
      <c r="I2191" s="55"/>
      <c r="J2191" s="55"/>
      <c r="K2191" s="55"/>
      <c r="L2191" s="55"/>
      <c r="M2191" s="55"/>
      <c r="N2191" s="55"/>
      <c r="O2191" s="55"/>
      <c r="P2191" s="55"/>
      <c r="Q2191" s="55"/>
      <c r="R2191" s="55"/>
      <c r="S2191" s="55"/>
      <c r="T2191" s="55"/>
      <c r="U2191" s="55"/>
      <c r="V2191" s="55"/>
      <c r="W2191" s="55"/>
      <c r="X2191" s="55"/>
      <c r="Y2191" s="55"/>
      <c r="Z2191" s="56"/>
      <c r="AA2191" s="55"/>
      <c r="AB2191" s="55"/>
      <c r="AC2191" s="55"/>
      <c r="AD2191" s="55"/>
      <c r="AE2191" s="55"/>
      <c r="AF2191" s="55"/>
      <c r="AG2191" s="55"/>
      <c r="AH2191" s="56"/>
      <c r="AI2191" s="55"/>
      <c r="AJ2191" s="55"/>
      <c r="AK2191" s="56"/>
      <c r="AL2191" s="56"/>
    </row>
    <row r="2192" spans="1:38" ht="15.75" thickBot="1" x14ac:dyDescent="0.3">
      <c r="A2192" s="51"/>
      <c r="B2192" s="51"/>
      <c r="C2192" s="51"/>
      <c r="D2192" s="51"/>
      <c r="E2192" s="51"/>
      <c r="F2192" s="51"/>
      <c r="G2192" s="54"/>
      <c r="H2192" s="53"/>
      <c r="I2192" s="53"/>
      <c r="J2192" s="53"/>
      <c r="K2192" s="53"/>
      <c r="L2192" s="53"/>
      <c r="M2192" s="53"/>
      <c r="N2192" s="53"/>
      <c r="O2192" s="53"/>
      <c r="P2192" s="53"/>
      <c r="Q2192" s="53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4"/>
      <c r="AB2192" s="53"/>
      <c r="AC2192" s="53"/>
      <c r="AD2192" s="53"/>
      <c r="AE2192" s="53"/>
      <c r="AF2192" s="53"/>
      <c r="AG2192" s="53"/>
      <c r="AH2192" s="54"/>
      <c r="AI2192" s="53"/>
      <c r="AJ2192" s="53"/>
      <c r="AK2192" s="54"/>
      <c r="AL2192" s="54"/>
    </row>
    <row r="2193" spans="1:38" ht="15.75" thickBot="1" x14ac:dyDescent="0.3">
      <c r="A2193" s="51"/>
      <c r="B2193" s="51"/>
      <c r="C2193" s="51"/>
      <c r="D2193" s="51"/>
      <c r="E2193" s="51"/>
      <c r="F2193" s="51"/>
      <c r="G2193" s="56"/>
      <c r="H2193" s="55"/>
      <c r="I2193" s="55"/>
      <c r="J2193" s="55"/>
      <c r="K2193" s="55"/>
      <c r="L2193" s="55"/>
      <c r="M2193" s="55"/>
      <c r="N2193" s="55"/>
      <c r="O2193" s="55"/>
      <c r="P2193" s="55"/>
      <c r="Q2193" s="55"/>
      <c r="R2193" s="55"/>
      <c r="S2193" s="55"/>
      <c r="T2193" s="55"/>
      <c r="U2193" s="55"/>
      <c r="V2193" s="55"/>
      <c r="W2193" s="55"/>
      <c r="X2193" s="55"/>
      <c r="Y2193" s="55"/>
      <c r="Z2193" s="55"/>
      <c r="AA2193" s="56"/>
      <c r="AB2193" s="55"/>
      <c r="AC2193" s="55"/>
      <c r="AD2193" s="55"/>
      <c r="AE2193" s="55"/>
      <c r="AF2193" s="55"/>
      <c r="AG2193" s="55"/>
      <c r="AH2193" s="56"/>
      <c r="AI2193" s="55"/>
      <c r="AJ2193" s="55"/>
      <c r="AK2193" s="56"/>
      <c r="AL2193" s="56"/>
    </row>
    <row r="2194" spans="1:38" ht="15.75" thickBot="1" x14ac:dyDescent="0.3">
      <c r="A2194" s="51"/>
      <c r="B2194" s="51"/>
      <c r="C2194" s="51"/>
      <c r="D2194" s="51"/>
      <c r="E2194" s="51"/>
      <c r="F2194" s="51"/>
      <c r="G2194" s="54"/>
      <c r="H2194" s="53"/>
      <c r="I2194" s="53"/>
      <c r="J2194" s="53"/>
      <c r="K2194" s="53"/>
      <c r="L2194" s="53"/>
      <c r="M2194" s="53"/>
      <c r="N2194" s="53"/>
      <c r="O2194" s="53"/>
      <c r="P2194" s="53"/>
      <c r="Q2194" s="53"/>
      <c r="R2194" s="54"/>
      <c r="S2194" s="53"/>
      <c r="T2194" s="53"/>
      <c r="U2194" s="53"/>
      <c r="V2194" s="53"/>
      <c r="W2194" s="53"/>
      <c r="X2194" s="53"/>
      <c r="Y2194" s="53"/>
      <c r="Z2194" s="53"/>
      <c r="AA2194" s="53"/>
      <c r="AB2194" s="53"/>
      <c r="AC2194" s="53"/>
      <c r="AD2194" s="53"/>
      <c r="AE2194" s="53"/>
      <c r="AF2194" s="53"/>
      <c r="AG2194" s="53"/>
      <c r="AH2194" s="54"/>
      <c r="AI2194" s="53"/>
      <c r="AJ2194" s="53"/>
      <c r="AK2194" s="54"/>
      <c r="AL2194" s="54"/>
    </row>
    <row r="2195" spans="1:38" ht="15.75" thickBot="1" x14ac:dyDescent="0.3">
      <c r="A2195" s="51"/>
      <c r="B2195" s="51"/>
      <c r="C2195" s="51"/>
      <c r="D2195" s="51"/>
      <c r="E2195" s="51"/>
      <c r="F2195" s="51"/>
      <c r="G2195" s="56"/>
      <c r="H2195" s="55"/>
      <c r="I2195" s="55"/>
      <c r="J2195" s="55"/>
      <c r="K2195" s="55"/>
      <c r="L2195" s="55"/>
      <c r="M2195" s="55"/>
      <c r="N2195" s="55"/>
      <c r="O2195" s="55"/>
      <c r="P2195" s="55"/>
      <c r="Q2195" s="55"/>
      <c r="R2195" s="56"/>
      <c r="S2195" s="55"/>
      <c r="T2195" s="55"/>
      <c r="U2195" s="55"/>
      <c r="V2195" s="55"/>
      <c r="W2195" s="55"/>
      <c r="X2195" s="55"/>
      <c r="Y2195" s="55"/>
      <c r="Z2195" s="55"/>
      <c r="AA2195" s="55"/>
      <c r="AB2195" s="55"/>
      <c r="AC2195" s="55"/>
      <c r="AD2195" s="55"/>
      <c r="AE2195" s="55"/>
      <c r="AF2195" s="55"/>
      <c r="AG2195" s="55"/>
      <c r="AH2195" s="56"/>
      <c r="AI2195" s="55"/>
      <c r="AJ2195" s="55"/>
      <c r="AK2195" s="56"/>
      <c r="AL2195" s="56"/>
    </row>
    <row r="2196" spans="1:38" ht="15.75" thickBot="1" x14ac:dyDescent="0.3">
      <c r="A2196" s="51"/>
      <c r="B2196" s="51"/>
      <c r="C2196" s="51"/>
      <c r="D2196" s="51"/>
      <c r="E2196" s="51"/>
      <c r="F2196" s="51"/>
      <c r="G2196" s="54"/>
      <c r="H2196" s="53"/>
      <c r="I2196" s="53"/>
      <c r="J2196" s="53"/>
      <c r="K2196" s="53"/>
      <c r="L2196" s="53"/>
      <c r="M2196" s="53"/>
      <c r="N2196" s="53"/>
      <c r="O2196" s="53"/>
      <c r="P2196" s="53"/>
      <c r="Q2196" s="53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3"/>
      <c r="AB2196" s="53"/>
      <c r="AC2196" s="54"/>
      <c r="AD2196" s="53"/>
      <c r="AE2196" s="53"/>
      <c r="AF2196" s="53"/>
      <c r="AG2196" s="53"/>
      <c r="AH2196" s="54"/>
      <c r="AI2196" s="53"/>
      <c r="AJ2196" s="53"/>
      <c r="AK2196" s="54"/>
      <c r="AL2196" s="54"/>
    </row>
    <row r="2197" spans="1:38" ht="15.75" thickBot="1" x14ac:dyDescent="0.3">
      <c r="A2197" s="51"/>
      <c r="B2197" s="51"/>
      <c r="C2197" s="51"/>
      <c r="D2197" s="51"/>
      <c r="E2197" s="51"/>
      <c r="F2197" s="51"/>
      <c r="G2197" s="56"/>
      <c r="H2197" s="55"/>
      <c r="I2197" s="55"/>
      <c r="J2197" s="55"/>
      <c r="K2197" s="55"/>
      <c r="L2197" s="55"/>
      <c r="M2197" s="55"/>
      <c r="N2197" s="55"/>
      <c r="O2197" s="55"/>
      <c r="P2197" s="55"/>
      <c r="Q2197" s="55"/>
      <c r="R2197" s="55"/>
      <c r="S2197" s="55"/>
      <c r="T2197" s="55"/>
      <c r="U2197" s="55"/>
      <c r="V2197" s="55"/>
      <c r="W2197" s="55"/>
      <c r="X2197" s="55"/>
      <c r="Y2197" s="55"/>
      <c r="Z2197" s="55"/>
      <c r="AA2197" s="55"/>
      <c r="AB2197" s="55"/>
      <c r="AC2197" s="56"/>
      <c r="AD2197" s="55"/>
      <c r="AE2197" s="55"/>
      <c r="AF2197" s="55"/>
      <c r="AG2197" s="55"/>
      <c r="AH2197" s="56"/>
      <c r="AI2197" s="55"/>
      <c r="AJ2197" s="55"/>
      <c r="AK2197" s="56"/>
      <c r="AL2197" s="56"/>
    </row>
    <row r="2198" spans="1:38" ht="15.75" thickBot="1" x14ac:dyDescent="0.3">
      <c r="A2198" s="51"/>
      <c r="B2198" s="51"/>
      <c r="C2198" s="51"/>
      <c r="D2198" s="51"/>
      <c r="E2198" s="51"/>
      <c r="F2198" s="51"/>
      <c r="G2198" s="54"/>
      <c r="H2198" s="53"/>
      <c r="I2198" s="53"/>
      <c r="J2198" s="53"/>
      <c r="K2198" s="54"/>
      <c r="L2198" s="53"/>
      <c r="M2198" s="53"/>
      <c r="N2198" s="53"/>
      <c r="O2198" s="53"/>
      <c r="P2198" s="53"/>
      <c r="Q2198" s="53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3"/>
      <c r="AB2198" s="53"/>
      <c r="AC2198" s="53"/>
      <c r="AD2198" s="53"/>
      <c r="AE2198" s="53"/>
      <c r="AF2198" s="53"/>
      <c r="AG2198" s="53"/>
      <c r="AH2198" s="54"/>
      <c r="AI2198" s="53"/>
      <c r="AJ2198" s="53"/>
      <c r="AK2198" s="54"/>
      <c r="AL2198" s="54"/>
    </row>
    <row r="2199" spans="1:38" ht="15.75" thickBot="1" x14ac:dyDescent="0.3">
      <c r="A2199" s="51"/>
      <c r="B2199" s="51"/>
      <c r="C2199" s="51"/>
      <c r="D2199" s="51"/>
      <c r="E2199" s="51"/>
      <c r="F2199" s="51"/>
      <c r="G2199" s="56"/>
      <c r="H2199" s="55"/>
      <c r="I2199" s="55"/>
      <c r="J2199" s="55"/>
      <c r="K2199" s="56"/>
      <c r="L2199" s="55"/>
      <c r="M2199" s="55"/>
      <c r="N2199" s="55"/>
      <c r="O2199" s="55"/>
      <c r="P2199" s="55"/>
      <c r="Q2199" s="55"/>
      <c r="R2199" s="55"/>
      <c r="S2199" s="55"/>
      <c r="T2199" s="55"/>
      <c r="U2199" s="55"/>
      <c r="V2199" s="55"/>
      <c r="W2199" s="55"/>
      <c r="X2199" s="55"/>
      <c r="Y2199" s="55"/>
      <c r="Z2199" s="55"/>
      <c r="AA2199" s="55"/>
      <c r="AB2199" s="55"/>
      <c r="AC2199" s="55"/>
      <c r="AD2199" s="55"/>
      <c r="AE2199" s="55"/>
      <c r="AF2199" s="55"/>
      <c r="AG2199" s="55"/>
      <c r="AH2199" s="56"/>
      <c r="AI2199" s="55"/>
      <c r="AJ2199" s="55"/>
      <c r="AK2199" s="56"/>
      <c r="AL2199" s="56"/>
    </row>
    <row r="2200" spans="1:38" ht="15.75" thickBot="1" x14ac:dyDescent="0.3">
      <c r="A2200" s="51"/>
      <c r="B2200" s="51"/>
      <c r="C2200" s="51"/>
      <c r="D2200" s="51"/>
      <c r="E2200" s="51"/>
      <c r="F2200" s="51"/>
      <c r="G2200" s="54"/>
      <c r="H2200" s="53"/>
      <c r="I2200" s="53"/>
      <c r="J2200" s="53"/>
      <c r="K2200" s="53"/>
      <c r="L2200" s="54"/>
      <c r="M2200" s="53"/>
      <c r="N2200" s="53"/>
      <c r="O2200" s="53"/>
      <c r="P2200" s="53"/>
      <c r="Q2200" s="53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3"/>
      <c r="AB2200" s="53"/>
      <c r="AC2200" s="53"/>
      <c r="AD2200" s="53"/>
      <c r="AE2200" s="53"/>
      <c r="AF2200" s="53"/>
      <c r="AG2200" s="53"/>
      <c r="AH2200" s="54"/>
      <c r="AI2200" s="53"/>
      <c r="AJ2200" s="53"/>
      <c r="AK2200" s="54"/>
      <c r="AL2200" s="54"/>
    </row>
    <row r="2201" spans="1:38" ht="15.75" thickBot="1" x14ac:dyDescent="0.3">
      <c r="A2201" s="51"/>
      <c r="B2201" s="51"/>
      <c r="C2201" s="51"/>
      <c r="D2201" s="51"/>
      <c r="E2201" s="51"/>
      <c r="F2201" s="51"/>
      <c r="G2201" s="56"/>
      <c r="H2201" s="55"/>
      <c r="I2201" s="55"/>
      <c r="J2201" s="55"/>
      <c r="K2201" s="55"/>
      <c r="L2201" s="56"/>
      <c r="M2201" s="55"/>
      <c r="N2201" s="55"/>
      <c r="O2201" s="55"/>
      <c r="P2201" s="55"/>
      <c r="Q2201" s="55"/>
      <c r="R2201" s="55"/>
      <c r="S2201" s="55"/>
      <c r="T2201" s="55"/>
      <c r="U2201" s="55"/>
      <c r="V2201" s="55"/>
      <c r="W2201" s="55"/>
      <c r="X2201" s="55"/>
      <c r="Y2201" s="55"/>
      <c r="Z2201" s="55"/>
      <c r="AA2201" s="55"/>
      <c r="AB2201" s="55"/>
      <c r="AC2201" s="55"/>
      <c r="AD2201" s="55"/>
      <c r="AE2201" s="55"/>
      <c r="AF2201" s="55"/>
      <c r="AG2201" s="55"/>
      <c r="AH2201" s="56"/>
      <c r="AI2201" s="55"/>
      <c r="AJ2201" s="55"/>
      <c r="AK2201" s="56"/>
      <c r="AL2201" s="56"/>
    </row>
    <row r="2202" spans="1:38" ht="15.75" thickBot="1" x14ac:dyDescent="0.3">
      <c r="A2202" s="51"/>
      <c r="B2202" s="51"/>
      <c r="C2202" s="51"/>
      <c r="D2202" s="51"/>
      <c r="E2202" s="51"/>
      <c r="F2202" s="51"/>
      <c r="G2202" s="54"/>
      <c r="H2202" s="54"/>
      <c r="I2202" s="53"/>
      <c r="J2202" s="53"/>
      <c r="K2202" s="53"/>
      <c r="L2202" s="53"/>
      <c r="M2202" s="54"/>
      <c r="N2202" s="53"/>
      <c r="O2202" s="53"/>
      <c r="P2202" s="53"/>
      <c r="Q2202" s="53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3"/>
      <c r="AB2202" s="53"/>
      <c r="AC2202" s="53"/>
      <c r="AD2202" s="53"/>
      <c r="AE2202" s="53"/>
      <c r="AF2202" s="53"/>
      <c r="AG2202" s="53"/>
      <c r="AH2202" s="54"/>
      <c r="AI2202" s="53"/>
      <c r="AJ2202" s="53"/>
      <c r="AK2202" s="54"/>
      <c r="AL2202" s="54"/>
    </row>
    <row r="2203" spans="1:38" ht="15.75" thickBot="1" x14ac:dyDescent="0.3">
      <c r="A2203" s="51"/>
      <c r="B2203" s="51"/>
      <c r="C2203" s="51"/>
      <c r="D2203" s="51"/>
      <c r="E2203" s="51"/>
      <c r="F2203" s="51"/>
      <c r="G2203" s="56"/>
      <c r="H2203" s="148"/>
      <c r="I2203" s="55"/>
      <c r="J2203" s="55"/>
      <c r="K2203" s="55"/>
      <c r="L2203" s="55"/>
      <c r="M2203" s="56"/>
      <c r="N2203" s="55"/>
      <c r="O2203" s="55"/>
      <c r="P2203" s="55"/>
      <c r="Q2203" s="55"/>
      <c r="R2203" s="55"/>
      <c r="S2203" s="55"/>
      <c r="T2203" s="55"/>
      <c r="U2203" s="55"/>
      <c r="V2203" s="55"/>
      <c r="W2203" s="55"/>
      <c r="X2203" s="55"/>
      <c r="Y2203" s="55"/>
      <c r="Z2203" s="55"/>
      <c r="AA2203" s="55"/>
      <c r="AB2203" s="55"/>
      <c r="AC2203" s="55"/>
      <c r="AD2203" s="55"/>
      <c r="AE2203" s="55"/>
      <c r="AF2203" s="55"/>
      <c r="AG2203" s="55"/>
      <c r="AH2203" s="56"/>
      <c r="AI2203" s="55"/>
      <c r="AJ2203" s="55"/>
      <c r="AK2203" s="56"/>
      <c r="AL2203" s="56"/>
    </row>
    <row r="2204" spans="1:38" ht="15.75" thickBot="1" x14ac:dyDescent="0.3">
      <c r="A2204" s="51"/>
      <c r="B2204" s="51"/>
      <c r="C2204" s="51"/>
      <c r="D2204" s="51"/>
      <c r="E2204" s="51"/>
      <c r="F2204" s="51"/>
      <c r="G2204" s="54"/>
      <c r="H2204" s="53"/>
      <c r="I2204" s="53"/>
      <c r="J2204" s="53"/>
      <c r="K2204" s="53"/>
      <c r="L2204" s="53"/>
      <c r="M2204" s="53"/>
      <c r="N2204" s="53"/>
      <c r="O2204" s="53"/>
      <c r="P2204" s="53"/>
      <c r="Q2204" s="53"/>
      <c r="R2204" s="53"/>
      <c r="S2204" s="53"/>
      <c r="T2204" s="53"/>
      <c r="U2204" s="53"/>
      <c r="V2204" s="53"/>
      <c r="W2204" s="53"/>
      <c r="X2204" s="53"/>
      <c r="Y2204" s="53"/>
      <c r="Z2204" s="54"/>
      <c r="AA2204" s="53"/>
      <c r="AB2204" s="53"/>
      <c r="AC2204" s="53"/>
      <c r="AD2204" s="53"/>
      <c r="AE2204" s="53"/>
      <c r="AF2204" s="53"/>
      <c r="AG2204" s="53"/>
      <c r="AH2204" s="54"/>
      <c r="AI2204" s="53"/>
      <c r="AJ2204" s="53"/>
      <c r="AK2204" s="54"/>
      <c r="AL2204" s="54"/>
    </row>
    <row r="2205" spans="1:38" ht="15.75" thickBot="1" x14ac:dyDescent="0.3">
      <c r="A2205" s="51"/>
      <c r="B2205" s="51"/>
      <c r="C2205" s="51"/>
      <c r="D2205" s="51"/>
      <c r="E2205" s="51"/>
      <c r="F2205" s="51"/>
      <c r="G2205" s="56"/>
      <c r="H2205" s="55"/>
      <c r="I2205" s="55"/>
      <c r="J2205" s="55"/>
      <c r="K2205" s="55"/>
      <c r="L2205" s="55"/>
      <c r="M2205" s="55"/>
      <c r="N2205" s="55"/>
      <c r="O2205" s="55"/>
      <c r="P2205" s="55"/>
      <c r="Q2205" s="55"/>
      <c r="R2205" s="55"/>
      <c r="S2205" s="55"/>
      <c r="T2205" s="55"/>
      <c r="U2205" s="55"/>
      <c r="V2205" s="55"/>
      <c r="W2205" s="55"/>
      <c r="X2205" s="55"/>
      <c r="Y2205" s="55"/>
      <c r="Z2205" s="56"/>
      <c r="AA2205" s="55"/>
      <c r="AB2205" s="55"/>
      <c r="AC2205" s="55"/>
      <c r="AD2205" s="55"/>
      <c r="AE2205" s="55"/>
      <c r="AF2205" s="55"/>
      <c r="AG2205" s="55"/>
      <c r="AH2205" s="56"/>
      <c r="AI2205" s="55"/>
      <c r="AJ2205" s="55"/>
      <c r="AK2205" s="56"/>
      <c r="AL2205" s="56"/>
    </row>
    <row r="2206" spans="1:38" ht="15.75" thickBot="1" x14ac:dyDescent="0.3">
      <c r="A2206" s="51"/>
      <c r="B2206" s="51"/>
      <c r="C2206" s="51"/>
      <c r="D2206" s="51"/>
      <c r="E2206" s="51"/>
      <c r="F2206" s="51"/>
      <c r="G2206" s="54"/>
      <c r="H2206" s="53"/>
      <c r="I2206" s="53"/>
      <c r="J2206" s="53"/>
      <c r="K2206" s="53"/>
      <c r="L2206" s="53"/>
      <c r="M2206" s="53"/>
      <c r="N2206" s="53"/>
      <c r="O2206" s="53"/>
      <c r="P2206" s="53"/>
      <c r="Q2206" s="53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4"/>
      <c r="AB2206" s="53"/>
      <c r="AC2206" s="53"/>
      <c r="AD2206" s="53"/>
      <c r="AE2206" s="53"/>
      <c r="AF2206" s="53"/>
      <c r="AG2206" s="53"/>
      <c r="AH2206" s="54"/>
      <c r="AI2206" s="53"/>
      <c r="AJ2206" s="53"/>
      <c r="AK2206" s="54"/>
      <c r="AL2206" s="54"/>
    </row>
    <row r="2207" spans="1:38" ht="15.75" thickBot="1" x14ac:dyDescent="0.3">
      <c r="A2207" s="51"/>
      <c r="B2207" s="51"/>
      <c r="C2207" s="51"/>
      <c r="D2207" s="51"/>
      <c r="E2207" s="51"/>
      <c r="F2207" s="51"/>
      <c r="G2207" s="56"/>
      <c r="H2207" s="55"/>
      <c r="I2207" s="55"/>
      <c r="J2207" s="55"/>
      <c r="K2207" s="55"/>
      <c r="L2207" s="55"/>
      <c r="M2207" s="55"/>
      <c r="N2207" s="55"/>
      <c r="O2207" s="55"/>
      <c r="P2207" s="55"/>
      <c r="Q2207" s="55"/>
      <c r="R2207" s="55"/>
      <c r="S2207" s="55"/>
      <c r="T2207" s="55"/>
      <c r="U2207" s="55"/>
      <c r="V2207" s="55"/>
      <c r="W2207" s="55"/>
      <c r="X2207" s="55"/>
      <c r="Y2207" s="55"/>
      <c r="Z2207" s="55"/>
      <c r="AA2207" s="56"/>
      <c r="AB2207" s="55"/>
      <c r="AC2207" s="55"/>
      <c r="AD2207" s="55"/>
      <c r="AE2207" s="55"/>
      <c r="AF2207" s="55"/>
      <c r="AG2207" s="55"/>
      <c r="AH2207" s="56"/>
      <c r="AI2207" s="55"/>
      <c r="AJ2207" s="55"/>
      <c r="AK2207" s="56"/>
      <c r="AL2207" s="56"/>
    </row>
    <row r="2208" spans="1:38" ht="15.75" thickBot="1" x14ac:dyDescent="0.3">
      <c r="A2208" s="51"/>
      <c r="B2208" s="51"/>
      <c r="C2208" s="51"/>
      <c r="D2208" s="51"/>
      <c r="E2208" s="51"/>
      <c r="F2208" s="51"/>
      <c r="G2208" s="54"/>
      <c r="H2208" s="53"/>
      <c r="I2208" s="53"/>
      <c r="J2208" s="53"/>
      <c r="K2208" s="53"/>
      <c r="L2208" s="53"/>
      <c r="M2208" s="53"/>
      <c r="N2208" s="53"/>
      <c r="O2208" s="53"/>
      <c r="P2208" s="53"/>
      <c r="Q2208" s="53"/>
      <c r="R2208" s="54"/>
      <c r="S2208" s="53"/>
      <c r="T2208" s="53"/>
      <c r="U2208" s="53"/>
      <c r="V2208" s="53"/>
      <c r="W2208" s="53"/>
      <c r="X2208" s="53"/>
      <c r="Y2208" s="53"/>
      <c r="Z2208" s="53"/>
      <c r="AA2208" s="53"/>
      <c r="AB2208" s="53"/>
      <c r="AC2208" s="53"/>
      <c r="AD2208" s="53"/>
      <c r="AE2208" s="53"/>
      <c r="AF2208" s="53"/>
      <c r="AG2208" s="53"/>
      <c r="AH2208" s="54"/>
      <c r="AI2208" s="53"/>
      <c r="AJ2208" s="53"/>
      <c r="AK2208" s="54"/>
      <c r="AL2208" s="54"/>
    </row>
    <row r="2209" spans="1:38" ht="15.75" thickBot="1" x14ac:dyDescent="0.3">
      <c r="A2209" s="51"/>
      <c r="B2209" s="51"/>
      <c r="C2209" s="51"/>
      <c r="D2209" s="51"/>
      <c r="E2209" s="51"/>
      <c r="F2209" s="51"/>
      <c r="G2209" s="56"/>
      <c r="H2209" s="55"/>
      <c r="I2209" s="55"/>
      <c r="J2209" s="55"/>
      <c r="K2209" s="55"/>
      <c r="L2209" s="55"/>
      <c r="M2209" s="55"/>
      <c r="N2209" s="55"/>
      <c r="O2209" s="55"/>
      <c r="P2209" s="55"/>
      <c r="Q2209" s="55"/>
      <c r="R2209" s="56"/>
      <c r="S2209" s="55"/>
      <c r="T2209" s="55"/>
      <c r="U2209" s="55"/>
      <c r="V2209" s="55"/>
      <c r="W2209" s="55"/>
      <c r="X2209" s="55"/>
      <c r="Y2209" s="55"/>
      <c r="Z2209" s="55"/>
      <c r="AA2209" s="55"/>
      <c r="AB2209" s="55"/>
      <c r="AC2209" s="55"/>
      <c r="AD2209" s="55"/>
      <c r="AE2209" s="55"/>
      <c r="AF2209" s="55"/>
      <c r="AG2209" s="55"/>
      <c r="AH2209" s="56"/>
      <c r="AI2209" s="55"/>
      <c r="AJ2209" s="55"/>
      <c r="AK2209" s="56"/>
      <c r="AL2209" s="56"/>
    </row>
    <row r="2210" spans="1:38" ht="15.75" thickBot="1" x14ac:dyDescent="0.3">
      <c r="A2210" s="51"/>
      <c r="B2210" s="51"/>
      <c r="C2210" s="51"/>
      <c r="D2210" s="51"/>
      <c r="E2210" s="51"/>
      <c r="F2210" s="51"/>
      <c r="G2210" s="54"/>
      <c r="H2210" s="53"/>
      <c r="I2210" s="53"/>
      <c r="J2210" s="53"/>
      <c r="K2210" s="53"/>
      <c r="L2210" s="53"/>
      <c r="M2210" s="53"/>
      <c r="N2210" s="53"/>
      <c r="O2210" s="53"/>
      <c r="P2210" s="53"/>
      <c r="Q2210" s="53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3"/>
      <c r="AB2210" s="53"/>
      <c r="AC2210" s="54"/>
      <c r="AD2210" s="53"/>
      <c r="AE2210" s="53"/>
      <c r="AF2210" s="53"/>
      <c r="AG2210" s="53"/>
      <c r="AH2210" s="54"/>
      <c r="AI2210" s="53"/>
      <c r="AJ2210" s="53"/>
      <c r="AK2210" s="54"/>
      <c r="AL2210" s="54"/>
    </row>
    <row r="2211" spans="1:38" ht="15.75" thickBot="1" x14ac:dyDescent="0.3">
      <c r="A2211" s="51"/>
      <c r="B2211" s="51"/>
      <c r="C2211" s="51"/>
      <c r="D2211" s="51"/>
      <c r="E2211" s="51"/>
      <c r="F2211" s="51"/>
      <c r="G2211" s="56"/>
      <c r="H2211" s="55"/>
      <c r="I2211" s="55"/>
      <c r="J2211" s="55"/>
      <c r="K2211" s="55"/>
      <c r="L2211" s="55"/>
      <c r="M2211" s="55"/>
      <c r="N2211" s="55"/>
      <c r="O2211" s="55"/>
      <c r="P2211" s="55"/>
      <c r="Q2211" s="55"/>
      <c r="R2211" s="55"/>
      <c r="S2211" s="55"/>
      <c r="T2211" s="55"/>
      <c r="U2211" s="55"/>
      <c r="V2211" s="55"/>
      <c r="W2211" s="55"/>
      <c r="X2211" s="55"/>
      <c r="Y2211" s="55"/>
      <c r="Z2211" s="55"/>
      <c r="AA2211" s="55"/>
      <c r="AB2211" s="55"/>
      <c r="AC2211" s="56"/>
      <c r="AD2211" s="55"/>
      <c r="AE2211" s="55"/>
      <c r="AF2211" s="55"/>
      <c r="AG2211" s="55"/>
      <c r="AH2211" s="56"/>
      <c r="AI2211" s="55"/>
      <c r="AJ2211" s="55"/>
      <c r="AK2211" s="56"/>
      <c r="AL2211" s="56"/>
    </row>
    <row r="2212" spans="1:38" ht="15.75" thickBot="1" x14ac:dyDescent="0.3">
      <c r="A2212" s="51"/>
      <c r="B2212" s="51"/>
      <c r="C2212" s="51"/>
      <c r="D2212" s="51"/>
      <c r="E2212" s="51"/>
      <c r="F2212" s="51"/>
      <c r="G2212" s="54"/>
      <c r="H2212" s="53"/>
      <c r="I2212" s="53"/>
      <c r="J2212" s="53"/>
      <c r="K2212" s="53"/>
      <c r="L2212" s="53"/>
      <c r="M2212" s="53"/>
      <c r="N2212" s="53"/>
      <c r="O2212" s="53"/>
      <c r="P2212" s="53"/>
      <c r="Q2212" s="54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3"/>
      <c r="AB2212" s="53"/>
      <c r="AC2212" s="53"/>
      <c r="AD2212" s="53"/>
      <c r="AE2212" s="53"/>
      <c r="AF2212" s="53"/>
      <c r="AG2212" s="53"/>
      <c r="AH2212" s="54"/>
      <c r="AI2212" s="53"/>
      <c r="AJ2212" s="53"/>
      <c r="AK2212" s="54"/>
      <c r="AL2212" s="54"/>
    </row>
    <row r="2213" spans="1:38" ht="15.75" thickBot="1" x14ac:dyDescent="0.3">
      <c r="A2213" s="51"/>
      <c r="B2213" s="51"/>
      <c r="C2213" s="51"/>
      <c r="D2213" s="51"/>
      <c r="E2213" s="51"/>
      <c r="F2213" s="51"/>
      <c r="G2213" s="56"/>
      <c r="H2213" s="55"/>
      <c r="I2213" s="55"/>
      <c r="J2213" s="55"/>
      <c r="K2213" s="55"/>
      <c r="L2213" s="55"/>
      <c r="M2213" s="55"/>
      <c r="N2213" s="55"/>
      <c r="O2213" s="55"/>
      <c r="P2213" s="55"/>
      <c r="Q2213" s="56"/>
      <c r="R2213" s="55"/>
      <c r="S2213" s="55"/>
      <c r="T2213" s="55"/>
      <c r="U2213" s="55"/>
      <c r="V2213" s="55"/>
      <c r="W2213" s="55"/>
      <c r="X2213" s="55"/>
      <c r="Y2213" s="55"/>
      <c r="Z2213" s="55"/>
      <c r="AA2213" s="55"/>
      <c r="AB2213" s="55"/>
      <c r="AC2213" s="55"/>
      <c r="AD2213" s="55"/>
      <c r="AE2213" s="55"/>
      <c r="AF2213" s="55"/>
      <c r="AG2213" s="55"/>
      <c r="AH2213" s="56"/>
      <c r="AI2213" s="55"/>
      <c r="AJ2213" s="55"/>
      <c r="AK2213" s="56"/>
      <c r="AL2213" s="56"/>
    </row>
    <row r="2214" spans="1:38" ht="15.75" thickBot="1" x14ac:dyDescent="0.3">
      <c r="A2214" s="51"/>
      <c r="B2214" s="51"/>
      <c r="C2214" s="51"/>
      <c r="D2214" s="51"/>
      <c r="E2214" s="51"/>
      <c r="F2214" s="51"/>
      <c r="G2214" s="54"/>
      <c r="H2214" s="54"/>
      <c r="I2214" s="53"/>
      <c r="J2214" s="53"/>
      <c r="K2214" s="53"/>
      <c r="L2214" s="53"/>
      <c r="M2214" s="54"/>
      <c r="N2214" s="53"/>
      <c r="O2214" s="53"/>
      <c r="P2214" s="53"/>
      <c r="Q2214" s="53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3"/>
      <c r="AB2214" s="53"/>
      <c r="AC2214" s="53"/>
      <c r="AD2214" s="53"/>
      <c r="AE2214" s="53"/>
      <c r="AF2214" s="53"/>
      <c r="AG2214" s="53"/>
      <c r="AH2214" s="54"/>
      <c r="AI2214" s="53"/>
      <c r="AJ2214" s="53"/>
      <c r="AK2214" s="54"/>
      <c r="AL2214" s="54"/>
    </row>
    <row r="2215" spans="1:38" ht="15.75" thickBot="1" x14ac:dyDescent="0.3">
      <c r="A2215" s="51"/>
      <c r="B2215" s="51"/>
      <c r="C2215" s="51"/>
      <c r="D2215" s="51"/>
      <c r="E2215" s="51"/>
      <c r="F2215" s="51"/>
      <c r="G2215" s="56"/>
      <c r="H2215" s="148"/>
      <c r="I2215" s="55"/>
      <c r="J2215" s="55"/>
      <c r="K2215" s="55"/>
      <c r="L2215" s="55"/>
      <c r="M2215" s="56"/>
      <c r="N2215" s="55"/>
      <c r="O2215" s="55"/>
      <c r="P2215" s="55"/>
      <c r="Q2215" s="55"/>
      <c r="R2215" s="55"/>
      <c r="S2215" s="55"/>
      <c r="T2215" s="55"/>
      <c r="U2215" s="55"/>
      <c r="V2215" s="55"/>
      <c r="W2215" s="55"/>
      <c r="X2215" s="55"/>
      <c r="Y2215" s="55"/>
      <c r="Z2215" s="55"/>
      <c r="AA2215" s="55"/>
      <c r="AB2215" s="55"/>
      <c r="AC2215" s="55"/>
      <c r="AD2215" s="55"/>
      <c r="AE2215" s="55"/>
      <c r="AF2215" s="55"/>
      <c r="AG2215" s="55"/>
      <c r="AH2215" s="56"/>
      <c r="AI2215" s="55"/>
      <c r="AJ2215" s="55"/>
      <c r="AK2215" s="56"/>
      <c r="AL2215" s="56"/>
    </row>
    <row r="2216" spans="1:38" ht="15.75" thickBot="1" x14ac:dyDescent="0.3">
      <c r="A2216" s="51"/>
      <c r="B2216" s="51"/>
      <c r="C2216" s="51"/>
      <c r="D2216" s="51"/>
      <c r="E2216" s="51"/>
      <c r="F2216" s="51"/>
      <c r="G2216" s="54"/>
      <c r="H2216" s="53"/>
      <c r="I2216" s="53"/>
      <c r="J2216" s="53"/>
      <c r="K2216" s="53"/>
      <c r="L2216" s="53"/>
      <c r="M2216" s="53"/>
      <c r="N2216" s="53"/>
      <c r="O2216" s="53"/>
      <c r="P2216" s="53"/>
      <c r="Q2216" s="53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4"/>
      <c r="AB2216" s="53"/>
      <c r="AC2216" s="53"/>
      <c r="AD2216" s="53"/>
      <c r="AE2216" s="53"/>
      <c r="AF2216" s="53"/>
      <c r="AG2216" s="53"/>
      <c r="AH2216" s="54"/>
      <c r="AI2216" s="53"/>
      <c r="AJ2216" s="53"/>
      <c r="AK2216" s="54"/>
      <c r="AL2216" s="54"/>
    </row>
    <row r="2217" spans="1:38" ht="15.75" thickBot="1" x14ac:dyDescent="0.3">
      <c r="A2217" s="51"/>
      <c r="B2217" s="51"/>
      <c r="C2217" s="51"/>
      <c r="D2217" s="51"/>
      <c r="E2217" s="51"/>
      <c r="F2217" s="51"/>
      <c r="G2217" s="56"/>
      <c r="H2217" s="55"/>
      <c r="I2217" s="55"/>
      <c r="J2217" s="55"/>
      <c r="K2217" s="55"/>
      <c r="L2217" s="55"/>
      <c r="M2217" s="55"/>
      <c r="N2217" s="55"/>
      <c r="O2217" s="55"/>
      <c r="P2217" s="55"/>
      <c r="Q2217" s="55"/>
      <c r="R2217" s="55"/>
      <c r="S2217" s="55"/>
      <c r="T2217" s="55"/>
      <c r="U2217" s="55"/>
      <c r="V2217" s="55"/>
      <c r="W2217" s="55"/>
      <c r="X2217" s="55"/>
      <c r="Y2217" s="55"/>
      <c r="Z2217" s="55"/>
      <c r="AA2217" s="56"/>
      <c r="AB2217" s="55"/>
      <c r="AC2217" s="55"/>
      <c r="AD2217" s="55"/>
      <c r="AE2217" s="55"/>
      <c r="AF2217" s="55"/>
      <c r="AG2217" s="55"/>
      <c r="AH2217" s="56"/>
      <c r="AI2217" s="55"/>
      <c r="AJ2217" s="55"/>
      <c r="AK2217" s="56"/>
      <c r="AL2217" s="56"/>
    </row>
    <row r="2218" spans="1:38" ht="15.75" thickBot="1" x14ac:dyDescent="0.3">
      <c r="A2218" s="51"/>
      <c r="B2218" s="51"/>
      <c r="C2218" s="51"/>
      <c r="D2218" s="51"/>
      <c r="E2218" s="51"/>
      <c r="F2218" s="51"/>
      <c r="G2218" s="54"/>
      <c r="H2218" s="53"/>
      <c r="I2218" s="53"/>
      <c r="J2218" s="53"/>
      <c r="K2218" s="54"/>
      <c r="L2218" s="53"/>
      <c r="M2218" s="53"/>
      <c r="N2218" s="53"/>
      <c r="O2218" s="53"/>
      <c r="P2218" s="53"/>
      <c r="Q2218" s="53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3"/>
      <c r="AB2218" s="53"/>
      <c r="AC2218" s="53"/>
      <c r="AD2218" s="53"/>
      <c r="AE2218" s="53"/>
      <c r="AF2218" s="53"/>
      <c r="AG2218" s="53"/>
      <c r="AH2218" s="54"/>
      <c r="AI2218" s="53"/>
      <c r="AJ2218" s="53"/>
      <c r="AK2218" s="54"/>
      <c r="AL2218" s="54"/>
    </row>
    <row r="2219" spans="1:38" ht="15.75" thickBot="1" x14ac:dyDescent="0.3">
      <c r="A2219" s="51"/>
      <c r="B2219" s="51"/>
      <c r="C2219" s="51"/>
      <c r="D2219" s="51"/>
      <c r="E2219" s="51"/>
      <c r="F2219" s="51"/>
      <c r="G2219" s="56"/>
      <c r="H2219" s="55"/>
      <c r="I2219" s="55"/>
      <c r="J2219" s="55"/>
      <c r="K2219" s="56"/>
      <c r="L2219" s="55"/>
      <c r="M2219" s="55"/>
      <c r="N2219" s="55"/>
      <c r="O2219" s="55"/>
      <c r="P2219" s="55"/>
      <c r="Q2219" s="55"/>
      <c r="R2219" s="55"/>
      <c r="S2219" s="55"/>
      <c r="T2219" s="55"/>
      <c r="U2219" s="55"/>
      <c r="V2219" s="55"/>
      <c r="W2219" s="55"/>
      <c r="X2219" s="55"/>
      <c r="Y2219" s="55"/>
      <c r="Z2219" s="55"/>
      <c r="AA2219" s="55"/>
      <c r="AB2219" s="55"/>
      <c r="AC2219" s="55"/>
      <c r="AD2219" s="55"/>
      <c r="AE2219" s="55"/>
      <c r="AF2219" s="55"/>
      <c r="AG2219" s="55"/>
      <c r="AH2219" s="56"/>
      <c r="AI2219" s="55"/>
      <c r="AJ2219" s="55"/>
      <c r="AK2219" s="56"/>
      <c r="AL2219" s="56"/>
    </row>
    <row r="2220" spans="1:38" ht="15.75" thickBot="1" x14ac:dyDescent="0.3">
      <c r="A2220" s="51"/>
      <c r="B2220" s="51"/>
      <c r="C2220" s="51"/>
      <c r="D2220" s="51"/>
      <c r="E2220" s="51"/>
      <c r="F2220" s="51"/>
      <c r="G2220" s="54"/>
      <c r="H2220" s="53"/>
      <c r="I2220" s="53"/>
      <c r="J2220" s="53"/>
      <c r="K2220" s="53"/>
      <c r="L2220" s="53"/>
      <c r="M2220" s="53"/>
      <c r="N2220" s="53"/>
      <c r="O2220" s="53"/>
      <c r="P2220" s="53"/>
      <c r="Q2220" s="53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3"/>
      <c r="AB2220" s="53"/>
      <c r="AC2220" s="54"/>
      <c r="AD2220" s="53"/>
      <c r="AE2220" s="53"/>
      <c r="AF2220" s="53"/>
      <c r="AG2220" s="53"/>
      <c r="AH2220" s="54"/>
      <c r="AI2220" s="53"/>
      <c r="AJ2220" s="53"/>
      <c r="AK2220" s="54"/>
      <c r="AL2220" s="54"/>
    </row>
    <row r="2221" spans="1:38" ht="15.75" thickBot="1" x14ac:dyDescent="0.3">
      <c r="A2221" s="51"/>
      <c r="B2221" s="51"/>
      <c r="C2221" s="51"/>
      <c r="D2221" s="51"/>
      <c r="E2221" s="51"/>
      <c r="F2221" s="51"/>
      <c r="G2221" s="56"/>
      <c r="H2221" s="55"/>
      <c r="I2221" s="55"/>
      <c r="J2221" s="55"/>
      <c r="K2221" s="55"/>
      <c r="L2221" s="55"/>
      <c r="M2221" s="55"/>
      <c r="N2221" s="55"/>
      <c r="O2221" s="55"/>
      <c r="P2221" s="55"/>
      <c r="Q2221" s="55"/>
      <c r="R2221" s="55"/>
      <c r="S2221" s="55"/>
      <c r="T2221" s="55"/>
      <c r="U2221" s="55"/>
      <c r="V2221" s="55"/>
      <c r="W2221" s="55"/>
      <c r="X2221" s="55"/>
      <c r="Y2221" s="55"/>
      <c r="Z2221" s="55"/>
      <c r="AA2221" s="55"/>
      <c r="AB2221" s="55"/>
      <c r="AC2221" s="56"/>
      <c r="AD2221" s="55"/>
      <c r="AE2221" s="55"/>
      <c r="AF2221" s="55"/>
      <c r="AG2221" s="55"/>
      <c r="AH2221" s="56"/>
      <c r="AI2221" s="55"/>
      <c r="AJ2221" s="55"/>
      <c r="AK2221" s="56"/>
      <c r="AL2221" s="56"/>
    </row>
    <row r="2222" spans="1:38" ht="15.75" thickBot="1" x14ac:dyDescent="0.3">
      <c r="A2222" s="51"/>
      <c r="B2222" s="51"/>
      <c r="C2222" s="51"/>
      <c r="D2222" s="51"/>
      <c r="E2222" s="51"/>
      <c r="F2222" s="51"/>
      <c r="G2222" s="54"/>
      <c r="H2222" s="53"/>
      <c r="I2222" s="53"/>
      <c r="J2222" s="53"/>
      <c r="K2222" s="53"/>
      <c r="L2222" s="53"/>
      <c r="M2222" s="53"/>
      <c r="N2222" s="53"/>
      <c r="O2222" s="53"/>
      <c r="P2222" s="53"/>
      <c r="Q2222" s="54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3"/>
      <c r="AB2222" s="53"/>
      <c r="AC2222" s="53"/>
      <c r="AD2222" s="53"/>
      <c r="AE2222" s="53"/>
      <c r="AF2222" s="53"/>
      <c r="AG2222" s="53"/>
      <c r="AH2222" s="54"/>
      <c r="AI2222" s="53"/>
      <c r="AJ2222" s="53"/>
      <c r="AK2222" s="54"/>
      <c r="AL2222" s="54"/>
    </row>
    <row r="2223" spans="1:38" ht="15.75" thickBot="1" x14ac:dyDescent="0.3">
      <c r="A2223" s="51"/>
      <c r="B2223" s="51"/>
      <c r="C2223" s="51"/>
      <c r="D2223" s="51"/>
      <c r="E2223" s="51"/>
      <c r="F2223" s="51"/>
      <c r="G2223" s="56"/>
      <c r="H2223" s="55"/>
      <c r="I2223" s="55"/>
      <c r="J2223" s="55"/>
      <c r="K2223" s="55"/>
      <c r="L2223" s="55"/>
      <c r="M2223" s="55"/>
      <c r="N2223" s="55"/>
      <c r="O2223" s="55"/>
      <c r="P2223" s="55"/>
      <c r="Q2223" s="56"/>
      <c r="R2223" s="55"/>
      <c r="S2223" s="55"/>
      <c r="T2223" s="55"/>
      <c r="U2223" s="55"/>
      <c r="V2223" s="55"/>
      <c r="W2223" s="55"/>
      <c r="X2223" s="55"/>
      <c r="Y2223" s="55"/>
      <c r="Z2223" s="55"/>
      <c r="AA2223" s="55"/>
      <c r="AB2223" s="55"/>
      <c r="AC2223" s="55"/>
      <c r="AD2223" s="55"/>
      <c r="AE2223" s="55"/>
      <c r="AF2223" s="55"/>
      <c r="AG2223" s="55"/>
      <c r="AH2223" s="56"/>
      <c r="AI2223" s="55"/>
      <c r="AJ2223" s="55"/>
      <c r="AK2223" s="56"/>
      <c r="AL2223" s="56"/>
    </row>
    <row r="2224" spans="1:38" ht="15.75" thickBot="1" x14ac:dyDescent="0.3">
      <c r="A2224" s="51"/>
      <c r="B2224" s="51"/>
      <c r="C2224" s="51"/>
      <c r="D2224" s="51"/>
      <c r="E2224" s="51"/>
      <c r="F2224" s="51"/>
      <c r="G2224" s="54"/>
      <c r="H2224" s="53"/>
      <c r="I2224" s="53"/>
      <c r="J2224" s="53"/>
      <c r="K2224" s="53"/>
      <c r="L2224" s="53"/>
      <c r="M2224" s="53"/>
      <c r="N2224" s="53"/>
      <c r="O2224" s="53"/>
      <c r="P2224" s="53"/>
      <c r="Q2224" s="53"/>
      <c r="R2224" s="53"/>
      <c r="S2224" s="53"/>
      <c r="T2224" s="54"/>
      <c r="U2224" s="53"/>
      <c r="V2224" s="53"/>
      <c r="W2224" s="53"/>
      <c r="X2224" s="53"/>
      <c r="Y2224" s="53"/>
      <c r="Z2224" s="53"/>
      <c r="AA2224" s="53"/>
      <c r="AB2224" s="53"/>
      <c r="AC2224" s="53"/>
      <c r="AD2224" s="53"/>
      <c r="AE2224" s="53"/>
      <c r="AF2224" s="53"/>
      <c r="AG2224" s="53"/>
      <c r="AH2224" s="54"/>
      <c r="AI2224" s="53"/>
      <c r="AJ2224" s="53"/>
      <c r="AK2224" s="54"/>
      <c r="AL2224" s="54"/>
    </row>
    <row r="2225" spans="1:38" ht="15.75" thickBot="1" x14ac:dyDescent="0.3">
      <c r="A2225" s="51"/>
      <c r="B2225" s="51"/>
      <c r="C2225" s="51"/>
      <c r="D2225" s="51"/>
      <c r="E2225" s="51"/>
      <c r="F2225" s="51"/>
      <c r="G2225" s="56"/>
      <c r="H2225" s="55"/>
      <c r="I2225" s="55"/>
      <c r="J2225" s="55"/>
      <c r="K2225" s="55"/>
      <c r="L2225" s="55"/>
      <c r="M2225" s="55"/>
      <c r="N2225" s="55"/>
      <c r="O2225" s="55"/>
      <c r="P2225" s="55"/>
      <c r="Q2225" s="55"/>
      <c r="R2225" s="55"/>
      <c r="S2225" s="55"/>
      <c r="T2225" s="56"/>
      <c r="U2225" s="55"/>
      <c r="V2225" s="55"/>
      <c r="W2225" s="55"/>
      <c r="X2225" s="55"/>
      <c r="Y2225" s="55"/>
      <c r="Z2225" s="55"/>
      <c r="AA2225" s="55"/>
      <c r="AB2225" s="55"/>
      <c r="AC2225" s="55"/>
      <c r="AD2225" s="55"/>
      <c r="AE2225" s="55"/>
      <c r="AF2225" s="55"/>
      <c r="AG2225" s="55"/>
      <c r="AH2225" s="56"/>
      <c r="AI2225" s="55"/>
      <c r="AJ2225" s="55"/>
      <c r="AK2225" s="56"/>
      <c r="AL2225" s="56"/>
    </row>
    <row r="2226" spans="1:38" ht="15.75" thickBot="1" x14ac:dyDescent="0.3">
      <c r="A2226" s="51"/>
      <c r="B2226" s="51"/>
      <c r="C2226" s="51"/>
      <c r="D2226" s="51"/>
      <c r="E2226" s="51"/>
      <c r="F2226" s="51"/>
      <c r="G2226" s="54"/>
      <c r="H2226" s="54"/>
      <c r="I2226" s="53"/>
      <c r="J2226" s="53"/>
      <c r="K2226" s="53"/>
      <c r="L2226" s="53"/>
      <c r="M2226" s="54"/>
      <c r="N2226" s="53"/>
      <c r="O2226" s="53"/>
      <c r="P2226" s="53"/>
      <c r="Q2226" s="53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3"/>
      <c r="AB2226" s="53"/>
      <c r="AC2226" s="53"/>
      <c r="AD2226" s="53"/>
      <c r="AE2226" s="53"/>
      <c r="AF2226" s="53"/>
      <c r="AG2226" s="53"/>
      <c r="AH2226" s="54"/>
      <c r="AI2226" s="53"/>
      <c r="AJ2226" s="53"/>
      <c r="AK2226" s="54"/>
      <c r="AL2226" s="54"/>
    </row>
    <row r="2227" spans="1:38" ht="15.75" thickBot="1" x14ac:dyDescent="0.3">
      <c r="A2227" s="51"/>
      <c r="B2227" s="51"/>
      <c r="C2227" s="51"/>
      <c r="D2227" s="51"/>
      <c r="E2227" s="51"/>
      <c r="F2227" s="51"/>
      <c r="G2227" s="56"/>
      <c r="H2227" s="148"/>
      <c r="I2227" s="55"/>
      <c r="J2227" s="55"/>
      <c r="K2227" s="55"/>
      <c r="L2227" s="55"/>
      <c r="M2227" s="56"/>
      <c r="N2227" s="55"/>
      <c r="O2227" s="55"/>
      <c r="P2227" s="55"/>
      <c r="Q2227" s="55"/>
      <c r="R2227" s="55"/>
      <c r="S2227" s="55"/>
      <c r="T2227" s="55"/>
      <c r="U2227" s="55"/>
      <c r="V2227" s="55"/>
      <c r="W2227" s="55"/>
      <c r="X2227" s="55"/>
      <c r="Y2227" s="55"/>
      <c r="Z2227" s="55"/>
      <c r="AA2227" s="55"/>
      <c r="AB2227" s="55"/>
      <c r="AC2227" s="55"/>
      <c r="AD2227" s="55"/>
      <c r="AE2227" s="55"/>
      <c r="AF2227" s="55"/>
      <c r="AG2227" s="55"/>
      <c r="AH2227" s="56"/>
      <c r="AI2227" s="55"/>
      <c r="AJ2227" s="55"/>
      <c r="AK2227" s="56"/>
      <c r="AL2227" s="56"/>
    </row>
    <row r="2228" spans="1:38" ht="15.75" thickBot="1" x14ac:dyDescent="0.3">
      <c r="A2228" s="51"/>
      <c r="B2228" s="51"/>
      <c r="C2228" s="51"/>
      <c r="D2228" s="51"/>
      <c r="E2228" s="51"/>
      <c r="F2228" s="51"/>
      <c r="G2228" s="54"/>
      <c r="H2228" s="53"/>
      <c r="I2228" s="53"/>
      <c r="J2228" s="53"/>
      <c r="K2228" s="53"/>
      <c r="L2228" s="53"/>
      <c r="M2228" s="53"/>
      <c r="N2228" s="53"/>
      <c r="O2228" s="53"/>
      <c r="P2228" s="53"/>
      <c r="Q2228" s="53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4"/>
      <c r="AB2228" s="53"/>
      <c r="AC2228" s="53"/>
      <c r="AD2228" s="53"/>
      <c r="AE2228" s="53"/>
      <c r="AF2228" s="53"/>
      <c r="AG2228" s="53"/>
      <c r="AH2228" s="54"/>
      <c r="AI2228" s="53"/>
      <c r="AJ2228" s="53"/>
      <c r="AK2228" s="54"/>
      <c r="AL2228" s="54"/>
    </row>
    <row r="2229" spans="1:38" ht="15.75" thickBot="1" x14ac:dyDescent="0.3">
      <c r="A2229" s="51"/>
      <c r="B2229" s="51"/>
      <c r="C2229" s="51"/>
      <c r="D2229" s="51"/>
      <c r="E2229" s="51"/>
      <c r="F2229" s="51"/>
      <c r="G2229" s="56"/>
      <c r="H2229" s="55"/>
      <c r="I2229" s="55"/>
      <c r="J2229" s="55"/>
      <c r="K2229" s="55"/>
      <c r="L2229" s="55"/>
      <c r="M2229" s="55"/>
      <c r="N2229" s="55"/>
      <c r="O2229" s="55"/>
      <c r="P2229" s="55"/>
      <c r="Q2229" s="55"/>
      <c r="R2229" s="55"/>
      <c r="S2229" s="55"/>
      <c r="T2229" s="55"/>
      <c r="U2229" s="55"/>
      <c r="V2229" s="55"/>
      <c r="W2229" s="55"/>
      <c r="X2229" s="55"/>
      <c r="Y2229" s="55"/>
      <c r="Z2229" s="55"/>
      <c r="AA2229" s="56"/>
      <c r="AB2229" s="55"/>
      <c r="AC2229" s="55"/>
      <c r="AD2229" s="55"/>
      <c r="AE2229" s="55"/>
      <c r="AF2229" s="55"/>
      <c r="AG2229" s="55"/>
      <c r="AH2229" s="56"/>
      <c r="AI2229" s="55"/>
      <c r="AJ2229" s="55"/>
      <c r="AK2229" s="56"/>
      <c r="AL2229" s="56"/>
    </row>
    <row r="2230" spans="1:38" ht="15.75" thickBot="1" x14ac:dyDescent="0.3">
      <c r="A2230" s="51"/>
      <c r="B2230" s="51"/>
      <c r="C2230" s="51"/>
      <c r="D2230" s="51"/>
      <c r="E2230" s="51"/>
      <c r="F2230" s="51"/>
      <c r="G2230" s="54"/>
      <c r="H2230" s="53"/>
      <c r="I2230" s="53"/>
      <c r="J2230" s="53"/>
      <c r="K2230" s="53"/>
      <c r="L2230" s="53"/>
      <c r="M2230" s="53"/>
      <c r="N2230" s="53"/>
      <c r="O2230" s="53"/>
      <c r="P2230" s="53"/>
      <c r="Q2230" s="53"/>
      <c r="R2230" s="53"/>
      <c r="S2230" s="53"/>
      <c r="T2230" s="53"/>
      <c r="U2230" s="54"/>
      <c r="V2230" s="53"/>
      <c r="W2230" s="53"/>
      <c r="X2230" s="53"/>
      <c r="Y2230" s="53"/>
      <c r="Z2230" s="53"/>
      <c r="AA2230" s="53"/>
      <c r="AB2230" s="53"/>
      <c r="AC2230" s="53"/>
      <c r="AD2230" s="53"/>
      <c r="AE2230" s="53"/>
      <c r="AF2230" s="53"/>
      <c r="AG2230" s="53"/>
      <c r="AH2230" s="54"/>
      <c r="AI2230" s="53"/>
      <c r="AJ2230" s="53"/>
      <c r="AK2230" s="54"/>
      <c r="AL2230" s="54"/>
    </row>
    <row r="2231" spans="1:38" ht="15.75" thickBot="1" x14ac:dyDescent="0.3">
      <c r="A2231" s="51"/>
      <c r="B2231" s="51"/>
      <c r="C2231" s="51"/>
      <c r="D2231" s="51"/>
      <c r="E2231" s="51"/>
      <c r="F2231" s="51"/>
      <c r="G2231" s="56"/>
      <c r="H2231" s="55"/>
      <c r="I2231" s="55"/>
      <c r="J2231" s="55"/>
      <c r="K2231" s="55"/>
      <c r="L2231" s="55"/>
      <c r="M2231" s="55"/>
      <c r="N2231" s="55"/>
      <c r="O2231" s="55"/>
      <c r="P2231" s="55"/>
      <c r="Q2231" s="55"/>
      <c r="R2231" s="55"/>
      <c r="S2231" s="55"/>
      <c r="T2231" s="55"/>
      <c r="U2231" s="56"/>
      <c r="V2231" s="55"/>
      <c r="W2231" s="55"/>
      <c r="X2231" s="55"/>
      <c r="Y2231" s="55"/>
      <c r="Z2231" s="55"/>
      <c r="AA2231" s="55"/>
      <c r="AB2231" s="55"/>
      <c r="AC2231" s="55"/>
      <c r="AD2231" s="55"/>
      <c r="AE2231" s="55"/>
      <c r="AF2231" s="55"/>
      <c r="AG2231" s="55"/>
      <c r="AH2231" s="56"/>
      <c r="AI2231" s="55"/>
      <c r="AJ2231" s="55"/>
      <c r="AK2231" s="56"/>
      <c r="AL2231" s="56"/>
    </row>
    <row r="2232" spans="1:38" ht="15.75" thickBot="1" x14ac:dyDescent="0.3">
      <c r="A2232" s="51"/>
      <c r="B2232" s="51"/>
      <c r="C2232" s="51"/>
      <c r="D2232" s="51"/>
      <c r="E2232" s="51"/>
      <c r="F2232" s="51"/>
      <c r="G2232" s="54"/>
      <c r="H2232" s="53"/>
      <c r="I2232" s="53"/>
      <c r="J2232" s="53"/>
      <c r="K2232" s="53"/>
      <c r="L2232" s="53"/>
      <c r="M2232" s="53"/>
      <c r="N2232" s="54"/>
      <c r="O2232" s="53"/>
      <c r="P2232" s="53"/>
      <c r="Q2232" s="53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3"/>
      <c r="AB2232" s="53"/>
      <c r="AC2232" s="53"/>
      <c r="AD2232" s="53"/>
      <c r="AE2232" s="53"/>
      <c r="AF2232" s="53"/>
      <c r="AG2232" s="53"/>
      <c r="AH2232" s="54"/>
      <c r="AI2232" s="53"/>
      <c r="AJ2232" s="53"/>
      <c r="AK2232" s="54"/>
      <c r="AL2232" s="54"/>
    </row>
    <row r="2233" spans="1:38" ht="15.75" thickBot="1" x14ac:dyDescent="0.3">
      <c r="A2233" s="51"/>
      <c r="B2233" s="51"/>
      <c r="C2233" s="51"/>
      <c r="D2233" s="51"/>
      <c r="E2233" s="51"/>
      <c r="F2233" s="51"/>
      <c r="G2233" s="56"/>
      <c r="H2233" s="55"/>
      <c r="I2233" s="55"/>
      <c r="J2233" s="55"/>
      <c r="K2233" s="55"/>
      <c r="L2233" s="55"/>
      <c r="M2233" s="55"/>
      <c r="N2233" s="56"/>
      <c r="O2233" s="55"/>
      <c r="P2233" s="55"/>
      <c r="Q2233" s="55"/>
      <c r="R2233" s="55"/>
      <c r="S2233" s="55"/>
      <c r="T2233" s="55"/>
      <c r="U2233" s="55"/>
      <c r="V2233" s="55"/>
      <c r="W2233" s="55"/>
      <c r="X2233" s="55"/>
      <c r="Y2233" s="55"/>
      <c r="Z2233" s="55"/>
      <c r="AA2233" s="55"/>
      <c r="AB2233" s="55"/>
      <c r="AC2233" s="55"/>
      <c r="AD2233" s="55"/>
      <c r="AE2233" s="55"/>
      <c r="AF2233" s="55"/>
      <c r="AG2233" s="55"/>
      <c r="AH2233" s="56"/>
      <c r="AI2233" s="55"/>
      <c r="AJ2233" s="55"/>
      <c r="AK2233" s="56"/>
      <c r="AL2233" s="56"/>
    </row>
    <row r="2234" spans="1:38" ht="15.75" thickBot="1" x14ac:dyDescent="0.3">
      <c r="A2234" s="51"/>
      <c r="B2234" s="51"/>
      <c r="C2234" s="51"/>
      <c r="D2234" s="51"/>
      <c r="E2234" s="51"/>
      <c r="F2234" s="51"/>
      <c r="G2234" s="54"/>
      <c r="H2234" s="53"/>
      <c r="I2234" s="53"/>
      <c r="J2234" s="53"/>
      <c r="K2234" s="54"/>
      <c r="L2234" s="53"/>
      <c r="M2234" s="53"/>
      <c r="N2234" s="53"/>
      <c r="O2234" s="53"/>
      <c r="P2234" s="53"/>
      <c r="Q2234" s="53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3"/>
      <c r="AB2234" s="53"/>
      <c r="AC2234" s="53"/>
      <c r="AD2234" s="53"/>
      <c r="AE2234" s="53"/>
      <c r="AF2234" s="53"/>
      <c r="AG2234" s="53"/>
      <c r="AH2234" s="54"/>
      <c r="AI2234" s="53"/>
      <c r="AJ2234" s="53"/>
      <c r="AK2234" s="54"/>
      <c r="AL2234" s="54"/>
    </row>
    <row r="2235" spans="1:38" ht="15.75" thickBot="1" x14ac:dyDescent="0.3">
      <c r="A2235" s="51"/>
      <c r="B2235" s="51"/>
      <c r="C2235" s="51"/>
      <c r="D2235" s="51"/>
      <c r="E2235" s="51"/>
      <c r="F2235" s="51"/>
      <c r="G2235" s="56"/>
      <c r="H2235" s="55"/>
      <c r="I2235" s="55"/>
      <c r="J2235" s="55"/>
      <c r="K2235" s="56"/>
      <c r="L2235" s="55"/>
      <c r="M2235" s="55"/>
      <c r="N2235" s="55"/>
      <c r="O2235" s="55"/>
      <c r="P2235" s="55"/>
      <c r="Q2235" s="55"/>
      <c r="R2235" s="55"/>
      <c r="S2235" s="55"/>
      <c r="T2235" s="55"/>
      <c r="U2235" s="55"/>
      <c r="V2235" s="55"/>
      <c r="W2235" s="55"/>
      <c r="X2235" s="55"/>
      <c r="Y2235" s="55"/>
      <c r="Z2235" s="55"/>
      <c r="AA2235" s="55"/>
      <c r="AB2235" s="55"/>
      <c r="AC2235" s="55"/>
      <c r="AD2235" s="55"/>
      <c r="AE2235" s="55"/>
      <c r="AF2235" s="55"/>
      <c r="AG2235" s="55"/>
      <c r="AH2235" s="56"/>
      <c r="AI2235" s="55"/>
      <c r="AJ2235" s="55"/>
      <c r="AK2235" s="56"/>
      <c r="AL2235" s="56"/>
    </row>
    <row r="2236" spans="1:38" ht="15.75" thickBot="1" x14ac:dyDescent="0.3">
      <c r="A2236" s="51"/>
      <c r="B2236" s="51"/>
      <c r="C2236" s="51"/>
      <c r="D2236" s="51"/>
      <c r="E2236" s="51"/>
      <c r="F2236" s="51"/>
      <c r="G2236" s="54"/>
      <c r="H2236" s="53"/>
      <c r="I2236" s="53"/>
      <c r="J2236" s="53"/>
      <c r="K2236" s="53"/>
      <c r="L2236" s="53"/>
      <c r="M2236" s="53"/>
      <c r="N2236" s="53"/>
      <c r="O2236" s="53"/>
      <c r="P2236" s="53"/>
      <c r="Q2236" s="53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53"/>
      <c r="AC2236" s="54"/>
      <c r="AD2236" s="53"/>
      <c r="AE2236" s="53"/>
      <c r="AF2236" s="53"/>
      <c r="AG2236" s="53"/>
      <c r="AH2236" s="54"/>
      <c r="AI2236" s="53"/>
      <c r="AJ2236" s="53"/>
      <c r="AK2236" s="54"/>
      <c r="AL2236" s="54"/>
    </row>
    <row r="2237" spans="1:38" ht="15.75" thickBot="1" x14ac:dyDescent="0.3">
      <c r="A2237" s="51"/>
      <c r="B2237" s="51"/>
      <c r="C2237" s="51"/>
      <c r="D2237" s="51"/>
      <c r="E2237" s="51"/>
      <c r="F2237" s="51"/>
      <c r="G2237" s="56"/>
      <c r="H2237" s="55"/>
      <c r="I2237" s="55"/>
      <c r="J2237" s="55"/>
      <c r="K2237" s="55"/>
      <c r="L2237" s="55"/>
      <c r="M2237" s="55"/>
      <c r="N2237" s="55"/>
      <c r="O2237" s="55"/>
      <c r="P2237" s="55"/>
      <c r="Q2237" s="55"/>
      <c r="R2237" s="55"/>
      <c r="S2237" s="55"/>
      <c r="T2237" s="55"/>
      <c r="U2237" s="55"/>
      <c r="V2237" s="55"/>
      <c r="W2237" s="55"/>
      <c r="X2237" s="55"/>
      <c r="Y2237" s="55"/>
      <c r="Z2237" s="55"/>
      <c r="AA2237" s="55"/>
      <c r="AB2237" s="55"/>
      <c r="AC2237" s="56"/>
      <c r="AD2237" s="55"/>
      <c r="AE2237" s="55"/>
      <c r="AF2237" s="55"/>
      <c r="AG2237" s="55"/>
      <c r="AH2237" s="56"/>
      <c r="AI2237" s="55"/>
      <c r="AJ2237" s="55"/>
      <c r="AK2237" s="56"/>
      <c r="AL2237" s="56"/>
    </row>
    <row r="2238" spans="1:38" ht="15.75" thickBot="1" x14ac:dyDescent="0.3">
      <c r="A2238" s="51"/>
      <c r="B2238" s="51"/>
      <c r="C2238" s="51"/>
      <c r="D2238" s="51"/>
      <c r="E2238" s="51"/>
      <c r="F2238" s="51"/>
      <c r="G2238" s="54"/>
      <c r="H2238" s="53"/>
      <c r="I2238" s="53"/>
      <c r="J2238" s="53"/>
      <c r="K2238" s="53"/>
      <c r="L2238" s="53"/>
      <c r="M2238" s="53"/>
      <c r="N2238" s="53"/>
      <c r="O2238" s="53"/>
      <c r="P2238" s="53"/>
      <c r="Q2238" s="53"/>
      <c r="R2238" s="53"/>
      <c r="S2238" s="53"/>
      <c r="T2238" s="53"/>
      <c r="U2238" s="53"/>
      <c r="V2238" s="53"/>
      <c r="W2238" s="54"/>
      <c r="X2238" s="53"/>
      <c r="Y2238" s="53"/>
      <c r="Z2238" s="53"/>
      <c r="AA2238" s="53"/>
      <c r="AB2238" s="53"/>
      <c r="AC2238" s="53"/>
      <c r="AD2238" s="53"/>
      <c r="AE2238" s="53"/>
      <c r="AF2238" s="53"/>
      <c r="AG2238" s="53"/>
      <c r="AH2238" s="54"/>
      <c r="AI2238" s="53"/>
      <c r="AJ2238" s="53"/>
      <c r="AK2238" s="54"/>
      <c r="AL2238" s="54"/>
    </row>
    <row r="2239" spans="1:38" ht="15.75" thickBot="1" x14ac:dyDescent="0.3">
      <c r="A2239" s="51"/>
      <c r="B2239" s="51"/>
      <c r="C2239" s="51"/>
      <c r="D2239" s="51"/>
      <c r="E2239" s="51"/>
      <c r="F2239" s="51"/>
      <c r="G2239" s="56"/>
      <c r="H2239" s="55"/>
      <c r="I2239" s="55"/>
      <c r="J2239" s="55"/>
      <c r="K2239" s="55"/>
      <c r="L2239" s="55"/>
      <c r="M2239" s="55"/>
      <c r="N2239" s="55"/>
      <c r="O2239" s="55"/>
      <c r="P2239" s="55"/>
      <c r="Q2239" s="55"/>
      <c r="R2239" s="55"/>
      <c r="S2239" s="55"/>
      <c r="T2239" s="55"/>
      <c r="U2239" s="55"/>
      <c r="V2239" s="55"/>
      <c r="W2239" s="56"/>
      <c r="X2239" s="55"/>
      <c r="Y2239" s="55"/>
      <c r="Z2239" s="55"/>
      <c r="AA2239" s="55"/>
      <c r="AB2239" s="55"/>
      <c r="AC2239" s="55"/>
      <c r="AD2239" s="55"/>
      <c r="AE2239" s="55"/>
      <c r="AF2239" s="55"/>
      <c r="AG2239" s="55"/>
      <c r="AH2239" s="56"/>
      <c r="AI2239" s="55"/>
      <c r="AJ2239" s="55"/>
      <c r="AK2239" s="56"/>
      <c r="AL2239" s="56"/>
    </row>
    <row r="2240" spans="1:38" ht="15.75" thickBot="1" x14ac:dyDescent="0.3">
      <c r="A2240" s="51"/>
      <c r="B2240" s="51"/>
      <c r="C2240" s="51"/>
      <c r="D2240" s="51"/>
      <c r="E2240" s="51"/>
      <c r="F2240" s="51"/>
      <c r="G2240" s="54"/>
      <c r="H2240" s="53"/>
      <c r="I2240" s="53"/>
      <c r="J2240" s="53"/>
      <c r="K2240" s="53"/>
      <c r="L2240" s="53"/>
      <c r="M2240" s="53"/>
      <c r="N2240" s="53"/>
      <c r="O2240" s="53"/>
      <c r="P2240" s="53"/>
      <c r="Q2240" s="53"/>
      <c r="R2240" s="53"/>
      <c r="S2240" s="53"/>
      <c r="T2240" s="53"/>
      <c r="U2240" s="53"/>
      <c r="V2240" s="53"/>
      <c r="W2240" s="53"/>
      <c r="X2240" s="54"/>
      <c r="Y2240" s="53"/>
      <c r="Z2240" s="53"/>
      <c r="AA2240" s="53"/>
      <c r="AB2240" s="53"/>
      <c r="AC2240" s="53"/>
      <c r="AD2240" s="53"/>
      <c r="AE2240" s="53"/>
      <c r="AF2240" s="53"/>
      <c r="AG2240" s="53"/>
      <c r="AH2240" s="54"/>
      <c r="AI2240" s="53"/>
      <c r="AJ2240" s="53"/>
      <c r="AK2240" s="54"/>
      <c r="AL2240" s="54"/>
    </row>
    <row r="2241" spans="1:38" ht="15.75" thickBot="1" x14ac:dyDescent="0.3">
      <c r="A2241" s="51"/>
      <c r="B2241" s="51"/>
      <c r="C2241" s="51"/>
      <c r="D2241" s="51"/>
      <c r="E2241" s="51"/>
      <c r="F2241" s="51"/>
      <c r="G2241" s="56"/>
      <c r="H2241" s="55"/>
      <c r="I2241" s="55"/>
      <c r="J2241" s="55"/>
      <c r="K2241" s="55"/>
      <c r="L2241" s="55"/>
      <c r="M2241" s="55"/>
      <c r="N2241" s="55"/>
      <c r="O2241" s="55"/>
      <c r="P2241" s="55"/>
      <c r="Q2241" s="55"/>
      <c r="R2241" s="55"/>
      <c r="S2241" s="55"/>
      <c r="T2241" s="55"/>
      <c r="U2241" s="55"/>
      <c r="V2241" s="55"/>
      <c r="W2241" s="55"/>
      <c r="X2241" s="56"/>
      <c r="Y2241" s="55"/>
      <c r="Z2241" s="55"/>
      <c r="AA2241" s="55"/>
      <c r="AB2241" s="55"/>
      <c r="AC2241" s="55"/>
      <c r="AD2241" s="55"/>
      <c r="AE2241" s="55"/>
      <c r="AF2241" s="55"/>
      <c r="AG2241" s="55"/>
      <c r="AH2241" s="56"/>
      <c r="AI2241" s="55"/>
      <c r="AJ2241" s="55"/>
      <c r="AK2241" s="56"/>
      <c r="AL2241" s="56"/>
    </row>
    <row r="2242" spans="1:38" ht="15.75" thickBot="1" x14ac:dyDescent="0.3">
      <c r="A2242" s="51"/>
      <c r="B2242" s="51"/>
      <c r="C2242" s="51"/>
      <c r="D2242" s="51"/>
      <c r="E2242" s="51"/>
      <c r="F2242" s="51"/>
      <c r="G2242" s="54"/>
      <c r="H2242" s="53"/>
      <c r="I2242" s="53"/>
      <c r="J2242" s="53"/>
      <c r="K2242" s="54"/>
      <c r="L2242" s="53"/>
      <c r="M2242" s="53"/>
      <c r="N2242" s="53"/>
      <c r="O2242" s="53"/>
      <c r="P2242" s="53"/>
      <c r="Q2242" s="53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53"/>
      <c r="AC2242" s="53"/>
      <c r="AD2242" s="53"/>
      <c r="AE2242" s="53"/>
      <c r="AF2242" s="53"/>
      <c r="AG2242" s="53"/>
      <c r="AH2242" s="54"/>
      <c r="AI2242" s="53"/>
      <c r="AJ2242" s="53"/>
      <c r="AK2242" s="54"/>
      <c r="AL2242" s="54"/>
    </row>
    <row r="2243" spans="1:38" ht="15.75" thickBot="1" x14ac:dyDescent="0.3">
      <c r="A2243" s="51"/>
      <c r="B2243" s="51"/>
      <c r="C2243" s="51"/>
      <c r="D2243" s="51"/>
      <c r="E2243" s="51"/>
      <c r="F2243" s="51"/>
      <c r="G2243" s="56"/>
      <c r="H2243" s="55"/>
      <c r="I2243" s="55"/>
      <c r="J2243" s="55"/>
      <c r="K2243" s="56"/>
      <c r="L2243" s="55"/>
      <c r="M2243" s="55"/>
      <c r="N2243" s="55"/>
      <c r="O2243" s="55"/>
      <c r="P2243" s="55"/>
      <c r="Q2243" s="55"/>
      <c r="R2243" s="55"/>
      <c r="S2243" s="55"/>
      <c r="T2243" s="55"/>
      <c r="U2243" s="55"/>
      <c r="V2243" s="55"/>
      <c r="W2243" s="55"/>
      <c r="X2243" s="55"/>
      <c r="Y2243" s="55"/>
      <c r="Z2243" s="55"/>
      <c r="AA2243" s="55"/>
      <c r="AB2243" s="55"/>
      <c r="AC2243" s="55"/>
      <c r="AD2243" s="55"/>
      <c r="AE2243" s="55"/>
      <c r="AF2243" s="55"/>
      <c r="AG2243" s="55"/>
      <c r="AH2243" s="56"/>
      <c r="AI2243" s="55"/>
      <c r="AJ2243" s="55"/>
      <c r="AK2243" s="56"/>
      <c r="AL2243" s="56"/>
    </row>
    <row r="2244" spans="1:38" ht="15.75" thickBot="1" x14ac:dyDescent="0.3">
      <c r="A2244" s="51"/>
      <c r="B2244" s="51"/>
      <c r="C2244" s="51"/>
      <c r="D2244" s="51"/>
      <c r="E2244" s="51"/>
      <c r="F2244" s="51"/>
      <c r="G2244" s="54"/>
      <c r="H2244" s="54"/>
      <c r="I2244" s="53"/>
      <c r="J2244" s="53"/>
      <c r="K2244" s="53"/>
      <c r="L2244" s="53"/>
      <c r="M2244" s="54"/>
      <c r="N2244" s="53"/>
      <c r="O2244" s="53"/>
      <c r="P2244" s="53"/>
      <c r="Q2244" s="53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53"/>
      <c r="AC2244" s="53"/>
      <c r="AD2244" s="53"/>
      <c r="AE2244" s="53"/>
      <c r="AF2244" s="53"/>
      <c r="AG2244" s="53"/>
      <c r="AH2244" s="54"/>
      <c r="AI2244" s="53"/>
      <c r="AJ2244" s="53"/>
      <c r="AK2244" s="54"/>
      <c r="AL2244" s="54"/>
    </row>
    <row r="2245" spans="1:38" ht="15.75" thickBot="1" x14ac:dyDescent="0.3">
      <c r="A2245" s="51"/>
      <c r="B2245" s="51"/>
      <c r="C2245" s="51"/>
      <c r="D2245" s="51"/>
      <c r="E2245" s="51"/>
      <c r="F2245" s="51"/>
      <c r="G2245" s="56"/>
      <c r="H2245" s="148"/>
      <c r="I2245" s="55"/>
      <c r="J2245" s="55"/>
      <c r="K2245" s="55"/>
      <c r="L2245" s="55"/>
      <c r="M2245" s="56"/>
      <c r="N2245" s="55"/>
      <c r="O2245" s="55"/>
      <c r="P2245" s="55"/>
      <c r="Q2245" s="55"/>
      <c r="R2245" s="55"/>
      <c r="S2245" s="55"/>
      <c r="T2245" s="55"/>
      <c r="U2245" s="55"/>
      <c r="V2245" s="55"/>
      <c r="W2245" s="55"/>
      <c r="X2245" s="55"/>
      <c r="Y2245" s="55"/>
      <c r="Z2245" s="55"/>
      <c r="AA2245" s="55"/>
      <c r="AB2245" s="55"/>
      <c r="AC2245" s="55"/>
      <c r="AD2245" s="55"/>
      <c r="AE2245" s="55"/>
      <c r="AF2245" s="55"/>
      <c r="AG2245" s="55"/>
      <c r="AH2245" s="56"/>
      <c r="AI2245" s="55"/>
      <c r="AJ2245" s="55"/>
      <c r="AK2245" s="56"/>
      <c r="AL2245" s="56"/>
    </row>
    <row r="2246" spans="1:38" ht="15.75" thickBot="1" x14ac:dyDescent="0.3">
      <c r="A2246" s="51"/>
      <c r="B2246" s="51"/>
      <c r="C2246" s="51"/>
      <c r="D2246" s="51"/>
      <c r="E2246" s="51"/>
      <c r="F2246" s="51"/>
      <c r="G2246" s="54"/>
      <c r="H2246" s="53"/>
      <c r="I2246" s="53"/>
      <c r="J2246" s="53"/>
      <c r="K2246" s="53"/>
      <c r="L2246" s="53"/>
      <c r="M2246" s="53"/>
      <c r="N2246" s="53"/>
      <c r="O2246" s="53"/>
      <c r="P2246" s="53"/>
      <c r="Q2246" s="53"/>
      <c r="R2246" s="53"/>
      <c r="S2246" s="53"/>
      <c r="T2246" s="53"/>
      <c r="U2246" s="53"/>
      <c r="V2246" s="53"/>
      <c r="W2246" s="53"/>
      <c r="X2246" s="53"/>
      <c r="Y2246" s="53"/>
      <c r="Z2246" s="54"/>
      <c r="AA2246" s="53"/>
      <c r="AB2246" s="53"/>
      <c r="AC2246" s="53"/>
      <c r="AD2246" s="53"/>
      <c r="AE2246" s="53"/>
      <c r="AF2246" s="53"/>
      <c r="AG2246" s="53"/>
      <c r="AH2246" s="54"/>
      <c r="AI2246" s="53"/>
      <c r="AJ2246" s="53"/>
      <c r="AK2246" s="54"/>
      <c r="AL2246" s="54"/>
    </row>
    <row r="2247" spans="1:38" ht="15.75" thickBot="1" x14ac:dyDescent="0.3">
      <c r="A2247" s="51"/>
      <c r="B2247" s="51"/>
      <c r="C2247" s="51"/>
      <c r="D2247" s="51"/>
      <c r="E2247" s="51"/>
      <c r="F2247" s="51"/>
      <c r="G2247" s="56"/>
      <c r="H2247" s="55"/>
      <c r="I2247" s="55"/>
      <c r="J2247" s="55"/>
      <c r="K2247" s="55"/>
      <c r="L2247" s="55"/>
      <c r="M2247" s="55"/>
      <c r="N2247" s="55"/>
      <c r="O2247" s="55"/>
      <c r="P2247" s="55"/>
      <c r="Q2247" s="55"/>
      <c r="R2247" s="55"/>
      <c r="S2247" s="55"/>
      <c r="T2247" s="55"/>
      <c r="U2247" s="55"/>
      <c r="V2247" s="55"/>
      <c r="W2247" s="55"/>
      <c r="X2247" s="55"/>
      <c r="Y2247" s="55"/>
      <c r="Z2247" s="56"/>
      <c r="AA2247" s="55"/>
      <c r="AB2247" s="55"/>
      <c r="AC2247" s="55"/>
      <c r="AD2247" s="55"/>
      <c r="AE2247" s="55"/>
      <c r="AF2247" s="55"/>
      <c r="AG2247" s="55"/>
      <c r="AH2247" s="56"/>
      <c r="AI2247" s="55"/>
      <c r="AJ2247" s="55"/>
      <c r="AK2247" s="56"/>
      <c r="AL2247" s="56"/>
    </row>
    <row r="2248" spans="1:38" ht="15.75" thickBot="1" x14ac:dyDescent="0.3">
      <c r="A2248" s="51"/>
      <c r="B2248" s="51"/>
      <c r="C2248" s="51"/>
      <c r="D2248" s="51"/>
      <c r="E2248" s="51"/>
      <c r="F2248" s="51"/>
      <c r="G2248" s="54"/>
      <c r="H2248" s="53"/>
      <c r="I2248" s="53"/>
      <c r="J2248" s="53"/>
      <c r="K2248" s="53"/>
      <c r="L2248" s="53"/>
      <c r="M2248" s="53"/>
      <c r="N2248" s="53"/>
      <c r="O2248" s="53"/>
      <c r="P2248" s="53"/>
      <c r="Q2248" s="53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4"/>
      <c r="AB2248" s="53"/>
      <c r="AC2248" s="53"/>
      <c r="AD2248" s="53"/>
      <c r="AE2248" s="53"/>
      <c r="AF2248" s="53"/>
      <c r="AG2248" s="53"/>
      <c r="AH2248" s="54"/>
      <c r="AI2248" s="53"/>
      <c r="AJ2248" s="53"/>
      <c r="AK2248" s="54"/>
      <c r="AL2248" s="54"/>
    </row>
    <row r="2249" spans="1:38" ht="15.75" thickBot="1" x14ac:dyDescent="0.3">
      <c r="A2249" s="51"/>
      <c r="B2249" s="51"/>
      <c r="C2249" s="51"/>
      <c r="D2249" s="51"/>
      <c r="E2249" s="51"/>
      <c r="F2249" s="51"/>
      <c r="G2249" s="56"/>
      <c r="H2249" s="55"/>
      <c r="I2249" s="55"/>
      <c r="J2249" s="55"/>
      <c r="K2249" s="55"/>
      <c r="L2249" s="55"/>
      <c r="M2249" s="55"/>
      <c r="N2249" s="55"/>
      <c r="O2249" s="55"/>
      <c r="P2249" s="55"/>
      <c r="Q2249" s="55"/>
      <c r="R2249" s="55"/>
      <c r="S2249" s="55"/>
      <c r="T2249" s="55"/>
      <c r="U2249" s="55"/>
      <c r="V2249" s="55"/>
      <c r="W2249" s="55"/>
      <c r="X2249" s="55"/>
      <c r="Y2249" s="55"/>
      <c r="Z2249" s="55"/>
      <c r="AA2249" s="56"/>
      <c r="AB2249" s="55"/>
      <c r="AC2249" s="55"/>
      <c r="AD2249" s="55"/>
      <c r="AE2249" s="55"/>
      <c r="AF2249" s="55"/>
      <c r="AG2249" s="55"/>
      <c r="AH2249" s="56"/>
      <c r="AI2249" s="55"/>
      <c r="AJ2249" s="55"/>
      <c r="AK2249" s="56"/>
      <c r="AL2249" s="56"/>
    </row>
    <row r="2250" spans="1:38" ht="15.75" thickBot="1" x14ac:dyDescent="0.3">
      <c r="A2250" s="51"/>
      <c r="B2250" s="51"/>
      <c r="C2250" s="51"/>
      <c r="D2250" s="51"/>
      <c r="E2250" s="51"/>
      <c r="F2250" s="51"/>
      <c r="G2250" s="54"/>
      <c r="H2250" s="53"/>
      <c r="I2250" s="53"/>
      <c r="J2250" s="53"/>
      <c r="K2250" s="53"/>
      <c r="L2250" s="53"/>
      <c r="M2250" s="53"/>
      <c r="N2250" s="53"/>
      <c r="O2250" s="53"/>
      <c r="P2250" s="53"/>
      <c r="Q2250" s="53"/>
      <c r="R2250" s="54"/>
      <c r="S2250" s="53"/>
      <c r="T2250" s="53"/>
      <c r="U2250" s="53"/>
      <c r="V2250" s="53"/>
      <c r="W2250" s="53"/>
      <c r="X2250" s="53"/>
      <c r="Y2250" s="53"/>
      <c r="Z2250" s="53"/>
      <c r="AA2250" s="53"/>
      <c r="AB2250" s="53"/>
      <c r="AC2250" s="53"/>
      <c r="AD2250" s="53"/>
      <c r="AE2250" s="53"/>
      <c r="AF2250" s="53"/>
      <c r="AG2250" s="53"/>
      <c r="AH2250" s="54"/>
      <c r="AI2250" s="53"/>
      <c r="AJ2250" s="53"/>
      <c r="AK2250" s="54"/>
      <c r="AL2250" s="54"/>
    </row>
    <row r="2251" spans="1:38" ht="15.75" thickBot="1" x14ac:dyDescent="0.3">
      <c r="A2251" s="51"/>
      <c r="B2251" s="51"/>
      <c r="C2251" s="51"/>
      <c r="D2251" s="51"/>
      <c r="E2251" s="51"/>
      <c r="F2251" s="51"/>
      <c r="G2251" s="56"/>
      <c r="H2251" s="55"/>
      <c r="I2251" s="55"/>
      <c r="J2251" s="55"/>
      <c r="K2251" s="55"/>
      <c r="L2251" s="55"/>
      <c r="M2251" s="55"/>
      <c r="N2251" s="55"/>
      <c r="O2251" s="55"/>
      <c r="P2251" s="55"/>
      <c r="Q2251" s="55"/>
      <c r="R2251" s="56"/>
      <c r="S2251" s="55"/>
      <c r="T2251" s="55"/>
      <c r="U2251" s="55"/>
      <c r="V2251" s="55"/>
      <c r="W2251" s="55"/>
      <c r="X2251" s="55"/>
      <c r="Y2251" s="55"/>
      <c r="Z2251" s="55"/>
      <c r="AA2251" s="55"/>
      <c r="AB2251" s="55"/>
      <c r="AC2251" s="55"/>
      <c r="AD2251" s="55"/>
      <c r="AE2251" s="55"/>
      <c r="AF2251" s="55"/>
      <c r="AG2251" s="55"/>
      <c r="AH2251" s="56"/>
      <c r="AI2251" s="55"/>
      <c r="AJ2251" s="55"/>
      <c r="AK2251" s="56"/>
      <c r="AL2251" s="56"/>
    </row>
    <row r="2252" spans="1:38" ht="15.75" thickBot="1" x14ac:dyDescent="0.3">
      <c r="A2252" s="51"/>
      <c r="B2252" s="51"/>
      <c r="C2252" s="51"/>
      <c r="D2252" s="51"/>
      <c r="E2252" s="51"/>
      <c r="F2252" s="51"/>
      <c r="G2252" s="54"/>
      <c r="H2252" s="53"/>
      <c r="I2252" s="53"/>
      <c r="J2252" s="53"/>
      <c r="K2252" s="53"/>
      <c r="L2252" s="53"/>
      <c r="M2252" s="53"/>
      <c r="N2252" s="53"/>
      <c r="O2252" s="53"/>
      <c r="P2252" s="53"/>
      <c r="Q2252" s="53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3"/>
      <c r="AB2252" s="53"/>
      <c r="AC2252" s="54"/>
      <c r="AD2252" s="53"/>
      <c r="AE2252" s="53"/>
      <c r="AF2252" s="53"/>
      <c r="AG2252" s="53"/>
      <c r="AH2252" s="54"/>
      <c r="AI2252" s="53"/>
      <c r="AJ2252" s="53"/>
      <c r="AK2252" s="54"/>
      <c r="AL2252" s="54"/>
    </row>
    <row r="2253" spans="1:38" ht="15.75" thickBot="1" x14ac:dyDescent="0.3">
      <c r="A2253" s="51"/>
      <c r="B2253" s="51"/>
      <c r="C2253" s="51"/>
      <c r="D2253" s="51"/>
      <c r="E2253" s="51"/>
      <c r="F2253" s="51"/>
      <c r="G2253" s="56"/>
      <c r="H2253" s="55"/>
      <c r="I2253" s="55"/>
      <c r="J2253" s="55"/>
      <c r="K2253" s="55"/>
      <c r="L2253" s="55"/>
      <c r="M2253" s="55"/>
      <c r="N2253" s="55"/>
      <c r="O2253" s="55"/>
      <c r="P2253" s="55"/>
      <c r="Q2253" s="55"/>
      <c r="R2253" s="55"/>
      <c r="S2253" s="55"/>
      <c r="T2253" s="55"/>
      <c r="U2253" s="55"/>
      <c r="V2253" s="55"/>
      <c r="W2253" s="55"/>
      <c r="X2253" s="55"/>
      <c r="Y2253" s="55"/>
      <c r="Z2253" s="55"/>
      <c r="AA2253" s="55"/>
      <c r="AB2253" s="55"/>
      <c r="AC2253" s="56"/>
      <c r="AD2253" s="55"/>
      <c r="AE2253" s="55"/>
      <c r="AF2253" s="55"/>
      <c r="AG2253" s="55"/>
      <c r="AH2253" s="56"/>
      <c r="AI2253" s="55"/>
      <c r="AJ2253" s="55"/>
      <c r="AK2253" s="56"/>
      <c r="AL2253" s="56"/>
    </row>
    <row r="2254" spans="1:38" ht="15.75" thickBot="1" x14ac:dyDescent="0.3">
      <c r="A2254" s="51"/>
      <c r="B2254" s="51"/>
      <c r="C2254" s="51"/>
      <c r="D2254" s="51"/>
      <c r="E2254" s="51"/>
      <c r="F2254" s="51"/>
      <c r="G2254" s="54"/>
      <c r="H2254" s="53"/>
      <c r="I2254" s="53"/>
      <c r="J2254" s="53"/>
      <c r="K2254" s="54"/>
      <c r="L2254" s="53"/>
      <c r="M2254" s="53"/>
      <c r="N2254" s="53"/>
      <c r="O2254" s="53"/>
      <c r="P2254" s="53"/>
      <c r="Q2254" s="53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53"/>
      <c r="AC2254" s="53"/>
      <c r="AD2254" s="53"/>
      <c r="AE2254" s="53"/>
      <c r="AF2254" s="53"/>
      <c r="AG2254" s="53"/>
      <c r="AH2254" s="54"/>
      <c r="AI2254" s="53"/>
      <c r="AJ2254" s="53"/>
      <c r="AK2254" s="54"/>
      <c r="AL2254" s="54"/>
    </row>
    <row r="2255" spans="1:38" ht="15.75" thickBot="1" x14ac:dyDescent="0.3">
      <c r="A2255" s="51"/>
      <c r="B2255" s="51"/>
      <c r="C2255" s="51"/>
      <c r="D2255" s="51"/>
      <c r="E2255" s="51"/>
      <c r="F2255" s="51"/>
      <c r="G2255" s="56"/>
      <c r="H2255" s="55"/>
      <c r="I2255" s="55"/>
      <c r="J2255" s="55"/>
      <c r="K2255" s="56"/>
      <c r="L2255" s="55"/>
      <c r="M2255" s="55"/>
      <c r="N2255" s="55"/>
      <c r="O2255" s="55"/>
      <c r="P2255" s="55"/>
      <c r="Q2255" s="55"/>
      <c r="R2255" s="55"/>
      <c r="S2255" s="55"/>
      <c r="T2255" s="55"/>
      <c r="U2255" s="55"/>
      <c r="V2255" s="55"/>
      <c r="W2255" s="55"/>
      <c r="X2255" s="55"/>
      <c r="Y2255" s="55"/>
      <c r="Z2255" s="55"/>
      <c r="AA2255" s="55"/>
      <c r="AB2255" s="55"/>
      <c r="AC2255" s="55"/>
      <c r="AD2255" s="55"/>
      <c r="AE2255" s="55"/>
      <c r="AF2255" s="55"/>
      <c r="AG2255" s="55"/>
      <c r="AH2255" s="56"/>
      <c r="AI2255" s="55"/>
      <c r="AJ2255" s="55"/>
      <c r="AK2255" s="56"/>
      <c r="AL2255" s="56"/>
    </row>
    <row r="2256" spans="1:38" ht="15.75" thickBot="1" x14ac:dyDescent="0.3">
      <c r="A2256" s="51"/>
      <c r="B2256" s="51"/>
      <c r="C2256" s="51"/>
      <c r="D2256" s="51"/>
      <c r="E2256" s="51"/>
      <c r="F2256" s="51"/>
      <c r="G2256" s="54"/>
      <c r="H2256" s="54"/>
      <c r="I2256" s="53"/>
      <c r="J2256" s="53"/>
      <c r="K2256" s="53"/>
      <c r="L2256" s="53"/>
      <c r="M2256" s="54"/>
      <c r="N2256" s="53"/>
      <c r="O2256" s="53"/>
      <c r="P2256" s="53"/>
      <c r="Q2256" s="53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3"/>
      <c r="AB2256" s="53"/>
      <c r="AC2256" s="53"/>
      <c r="AD2256" s="53"/>
      <c r="AE2256" s="53"/>
      <c r="AF2256" s="53"/>
      <c r="AG2256" s="53"/>
      <c r="AH2256" s="54"/>
      <c r="AI2256" s="53"/>
      <c r="AJ2256" s="53"/>
      <c r="AK2256" s="54"/>
      <c r="AL2256" s="54"/>
    </row>
    <row r="2257" spans="1:38" ht="15.75" thickBot="1" x14ac:dyDescent="0.3">
      <c r="A2257" s="51"/>
      <c r="B2257" s="51"/>
      <c r="C2257" s="51"/>
      <c r="D2257" s="51"/>
      <c r="E2257" s="51"/>
      <c r="F2257" s="51"/>
      <c r="G2257" s="56"/>
      <c r="H2257" s="148"/>
      <c r="I2257" s="55"/>
      <c r="J2257" s="55"/>
      <c r="K2257" s="55"/>
      <c r="L2257" s="55"/>
      <c r="M2257" s="56"/>
      <c r="N2257" s="55"/>
      <c r="O2257" s="55"/>
      <c r="P2257" s="55"/>
      <c r="Q2257" s="55"/>
      <c r="R2257" s="55"/>
      <c r="S2257" s="55"/>
      <c r="T2257" s="55"/>
      <c r="U2257" s="55"/>
      <c r="V2257" s="55"/>
      <c r="W2257" s="55"/>
      <c r="X2257" s="55"/>
      <c r="Y2257" s="55"/>
      <c r="Z2257" s="55"/>
      <c r="AA2257" s="55"/>
      <c r="AB2257" s="55"/>
      <c r="AC2257" s="55"/>
      <c r="AD2257" s="55"/>
      <c r="AE2257" s="55"/>
      <c r="AF2257" s="55"/>
      <c r="AG2257" s="55"/>
      <c r="AH2257" s="56"/>
      <c r="AI2257" s="55"/>
      <c r="AJ2257" s="55"/>
      <c r="AK2257" s="56"/>
      <c r="AL2257" s="56"/>
    </row>
    <row r="2258" spans="1:38" ht="15.75" thickBot="1" x14ac:dyDescent="0.3">
      <c r="A2258" s="51"/>
      <c r="B2258" s="51"/>
      <c r="C2258" s="51"/>
      <c r="D2258" s="51"/>
      <c r="E2258" s="51"/>
      <c r="F2258" s="51"/>
      <c r="G2258" s="54"/>
      <c r="H2258" s="53"/>
      <c r="I2258" s="53"/>
      <c r="J2258" s="53"/>
      <c r="K2258" s="53"/>
      <c r="L2258" s="53"/>
      <c r="M2258" s="53"/>
      <c r="N2258" s="53"/>
      <c r="O2258" s="53"/>
      <c r="P2258" s="53"/>
      <c r="Q2258" s="53"/>
      <c r="R2258" s="53"/>
      <c r="S2258" s="53"/>
      <c r="T2258" s="53"/>
      <c r="U2258" s="53"/>
      <c r="V2258" s="53"/>
      <c r="W2258" s="53"/>
      <c r="X2258" s="53"/>
      <c r="Y2258" s="53"/>
      <c r="Z2258" s="54"/>
      <c r="AA2258" s="53"/>
      <c r="AB2258" s="53"/>
      <c r="AC2258" s="53"/>
      <c r="AD2258" s="53"/>
      <c r="AE2258" s="53"/>
      <c r="AF2258" s="53"/>
      <c r="AG2258" s="53"/>
      <c r="AH2258" s="54"/>
      <c r="AI2258" s="53"/>
      <c r="AJ2258" s="53"/>
      <c r="AK2258" s="54"/>
      <c r="AL2258" s="54"/>
    </row>
    <row r="2259" spans="1:38" ht="15.75" thickBot="1" x14ac:dyDescent="0.3">
      <c r="A2259" s="51"/>
      <c r="B2259" s="51"/>
      <c r="C2259" s="51"/>
      <c r="D2259" s="51"/>
      <c r="E2259" s="51"/>
      <c r="F2259" s="51"/>
      <c r="G2259" s="56"/>
      <c r="H2259" s="55"/>
      <c r="I2259" s="55"/>
      <c r="J2259" s="55"/>
      <c r="K2259" s="55"/>
      <c r="L2259" s="55"/>
      <c r="M2259" s="55"/>
      <c r="N2259" s="55"/>
      <c r="O2259" s="55"/>
      <c r="P2259" s="55"/>
      <c r="Q2259" s="55"/>
      <c r="R2259" s="55"/>
      <c r="S2259" s="55"/>
      <c r="T2259" s="55"/>
      <c r="U2259" s="55"/>
      <c r="V2259" s="55"/>
      <c r="W2259" s="55"/>
      <c r="X2259" s="55"/>
      <c r="Y2259" s="55"/>
      <c r="Z2259" s="56"/>
      <c r="AA2259" s="55"/>
      <c r="AB2259" s="55"/>
      <c r="AC2259" s="55"/>
      <c r="AD2259" s="55"/>
      <c r="AE2259" s="55"/>
      <c r="AF2259" s="55"/>
      <c r="AG2259" s="55"/>
      <c r="AH2259" s="56"/>
      <c r="AI2259" s="55"/>
      <c r="AJ2259" s="55"/>
      <c r="AK2259" s="56"/>
      <c r="AL2259" s="56"/>
    </row>
    <row r="2260" spans="1:38" ht="15.75" thickBot="1" x14ac:dyDescent="0.3">
      <c r="A2260" s="51"/>
      <c r="B2260" s="51"/>
      <c r="C2260" s="51"/>
      <c r="D2260" s="51"/>
      <c r="E2260" s="51"/>
      <c r="F2260" s="51"/>
      <c r="G2260" s="54"/>
      <c r="H2260" s="53"/>
      <c r="I2260" s="53"/>
      <c r="J2260" s="53"/>
      <c r="K2260" s="53"/>
      <c r="L2260" s="53"/>
      <c r="M2260" s="53"/>
      <c r="N2260" s="53"/>
      <c r="O2260" s="53"/>
      <c r="P2260" s="53"/>
      <c r="Q2260" s="53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4"/>
      <c r="AB2260" s="53"/>
      <c r="AC2260" s="53"/>
      <c r="AD2260" s="53"/>
      <c r="AE2260" s="53"/>
      <c r="AF2260" s="53"/>
      <c r="AG2260" s="53"/>
      <c r="AH2260" s="54"/>
      <c r="AI2260" s="53"/>
      <c r="AJ2260" s="53"/>
      <c r="AK2260" s="54"/>
      <c r="AL2260" s="54"/>
    </row>
    <row r="2261" spans="1:38" ht="15.75" thickBot="1" x14ac:dyDescent="0.3">
      <c r="A2261" s="51"/>
      <c r="B2261" s="51"/>
      <c r="C2261" s="51"/>
      <c r="D2261" s="51"/>
      <c r="E2261" s="51"/>
      <c r="F2261" s="51"/>
      <c r="G2261" s="56"/>
      <c r="H2261" s="55"/>
      <c r="I2261" s="55"/>
      <c r="J2261" s="55"/>
      <c r="K2261" s="55"/>
      <c r="L2261" s="55"/>
      <c r="M2261" s="55"/>
      <c r="N2261" s="55"/>
      <c r="O2261" s="55"/>
      <c r="P2261" s="55"/>
      <c r="Q2261" s="55"/>
      <c r="R2261" s="55"/>
      <c r="S2261" s="55"/>
      <c r="T2261" s="55"/>
      <c r="U2261" s="55"/>
      <c r="V2261" s="55"/>
      <c r="W2261" s="55"/>
      <c r="X2261" s="55"/>
      <c r="Y2261" s="55"/>
      <c r="Z2261" s="55"/>
      <c r="AA2261" s="56"/>
      <c r="AB2261" s="55"/>
      <c r="AC2261" s="55"/>
      <c r="AD2261" s="55"/>
      <c r="AE2261" s="55"/>
      <c r="AF2261" s="55"/>
      <c r="AG2261" s="55"/>
      <c r="AH2261" s="56"/>
      <c r="AI2261" s="55"/>
      <c r="AJ2261" s="55"/>
      <c r="AK2261" s="56"/>
      <c r="AL2261" s="56"/>
    </row>
    <row r="2262" spans="1:38" ht="15.75" thickBot="1" x14ac:dyDescent="0.3">
      <c r="A2262" s="51"/>
      <c r="B2262" s="51"/>
      <c r="C2262" s="51"/>
      <c r="D2262" s="51"/>
      <c r="E2262" s="51"/>
      <c r="F2262" s="51"/>
      <c r="G2262" s="54"/>
      <c r="H2262" s="53"/>
      <c r="I2262" s="53"/>
      <c r="J2262" s="53"/>
      <c r="K2262" s="53"/>
      <c r="L2262" s="53"/>
      <c r="M2262" s="53"/>
      <c r="N2262" s="53"/>
      <c r="O2262" s="53"/>
      <c r="P2262" s="53"/>
      <c r="Q2262" s="53"/>
      <c r="R2262" s="54"/>
      <c r="S2262" s="53"/>
      <c r="T2262" s="53"/>
      <c r="U2262" s="53"/>
      <c r="V2262" s="53"/>
      <c r="W2262" s="53"/>
      <c r="X2262" s="53"/>
      <c r="Y2262" s="53"/>
      <c r="Z2262" s="53"/>
      <c r="AA2262" s="53"/>
      <c r="AB2262" s="53"/>
      <c r="AC2262" s="53"/>
      <c r="AD2262" s="53"/>
      <c r="AE2262" s="53"/>
      <c r="AF2262" s="53"/>
      <c r="AG2262" s="53"/>
      <c r="AH2262" s="54"/>
      <c r="AI2262" s="53"/>
      <c r="AJ2262" s="53"/>
      <c r="AK2262" s="54"/>
      <c r="AL2262" s="54"/>
    </row>
    <row r="2263" spans="1:38" ht="15.75" thickBot="1" x14ac:dyDescent="0.3">
      <c r="A2263" s="51"/>
      <c r="B2263" s="51"/>
      <c r="C2263" s="51"/>
      <c r="D2263" s="51"/>
      <c r="E2263" s="51"/>
      <c r="F2263" s="51"/>
      <c r="G2263" s="56"/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6"/>
      <c r="S2263" s="55"/>
      <c r="T2263" s="55"/>
      <c r="U2263" s="55"/>
      <c r="V2263" s="55"/>
      <c r="W2263" s="55"/>
      <c r="X2263" s="55"/>
      <c r="Y2263" s="55"/>
      <c r="Z2263" s="55"/>
      <c r="AA2263" s="55"/>
      <c r="AB2263" s="55"/>
      <c r="AC2263" s="55"/>
      <c r="AD2263" s="55"/>
      <c r="AE2263" s="55"/>
      <c r="AF2263" s="55"/>
      <c r="AG2263" s="55"/>
      <c r="AH2263" s="56"/>
      <c r="AI2263" s="55"/>
      <c r="AJ2263" s="55"/>
      <c r="AK2263" s="56"/>
      <c r="AL2263" s="56"/>
    </row>
    <row r="2264" spans="1:38" ht="15.75" thickBot="1" x14ac:dyDescent="0.3">
      <c r="A2264" s="51"/>
      <c r="B2264" s="51"/>
      <c r="C2264" s="51"/>
      <c r="D2264" s="51"/>
      <c r="E2264" s="51"/>
      <c r="F2264" s="51"/>
      <c r="G2264" s="54"/>
      <c r="H2264" s="53"/>
      <c r="I2264" s="53"/>
      <c r="J2264" s="53"/>
      <c r="K2264" s="53"/>
      <c r="L2264" s="53"/>
      <c r="M2264" s="53"/>
      <c r="N2264" s="53"/>
      <c r="O2264" s="53"/>
      <c r="P2264" s="53"/>
      <c r="Q2264" s="53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3"/>
      <c r="AB2264" s="53"/>
      <c r="AC2264" s="54"/>
      <c r="AD2264" s="53"/>
      <c r="AE2264" s="53"/>
      <c r="AF2264" s="53"/>
      <c r="AG2264" s="53"/>
      <c r="AH2264" s="54"/>
      <c r="AI2264" s="53"/>
      <c r="AJ2264" s="53"/>
      <c r="AK2264" s="54"/>
      <c r="AL2264" s="54"/>
    </row>
    <row r="2265" spans="1:38" ht="15.75" thickBot="1" x14ac:dyDescent="0.3">
      <c r="A2265" s="51"/>
      <c r="B2265" s="51"/>
      <c r="C2265" s="51"/>
      <c r="D2265" s="51"/>
      <c r="E2265" s="51"/>
      <c r="F2265" s="51"/>
      <c r="G2265" s="56"/>
      <c r="H2265" s="55"/>
      <c r="I2265" s="55"/>
      <c r="J2265" s="55"/>
      <c r="K2265" s="55"/>
      <c r="L2265" s="55"/>
      <c r="M2265" s="55"/>
      <c r="N2265" s="55"/>
      <c r="O2265" s="55"/>
      <c r="P2265" s="55"/>
      <c r="Q2265" s="55"/>
      <c r="R2265" s="55"/>
      <c r="S2265" s="55"/>
      <c r="T2265" s="55"/>
      <c r="U2265" s="55"/>
      <c r="V2265" s="55"/>
      <c r="W2265" s="55"/>
      <c r="X2265" s="55"/>
      <c r="Y2265" s="55"/>
      <c r="Z2265" s="55"/>
      <c r="AA2265" s="55"/>
      <c r="AB2265" s="55"/>
      <c r="AC2265" s="56"/>
      <c r="AD2265" s="55"/>
      <c r="AE2265" s="55"/>
      <c r="AF2265" s="55"/>
      <c r="AG2265" s="55"/>
      <c r="AH2265" s="56"/>
      <c r="AI2265" s="55"/>
      <c r="AJ2265" s="55"/>
      <c r="AK2265" s="56"/>
      <c r="AL2265" s="56"/>
    </row>
    <row r="2266" spans="1:38" ht="15.75" thickBot="1" x14ac:dyDescent="0.3">
      <c r="A2266" s="51"/>
      <c r="B2266" s="51"/>
      <c r="C2266" s="51"/>
      <c r="D2266" s="51"/>
      <c r="E2266" s="51"/>
      <c r="F2266" s="51"/>
      <c r="G2266" s="54"/>
      <c r="H2266" s="53"/>
      <c r="I2266" s="53"/>
      <c r="J2266" s="53"/>
      <c r="K2266" s="54"/>
      <c r="L2266" s="53"/>
      <c r="M2266" s="53"/>
      <c r="N2266" s="53"/>
      <c r="O2266" s="53"/>
      <c r="P2266" s="53"/>
      <c r="Q2266" s="53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3"/>
      <c r="AB2266" s="53"/>
      <c r="AC2266" s="53"/>
      <c r="AD2266" s="53"/>
      <c r="AE2266" s="53"/>
      <c r="AF2266" s="53"/>
      <c r="AG2266" s="53"/>
      <c r="AH2266" s="54"/>
      <c r="AI2266" s="53"/>
      <c r="AJ2266" s="53"/>
      <c r="AK2266" s="54"/>
      <c r="AL2266" s="54"/>
    </row>
    <row r="2267" spans="1:38" ht="15.75" thickBot="1" x14ac:dyDescent="0.3">
      <c r="A2267" s="51"/>
      <c r="B2267" s="51"/>
      <c r="C2267" s="51"/>
      <c r="D2267" s="51"/>
      <c r="E2267" s="51"/>
      <c r="F2267" s="51"/>
      <c r="G2267" s="56"/>
      <c r="H2267" s="55"/>
      <c r="I2267" s="55"/>
      <c r="J2267" s="55"/>
      <c r="K2267" s="56"/>
      <c r="L2267" s="55"/>
      <c r="M2267" s="55"/>
      <c r="N2267" s="55"/>
      <c r="O2267" s="55"/>
      <c r="P2267" s="55"/>
      <c r="Q2267" s="55"/>
      <c r="R2267" s="55"/>
      <c r="S2267" s="55"/>
      <c r="T2267" s="55"/>
      <c r="U2267" s="55"/>
      <c r="V2267" s="55"/>
      <c r="W2267" s="55"/>
      <c r="X2267" s="55"/>
      <c r="Y2267" s="55"/>
      <c r="Z2267" s="55"/>
      <c r="AA2267" s="55"/>
      <c r="AB2267" s="55"/>
      <c r="AC2267" s="55"/>
      <c r="AD2267" s="55"/>
      <c r="AE2267" s="55"/>
      <c r="AF2267" s="55"/>
      <c r="AG2267" s="55"/>
      <c r="AH2267" s="56"/>
      <c r="AI2267" s="55"/>
      <c r="AJ2267" s="55"/>
      <c r="AK2267" s="56"/>
      <c r="AL2267" s="56"/>
    </row>
    <row r="2268" spans="1:38" ht="15.75" thickBot="1" x14ac:dyDescent="0.3">
      <c r="A2268" s="51"/>
      <c r="B2268" s="51"/>
      <c r="C2268" s="51"/>
      <c r="D2268" s="51"/>
      <c r="E2268" s="51"/>
      <c r="F2268" s="51"/>
      <c r="G2268" s="54"/>
      <c r="H2268" s="54"/>
      <c r="I2268" s="53"/>
      <c r="J2268" s="53"/>
      <c r="K2268" s="53"/>
      <c r="L2268" s="53"/>
      <c r="M2268" s="54"/>
      <c r="N2268" s="53"/>
      <c r="O2268" s="53"/>
      <c r="P2268" s="53"/>
      <c r="Q2268" s="53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3"/>
      <c r="AB2268" s="53"/>
      <c r="AC2268" s="53"/>
      <c r="AD2268" s="53"/>
      <c r="AE2268" s="53"/>
      <c r="AF2268" s="53"/>
      <c r="AG2268" s="53"/>
      <c r="AH2268" s="54"/>
      <c r="AI2268" s="53"/>
      <c r="AJ2268" s="53"/>
      <c r="AK2268" s="54"/>
      <c r="AL2268" s="54"/>
    </row>
    <row r="2269" spans="1:38" ht="15.75" thickBot="1" x14ac:dyDescent="0.3">
      <c r="A2269" s="51"/>
      <c r="B2269" s="51"/>
      <c r="C2269" s="51"/>
      <c r="D2269" s="51"/>
      <c r="E2269" s="51"/>
      <c r="F2269" s="51"/>
      <c r="G2269" s="56"/>
      <c r="H2269" s="148"/>
      <c r="I2269" s="55"/>
      <c r="J2269" s="55"/>
      <c r="K2269" s="55"/>
      <c r="L2269" s="55"/>
      <c r="M2269" s="56"/>
      <c r="N2269" s="55"/>
      <c r="O2269" s="55"/>
      <c r="P2269" s="55"/>
      <c r="Q2269" s="55"/>
      <c r="R2269" s="55"/>
      <c r="S2269" s="55"/>
      <c r="T2269" s="55"/>
      <c r="U2269" s="55"/>
      <c r="V2269" s="55"/>
      <c r="W2269" s="55"/>
      <c r="X2269" s="55"/>
      <c r="Y2269" s="55"/>
      <c r="Z2269" s="55"/>
      <c r="AA2269" s="55"/>
      <c r="AB2269" s="55"/>
      <c r="AC2269" s="55"/>
      <c r="AD2269" s="55"/>
      <c r="AE2269" s="55"/>
      <c r="AF2269" s="55"/>
      <c r="AG2269" s="55"/>
      <c r="AH2269" s="56"/>
      <c r="AI2269" s="55"/>
      <c r="AJ2269" s="55"/>
      <c r="AK2269" s="56"/>
      <c r="AL2269" s="56"/>
    </row>
    <row r="2270" spans="1:38" ht="15.75" thickBot="1" x14ac:dyDescent="0.3">
      <c r="A2270" s="51"/>
      <c r="B2270" s="51"/>
      <c r="C2270" s="51"/>
      <c r="D2270" s="51"/>
      <c r="E2270" s="51"/>
      <c r="F2270" s="51"/>
      <c r="G2270" s="54"/>
      <c r="H2270" s="53"/>
      <c r="I2270" s="53"/>
      <c r="J2270" s="53"/>
      <c r="K2270" s="53"/>
      <c r="L2270" s="53"/>
      <c r="M2270" s="53"/>
      <c r="N2270" s="53"/>
      <c r="O2270" s="53"/>
      <c r="P2270" s="53"/>
      <c r="Q2270" s="53"/>
      <c r="R2270" s="53"/>
      <c r="S2270" s="53"/>
      <c r="T2270" s="53"/>
      <c r="U2270" s="53"/>
      <c r="V2270" s="53"/>
      <c r="W2270" s="53"/>
      <c r="X2270" s="53"/>
      <c r="Y2270" s="53"/>
      <c r="Z2270" s="54"/>
      <c r="AA2270" s="53"/>
      <c r="AB2270" s="53"/>
      <c r="AC2270" s="53"/>
      <c r="AD2270" s="53"/>
      <c r="AE2270" s="53"/>
      <c r="AF2270" s="53"/>
      <c r="AG2270" s="53"/>
      <c r="AH2270" s="54"/>
      <c r="AI2270" s="53"/>
      <c r="AJ2270" s="53"/>
      <c r="AK2270" s="54"/>
      <c r="AL2270" s="54"/>
    </row>
    <row r="2271" spans="1:38" ht="15.75" thickBot="1" x14ac:dyDescent="0.3">
      <c r="A2271" s="51"/>
      <c r="B2271" s="51"/>
      <c r="C2271" s="51"/>
      <c r="D2271" s="51"/>
      <c r="E2271" s="51"/>
      <c r="F2271" s="51"/>
      <c r="G2271" s="56"/>
      <c r="H2271" s="55"/>
      <c r="I2271" s="55"/>
      <c r="J2271" s="55"/>
      <c r="K2271" s="55"/>
      <c r="L2271" s="55"/>
      <c r="M2271" s="55"/>
      <c r="N2271" s="55"/>
      <c r="O2271" s="55"/>
      <c r="P2271" s="55"/>
      <c r="Q2271" s="55"/>
      <c r="R2271" s="55"/>
      <c r="S2271" s="55"/>
      <c r="T2271" s="55"/>
      <c r="U2271" s="55"/>
      <c r="V2271" s="55"/>
      <c r="W2271" s="55"/>
      <c r="X2271" s="55"/>
      <c r="Y2271" s="55"/>
      <c r="Z2271" s="56"/>
      <c r="AA2271" s="55"/>
      <c r="AB2271" s="55"/>
      <c r="AC2271" s="55"/>
      <c r="AD2271" s="55"/>
      <c r="AE2271" s="55"/>
      <c r="AF2271" s="55"/>
      <c r="AG2271" s="55"/>
      <c r="AH2271" s="56"/>
      <c r="AI2271" s="55"/>
      <c r="AJ2271" s="55"/>
      <c r="AK2271" s="56"/>
      <c r="AL2271" s="56"/>
    </row>
    <row r="2272" spans="1:38" ht="15.75" thickBot="1" x14ac:dyDescent="0.3">
      <c r="A2272" s="51"/>
      <c r="B2272" s="51"/>
      <c r="C2272" s="51"/>
      <c r="D2272" s="51"/>
      <c r="E2272" s="51"/>
      <c r="F2272" s="51"/>
      <c r="G2272" s="54"/>
      <c r="H2272" s="53"/>
      <c r="I2272" s="53"/>
      <c r="J2272" s="53"/>
      <c r="K2272" s="53"/>
      <c r="L2272" s="53"/>
      <c r="M2272" s="53"/>
      <c r="N2272" s="53"/>
      <c r="O2272" s="53"/>
      <c r="P2272" s="53"/>
      <c r="Q2272" s="53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4"/>
      <c r="AB2272" s="53"/>
      <c r="AC2272" s="53"/>
      <c r="AD2272" s="53"/>
      <c r="AE2272" s="53"/>
      <c r="AF2272" s="53"/>
      <c r="AG2272" s="53"/>
      <c r="AH2272" s="54"/>
      <c r="AI2272" s="53"/>
      <c r="AJ2272" s="53"/>
      <c r="AK2272" s="54"/>
      <c r="AL2272" s="54"/>
    </row>
    <row r="2273" spans="1:38" ht="15.75" thickBot="1" x14ac:dyDescent="0.3">
      <c r="A2273" s="51"/>
      <c r="B2273" s="51"/>
      <c r="C2273" s="51"/>
      <c r="D2273" s="51"/>
      <c r="E2273" s="51"/>
      <c r="F2273" s="51"/>
      <c r="G2273" s="56"/>
      <c r="H2273" s="55"/>
      <c r="I2273" s="55"/>
      <c r="J2273" s="55"/>
      <c r="K2273" s="55"/>
      <c r="L2273" s="55"/>
      <c r="M2273" s="55"/>
      <c r="N2273" s="55"/>
      <c r="O2273" s="55"/>
      <c r="P2273" s="55"/>
      <c r="Q2273" s="55"/>
      <c r="R2273" s="55"/>
      <c r="S2273" s="55"/>
      <c r="T2273" s="55"/>
      <c r="U2273" s="55"/>
      <c r="V2273" s="55"/>
      <c r="W2273" s="55"/>
      <c r="X2273" s="55"/>
      <c r="Y2273" s="55"/>
      <c r="Z2273" s="55"/>
      <c r="AA2273" s="56"/>
      <c r="AB2273" s="55"/>
      <c r="AC2273" s="55"/>
      <c r="AD2273" s="55"/>
      <c r="AE2273" s="55"/>
      <c r="AF2273" s="55"/>
      <c r="AG2273" s="55"/>
      <c r="AH2273" s="56"/>
      <c r="AI2273" s="55"/>
      <c r="AJ2273" s="55"/>
      <c r="AK2273" s="56"/>
      <c r="AL2273" s="56"/>
    </row>
    <row r="2274" spans="1:38" ht="15.75" thickBot="1" x14ac:dyDescent="0.3">
      <c r="A2274" s="51"/>
      <c r="B2274" s="51"/>
      <c r="C2274" s="51"/>
      <c r="D2274" s="51"/>
      <c r="E2274" s="51"/>
      <c r="F2274" s="51"/>
      <c r="G2274" s="54"/>
      <c r="H2274" s="53"/>
      <c r="I2274" s="53"/>
      <c r="J2274" s="53"/>
      <c r="K2274" s="53"/>
      <c r="L2274" s="53"/>
      <c r="M2274" s="53"/>
      <c r="N2274" s="53"/>
      <c r="O2274" s="53"/>
      <c r="P2274" s="53"/>
      <c r="Q2274" s="53"/>
      <c r="R2274" s="54"/>
      <c r="S2274" s="53"/>
      <c r="T2274" s="53"/>
      <c r="U2274" s="53"/>
      <c r="V2274" s="53"/>
      <c r="W2274" s="53"/>
      <c r="X2274" s="53"/>
      <c r="Y2274" s="53"/>
      <c r="Z2274" s="53"/>
      <c r="AA2274" s="53"/>
      <c r="AB2274" s="53"/>
      <c r="AC2274" s="53"/>
      <c r="AD2274" s="53"/>
      <c r="AE2274" s="53"/>
      <c r="AF2274" s="53"/>
      <c r="AG2274" s="53"/>
      <c r="AH2274" s="54"/>
      <c r="AI2274" s="53"/>
      <c r="AJ2274" s="53"/>
      <c r="AK2274" s="54"/>
      <c r="AL2274" s="54"/>
    </row>
    <row r="2275" spans="1:38" ht="15.75" thickBot="1" x14ac:dyDescent="0.3">
      <c r="A2275" s="51"/>
      <c r="B2275" s="51"/>
      <c r="C2275" s="51"/>
      <c r="D2275" s="51"/>
      <c r="E2275" s="51"/>
      <c r="F2275" s="51"/>
      <c r="G2275" s="56"/>
      <c r="H2275" s="55"/>
      <c r="I2275" s="55"/>
      <c r="J2275" s="55"/>
      <c r="K2275" s="55"/>
      <c r="L2275" s="55"/>
      <c r="M2275" s="55"/>
      <c r="N2275" s="55"/>
      <c r="O2275" s="55"/>
      <c r="P2275" s="55"/>
      <c r="Q2275" s="55"/>
      <c r="R2275" s="56"/>
      <c r="S2275" s="55"/>
      <c r="T2275" s="55"/>
      <c r="U2275" s="55"/>
      <c r="V2275" s="55"/>
      <c r="W2275" s="55"/>
      <c r="X2275" s="55"/>
      <c r="Y2275" s="55"/>
      <c r="Z2275" s="55"/>
      <c r="AA2275" s="55"/>
      <c r="AB2275" s="55"/>
      <c r="AC2275" s="55"/>
      <c r="AD2275" s="55"/>
      <c r="AE2275" s="55"/>
      <c r="AF2275" s="55"/>
      <c r="AG2275" s="55"/>
      <c r="AH2275" s="56"/>
      <c r="AI2275" s="55"/>
      <c r="AJ2275" s="55"/>
      <c r="AK2275" s="56"/>
      <c r="AL2275" s="56"/>
    </row>
    <row r="2276" spans="1:38" ht="15.75" thickBot="1" x14ac:dyDescent="0.3">
      <c r="A2276" s="51"/>
      <c r="B2276" s="51"/>
      <c r="C2276" s="51"/>
      <c r="D2276" s="51"/>
      <c r="E2276" s="51"/>
      <c r="F2276" s="51"/>
      <c r="G2276" s="54"/>
      <c r="H2276" s="53"/>
      <c r="I2276" s="53"/>
      <c r="J2276" s="53"/>
      <c r="K2276" s="53"/>
      <c r="L2276" s="53"/>
      <c r="M2276" s="53"/>
      <c r="N2276" s="53"/>
      <c r="O2276" s="53"/>
      <c r="P2276" s="53"/>
      <c r="Q2276" s="53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3"/>
      <c r="AB2276" s="53"/>
      <c r="AC2276" s="54"/>
      <c r="AD2276" s="53"/>
      <c r="AE2276" s="53"/>
      <c r="AF2276" s="53"/>
      <c r="AG2276" s="53"/>
      <c r="AH2276" s="54"/>
      <c r="AI2276" s="53"/>
      <c r="AJ2276" s="53"/>
      <c r="AK2276" s="54"/>
      <c r="AL2276" s="54"/>
    </row>
    <row r="2277" spans="1:38" ht="15.75" thickBot="1" x14ac:dyDescent="0.3">
      <c r="A2277" s="51"/>
      <c r="B2277" s="51"/>
      <c r="C2277" s="51"/>
      <c r="D2277" s="51"/>
      <c r="E2277" s="51"/>
      <c r="F2277" s="51"/>
      <c r="G2277" s="56"/>
      <c r="H2277" s="55"/>
      <c r="I2277" s="55"/>
      <c r="J2277" s="55"/>
      <c r="K2277" s="55"/>
      <c r="L2277" s="55"/>
      <c r="M2277" s="55"/>
      <c r="N2277" s="55"/>
      <c r="O2277" s="55"/>
      <c r="P2277" s="55"/>
      <c r="Q2277" s="55"/>
      <c r="R2277" s="55"/>
      <c r="S2277" s="55"/>
      <c r="T2277" s="55"/>
      <c r="U2277" s="55"/>
      <c r="V2277" s="55"/>
      <c r="W2277" s="55"/>
      <c r="X2277" s="55"/>
      <c r="Y2277" s="55"/>
      <c r="Z2277" s="55"/>
      <c r="AA2277" s="55"/>
      <c r="AB2277" s="55"/>
      <c r="AC2277" s="56"/>
      <c r="AD2277" s="55"/>
      <c r="AE2277" s="55"/>
      <c r="AF2277" s="55"/>
      <c r="AG2277" s="55"/>
      <c r="AH2277" s="56"/>
      <c r="AI2277" s="55"/>
      <c r="AJ2277" s="55"/>
      <c r="AK2277" s="56"/>
      <c r="AL2277" s="56"/>
    </row>
    <row r="2278" spans="1:38" ht="15.75" thickBot="1" x14ac:dyDescent="0.3">
      <c r="A2278" s="51"/>
      <c r="B2278" s="51"/>
      <c r="C2278" s="51"/>
      <c r="D2278" s="51"/>
      <c r="E2278" s="51"/>
      <c r="F2278" s="51"/>
      <c r="G2278" s="54"/>
      <c r="H2278" s="53"/>
      <c r="I2278" s="53"/>
      <c r="J2278" s="53"/>
      <c r="K2278" s="54"/>
      <c r="L2278" s="53"/>
      <c r="M2278" s="53"/>
      <c r="N2278" s="53"/>
      <c r="O2278" s="53"/>
      <c r="P2278" s="53"/>
      <c r="Q2278" s="53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3"/>
      <c r="AB2278" s="53"/>
      <c r="AC2278" s="53"/>
      <c r="AD2278" s="53"/>
      <c r="AE2278" s="53"/>
      <c r="AF2278" s="53"/>
      <c r="AG2278" s="53"/>
      <c r="AH2278" s="54"/>
      <c r="AI2278" s="53"/>
      <c r="AJ2278" s="53"/>
      <c r="AK2278" s="54"/>
      <c r="AL2278" s="54"/>
    </row>
    <row r="2279" spans="1:38" ht="15.75" thickBot="1" x14ac:dyDescent="0.3">
      <c r="A2279" s="51"/>
      <c r="B2279" s="51"/>
      <c r="C2279" s="51"/>
      <c r="D2279" s="51"/>
      <c r="E2279" s="51"/>
      <c r="F2279" s="51"/>
      <c r="G2279" s="56"/>
      <c r="H2279" s="55"/>
      <c r="I2279" s="55"/>
      <c r="J2279" s="55"/>
      <c r="K2279" s="56"/>
      <c r="L2279" s="55"/>
      <c r="M2279" s="55"/>
      <c r="N2279" s="55"/>
      <c r="O2279" s="55"/>
      <c r="P2279" s="55"/>
      <c r="Q2279" s="55"/>
      <c r="R2279" s="55"/>
      <c r="S2279" s="55"/>
      <c r="T2279" s="55"/>
      <c r="U2279" s="55"/>
      <c r="V2279" s="55"/>
      <c r="W2279" s="55"/>
      <c r="X2279" s="55"/>
      <c r="Y2279" s="55"/>
      <c r="Z2279" s="55"/>
      <c r="AA2279" s="55"/>
      <c r="AB2279" s="55"/>
      <c r="AC2279" s="55"/>
      <c r="AD2279" s="55"/>
      <c r="AE2279" s="55"/>
      <c r="AF2279" s="55"/>
      <c r="AG2279" s="55"/>
      <c r="AH2279" s="56"/>
      <c r="AI2279" s="55"/>
      <c r="AJ2279" s="55"/>
      <c r="AK2279" s="56"/>
      <c r="AL2279" s="56"/>
    </row>
    <row r="2280" spans="1:38" ht="15.75" thickBot="1" x14ac:dyDescent="0.3">
      <c r="A2280" s="51"/>
      <c r="B2280" s="51"/>
      <c r="C2280" s="51"/>
      <c r="D2280" s="51"/>
      <c r="E2280" s="51"/>
      <c r="F2280" s="51"/>
      <c r="G2280" s="54"/>
      <c r="H2280" s="54"/>
      <c r="I2280" s="53"/>
      <c r="J2280" s="53"/>
      <c r="K2280" s="53"/>
      <c r="L2280" s="53"/>
      <c r="M2280" s="54"/>
      <c r="N2280" s="53"/>
      <c r="O2280" s="53"/>
      <c r="P2280" s="53"/>
      <c r="Q2280" s="53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3"/>
      <c r="AB2280" s="53"/>
      <c r="AC2280" s="53"/>
      <c r="AD2280" s="53"/>
      <c r="AE2280" s="53"/>
      <c r="AF2280" s="53"/>
      <c r="AG2280" s="53"/>
      <c r="AH2280" s="54"/>
      <c r="AI2280" s="53"/>
      <c r="AJ2280" s="53"/>
      <c r="AK2280" s="54"/>
      <c r="AL2280" s="54"/>
    </row>
    <row r="2281" spans="1:38" ht="15.75" thickBot="1" x14ac:dyDescent="0.3">
      <c r="A2281" s="51"/>
      <c r="B2281" s="51"/>
      <c r="C2281" s="51"/>
      <c r="D2281" s="51"/>
      <c r="E2281" s="51"/>
      <c r="F2281" s="51"/>
      <c r="G2281" s="56"/>
      <c r="H2281" s="148"/>
      <c r="I2281" s="55"/>
      <c r="J2281" s="55"/>
      <c r="K2281" s="55"/>
      <c r="L2281" s="55"/>
      <c r="M2281" s="56"/>
      <c r="N2281" s="55"/>
      <c r="O2281" s="55"/>
      <c r="P2281" s="55"/>
      <c r="Q2281" s="55"/>
      <c r="R2281" s="55"/>
      <c r="S2281" s="55"/>
      <c r="T2281" s="55"/>
      <c r="U2281" s="55"/>
      <c r="V2281" s="55"/>
      <c r="W2281" s="55"/>
      <c r="X2281" s="55"/>
      <c r="Y2281" s="55"/>
      <c r="Z2281" s="55"/>
      <c r="AA2281" s="55"/>
      <c r="AB2281" s="55"/>
      <c r="AC2281" s="55"/>
      <c r="AD2281" s="55"/>
      <c r="AE2281" s="55"/>
      <c r="AF2281" s="55"/>
      <c r="AG2281" s="55"/>
      <c r="AH2281" s="56"/>
      <c r="AI2281" s="55"/>
      <c r="AJ2281" s="55"/>
      <c r="AK2281" s="56"/>
      <c r="AL2281" s="56"/>
    </row>
    <row r="2282" spans="1:38" ht="15.75" thickBot="1" x14ac:dyDescent="0.3">
      <c r="A2282" s="51"/>
      <c r="B2282" s="51"/>
      <c r="C2282" s="51"/>
      <c r="D2282" s="51"/>
      <c r="E2282" s="51"/>
      <c r="F2282" s="51"/>
      <c r="G2282" s="54"/>
      <c r="H2282" s="53"/>
      <c r="I2282" s="53"/>
      <c r="J2282" s="53"/>
      <c r="K2282" s="53"/>
      <c r="L2282" s="53"/>
      <c r="M2282" s="53"/>
      <c r="N2282" s="53"/>
      <c r="O2282" s="53"/>
      <c r="P2282" s="53"/>
      <c r="Q2282" s="53"/>
      <c r="R2282" s="53"/>
      <c r="S2282" s="53"/>
      <c r="T2282" s="53"/>
      <c r="U2282" s="53"/>
      <c r="V2282" s="53"/>
      <c r="W2282" s="53"/>
      <c r="X2282" s="53"/>
      <c r="Y2282" s="53"/>
      <c r="Z2282" s="54"/>
      <c r="AA2282" s="53"/>
      <c r="AB2282" s="53"/>
      <c r="AC2282" s="53"/>
      <c r="AD2282" s="53"/>
      <c r="AE2282" s="53"/>
      <c r="AF2282" s="53"/>
      <c r="AG2282" s="53"/>
      <c r="AH2282" s="54"/>
      <c r="AI2282" s="53"/>
      <c r="AJ2282" s="53"/>
      <c r="AK2282" s="54"/>
      <c r="AL2282" s="54"/>
    </row>
    <row r="2283" spans="1:38" ht="15.75" thickBot="1" x14ac:dyDescent="0.3">
      <c r="A2283" s="51"/>
      <c r="B2283" s="51"/>
      <c r="C2283" s="51"/>
      <c r="D2283" s="51"/>
      <c r="E2283" s="51"/>
      <c r="F2283" s="51"/>
      <c r="G2283" s="56"/>
      <c r="H2283" s="55"/>
      <c r="I2283" s="55"/>
      <c r="J2283" s="55"/>
      <c r="K2283" s="55"/>
      <c r="L2283" s="55"/>
      <c r="M2283" s="55"/>
      <c r="N2283" s="55"/>
      <c r="O2283" s="55"/>
      <c r="P2283" s="55"/>
      <c r="Q2283" s="55"/>
      <c r="R2283" s="55"/>
      <c r="S2283" s="55"/>
      <c r="T2283" s="55"/>
      <c r="U2283" s="55"/>
      <c r="V2283" s="55"/>
      <c r="W2283" s="55"/>
      <c r="X2283" s="55"/>
      <c r="Y2283" s="55"/>
      <c r="Z2283" s="56"/>
      <c r="AA2283" s="55"/>
      <c r="AB2283" s="55"/>
      <c r="AC2283" s="55"/>
      <c r="AD2283" s="55"/>
      <c r="AE2283" s="55"/>
      <c r="AF2283" s="55"/>
      <c r="AG2283" s="55"/>
      <c r="AH2283" s="56"/>
      <c r="AI2283" s="55"/>
      <c r="AJ2283" s="55"/>
      <c r="AK2283" s="56"/>
      <c r="AL2283" s="56"/>
    </row>
    <row r="2284" spans="1:38" ht="15.75" thickBot="1" x14ac:dyDescent="0.3">
      <c r="A2284" s="51"/>
      <c r="B2284" s="51"/>
      <c r="C2284" s="51"/>
      <c r="D2284" s="51"/>
      <c r="E2284" s="51"/>
      <c r="F2284" s="51"/>
      <c r="G2284" s="54"/>
      <c r="H2284" s="53"/>
      <c r="I2284" s="53"/>
      <c r="J2284" s="53"/>
      <c r="K2284" s="53"/>
      <c r="L2284" s="53"/>
      <c r="M2284" s="53"/>
      <c r="N2284" s="53"/>
      <c r="O2284" s="53"/>
      <c r="P2284" s="53"/>
      <c r="Q2284" s="53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4"/>
      <c r="AB2284" s="53"/>
      <c r="AC2284" s="53"/>
      <c r="AD2284" s="53"/>
      <c r="AE2284" s="53"/>
      <c r="AF2284" s="53"/>
      <c r="AG2284" s="53"/>
      <c r="AH2284" s="54"/>
      <c r="AI2284" s="53"/>
      <c r="AJ2284" s="53"/>
      <c r="AK2284" s="54"/>
      <c r="AL2284" s="54"/>
    </row>
    <row r="2285" spans="1:38" ht="15.75" thickBot="1" x14ac:dyDescent="0.3">
      <c r="A2285" s="51"/>
      <c r="B2285" s="51"/>
      <c r="C2285" s="51"/>
      <c r="D2285" s="51"/>
      <c r="E2285" s="51"/>
      <c r="F2285" s="51"/>
      <c r="G2285" s="56"/>
      <c r="H2285" s="55"/>
      <c r="I2285" s="55"/>
      <c r="J2285" s="55"/>
      <c r="K2285" s="55"/>
      <c r="L2285" s="55"/>
      <c r="M2285" s="55"/>
      <c r="N2285" s="55"/>
      <c r="O2285" s="55"/>
      <c r="P2285" s="55"/>
      <c r="Q2285" s="55"/>
      <c r="R2285" s="55"/>
      <c r="S2285" s="55"/>
      <c r="T2285" s="55"/>
      <c r="U2285" s="55"/>
      <c r="V2285" s="55"/>
      <c r="W2285" s="55"/>
      <c r="X2285" s="55"/>
      <c r="Y2285" s="55"/>
      <c r="Z2285" s="55"/>
      <c r="AA2285" s="56"/>
      <c r="AB2285" s="55"/>
      <c r="AC2285" s="55"/>
      <c r="AD2285" s="55"/>
      <c r="AE2285" s="55"/>
      <c r="AF2285" s="55"/>
      <c r="AG2285" s="55"/>
      <c r="AH2285" s="56"/>
      <c r="AI2285" s="55"/>
      <c r="AJ2285" s="55"/>
      <c r="AK2285" s="56"/>
      <c r="AL2285" s="56"/>
    </row>
    <row r="2286" spans="1:38" ht="15.75" thickBot="1" x14ac:dyDescent="0.3">
      <c r="A2286" s="51"/>
      <c r="B2286" s="51"/>
      <c r="C2286" s="51"/>
      <c r="D2286" s="51"/>
      <c r="E2286" s="51"/>
      <c r="F2286" s="51"/>
      <c r="G2286" s="54"/>
      <c r="H2286" s="53"/>
      <c r="I2286" s="53"/>
      <c r="J2286" s="53"/>
      <c r="K2286" s="53"/>
      <c r="L2286" s="53"/>
      <c r="M2286" s="53"/>
      <c r="N2286" s="53"/>
      <c r="O2286" s="53"/>
      <c r="P2286" s="53"/>
      <c r="Q2286" s="53"/>
      <c r="R2286" s="54"/>
      <c r="S2286" s="53"/>
      <c r="T2286" s="53"/>
      <c r="U2286" s="53"/>
      <c r="V2286" s="53"/>
      <c r="W2286" s="53"/>
      <c r="X2286" s="53"/>
      <c r="Y2286" s="53"/>
      <c r="Z2286" s="53"/>
      <c r="AA2286" s="53"/>
      <c r="AB2286" s="53"/>
      <c r="AC2286" s="53"/>
      <c r="AD2286" s="53"/>
      <c r="AE2286" s="53"/>
      <c r="AF2286" s="53"/>
      <c r="AG2286" s="53"/>
      <c r="AH2286" s="54"/>
      <c r="AI2286" s="53"/>
      <c r="AJ2286" s="53"/>
      <c r="AK2286" s="54"/>
      <c r="AL2286" s="54"/>
    </row>
    <row r="2287" spans="1:38" ht="15.75" thickBot="1" x14ac:dyDescent="0.3">
      <c r="A2287" s="51"/>
      <c r="B2287" s="51"/>
      <c r="C2287" s="51"/>
      <c r="D2287" s="51"/>
      <c r="E2287" s="51"/>
      <c r="F2287" s="51"/>
      <c r="G2287" s="56"/>
      <c r="H2287" s="55"/>
      <c r="I2287" s="55"/>
      <c r="J2287" s="55"/>
      <c r="K2287" s="55"/>
      <c r="L2287" s="55"/>
      <c r="M2287" s="55"/>
      <c r="N2287" s="55"/>
      <c r="O2287" s="55"/>
      <c r="P2287" s="55"/>
      <c r="Q2287" s="55"/>
      <c r="R2287" s="56"/>
      <c r="S2287" s="55"/>
      <c r="T2287" s="55"/>
      <c r="U2287" s="55"/>
      <c r="V2287" s="55"/>
      <c r="W2287" s="55"/>
      <c r="X2287" s="55"/>
      <c r="Y2287" s="55"/>
      <c r="Z2287" s="55"/>
      <c r="AA2287" s="55"/>
      <c r="AB2287" s="55"/>
      <c r="AC2287" s="55"/>
      <c r="AD2287" s="55"/>
      <c r="AE2287" s="55"/>
      <c r="AF2287" s="55"/>
      <c r="AG2287" s="55"/>
      <c r="AH2287" s="56"/>
      <c r="AI2287" s="55"/>
      <c r="AJ2287" s="55"/>
      <c r="AK2287" s="56"/>
      <c r="AL2287" s="56"/>
    </row>
    <row r="2288" spans="1:38" ht="15.75" thickBot="1" x14ac:dyDescent="0.3">
      <c r="A2288" s="51"/>
      <c r="B2288" s="51"/>
      <c r="C2288" s="51"/>
      <c r="D2288" s="51"/>
      <c r="E2288" s="51"/>
      <c r="F2288" s="51"/>
      <c r="G2288" s="54"/>
      <c r="H2288" s="53"/>
      <c r="I2288" s="53"/>
      <c r="J2288" s="53"/>
      <c r="K2288" s="53"/>
      <c r="L2288" s="53"/>
      <c r="M2288" s="53"/>
      <c r="N2288" s="53"/>
      <c r="O2288" s="53"/>
      <c r="P2288" s="53"/>
      <c r="Q2288" s="53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3"/>
      <c r="AB2288" s="53"/>
      <c r="AC2288" s="54"/>
      <c r="AD2288" s="53"/>
      <c r="AE2288" s="53"/>
      <c r="AF2288" s="53"/>
      <c r="AG2288" s="53"/>
      <c r="AH2288" s="54"/>
      <c r="AI2288" s="53"/>
      <c r="AJ2288" s="53"/>
      <c r="AK2288" s="54"/>
      <c r="AL2288" s="54"/>
    </row>
    <row r="2289" spans="1:38" ht="15.75" thickBot="1" x14ac:dyDescent="0.3">
      <c r="A2289" s="51"/>
      <c r="B2289" s="51"/>
      <c r="C2289" s="51"/>
      <c r="D2289" s="51"/>
      <c r="E2289" s="51"/>
      <c r="F2289" s="51"/>
      <c r="G2289" s="56"/>
      <c r="H2289" s="55"/>
      <c r="I2289" s="55"/>
      <c r="J2289" s="55"/>
      <c r="K2289" s="55"/>
      <c r="L2289" s="55"/>
      <c r="M2289" s="55"/>
      <c r="N2289" s="55"/>
      <c r="O2289" s="55"/>
      <c r="P2289" s="55"/>
      <c r="Q2289" s="55"/>
      <c r="R2289" s="55"/>
      <c r="S2289" s="55"/>
      <c r="T2289" s="55"/>
      <c r="U2289" s="55"/>
      <c r="V2289" s="55"/>
      <c r="W2289" s="55"/>
      <c r="X2289" s="55"/>
      <c r="Y2289" s="55"/>
      <c r="Z2289" s="55"/>
      <c r="AA2289" s="55"/>
      <c r="AB2289" s="55"/>
      <c r="AC2289" s="56"/>
      <c r="AD2289" s="55"/>
      <c r="AE2289" s="55"/>
      <c r="AF2289" s="55"/>
      <c r="AG2289" s="55"/>
      <c r="AH2289" s="56"/>
      <c r="AI2289" s="55"/>
      <c r="AJ2289" s="55"/>
      <c r="AK2289" s="56"/>
      <c r="AL2289" s="56"/>
    </row>
    <row r="2290" spans="1:38" ht="15.75" thickBot="1" x14ac:dyDescent="0.3">
      <c r="A2290" s="51"/>
      <c r="B2290" s="51"/>
      <c r="C2290" s="51"/>
      <c r="D2290" s="51"/>
      <c r="E2290" s="51"/>
      <c r="F2290" s="51"/>
      <c r="G2290" s="54"/>
      <c r="H2290" s="53"/>
      <c r="I2290" s="53"/>
      <c r="J2290" s="53"/>
      <c r="K2290" s="54"/>
      <c r="L2290" s="53"/>
      <c r="M2290" s="53"/>
      <c r="N2290" s="53"/>
      <c r="O2290" s="53"/>
      <c r="P2290" s="53"/>
      <c r="Q2290" s="53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53"/>
      <c r="AC2290" s="53"/>
      <c r="AD2290" s="53"/>
      <c r="AE2290" s="53"/>
      <c r="AF2290" s="53"/>
      <c r="AG2290" s="53"/>
      <c r="AH2290" s="54"/>
      <c r="AI2290" s="53"/>
      <c r="AJ2290" s="53"/>
      <c r="AK2290" s="54"/>
      <c r="AL2290" s="54"/>
    </row>
    <row r="2291" spans="1:38" ht="15.75" thickBot="1" x14ac:dyDescent="0.3">
      <c r="A2291" s="51"/>
      <c r="B2291" s="51"/>
      <c r="C2291" s="51"/>
      <c r="D2291" s="51"/>
      <c r="E2291" s="51"/>
      <c r="F2291" s="51"/>
      <c r="G2291" s="56"/>
      <c r="H2291" s="55"/>
      <c r="I2291" s="55"/>
      <c r="J2291" s="55"/>
      <c r="K2291" s="56"/>
      <c r="L2291" s="55"/>
      <c r="M2291" s="55"/>
      <c r="N2291" s="55"/>
      <c r="O2291" s="55"/>
      <c r="P2291" s="55"/>
      <c r="Q2291" s="55"/>
      <c r="R2291" s="55"/>
      <c r="S2291" s="55"/>
      <c r="T2291" s="55"/>
      <c r="U2291" s="55"/>
      <c r="V2291" s="55"/>
      <c r="W2291" s="55"/>
      <c r="X2291" s="55"/>
      <c r="Y2291" s="55"/>
      <c r="Z2291" s="55"/>
      <c r="AA2291" s="55"/>
      <c r="AB2291" s="55"/>
      <c r="AC2291" s="55"/>
      <c r="AD2291" s="55"/>
      <c r="AE2291" s="55"/>
      <c r="AF2291" s="55"/>
      <c r="AG2291" s="55"/>
      <c r="AH2291" s="56"/>
      <c r="AI2291" s="55"/>
      <c r="AJ2291" s="55"/>
      <c r="AK2291" s="56"/>
      <c r="AL2291" s="56"/>
    </row>
    <row r="2292" spans="1:38" ht="15.75" thickBot="1" x14ac:dyDescent="0.3">
      <c r="A2292" s="51"/>
      <c r="B2292" s="51"/>
      <c r="C2292" s="51"/>
      <c r="D2292" s="51"/>
      <c r="E2292" s="51"/>
      <c r="F2292" s="51"/>
      <c r="G2292" s="54"/>
      <c r="H2292" s="54"/>
      <c r="I2292" s="53"/>
      <c r="J2292" s="53"/>
      <c r="K2292" s="53"/>
      <c r="L2292" s="53"/>
      <c r="M2292" s="54"/>
      <c r="N2292" s="53"/>
      <c r="O2292" s="53"/>
      <c r="P2292" s="53"/>
      <c r="Q2292" s="53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53"/>
      <c r="AC2292" s="53"/>
      <c r="AD2292" s="53"/>
      <c r="AE2292" s="53"/>
      <c r="AF2292" s="53"/>
      <c r="AG2292" s="53"/>
      <c r="AH2292" s="54"/>
      <c r="AI2292" s="53"/>
      <c r="AJ2292" s="53"/>
      <c r="AK2292" s="54"/>
      <c r="AL2292" s="54"/>
    </row>
    <row r="2293" spans="1:38" ht="15.75" thickBot="1" x14ac:dyDescent="0.3">
      <c r="A2293" s="51"/>
      <c r="B2293" s="51"/>
      <c r="C2293" s="51"/>
      <c r="D2293" s="51"/>
      <c r="E2293" s="51"/>
      <c r="F2293" s="51"/>
      <c r="G2293" s="56"/>
      <c r="H2293" s="148"/>
      <c r="I2293" s="55"/>
      <c r="J2293" s="55"/>
      <c r="K2293" s="55"/>
      <c r="L2293" s="55"/>
      <c r="M2293" s="56"/>
      <c r="N2293" s="55"/>
      <c r="O2293" s="55"/>
      <c r="P2293" s="55"/>
      <c r="Q2293" s="55"/>
      <c r="R2293" s="55"/>
      <c r="S2293" s="55"/>
      <c r="T2293" s="55"/>
      <c r="U2293" s="55"/>
      <c r="V2293" s="55"/>
      <c r="W2293" s="55"/>
      <c r="X2293" s="55"/>
      <c r="Y2293" s="55"/>
      <c r="Z2293" s="55"/>
      <c r="AA2293" s="55"/>
      <c r="AB2293" s="55"/>
      <c r="AC2293" s="55"/>
      <c r="AD2293" s="55"/>
      <c r="AE2293" s="55"/>
      <c r="AF2293" s="55"/>
      <c r="AG2293" s="55"/>
      <c r="AH2293" s="56"/>
      <c r="AI2293" s="55"/>
      <c r="AJ2293" s="55"/>
      <c r="AK2293" s="56"/>
      <c r="AL2293" s="56"/>
    </row>
    <row r="2294" spans="1:38" ht="15.75" thickBot="1" x14ac:dyDescent="0.3">
      <c r="A2294" s="51"/>
      <c r="B2294" s="51"/>
      <c r="C2294" s="51"/>
      <c r="D2294" s="51"/>
      <c r="E2294" s="51"/>
      <c r="F2294" s="51"/>
      <c r="G2294" s="54"/>
      <c r="H2294" s="53"/>
      <c r="I2294" s="53"/>
      <c r="J2294" s="53"/>
      <c r="K2294" s="53"/>
      <c r="L2294" s="53"/>
      <c r="M2294" s="53"/>
      <c r="N2294" s="53"/>
      <c r="O2294" s="53"/>
      <c r="P2294" s="53"/>
      <c r="Q2294" s="53"/>
      <c r="R2294" s="53"/>
      <c r="S2294" s="53"/>
      <c r="T2294" s="53"/>
      <c r="U2294" s="53"/>
      <c r="V2294" s="53"/>
      <c r="W2294" s="53"/>
      <c r="X2294" s="53"/>
      <c r="Y2294" s="53"/>
      <c r="Z2294" s="54"/>
      <c r="AA2294" s="53"/>
      <c r="AB2294" s="53"/>
      <c r="AC2294" s="53"/>
      <c r="AD2294" s="53"/>
      <c r="AE2294" s="53"/>
      <c r="AF2294" s="53"/>
      <c r="AG2294" s="53"/>
      <c r="AH2294" s="54"/>
      <c r="AI2294" s="53"/>
      <c r="AJ2294" s="53"/>
      <c r="AK2294" s="54"/>
      <c r="AL2294" s="54"/>
    </row>
    <row r="2295" spans="1:38" ht="15.75" thickBot="1" x14ac:dyDescent="0.3">
      <c r="A2295" s="51"/>
      <c r="B2295" s="51"/>
      <c r="C2295" s="51"/>
      <c r="D2295" s="51"/>
      <c r="E2295" s="51"/>
      <c r="F2295" s="51"/>
      <c r="G2295" s="56"/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55"/>
      <c r="T2295" s="55"/>
      <c r="U2295" s="55"/>
      <c r="V2295" s="55"/>
      <c r="W2295" s="55"/>
      <c r="X2295" s="55"/>
      <c r="Y2295" s="55"/>
      <c r="Z2295" s="56"/>
      <c r="AA2295" s="55"/>
      <c r="AB2295" s="55"/>
      <c r="AC2295" s="55"/>
      <c r="AD2295" s="55"/>
      <c r="AE2295" s="55"/>
      <c r="AF2295" s="55"/>
      <c r="AG2295" s="55"/>
      <c r="AH2295" s="56"/>
      <c r="AI2295" s="55"/>
      <c r="AJ2295" s="55"/>
      <c r="AK2295" s="56"/>
      <c r="AL2295" s="56"/>
    </row>
    <row r="2296" spans="1:38" ht="15.75" thickBot="1" x14ac:dyDescent="0.3">
      <c r="A2296" s="51"/>
      <c r="B2296" s="51"/>
      <c r="C2296" s="51"/>
      <c r="D2296" s="51"/>
      <c r="E2296" s="51"/>
      <c r="F2296" s="51"/>
      <c r="G2296" s="54"/>
      <c r="H2296" s="53"/>
      <c r="I2296" s="53"/>
      <c r="J2296" s="53"/>
      <c r="K2296" s="53"/>
      <c r="L2296" s="53"/>
      <c r="M2296" s="53"/>
      <c r="N2296" s="53"/>
      <c r="O2296" s="53"/>
      <c r="P2296" s="53"/>
      <c r="Q2296" s="53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4"/>
      <c r="AB2296" s="53"/>
      <c r="AC2296" s="53"/>
      <c r="AD2296" s="53"/>
      <c r="AE2296" s="53"/>
      <c r="AF2296" s="53"/>
      <c r="AG2296" s="53"/>
      <c r="AH2296" s="54"/>
      <c r="AI2296" s="53"/>
      <c r="AJ2296" s="53"/>
      <c r="AK2296" s="54"/>
      <c r="AL2296" s="54"/>
    </row>
    <row r="2297" spans="1:38" ht="15.75" thickBot="1" x14ac:dyDescent="0.3">
      <c r="A2297" s="51"/>
      <c r="B2297" s="51"/>
      <c r="C2297" s="51"/>
      <c r="D2297" s="51"/>
      <c r="E2297" s="51"/>
      <c r="F2297" s="51"/>
      <c r="G2297" s="56"/>
      <c r="H2297" s="55"/>
      <c r="I2297" s="55"/>
      <c r="J2297" s="55"/>
      <c r="K2297" s="55"/>
      <c r="L2297" s="55"/>
      <c r="M2297" s="55"/>
      <c r="N2297" s="55"/>
      <c r="O2297" s="55"/>
      <c r="P2297" s="55"/>
      <c r="Q2297" s="55"/>
      <c r="R2297" s="55"/>
      <c r="S2297" s="55"/>
      <c r="T2297" s="55"/>
      <c r="U2297" s="55"/>
      <c r="V2297" s="55"/>
      <c r="W2297" s="55"/>
      <c r="X2297" s="55"/>
      <c r="Y2297" s="55"/>
      <c r="Z2297" s="55"/>
      <c r="AA2297" s="56"/>
      <c r="AB2297" s="55"/>
      <c r="AC2297" s="55"/>
      <c r="AD2297" s="55"/>
      <c r="AE2297" s="55"/>
      <c r="AF2297" s="55"/>
      <c r="AG2297" s="55"/>
      <c r="AH2297" s="56"/>
      <c r="AI2297" s="55"/>
      <c r="AJ2297" s="55"/>
      <c r="AK2297" s="56"/>
      <c r="AL2297" s="56"/>
    </row>
    <row r="2298" spans="1:38" ht="15.75" thickBot="1" x14ac:dyDescent="0.3">
      <c r="A2298" s="51"/>
      <c r="B2298" s="51"/>
      <c r="C2298" s="51"/>
      <c r="D2298" s="51"/>
      <c r="E2298" s="51"/>
      <c r="F2298" s="51"/>
      <c r="G2298" s="54"/>
      <c r="H2298" s="53"/>
      <c r="I2298" s="53"/>
      <c r="J2298" s="53"/>
      <c r="K2298" s="53"/>
      <c r="L2298" s="53"/>
      <c r="M2298" s="53"/>
      <c r="N2298" s="53"/>
      <c r="O2298" s="53"/>
      <c r="P2298" s="53"/>
      <c r="Q2298" s="53"/>
      <c r="R2298" s="54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53"/>
      <c r="AC2298" s="53"/>
      <c r="AD2298" s="53"/>
      <c r="AE2298" s="53"/>
      <c r="AF2298" s="53"/>
      <c r="AG2298" s="53"/>
      <c r="AH2298" s="54"/>
      <c r="AI2298" s="53"/>
      <c r="AJ2298" s="53"/>
      <c r="AK2298" s="54"/>
      <c r="AL2298" s="54"/>
    </row>
    <row r="2299" spans="1:38" ht="15.75" thickBot="1" x14ac:dyDescent="0.3">
      <c r="A2299" s="51"/>
      <c r="B2299" s="51"/>
      <c r="C2299" s="51"/>
      <c r="D2299" s="51"/>
      <c r="E2299" s="51"/>
      <c r="F2299" s="51"/>
      <c r="G2299" s="56"/>
      <c r="H2299" s="55"/>
      <c r="I2299" s="55"/>
      <c r="J2299" s="55"/>
      <c r="K2299" s="55"/>
      <c r="L2299" s="55"/>
      <c r="M2299" s="55"/>
      <c r="N2299" s="55"/>
      <c r="O2299" s="55"/>
      <c r="P2299" s="55"/>
      <c r="Q2299" s="55"/>
      <c r="R2299" s="56"/>
      <c r="S2299" s="55"/>
      <c r="T2299" s="55"/>
      <c r="U2299" s="55"/>
      <c r="V2299" s="55"/>
      <c r="W2299" s="55"/>
      <c r="X2299" s="55"/>
      <c r="Y2299" s="55"/>
      <c r="Z2299" s="55"/>
      <c r="AA2299" s="55"/>
      <c r="AB2299" s="55"/>
      <c r="AC2299" s="55"/>
      <c r="AD2299" s="55"/>
      <c r="AE2299" s="55"/>
      <c r="AF2299" s="55"/>
      <c r="AG2299" s="55"/>
      <c r="AH2299" s="56"/>
      <c r="AI2299" s="55"/>
      <c r="AJ2299" s="55"/>
      <c r="AK2299" s="56"/>
      <c r="AL2299" s="56"/>
    </row>
    <row r="2300" spans="1:38" ht="15.75" thickBot="1" x14ac:dyDescent="0.3">
      <c r="A2300" s="51"/>
      <c r="B2300" s="51"/>
      <c r="C2300" s="51"/>
      <c r="D2300" s="51"/>
      <c r="E2300" s="51"/>
      <c r="F2300" s="51"/>
      <c r="G2300" s="54"/>
      <c r="H2300" s="53"/>
      <c r="I2300" s="53"/>
      <c r="J2300" s="53"/>
      <c r="K2300" s="53"/>
      <c r="L2300" s="53"/>
      <c r="M2300" s="53"/>
      <c r="N2300" s="53"/>
      <c r="O2300" s="53"/>
      <c r="P2300" s="53"/>
      <c r="Q2300" s="53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3"/>
      <c r="AB2300" s="53"/>
      <c r="AC2300" s="54"/>
      <c r="AD2300" s="53"/>
      <c r="AE2300" s="53"/>
      <c r="AF2300" s="53"/>
      <c r="AG2300" s="53"/>
      <c r="AH2300" s="54"/>
      <c r="AI2300" s="53"/>
      <c r="AJ2300" s="53"/>
      <c r="AK2300" s="54"/>
      <c r="AL2300" s="54"/>
    </row>
    <row r="2301" spans="1:38" ht="15.75" thickBot="1" x14ac:dyDescent="0.3">
      <c r="A2301" s="51"/>
      <c r="B2301" s="51"/>
      <c r="C2301" s="51"/>
      <c r="D2301" s="51"/>
      <c r="E2301" s="51"/>
      <c r="F2301" s="51"/>
      <c r="G2301" s="56"/>
      <c r="H2301" s="55"/>
      <c r="I2301" s="55"/>
      <c r="J2301" s="55"/>
      <c r="K2301" s="55"/>
      <c r="L2301" s="55"/>
      <c r="M2301" s="55"/>
      <c r="N2301" s="55"/>
      <c r="O2301" s="55"/>
      <c r="P2301" s="55"/>
      <c r="Q2301" s="55"/>
      <c r="R2301" s="55"/>
      <c r="S2301" s="55"/>
      <c r="T2301" s="55"/>
      <c r="U2301" s="55"/>
      <c r="V2301" s="55"/>
      <c r="W2301" s="55"/>
      <c r="X2301" s="55"/>
      <c r="Y2301" s="55"/>
      <c r="Z2301" s="55"/>
      <c r="AA2301" s="55"/>
      <c r="AB2301" s="55"/>
      <c r="AC2301" s="56"/>
      <c r="AD2301" s="55"/>
      <c r="AE2301" s="55"/>
      <c r="AF2301" s="55"/>
      <c r="AG2301" s="55"/>
      <c r="AH2301" s="56"/>
      <c r="AI2301" s="55"/>
      <c r="AJ2301" s="55"/>
      <c r="AK2301" s="56"/>
      <c r="AL2301" s="56"/>
    </row>
    <row r="2302" spans="1:38" ht="15.75" thickBot="1" x14ac:dyDescent="0.3">
      <c r="A2302" s="51"/>
      <c r="B2302" s="51"/>
      <c r="C2302" s="51"/>
      <c r="D2302" s="51"/>
      <c r="E2302" s="51"/>
      <c r="F2302" s="51"/>
      <c r="G2302" s="54"/>
      <c r="H2302" s="53"/>
      <c r="I2302" s="53"/>
      <c r="J2302" s="53"/>
      <c r="K2302" s="54"/>
      <c r="L2302" s="53"/>
      <c r="M2302" s="53"/>
      <c r="N2302" s="53"/>
      <c r="O2302" s="53"/>
      <c r="P2302" s="53"/>
      <c r="Q2302" s="53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3"/>
      <c r="AB2302" s="53"/>
      <c r="AC2302" s="53"/>
      <c r="AD2302" s="53"/>
      <c r="AE2302" s="53"/>
      <c r="AF2302" s="53"/>
      <c r="AG2302" s="53"/>
      <c r="AH2302" s="54"/>
      <c r="AI2302" s="53"/>
      <c r="AJ2302" s="53"/>
      <c r="AK2302" s="54"/>
      <c r="AL2302" s="54"/>
    </row>
    <row r="2303" spans="1:38" ht="15.75" thickBot="1" x14ac:dyDescent="0.3">
      <c r="A2303" s="51"/>
      <c r="B2303" s="51"/>
      <c r="C2303" s="51"/>
      <c r="D2303" s="51"/>
      <c r="E2303" s="51"/>
      <c r="F2303" s="51"/>
      <c r="G2303" s="56"/>
      <c r="H2303" s="55"/>
      <c r="I2303" s="55"/>
      <c r="J2303" s="55"/>
      <c r="K2303" s="56"/>
      <c r="L2303" s="55"/>
      <c r="M2303" s="55"/>
      <c r="N2303" s="55"/>
      <c r="O2303" s="55"/>
      <c r="P2303" s="55"/>
      <c r="Q2303" s="55"/>
      <c r="R2303" s="55"/>
      <c r="S2303" s="55"/>
      <c r="T2303" s="55"/>
      <c r="U2303" s="55"/>
      <c r="V2303" s="55"/>
      <c r="W2303" s="55"/>
      <c r="X2303" s="55"/>
      <c r="Y2303" s="55"/>
      <c r="Z2303" s="55"/>
      <c r="AA2303" s="55"/>
      <c r="AB2303" s="55"/>
      <c r="AC2303" s="55"/>
      <c r="AD2303" s="55"/>
      <c r="AE2303" s="55"/>
      <c r="AF2303" s="55"/>
      <c r="AG2303" s="55"/>
      <c r="AH2303" s="56"/>
      <c r="AI2303" s="55"/>
      <c r="AJ2303" s="55"/>
      <c r="AK2303" s="56"/>
      <c r="AL2303" s="56"/>
    </row>
    <row r="2304" spans="1:38" ht="15.75" thickBot="1" x14ac:dyDescent="0.3">
      <c r="A2304" s="51"/>
      <c r="B2304" s="51"/>
      <c r="C2304" s="51"/>
      <c r="D2304" s="51"/>
      <c r="E2304" s="51"/>
      <c r="F2304" s="51"/>
      <c r="G2304" s="54"/>
      <c r="H2304" s="54"/>
      <c r="I2304" s="53"/>
      <c r="J2304" s="53"/>
      <c r="K2304" s="53"/>
      <c r="L2304" s="53"/>
      <c r="M2304" s="54"/>
      <c r="N2304" s="53"/>
      <c r="O2304" s="53"/>
      <c r="P2304" s="53"/>
      <c r="Q2304" s="53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3"/>
      <c r="AB2304" s="53"/>
      <c r="AC2304" s="53"/>
      <c r="AD2304" s="53"/>
      <c r="AE2304" s="53"/>
      <c r="AF2304" s="53"/>
      <c r="AG2304" s="53"/>
      <c r="AH2304" s="54"/>
      <c r="AI2304" s="53"/>
      <c r="AJ2304" s="53"/>
      <c r="AK2304" s="54"/>
      <c r="AL2304" s="54"/>
    </row>
    <row r="2305" spans="1:38" ht="15.75" thickBot="1" x14ac:dyDescent="0.3">
      <c r="A2305" s="51"/>
      <c r="B2305" s="51"/>
      <c r="C2305" s="51"/>
      <c r="D2305" s="51"/>
      <c r="E2305" s="51"/>
      <c r="F2305" s="51"/>
      <c r="G2305" s="56"/>
      <c r="H2305" s="148"/>
      <c r="I2305" s="55"/>
      <c r="J2305" s="55"/>
      <c r="K2305" s="55"/>
      <c r="L2305" s="55"/>
      <c r="M2305" s="56"/>
      <c r="N2305" s="55"/>
      <c r="O2305" s="55"/>
      <c r="P2305" s="55"/>
      <c r="Q2305" s="55"/>
      <c r="R2305" s="55"/>
      <c r="S2305" s="55"/>
      <c r="T2305" s="55"/>
      <c r="U2305" s="55"/>
      <c r="V2305" s="55"/>
      <c r="W2305" s="55"/>
      <c r="X2305" s="55"/>
      <c r="Y2305" s="55"/>
      <c r="Z2305" s="55"/>
      <c r="AA2305" s="55"/>
      <c r="AB2305" s="55"/>
      <c r="AC2305" s="55"/>
      <c r="AD2305" s="55"/>
      <c r="AE2305" s="55"/>
      <c r="AF2305" s="55"/>
      <c r="AG2305" s="55"/>
      <c r="AH2305" s="56"/>
      <c r="AI2305" s="55"/>
      <c r="AJ2305" s="55"/>
      <c r="AK2305" s="56"/>
      <c r="AL2305" s="56"/>
    </row>
    <row r="2306" spans="1:38" ht="15.75" thickBot="1" x14ac:dyDescent="0.3">
      <c r="A2306" s="51"/>
      <c r="B2306" s="51"/>
      <c r="C2306" s="51"/>
      <c r="D2306" s="51"/>
      <c r="E2306" s="51"/>
      <c r="F2306" s="51"/>
      <c r="G2306" s="54"/>
      <c r="H2306" s="53"/>
      <c r="I2306" s="53"/>
      <c r="J2306" s="53"/>
      <c r="K2306" s="53"/>
      <c r="L2306" s="53"/>
      <c r="M2306" s="53"/>
      <c r="N2306" s="53"/>
      <c r="O2306" s="53"/>
      <c r="P2306" s="53"/>
      <c r="Q2306" s="53"/>
      <c r="R2306" s="53"/>
      <c r="S2306" s="53"/>
      <c r="T2306" s="53"/>
      <c r="U2306" s="53"/>
      <c r="V2306" s="53"/>
      <c r="W2306" s="53"/>
      <c r="X2306" s="53"/>
      <c r="Y2306" s="53"/>
      <c r="Z2306" s="54"/>
      <c r="AA2306" s="53"/>
      <c r="AB2306" s="53"/>
      <c r="AC2306" s="53"/>
      <c r="AD2306" s="53"/>
      <c r="AE2306" s="53"/>
      <c r="AF2306" s="53"/>
      <c r="AG2306" s="53"/>
      <c r="AH2306" s="54"/>
      <c r="AI2306" s="53"/>
      <c r="AJ2306" s="53"/>
      <c r="AK2306" s="54"/>
      <c r="AL2306" s="54"/>
    </row>
    <row r="2307" spans="1:38" ht="15.75" thickBot="1" x14ac:dyDescent="0.3">
      <c r="A2307" s="51"/>
      <c r="B2307" s="51"/>
      <c r="C2307" s="51"/>
      <c r="D2307" s="51"/>
      <c r="E2307" s="51"/>
      <c r="F2307" s="51"/>
      <c r="G2307" s="56"/>
      <c r="H2307" s="55"/>
      <c r="I2307" s="55"/>
      <c r="J2307" s="55"/>
      <c r="K2307" s="55"/>
      <c r="L2307" s="55"/>
      <c r="M2307" s="55"/>
      <c r="N2307" s="55"/>
      <c r="O2307" s="55"/>
      <c r="P2307" s="55"/>
      <c r="Q2307" s="55"/>
      <c r="R2307" s="55"/>
      <c r="S2307" s="55"/>
      <c r="T2307" s="55"/>
      <c r="U2307" s="55"/>
      <c r="V2307" s="55"/>
      <c r="W2307" s="55"/>
      <c r="X2307" s="55"/>
      <c r="Y2307" s="55"/>
      <c r="Z2307" s="56"/>
      <c r="AA2307" s="55"/>
      <c r="AB2307" s="55"/>
      <c r="AC2307" s="55"/>
      <c r="AD2307" s="55"/>
      <c r="AE2307" s="55"/>
      <c r="AF2307" s="55"/>
      <c r="AG2307" s="55"/>
      <c r="AH2307" s="56"/>
      <c r="AI2307" s="55"/>
      <c r="AJ2307" s="55"/>
      <c r="AK2307" s="56"/>
      <c r="AL2307" s="56"/>
    </row>
    <row r="2308" spans="1:38" ht="15.75" thickBot="1" x14ac:dyDescent="0.3">
      <c r="A2308" s="51"/>
      <c r="B2308" s="51"/>
      <c r="C2308" s="51"/>
      <c r="D2308" s="51"/>
      <c r="E2308" s="51"/>
      <c r="F2308" s="51"/>
      <c r="G2308" s="54"/>
      <c r="H2308" s="53"/>
      <c r="I2308" s="53"/>
      <c r="J2308" s="53"/>
      <c r="K2308" s="53"/>
      <c r="L2308" s="53"/>
      <c r="M2308" s="53"/>
      <c r="N2308" s="53"/>
      <c r="O2308" s="53"/>
      <c r="P2308" s="53"/>
      <c r="Q2308" s="53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4"/>
      <c r="AB2308" s="53"/>
      <c r="AC2308" s="53"/>
      <c r="AD2308" s="53"/>
      <c r="AE2308" s="53"/>
      <c r="AF2308" s="53"/>
      <c r="AG2308" s="53"/>
      <c r="AH2308" s="54"/>
      <c r="AI2308" s="53"/>
      <c r="AJ2308" s="53"/>
      <c r="AK2308" s="54"/>
      <c r="AL2308" s="54"/>
    </row>
    <row r="2309" spans="1:38" ht="15.75" thickBot="1" x14ac:dyDescent="0.3">
      <c r="A2309" s="51"/>
      <c r="B2309" s="51"/>
      <c r="C2309" s="51"/>
      <c r="D2309" s="51"/>
      <c r="E2309" s="51"/>
      <c r="F2309" s="51"/>
      <c r="G2309" s="56"/>
      <c r="H2309" s="55"/>
      <c r="I2309" s="55"/>
      <c r="J2309" s="55"/>
      <c r="K2309" s="55"/>
      <c r="L2309" s="55"/>
      <c r="M2309" s="55"/>
      <c r="N2309" s="55"/>
      <c r="O2309" s="55"/>
      <c r="P2309" s="55"/>
      <c r="Q2309" s="55"/>
      <c r="R2309" s="55"/>
      <c r="S2309" s="55"/>
      <c r="T2309" s="55"/>
      <c r="U2309" s="55"/>
      <c r="V2309" s="55"/>
      <c r="W2309" s="55"/>
      <c r="X2309" s="55"/>
      <c r="Y2309" s="55"/>
      <c r="Z2309" s="55"/>
      <c r="AA2309" s="56"/>
      <c r="AB2309" s="55"/>
      <c r="AC2309" s="55"/>
      <c r="AD2309" s="55"/>
      <c r="AE2309" s="55"/>
      <c r="AF2309" s="55"/>
      <c r="AG2309" s="55"/>
      <c r="AH2309" s="56"/>
      <c r="AI2309" s="55"/>
      <c r="AJ2309" s="55"/>
      <c r="AK2309" s="56"/>
      <c r="AL2309" s="56"/>
    </row>
    <row r="2310" spans="1:38" ht="15.75" thickBot="1" x14ac:dyDescent="0.3">
      <c r="A2310" s="51"/>
      <c r="B2310" s="51"/>
      <c r="C2310" s="51"/>
      <c r="D2310" s="51"/>
      <c r="E2310" s="51"/>
      <c r="F2310" s="51"/>
      <c r="G2310" s="54"/>
      <c r="H2310" s="53"/>
      <c r="I2310" s="53"/>
      <c r="J2310" s="53"/>
      <c r="K2310" s="53"/>
      <c r="L2310" s="53"/>
      <c r="M2310" s="53"/>
      <c r="N2310" s="53"/>
      <c r="O2310" s="53"/>
      <c r="P2310" s="53"/>
      <c r="Q2310" s="53"/>
      <c r="R2310" s="53"/>
      <c r="S2310" s="53"/>
      <c r="T2310" s="53"/>
      <c r="U2310" s="53"/>
      <c r="V2310" s="53"/>
      <c r="W2310" s="53"/>
      <c r="X2310" s="53"/>
      <c r="Y2310" s="54"/>
      <c r="Z2310" s="53"/>
      <c r="AA2310" s="53"/>
      <c r="AB2310" s="53"/>
      <c r="AC2310" s="53"/>
      <c r="AD2310" s="53"/>
      <c r="AE2310" s="53"/>
      <c r="AF2310" s="53"/>
      <c r="AG2310" s="53"/>
      <c r="AH2310" s="54"/>
      <c r="AI2310" s="53"/>
      <c r="AJ2310" s="53"/>
      <c r="AK2310" s="54"/>
      <c r="AL2310" s="54"/>
    </row>
    <row r="2311" spans="1:38" ht="15.75" thickBot="1" x14ac:dyDescent="0.3">
      <c r="A2311" s="51"/>
      <c r="B2311" s="51"/>
      <c r="C2311" s="51"/>
      <c r="D2311" s="51"/>
      <c r="E2311" s="51"/>
      <c r="F2311" s="51"/>
      <c r="G2311" s="56"/>
      <c r="H2311" s="55"/>
      <c r="I2311" s="55"/>
      <c r="J2311" s="55"/>
      <c r="K2311" s="55"/>
      <c r="L2311" s="55"/>
      <c r="M2311" s="55"/>
      <c r="N2311" s="55"/>
      <c r="O2311" s="55"/>
      <c r="P2311" s="55"/>
      <c r="Q2311" s="55"/>
      <c r="R2311" s="55"/>
      <c r="S2311" s="55"/>
      <c r="T2311" s="55"/>
      <c r="U2311" s="55"/>
      <c r="V2311" s="55"/>
      <c r="W2311" s="55"/>
      <c r="X2311" s="55"/>
      <c r="Y2311" s="56"/>
      <c r="Z2311" s="55"/>
      <c r="AA2311" s="55"/>
      <c r="AB2311" s="55"/>
      <c r="AC2311" s="55"/>
      <c r="AD2311" s="55"/>
      <c r="AE2311" s="55"/>
      <c r="AF2311" s="55"/>
      <c r="AG2311" s="55"/>
      <c r="AH2311" s="56"/>
      <c r="AI2311" s="55"/>
      <c r="AJ2311" s="55"/>
      <c r="AK2311" s="56"/>
      <c r="AL2311" s="56"/>
    </row>
    <row r="2312" spans="1:38" ht="15.75" thickBot="1" x14ac:dyDescent="0.3">
      <c r="A2312" s="51"/>
      <c r="B2312" s="51"/>
      <c r="C2312" s="51"/>
      <c r="D2312" s="51"/>
      <c r="E2312" s="51"/>
      <c r="F2312" s="51"/>
      <c r="G2312" s="54"/>
      <c r="H2312" s="53"/>
      <c r="I2312" s="53"/>
      <c r="J2312" s="53"/>
      <c r="K2312" s="54"/>
      <c r="L2312" s="53"/>
      <c r="M2312" s="53"/>
      <c r="N2312" s="53"/>
      <c r="O2312" s="53"/>
      <c r="P2312" s="53"/>
      <c r="Q2312" s="53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3"/>
      <c r="AB2312" s="53"/>
      <c r="AC2312" s="53"/>
      <c r="AD2312" s="53"/>
      <c r="AE2312" s="53"/>
      <c r="AF2312" s="53"/>
      <c r="AG2312" s="53"/>
      <c r="AH2312" s="54"/>
      <c r="AI2312" s="53"/>
      <c r="AJ2312" s="53"/>
      <c r="AK2312" s="54"/>
      <c r="AL2312" s="54"/>
    </row>
    <row r="2313" spans="1:38" ht="15.75" thickBot="1" x14ac:dyDescent="0.3">
      <c r="A2313" s="51"/>
      <c r="B2313" s="51"/>
      <c r="C2313" s="51"/>
      <c r="D2313" s="51"/>
      <c r="E2313" s="51"/>
      <c r="F2313" s="51"/>
      <c r="G2313" s="56"/>
      <c r="H2313" s="55"/>
      <c r="I2313" s="55"/>
      <c r="J2313" s="55"/>
      <c r="K2313" s="56"/>
      <c r="L2313" s="55"/>
      <c r="M2313" s="55"/>
      <c r="N2313" s="55"/>
      <c r="O2313" s="55"/>
      <c r="P2313" s="55"/>
      <c r="Q2313" s="55"/>
      <c r="R2313" s="55"/>
      <c r="S2313" s="55"/>
      <c r="T2313" s="55"/>
      <c r="U2313" s="55"/>
      <c r="V2313" s="55"/>
      <c r="W2313" s="55"/>
      <c r="X2313" s="55"/>
      <c r="Y2313" s="55"/>
      <c r="Z2313" s="55"/>
      <c r="AA2313" s="55"/>
      <c r="AB2313" s="55"/>
      <c r="AC2313" s="55"/>
      <c r="AD2313" s="55"/>
      <c r="AE2313" s="55"/>
      <c r="AF2313" s="55"/>
      <c r="AG2313" s="55"/>
      <c r="AH2313" s="56"/>
      <c r="AI2313" s="55"/>
      <c r="AJ2313" s="55"/>
      <c r="AK2313" s="56"/>
      <c r="AL2313" s="56"/>
    </row>
    <row r="2314" spans="1:38" ht="15.75" thickBot="1" x14ac:dyDescent="0.3">
      <c r="A2314" s="51"/>
      <c r="B2314" s="51"/>
      <c r="C2314" s="51"/>
      <c r="D2314" s="51"/>
      <c r="E2314" s="51"/>
      <c r="F2314" s="51"/>
      <c r="G2314" s="54"/>
      <c r="H2314" s="53"/>
      <c r="I2314" s="53"/>
      <c r="J2314" s="53"/>
      <c r="K2314" s="53"/>
      <c r="L2314" s="53"/>
      <c r="M2314" s="53"/>
      <c r="N2314" s="53"/>
      <c r="O2314" s="53"/>
      <c r="P2314" s="53"/>
      <c r="Q2314" s="53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3"/>
      <c r="AB2314" s="53"/>
      <c r="AC2314" s="54"/>
      <c r="AD2314" s="53"/>
      <c r="AE2314" s="53"/>
      <c r="AF2314" s="53"/>
      <c r="AG2314" s="53"/>
      <c r="AH2314" s="54"/>
      <c r="AI2314" s="53"/>
      <c r="AJ2314" s="53"/>
      <c r="AK2314" s="54"/>
      <c r="AL2314" s="54"/>
    </row>
    <row r="2315" spans="1:38" ht="15.75" thickBot="1" x14ac:dyDescent="0.3">
      <c r="A2315" s="51"/>
      <c r="B2315" s="51"/>
      <c r="C2315" s="51"/>
      <c r="D2315" s="51"/>
      <c r="E2315" s="51"/>
      <c r="F2315" s="51"/>
      <c r="G2315" s="56"/>
      <c r="H2315" s="55"/>
      <c r="I2315" s="55"/>
      <c r="J2315" s="55"/>
      <c r="K2315" s="55"/>
      <c r="L2315" s="55"/>
      <c r="M2315" s="55"/>
      <c r="N2315" s="55"/>
      <c r="O2315" s="55"/>
      <c r="P2315" s="55"/>
      <c r="Q2315" s="55"/>
      <c r="R2315" s="55"/>
      <c r="S2315" s="55"/>
      <c r="T2315" s="55"/>
      <c r="U2315" s="55"/>
      <c r="V2315" s="55"/>
      <c r="W2315" s="55"/>
      <c r="X2315" s="55"/>
      <c r="Y2315" s="55"/>
      <c r="Z2315" s="55"/>
      <c r="AA2315" s="55"/>
      <c r="AB2315" s="55"/>
      <c r="AC2315" s="56"/>
      <c r="AD2315" s="55"/>
      <c r="AE2315" s="55"/>
      <c r="AF2315" s="55"/>
      <c r="AG2315" s="55"/>
      <c r="AH2315" s="56"/>
      <c r="AI2315" s="55"/>
      <c r="AJ2315" s="55"/>
      <c r="AK2315" s="56"/>
      <c r="AL2315" s="56"/>
    </row>
    <row r="2316" spans="1:38" ht="15.75" thickBot="1" x14ac:dyDescent="0.3">
      <c r="A2316" s="51"/>
      <c r="B2316" s="51"/>
      <c r="C2316" s="51"/>
      <c r="D2316" s="51"/>
      <c r="E2316" s="51"/>
      <c r="F2316" s="51"/>
      <c r="G2316" s="54"/>
      <c r="H2316" s="53"/>
      <c r="I2316" s="53"/>
      <c r="J2316" s="53"/>
      <c r="K2316" s="54"/>
      <c r="L2316" s="53"/>
      <c r="M2316" s="53"/>
      <c r="N2316" s="53"/>
      <c r="O2316" s="53"/>
      <c r="P2316" s="53"/>
      <c r="Q2316" s="53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3"/>
      <c r="AB2316" s="53"/>
      <c r="AC2316" s="53"/>
      <c r="AD2316" s="53"/>
      <c r="AE2316" s="53"/>
      <c r="AF2316" s="53"/>
      <c r="AG2316" s="53"/>
      <c r="AH2316" s="54"/>
      <c r="AI2316" s="53"/>
      <c r="AJ2316" s="53"/>
      <c r="AK2316" s="54"/>
      <c r="AL2316" s="54"/>
    </row>
    <row r="2317" spans="1:38" ht="15.75" thickBot="1" x14ac:dyDescent="0.3">
      <c r="A2317" s="51"/>
      <c r="B2317" s="51"/>
      <c r="C2317" s="51"/>
      <c r="D2317" s="51"/>
      <c r="E2317" s="51"/>
      <c r="F2317" s="51"/>
      <c r="G2317" s="56"/>
      <c r="H2317" s="55"/>
      <c r="I2317" s="55"/>
      <c r="J2317" s="55"/>
      <c r="K2317" s="56"/>
      <c r="L2317" s="55"/>
      <c r="M2317" s="55"/>
      <c r="N2317" s="55"/>
      <c r="O2317" s="55"/>
      <c r="P2317" s="55"/>
      <c r="Q2317" s="55"/>
      <c r="R2317" s="55"/>
      <c r="S2317" s="55"/>
      <c r="T2317" s="55"/>
      <c r="U2317" s="55"/>
      <c r="V2317" s="55"/>
      <c r="W2317" s="55"/>
      <c r="X2317" s="55"/>
      <c r="Y2317" s="55"/>
      <c r="Z2317" s="55"/>
      <c r="AA2317" s="55"/>
      <c r="AB2317" s="55"/>
      <c r="AC2317" s="55"/>
      <c r="AD2317" s="55"/>
      <c r="AE2317" s="55"/>
      <c r="AF2317" s="55"/>
      <c r="AG2317" s="55"/>
      <c r="AH2317" s="56"/>
      <c r="AI2317" s="55"/>
      <c r="AJ2317" s="55"/>
      <c r="AK2317" s="56"/>
      <c r="AL2317" s="56"/>
    </row>
    <row r="2318" spans="1:38" ht="15.75" thickBot="1" x14ac:dyDescent="0.3">
      <c r="A2318" s="51"/>
      <c r="B2318" s="51"/>
      <c r="C2318" s="51"/>
      <c r="D2318" s="51"/>
      <c r="E2318" s="51"/>
      <c r="F2318" s="51"/>
      <c r="G2318" s="54"/>
      <c r="H2318" s="54"/>
      <c r="I2318" s="53"/>
      <c r="J2318" s="53"/>
      <c r="K2318" s="53"/>
      <c r="L2318" s="53"/>
      <c r="M2318" s="54"/>
      <c r="N2318" s="53"/>
      <c r="O2318" s="53"/>
      <c r="P2318" s="53"/>
      <c r="Q2318" s="53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3"/>
      <c r="AB2318" s="53"/>
      <c r="AC2318" s="53"/>
      <c r="AD2318" s="53"/>
      <c r="AE2318" s="53"/>
      <c r="AF2318" s="53"/>
      <c r="AG2318" s="53"/>
      <c r="AH2318" s="54"/>
      <c r="AI2318" s="53"/>
      <c r="AJ2318" s="53"/>
      <c r="AK2318" s="54"/>
      <c r="AL2318" s="54"/>
    </row>
    <row r="2319" spans="1:38" ht="15.75" thickBot="1" x14ac:dyDescent="0.3">
      <c r="A2319" s="51"/>
      <c r="B2319" s="51"/>
      <c r="C2319" s="51"/>
      <c r="D2319" s="51"/>
      <c r="E2319" s="51"/>
      <c r="F2319" s="51"/>
      <c r="G2319" s="56"/>
      <c r="H2319" s="148"/>
      <c r="I2319" s="55"/>
      <c r="J2319" s="55"/>
      <c r="K2319" s="55"/>
      <c r="L2319" s="55"/>
      <c r="M2319" s="56"/>
      <c r="N2319" s="55"/>
      <c r="O2319" s="55"/>
      <c r="P2319" s="55"/>
      <c r="Q2319" s="55"/>
      <c r="R2319" s="55"/>
      <c r="S2319" s="55"/>
      <c r="T2319" s="55"/>
      <c r="U2319" s="55"/>
      <c r="V2319" s="55"/>
      <c r="W2319" s="55"/>
      <c r="X2319" s="55"/>
      <c r="Y2319" s="55"/>
      <c r="Z2319" s="55"/>
      <c r="AA2319" s="55"/>
      <c r="AB2319" s="55"/>
      <c r="AC2319" s="55"/>
      <c r="AD2319" s="55"/>
      <c r="AE2319" s="55"/>
      <c r="AF2319" s="55"/>
      <c r="AG2319" s="55"/>
      <c r="AH2319" s="56"/>
      <c r="AI2319" s="55"/>
      <c r="AJ2319" s="55"/>
      <c r="AK2319" s="56"/>
      <c r="AL2319" s="56"/>
    </row>
    <row r="2320" spans="1:38" ht="15.75" thickBot="1" x14ac:dyDescent="0.3">
      <c r="A2320" s="51"/>
      <c r="B2320" s="51"/>
      <c r="C2320" s="51"/>
      <c r="D2320" s="51"/>
      <c r="E2320" s="51"/>
      <c r="F2320" s="51"/>
      <c r="G2320" s="54"/>
      <c r="H2320" s="53"/>
      <c r="I2320" s="53"/>
      <c r="J2320" s="53"/>
      <c r="K2320" s="53"/>
      <c r="L2320" s="53"/>
      <c r="M2320" s="53"/>
      <c r="N2320" s="53"/>
      <c r="O2320" s="53"/>
      <c r="P2320" s="53"/>
      <c r="Q2320" s="53"/>
      <c r="R2320" s="53"/>
      <c r="S2320" s="53"/>
      <c r="T2320" s="53"/>
      <c r="U2320" s="53"/>
      <c r="V2320" s="53"/>
      <c r="W2320" s="53"/>
      <c r="X2320" s="53"/>
      <c r="Y2320" s="53"/>
      <c r="Z2320" s="54"/>
      <c r="AA2320" s="53"/>
      <c r="AB2320" s="53"/>
      <c r="AC2320" s="53"/>
      <c r="AD2320" s="53"/>
      <c r="AE2320" s="53"/>
      <c r="AF2320" s="53"/>
      <c r="AG2320" s="53"/>
      <c r="AH2320" s="54"/>
      <c r="AI2320" s="53"/>
      <c r="AJ2320" s="53"/>
      <c r="AK2320" s="54"/>
      <c r="AL2320" s="54"/>
    </row>
    <row r="2321" spans="1:38" ht="15.75" thickBot="1" x14ac:dyDescent="0.3">
      <c r="A2321" s="51"/>
      <c r="B2321" s="51"/>
      <c r="C2321" s="51"/>
      <c r="D2321" s="51"/>
      <c r="E2321" s="51"/>
      <c r="F2321" s="51"/>
      <c r="G2321" s="56"/>
      <c r="H2321" s="55"/>
      <c r="I2321" s="55"/>
      <c r="J2321" s="55"/>
      <c r="K2321" s="55"/>
      <c r="L2321" s="55"/>
      <c r="M2321" s="55"/>
      <c r="N2321" s="55"/>
      <c r="O2321" s="55"/>
      <c r="P2321" s="55"/>
      <c r="Q2321" s="55"/>
      <c r="R2321" s="55"/>
      <c r="S2321" s="55"/>
      <c r="T2321" s="55"/>
      <c r="U2321" s="55"/>
      <c r="V2321" s="55"/>
      <c r="W2321" s="55"/>
      <c r="X2321" s="55"/>
      <c r="Y2321" s="55"/>
      <c r="Z2321" s="56"/>
      <c r="AA2321" s="55"/>
      <c r="AB2321" s="55"/>
      <c r="AC2321" s="55"/>
      <c r="AD2321" s="55"/>
      <c r="AE2321" s="55"/>
      <c r="AF2321" s="55"/>
      <c r="AG2321" s="55"/>
      <c r="AH2321" s="56"/>
      <c r="AI2321" s="55"/>
      <c r="AJ2321" s="55"/>
      <c r="AK2321" s="56"/>
      <c r="AL2321" s="56"/>
    </row>
    <row r="2322" spans="1:38" ht="15.75" thickBot="1" x14ac:dyDescent="0.3">
      <c r="A2322" s="51"/>
      <c r="B2322" s="51"/>
      <c r="C2322" s="51"/>
      <c r="D2322" s="51"/>
      <c r="E2322" s="51"/>
      <c r="F2322" s="51"/>
      <c r="G2322" s="54"/>
      <c r="H2322" s="53"/>
      <c r="I2322" s="53"/>
      <c r="J2322" s="53"/>
      <c r="K2322" s="53"/>
      <c r="L2322" s="53"/>
      <c r="M2322" s="53"/>
      <c r="N2322" s="53"/>
      <c r="O2322" s="53"/>
      <c r="P2322" s="53"/>
      <c r="Q2322" s="53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4"/>
      <c r="AB2322" s="53"/>
      <c r="AC2322" s="53"/>
      <c r="AD2322" s="53"/>
      <c r="AE2322" s="53"/>
      <c r="AF2322" s="53"/>
      <c r="AG2322" s="53"/>
      <c r="AH2322" s="54"/>
      <c r="AI2322" s="53"/>
      <c r="AJ2322" s="53"/>
      <c r="AK2322" s="54"/>
      <c r="AL2322" s="54"/>
    </row>
    <row r="2323" spans="1:38" ht="15.75" thickBot="1" x14ac:dyDescent="0.3">
      <c r="A2323" s="51"/>
      <c r="B2323" s="51"/>
      <c r="C2323" s="51"/>
      <c r="D2323" s="51"/>
      <c r="E2323" s="51"/>
      <c r="F2323" s="51"/>
      <c r="G2323" s="56"/>
      <c r="H2323" s="55"/>
      <c r="I2323" s="55"/>
      <c r="J2323" s="55"/>
      <c r="K2323" s="55"/>
      <c r="L2323" s="55"/>
      <c r="M2323" s="55"/>
      <c r="N2323" s="55"/>
      <c r="O2323" s="55"/>
      <c r="P2323" s="55"/>
      <c r="Q2323" s="55"/>
      <c r="R2323" s="55"/>
      <c r="S2323" s="55"/>
      <c r="T2323" s="55"/>
      <c r="U2323" s="55"/>
      <c r="V2323" s="55"/>
      <c r="W2323" s="55"/>
      <c r="X2323" s="55"/>
      <c r="Y2323" s="55"/>
      <c r="Z2323" s="55"/>
      <c r="AA2323" s="56"/>
      <c r="AB2323" s="55"/>
      <c r="AC2323" s="55"/>
      <c r="AD2323" s="55"/>
      <c r="AE2323" s="55"/>
      <c r="AF2323" s="55"/>
      <c r="AG2323" s="55"/>
      <c r="AH2323" s="56"/>
      <c r="AI2323" s="55"/>
      <c r="AJ2323" s="55"/>
      <c r="AK2323" s="56"/>
      <c r="AL2323" s="56"/>
    </row>
    <row r="2324" spans="1:38" ht="15.75" thickBot="1" x14ac:dyDescent="0.3">
      <c r="A2324" s="51"/>
      <c r="B2324" s="51"/>
      <c r="C2324" s="51"/>
      <c r="D2324" s="51"/>
      <c r="E2324" s="51"/>
      <c r="F2324" s="51"/>
      <c r="G2324" s="54"/>
      <c r="H2324" s="53"/>
      <c r="I2324" s="53"/>
      <c r="J2324" s="53"/>
      <c r="K2324" s="53"/>
      <c r="L2324" s="53"/>
      <c r="M2324" s="53"/>
      <c r="N2324" s="53"/>
      <c r="O2324" s="53"/>
      <c r="P2324" s="53"/>
      <c r="Q2324" s="53"/>
      <c r="R2324" s="53"/>
      <c r="S2324" s="53"/>
      <c r="T2324" s="53"/>
      <c r="U2324" s="53"/>
      <c r="V2324" s="53"/>
      <c r="W2324" s="53"/>
      <c r="X2324" s="53"/>
      <c r="Y2324" s="54"/>
      <c r="Z2324" s="53"/>
      <c r="AA2324" s="53"/>
      <c r="AB2324" s="53"/>
      <c r="AC2324" s="53"/>
      <c r="AD2324" s="53"/>
      <c r="AE2324" s="53"/>
      <c r="AF2324" s="53"/>
      <c r="AG2324" s="53"/>
      <c r="AH2324" s="54"/>
      <c r="AI2324" s="53"/>
      <c r="AJ2324" s="53"/>
      <c r="AK2324" s="54"/>
      <c r="AL2324" s="54"/>
    </row>
    <row r="2325" spans="1:38" ht="15.75" thickBot="1" x14ac:dyDescent="0.3">
      <c r="A2325" s="51"/>
      <c r="B2325" s="51"/>
      <c r="C2325" s="51"/>
      <c r="D2325" s="51"/>
      <c r="E2325" s="51"/>
      <c r="F2325" s="51"/>
      <c r="G2325" s="56"/>
      <c r="H2325" s="55"/>
      <c r="I2325" s="55"/>
      <c r="J2325" s="55"/>
      <c r="K2325" s="55"/>
      <c r="L2325" s="55"/>
      <c r="M2325" s="55"/>
      <c r="N2325" s="55"/>
      <c r="O2325" s="55"/>
      <c r="P2325" s="55"/>
      <c r="Q2325" s="55"/>
      <c r="R2325" s="55"/>
      <c r="S2325" s="55"/>
      <c r="T2325" s="55"/>
      <c r="U2325" s="55"/>
      <c r="V2325" s="55"/>
      <c r="W2325" s="55"/>
      <c r="X2325" s="55"/>
      <c r="Y2325" s="56"/>
      <c r="Z2325" s="55"/>
      <c r="AA2325" s="55"/>
      <c r="AB2325" s="55"/>
      <c r="AC2325" s="55"/>
      <c r="AD2325" s="55"/>
      <c r="AE2325" s="55"/>
      <c r="AF2325" s="55"/>
      <c r="AG2325" s="55"/>
      <c r="AH2325" s="56"/>
      <c r="AI2325" s="55"/>
      <c r="AJ2325" s="55"/>
      <c r="AK2325" s="56"/>
      <c r="AL2325" s="56"/>
    </row>
    <row r="2326" spans="1:38" ht="15.75" thickBot="1" x14ac:dyDescent="0.3">
      <c r="A2326" s="51"/>
      <c r="B2326" s="51"/>
      <c r="C2326" s="51"/>
      <c r="D2326" s="51"/>
      <c r="E2326" s="51"/>
      <c r="F2326" s="51"/>
      <c r="G2326" s="54"/>
      <c r="H2326" s="53"/>
      <c r="I2326" s="53"/>
      <c r="J2326" s="53"/>
      <c r="K2326" s="54"/>
      <c r="L2326" s="53"/>
      <c r="M2326" s="53"/>
      <c r="N2326" s="53"/>
      <c r="O2326" s="53"/>
      <c r="P2326" s="53"/>
      <c r="Q2326" s="53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3"/>
      <c r="AB2326" s="53"/>
      <c r="AC2326" s="53"/>
      <c r="AD2326" s="53"/>
      <c r="AE2326" s="53"/>
      <c r="AF2326" s="53"/>
      <c r="AG2326" s="53"/>
      <c r="AH2326" s="54"/>
      <c r="AI2326" s="53"/>
      <c r="AJ2326" s="53"/>
      <c r="AK2326" s="54"/>
      <c r="AL2326" s="54"/>
    </row>
    <row r="2327" spans="1:38" ht="15.75" thickBot="1" x14ac:dyDescent="0.3">
      <c r="A2327" s="51"/>
      <c r="B2327" s="51"/>
      <c r="C2327" s="51"/>
      <c r="D2327" s="51"/>
      <c r="E2327" s="51"/>
      <c r="F2327" s="51"/>
      <c r="G2327" s="56"/>
      <c r="H2327" s="55"/>
      <c r="I2327" s="55"/>
      <c r="J2327" s="55"/>
      <c r="K2327" s="56"/>
      <c r="L2327" s="55"/>
      <c r="M2327" s="55"/>
      <c r="N2327" s="55"/>
      <c r="O2327" s="55"/>
      <c r="P2327" s="55"/>
      <c r="Q2327" s="55"/>
      <c r="R2327" s="55"/>
      <c r="S2327" s="55"/>
      <c r="T2327" s="55"/>
      <c r="U2327" s="55"/>
      <c r="V2327" s="55"/>
      <c r="W2327" s="55"/>
      <c r="X2327" s="55"/>
      <c r="Y2327" s="55"/>
      <c r="Z2327" s="55"/>
      <c r="AA2327" s="55"/>
      <c r="AB2327" s="55"/>
      <c r="AC2327" s="55"/>
      <c r="AD2327" s="55"/>
      <c r="AE2327" s="55"/>
      <c r="AF2327" s="55"/>
      <c r="AG2327" s="55"/>
      <c r="AH2327" s="56"/>
      <c r="AI2327" s="55"/>
      <c r="AJ2327" s="55"/>
      <c r="AK2327" s="56"/>
      <c r="AL2327" s="56"/>
    </row>
    <row r="2328" spans="1:38" ht="15.75" thickBot="1" x14ac:dyDescent="0.3">
      <c r="A2328" s="51"/>
      <c r="B2328" s="51"/>
      <c r="C2328" s="51"/>
      <c r="D2328" s="51"/>
      <c r="E2328" s="51"/>
      <c r="F2328" s="51"/>
      <c r="G2328" s="54"/>
      <c r="H2328" s="53"/>
      <c r="I2328" s="53"/>
      <c r="J2328" s="53"/>
      <c r="K2328" s="53"/>
      <c r="L2328" s="53"/>
      <c r="M2328" s="53"/>
      <c r="N2328" s="53"/>
      <c r="O2328" s="53"/>
      <c r="P2328" s="53"/>
      <c r="Q2328" s="53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3"/>
      <c r="AB2328" s="53"/>
      <c r="AC2328" s="54"/>
      <c r="AD2328" s="53"/>
      <c r="AE2328" s="53"/>
      <c r="AF2328" s="53"/>
      <c r="AG2328" s="53"/>
      <c r="AH2328" s="54"/>
      <c r="AI2328" s="53"/>
      <c r="AJ2328" s="53"/>
      <c r="AK2328" s="54"/>
      <c r="AL2328" s="54"/>
    </row>
    <row r="2329" spans="1:38" ht="15.75" thickBot="1" x14ac:dyDescent="0.3">
      <c r="A2329" s="51"/>
      <c r="B2329" s="51"/>
      <c r="C2329" s="51"/>
      <c r="D2329" s="51"/>
      <c r="E2329" s="51"/>
      <c r="F2329" s="51"/>
      <c r="G2329" s="56"/>
      <c r="H2329" s="55"/>
      <c r="I2329" s="55"/>
      <c r="J2329" s="55"/>
      <c r="K2329" s="55"/>
      <c r="L2329" s="55"/>
      <c r="M2329" s="55"/>
      <c r="N2329" s="55"/>
      <c r="O2329" s="55"/>
      <c r="P2329" s="55"/>
      <c r="Q2329" s="55"/>
      <c r="R2329" s="55"/>
      <c r="S2329" s="55"/>
      <c r="T2329" s="55"/>
      <c r="U2329" s="55"/>
      <c r="V2329" s="55"/>
      <c r="W2329" s="55"/>
      <c r="X2329" s="55"/>
      <c r="Y2329" s="55"/>
      <c r="Z2329" s="55"/>
      <c r="AA2329" s="55"/>
      <c r="AB2329" s="55"/>
      <c r="AC2329" s="56"/>
      <c r="AD2329" s="55"/>
      <c r="AE2329" s="55"/>
      <c r="AF2329" s="55"/>
      <c r="AG2329" s="55"/>
      <c r="AH2329" s="56"/>
      <c r="AI2329" s="55"/>
      <c r="AJ2329" s="55"/>
      <c r="AK2329" s="56"/>
      <c r="AL2329" s="56"/>
    </row>
    <row r="2330" spans="1:38" ht="15.75" thickBot="1" x14ac:dyDescent="0.3">
      <c r="A2330" s="51"/>
      <c r="B2330" s="51"/>
      <c r="C2330" s="51"/>
      <c r="D2330" s="51"/>
      <c r="E2330" s="51"/>
      <c r="F2330" s="51"/>
      <c r="G2330" s="54"/>
      <c r="H2330" s="53"/>
      <c r="I2330" s="53"/>
      <c r="J2330" s="53"/>
      <c r="K2330" s="53"/>
      <c r="L2330" s="53"/>
      <c r="M2330" s="53"/>
      <c r="N2330" s="53"/>
      <c r="O2330" s="53"/>
      <c r="P2330" s="53"/>
      <c r="Q2330" s="53"/>
      <c r="R2330" s="53"/>
      <c r="S2330" s="53"/>
      <c r="T2330" s="54"/>
      <c r="U2330" s="53"/>
      <c r="V2330" s="53"/>
      <c r="W2330" s="53"/>
      <c r="X2330" s="53"/>
      <c r="Y2330" s="53"/>
      <c r="Z2330" s="53"/>
      <c r="AA2330" s="53"/>
      <c r="AB2330" s="53"/>
      <c r="AC2330" s="53"/>
      <c r="AD2330" s="53"/>
      <c r="AE2330" s="53"/>
      <c r="AF2330" s="53"/>
      <c r="AG2330" s="53"/>
      <c r="AH2330" s="54"/>
      <c r="AI2330" s="53"/>
      <c r="AJ2330" s="53"/>
      <c r="AK2330" s="54"/>
      <c r="AL2330" s="54"/>
    </row>
    <row r="2331" spans="1:38" ht="15.75" thickBot="1" x14ac:dyDescent="0.3">
      <c r="A2331" s="51"/>
      <c r="B2331" s="51"/>
      <c r="C2331" s="51"/>
      <c r="D2331" s="51"/>
      <c r="E2331" s="51"/>
      <c r="F2331" s="51"/>
      <c r="G2331" s="56"/>
      <c r="H2331" s="55"/>
      <c r="I2331" s="55"/>
      <c r="J2331" s="55"/>
      <c r="K2331" s="55"/>
      <c r="L2331" s="55"/>
      <c r="M2331" s="55"/>
      <c r="N2331" s="55"/>
      <c r="O2331" s="55"/>
      <c r="P2331" s="55"/>
      <c r="Q2331" s="55"/>
      <c r="R2331" s="55"/>
      <c r="S2331" s="55"/>
      <c r="T2331" s="56"/>
      <c r="U2331" s="55"/>
      <c r="V2331" s="55"/>
      <c r="W2331" s="55"/>
      <c r="X2331" s="55"/>
      <c r="Y2331" s="55"/>
      <c r="Z2331" s="55"/>
      <c r="AA2331" s="55"/>
      <c r="AB2331" s="55"/>
      <c r="AC2331" s="55"/>
      <c r="AD2331" s="55"/>
      <c r="AE2331" s="55"/>
      <c r="AF2331" s="55"/>
      <c r="AG2331" s="55"/>
      <c r="AH2331" s="56"/>
      <c r="AI2331" s="55"/>
      <c r="AJ2331" s="55"/>
      <c r="AK2331" s="56"/>
      <c r="AL2331" s="56"/>
    </row>
    <row r="2332" spans="1:38" ht="15.75" thickBot="1" x14ac:dyDescent="0.3">
      <c r="A2332" s="51"/>
      <c r="B2332" s="51"/>
      <c r="C2332" s="51"/>
      <c r="D2332" s="51"/>
      <c r="E2332" s="51"/>
      <c r="F2332" s="51"/>
      <c r="G2332" s="54"/>
      <c r="H2332" s="53"/>
      <c r="I2332" s="53"/>
      <c r="J2332" s="53"/>
      <c r="K2332" s="53"/>
      <c r="L2332" s="53"/>
      <c r="M2332" s="53"/>
      <c r="N2332" s="53"/>
      <c r="O2332" s="53"/>
      <c r="P2332" s="53"/>
      <c r="Q2332" s="53"/>
      <c r="R2332" s="53"/>
      <c r="S2332" s="53"/>
      <c r="T2332" s="53"/>
      <c r="U2332" s="54"/>
      <c r="V2332" s="53"/>
      <c r="W2332" s="53"/>
      <c r="X2332" s="53"/>
      <c r="Y2332" s="53"/>
      <c r="Z2332" s="53"/>
      <c r="AA2332" s="53"/>
      <c r="AB2332" s="53"/>
      <c r="AC2332" s="53"/>
      <c r="AD2332" s="53"/>
      <c r="AE2332" s="53"/>
      <c r="AF2332" s="53"/>
      <c r="AG2332" s="53"/>
      <c r="AH2332" s="54"/>
      <c r="AI2332" s="53"/>
      <c r="AJ2332" s="53"/>
      <c r="AK2332" s="54"/>
      <c r="AL2332" s="54"/>
    </row>
    <row r="2333" spans="1:38" ht="15.75" thickBot="1" x14ac:dyDescent="0.3">
      <c r="A2333" s="51"/>
      <c r="B2333" s="51"/>
      <c r="C2333" s="51"/>
      <c r="D2333" s="51"/>
      <c r="E2333" s="51"/>
      <c r="F2333" s="51"/>
      <c r="G2333" s="56"/>
      <c r="H2333" s="55"/>
      <c r="I2333" s="55"/>
      <c r="J2333" s="55"/>
      <c r="K2333" s="55"/>
      <c r="L2333" s="55"/>
      <c r="M2333" s="55"/>
      <c r="N2333" s="55"/>
      <c r="O2333" s="55"/>
      <c r="P2333" s="55"/>
      <c r="Q2333" s="55"/>
      <c r="R2333" s="55"/>
      <c r="S2333" s="55"/>
      <c r="T2333" s="55"/>
      <c r="U2333" s="56"/>
      <c r="V2333" s="55"/>
      <c r="W2333" s="55"/>
      <c r="X2333" s="55"/>
      <c r="Y2333" s="55"/>
      <c r="Z2333" s="55"/>
      <c r="AA2333" s="55"/>
      <c r="AB2333" s="55"/>
      <c r="AC2333" s="55"/>
      <c r="AD2333" s="55"/>
      <c r="AE2333" s="55"/>
      <c r="AF2333" s="55"/>
      <c r="AG2333" s="55"/>
      <c r="AH2333" s="56"/>
      <c r="AI2333" s="55"/>
      <c r="AJ2333" s="55"/>
      <c r="AK2333" s="56"/>
      <c r="AL2333" s="56"/>
    </row>
    <row r="2334" spans="1:38" ht="15.75" thickBot="1" x14ac:dyDescent="0.3">
      <c r="A2334" s="51"/>
      <c r="B2334" s="51"/>
      <c r="C2334" s="51"/>
      <c r="D2334" s="51"/>
      <c r="E2334" s="51"/>
      <c r="F2334" s="51"/>
      <c r="G2334" s="54"/>
      <c r="H2334" s="53"/>
      <c r="I2334" s="53"/>
      <c r="J2334" s="53"/>
      <c r="K2334" s="54"/>
      <c r="L2334" s="53"/>
      <c r="M2334" s="53"/>
      <c r="N2334" s="53"/>
      <c r="O2334" s="53"/>
      <c r="P2334" s="53"/>
      <c r="Q2334" s="53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3"/>
      <c r="AB2334" s="53"/>
      <c r="AC2334" s="53"/>
      <c r="AD2334" s="53"/>
      <c r="AE2334" s="53"/>
      <c r="AF2334" s="53"/>
      <c r="AG2334" s="53"/>
      <c r="AH2334" s="54"/>
      <c r="AI2334" s="53"/>
      <c r="AJ2334" s="53"/>
      <c r="AK2334" s="54"/>
      <c r="AL2334" s="54"/>
    </row>
    <row r="2335" spans="1:38" ht="15.75" thickBot="1" x14ac:dyDescent="0.3">
      <c r="A2335" s="51"/>
      <c r="B2335" s="51"/>
      <c r="C2335" s="51"/>
      <c r="D2335" s="51"/>
      <c r="E2335" s="51"/>
      <c r="F2335" s="51"/>
      <c r="G2335" s="56"/>
      <c r="H2335" s="55"/>
      <c r="I2335" s="55"/>
      <c r="J2335" s="55"/>
      <c r="K2335" s="56"/>
      <c r="L2335" s="55"/>
      <c r="M2335" s="55"/>
      <c r="N2335" s="55"/>
      <c r="O2335" s="55"/>
      <c r="P2335" s="55"/>
      <c r="Q2335" s="55"/>
      <c r="R2335" s="55"/>
      <c r="S2335" s="55"/>
      <c r="T2335" s="55"/>
      <c r="U2335" s="55"/>
      <c r="V2335" s="55"/>
      <c r="W2335" s="55"/>
      <c r="X2335" s="55"/>
      <c r="Y2335" s="55"/>
      <c r="Z2335" s="55"/>
      <c r="AA2335" s="55"/>
      <c r="AB2335" s="55"/>
      <c r="AC2335" s="55"/>
      <c r="AD2335" s="55"/>
      <c r="AE2335" s="55"/>
      <c r="AF2335" s="55"/>
      <c r="AG2335" s="55"/>
      <c r="AH2335" s="56"/>
      <c r="AI2335" s="55"/>
      <c r="AJ2335" s="55"/>
      <c r="AK2335" s="56"/>
      <c r="AL2335" s="56"/>
    </row>
    <row r="2336" spans="1:38" ht="15.75" thickBot="1" x14ac:dyDescent="0.3">
      <c r="A2336" s="51"/>
      <c r="B2336" s="51"/>
      <c r="C2336" s="51"/>
      <c r="D2336" s="51"/>
      <c r="E2336" s="51"/>
      <c r="F2336" s="51"/>
      <c r="G2336" s="54"/>
      <c r="H2336" s="53"/>
      <c r="I2336" s="53"/>
      <c r="J2336" s="53"/>
      <c r="K2336" s="54"/>
      <c r="L2336" s="53"/>
      <c r="M2336" s="53"/>
      <c r="N2336" s="53"/>
      <c r="O2336" s="53"/>
      <c r="P2336" s="53"/>
      <c r="Q2336" s="53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3"/>
      <c r="AB2336" s="53"/>
      <c r="AC2336" s="53"/>
      <c r="AD2336" s="53"/>
      <c r="AE2336" s="53"/>
      <c r="AF2336" s="53"/>
      <c r="AG2336" s="53"/>
      <c r="AH2336" s="54"/>
      <c r="AI2336" s="53"/>
      <c r="AJ2336" s="53"/>
      <c r="AK2336" s="54"/>
      <c r="AL2336" s="54"/>
    </row>
    <row r="2337" spans="1:38" ht="15.75" thickBot="1" x14ac:dyDescent="0.3">
      <c r="A2337" s="51"/>
      <c r="B2337" s="51"/>
      <c r="C2337" s="51"/>
      <c r="D2337" s="51"/>
      <c r="E2337" s="51"/>
      <c r="F2337" s="51"/>
      <c r="G2337" s="56"/>
      <c r="H2337" s="55"/>
      <c r="I2337" s="55"/>
      <c r="J2337" s="55"/>
      <c r="K2337" s="56"/>
      <c r="L2337" s="55"/>
      <c r="M2337" s="55"/>
      <c r="N2337" s="55"/>
      <c r="O2337" s="55"/>
      <c r="P2337" s="55"/>
      <c r="Q2337" s="55"/>
      <c r="R2337" s="55"/>
      <c r="S2337" s="55"/>
      <c r="T2337" s="55"/>
      <c r="U2337" s="55"/>
      <c r="V2337" s="55"/>
      <c r="W2337" s="55"/>
      <c r="X2337" s="55"/>
      <c r="Y2337" s="55"/>
      <c r="Z2337" s="55"/>
      <c r="AA2337" s="55"/>
      <c r="AB2337" s="55"/>
      <c r="AC2337" s="55"/>
      <c r="AD2337" s="55"/>
      <c r="AE2337" s="55"/>
      <c r="AF2337" s="55"/>
      <c r="AG2337" s="55"/>
      <c r="AH2337" s="56"/>
      <c r="AI2337" s="55"/>
      <c r="AJ2337" s="55"/>
      <c r="AK2337" s="56"/>
      <c r="AL2337" s="56"/>
    </row>
    <row r="2338" spans="1:38" ht="15.75" thickBot="1" x14ac:dyDescent="0.3">
      <c r="A2338" s="51"/>
      <c r="B2338" s="51"/>
      <c r="C2338" s="51"/>
      <c r="D2338" s="51"/>
      <c r="E2338" s="51"/>
      <c r="F2338" s="51"/>
      <c r="G2338" s="54"/>
      <c r="H2338" s="54"/>
      <c r="I2338" s="53"/>
      <c r="J2338" s="53"/>
      <c r="K2338" s="53"/>
      <c r="L2338" s="53"/>
      <c r="M2338" s="54"/>
      <c r="N2338" s="53"/>
      <c r="O2338" s="53"/>
      <c r="P2338" s="53"/>
      <c r="Q2338" s="53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3"/>
      <c r="AB2338" s="53"/>
      <c r="AC2338" s="53"/>
      <c r="AD2338" s="53"/>
      <c r="AE2338" s="53"/>
      <c r="AF2338" s="53"/>
      <c r="AG2338" s="53"/>
      <c r="AH2338" s="54"/>
      <c r="AI2338" s="53"/>
      <c r="AJ2338" s="53"/>
      <c r="AK2338" s="54"/>
      <c r="AL2338" s="54"/>
    </row>
    <row r="2339" spans="1:38" ht="15.75" thickBot="1" x14ac:dyDescent="0.3">
      <c r="A2339" s="51"/>
      <c r="B2339" s="51"/>
      <c r="C2339" s="51"/>
      <c r="D2339" s="51"/>
      <c r="E2339" s="51"/>
      <c r="F2339" s="51"/>
      <c r="G2339" s="56"/>
      <c r="H2339" s="148"/>
      <c r="I2339" s="55"/>
      <c r="J2339" s="55"/>
      <c r="K2339" s="55"/>
      <c r="L2339" s="55"/>
      <c r="M2339" s="56"/>
      <c r="N2339" s="55"/>
      <c r="O2339" s="55"/>
      <c r="P2339" s="55"/>
      <c r="Q2339" s="55"/>
      <c r="R2339" s="55"/>
      <c r="S2339" s="55"/>
      <c r="T2339" s="55"/>
      <c r="U2339" s="55"/>
      <c r="V2339" s="55"/>
      <c r="W2339" s="55"/>
      <c r="X2339" s="55"/>
      <c r="Y2339" s="55"/>
      <c r="Z2339" s="55"/>
      <c r="AA2339" s="55"/>
      <c r="AB2339" s="55"/>
      <c r="AC2339" s="55"/>
      <c r="AD2339" s="55"/>
      <c r="AE2339" s="55"/>
      <c r="AF2339" s="55"/>
      <c r="AG2339" s="55"/>
      <c r="AH2339" s="56"/>
      <c r="AI2339" s="55"/>
      <c r="AJ2339" s="55"/>
      <c r="AK2339" s="56"/>
      <c r="AL2339" s="56"/>
    </row>
    <row r="2340" spans="1:38" ht="15.75" thickBot="1" x14ac:dyDescent="0.3">
      <c r="A2340" s="51"/>
      <c r="B2340" s="51"/>
      <c r="C2340" s="51"/>
      <c r="D2340" s="51"/>
      <c r="E2340" s="51"/>
      <c r="F2340" s="51"/>
      <c r="G2340" s="54"/>
      <c r="H2340" s="53"/>
      <c r="I2340" s="53"/>
      <c r="J2340" s="53"/>
      <c r="K2340" s="53"/>
      <c r="L2340" s="53"/>
      <c r="M2340" s="53"/>
      <c r="N2340" s="53"/>
      <c r="O2340" s="53"/>
      <c r="P2340" s="53"/>
      <c r="Q2340" s="53"/>
      <c r="R2340" s="53"/>
      <c r="S2340" s="53"/>
      <c r="T2340" s="53"/>
      <c r="U2340" s="53"/>
      <c r="V2340" s="53"/>
      <c r="W2340" s="53"/>
      <c r="X2340" s="53"/>
      <c r="Y2340" s="53"/>
      <c r="Z2340" s="54"/>
      <c r="AA2340" s="53"/>
      <c r="AB2340" s="53"/>
      <c r="AC2340" s="53"/>
      <c r="AD2340" s="53"/>
      <c r="AE2340" s="53"/>
      <c r="AF2340" s="53"/>
      <c r="AG2340" s="53"/>
      <c r="AH2340" s="54"/>
      <c r="AI2340" s="53"/>
      <c r="AJ2340" s="53"/>
      <c r="AK2340" s="54"/>
      <c r="AL2340" s="54"/>
    </row>
    <row r="2341" spans="1:38" ht="15.75" thickBot="1" x14ac:dyDescent="0.3">
      <c r="A2341" s="51"/>
      <c r="B2341" s="51"/>
      <c r="C2341" s="51"/>
      <c r="D2341" s="51"/>
      <c r="E2341" s="51"/>
      <c r="F2341" s="51"/>
      <c r="G2341" s="56"/>
      <c r="H2341" s="55"/>
      <c r="I2341" s="55"/>
      <c r="J2341" s="55"/>
      <c r="K2341" s="55"/>
      <c r="L2341" s="55"/>
      <c r="M2341" s="55"/>
      <c r="N2341" s="55"/>
      <c r="O2341" s="55"/>
      <c r="P2341" s="55"/>
      <c r="Q2341" s="55"/>
      <c r="R2341" s="55"/>
      <c r="S2341" s="55"/>
      <c r="T2341" s="55"/>
      <c r="U2341" s="55"/>
      <c r="V2341" s="55"/>
      <c r="W2341" s="55"/>
      <c r="X2341" s="55"/>
      <c r="Y2341" s="55"/>
      <c r="Z2341" s="56"/>
      <c r="AA2341" s="55"/>
      <c r="AB2341" s="55"/>
      <c r="AC2341" s="55"/>
      <c r="AD2341" s="55"/>
      <c r="AE2341" s="55"/>
      <c r="AF2341" s="55"/>
      <c r="AG2341" s="55"/>
      <c r="AH2341" s="56"/>
      <c r="AI2341" s="55"/>
      <c r="AJ2341" s="55"/>
      <c r="AK2341" s="56"/>
      <c r="AL2341" s="56"/>
    </row>
    <row r="2342" spans="1:38" ht="15.75" thickBot="1" x14ac:dyDescent="0.3">
      <c r="A2342" s="51"/>
      <c r="B2342" s="51"/>
      <c r="C2342" s="51"/>
      <c r="D2342" s="51"/>
      <c r="E2342" s="51"/>
      <c r="F2342" s="51"/>
      <c r="G2342" s="54"/>
      <c r="H2342" s="53"/>
      <c r="I2342" s="53"/>
      <c r="J2342" s="53"/>
      <c r="K2342" s="53"/>
      <c r="L2342" s="53"/>
      <c r="M2342" s="53"/>
      <c r="N2342" s="53"/>
      <c r="O2342" s="53"/>
      <c r="P2342" s="53"/>
      <c r="Q2342" s="53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4"/>
      <c r="AB2342" s="53"/>
      <c r="AC2342" s="53"/>
      <c r="AD2342" s="53"/>
      <c r="AE2342" s="53"/>
      <c r="AF2342" s="53"/>
      <c r="AG2342" s="53"/>
      <c r="AH2342" s="54"/>
      <c r="AI2342" s="53"/>
      <c r="AJ2342" s="53"/>
      <c r="AK2342" s="54"/>
      <c r="AL2342" s="54"/>
    </row>
    <row r="2343" spans="1:38" ht="15.75" thickBot="1" x14ac:dyDescent="0.3">
      <c r="A2343" s="51"/>
      <c r="B2343" s="51"/>
      <c r="C2343" s="51"/>
      <c r="D2343" s="51"/>
      <c r="E2343" s="51"/>
      <c r="F2343" s="51"/>
      <c r="G2343" s="56"/>
      <c r="H2343" s="55"/>
      <c r="I2343" s="55"/>
      <c r="J2343" s="55"/>
      <c r="K2343" s="55"/>
      <c r="L2343" s="55"/>
      <c r="M2343" s="55"/>
      <c r="N2343" s="55"/>
      <c r="O2343" s="55"/>
      <c r="P2343" s="55"/>
      <c r="Q2343" s="55"/>
      <c r="R2343" s="55"/>
      <c r="S2343" s="55"/>
      <c r="T2343" s="55"/>
      <c r="U2343" s="55"/>
      <c r="V2343" s="55"/>
      <c r="W2343" s="55"/>
      <c r="X2343" s="55"/>
      <c r="Y2343" s="55"/>
      <c r="Z2343" s="55"/>
      <c r="AA2343" s="56"/>
      <c r="AB2343" s="55"/>
      <c r="AC2343" s="55"/>
      <c r="AD2343" s="55"/>
      <c r="AE2343" s="55"/>
      <c r="AF2343" s="55"/>
      <c r="AG2343" s="55"/>
      <c r="AH2343" s="56"/>
      <c r="AI2343" s="55"/>
      <c r="AJ2343" s="55"/>
      <c r="AK2343" s="56"/>
      <c r="AL2343" s="56"/>
    </row>
    <row r="2344" spans="1:38" ht="15.75" thickBot="1" x14ac:dyDescent="0.3">
      <c r="A2344" s="51"/>
      <c r="B2344" s="51"/>
      <c r="C2344" s="51"/>
      <c r="D2344" s="51"/>
      <c r="E2344" s="51"/>
      <c r="F2344" s="51"/>
      <c r="G2344" s="54"/>
      <c r="H2344" s="53"/>
      <c r="I2344" s="53"/>
      <c r="J2344" s="53"/>
      <c r="K2344" s="53"/>
      <c r="L2344" s="53"/>
      <c r="M2344" s="53"/>
      <c r="N2344" s="53"/>
      <c r="O2344" s="53"/>
      <c r="P2344" s="53"/>
      <c r="Q2344" s="53"/>
      <c r="R2344" s="53"/>
      <c r="S2344" s="53"/>
      <c r="T2344" s="53"/>
      <c r="U2344" s="53"/>
      <c r="V2344" s="53"/>
      <c r="W2344" s="53"/>
      <c r="X2344" s="53"/>
      <c r="Y2344" s="54"/>
      <c r="Z2344" s="53"/>
      <c r="AA2344" s="53"/>
      <c r="AB2344" s="53"/>
      <c r="AC2344" s="53"/>
      <c r="AD2344" s="53"/>
      <c r="AE2344" s="53"/>
      <c r="AF2344" s="53"/>
      <c r="AG2344" s="53"/>
      <c r="AH2344" s="54"/>
      <c r="AI2344" s="53"/>
      <c r="AJ2344" s="53"/>
      <c r="AK2344" s="54"/>
      <c r="AL2344" s="54"/>
    </row>
    <row r="2345" spans="1:38" ht="15.75" thickBot="1" x14ac:dyDescent="0.3">
      <c r="A2345" s="51"/>
      <c r="B2345" s="51"/>
      <c r="C2345" s="51"/>
      <c r="D2345" s="51"/>
      <c r="E2345" s="51"/>
      <c r="F2345" s="51"/>
      <c r="G2345" s="56"/>
      <c r="H2345" s="55"/>
      <c r="I2345" s="55"/>
      <c r="J2345" s="55"/>
      <c r="K2345" s="55"/>
      <c r="L2345" s="55"/>
      <c r="M2345" s="55"/>
      <c r="N2345" s="55"/>
      <c r="O2345" s="55"/>
      <c r="P2345" s="55"/>
      <c r="Q2345" s="55"/>
      <c r="R2345" s="55"/>
      <c r="S2345" s="55"/>
      <c r="T2345" s="55"/>
      <c r="U2345" s="55"/>
      <c r="V2345" s="55"/>
      <c r="W2345" s="55"/>
      <c r="X2345" s="55"/>
      <c r="Y2345" s="56"/>
      <c r="Z2345" s="55"/>
      <c r="AA2345" s="55"/>
      <c r="AB2345" s="55"/>
      <c r="AC2345" s="55"/>
      <c r="AD2345" s="55"/>
      <c r="AE2345" s="55"/>
      <c r="AF2345" s="55"/>
      <c r="AG2345" s="55"/>
      <c r="AH2345" s="56"/>
      <c r="AI2345" s="55"/>
      <c r="AJ2345" s="55"/>
      <c r="AK2345" s="56"/>
      <c r="AL2345" s="56"/>
    </row>
    <row r="2346" spans="1:38" ht="15.75" thickBot="1" x14ac:dyDescent="0.3">
      <c r="A2346" s="51"/>
      <c r="B2346" s="51"/>
      <c r="C2346" s="51"/>
      <c r="D2346" s="51"/>
      <c r="E2346" s="51"/>
      <c r="F2346" s="51"/>
      <c r="G2346" s="54"/>
      <c r="H2346" s="53"/>
      <c r="I2346" s="53"/>
      <c r="J2346" s="53"/>
      <c r="K2346" s="54"/>
      <c r="L2346" s="53"/>
      <c r="M2346" s="53"/>
      <c r="N2346" s="53"/>
      <c r="O2346" s="53"/>
      <c r="P2346" s="53"/>
      <c r="Q2346" s="53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3"/>
      <c r="AB2346" s="53"/>
      <c r="AC2346" s="53"/>
      <c r="AD2346" s="53"/>
      <c r="AE2346" s="53"/>
      <c r="AF2346" s="53"/>
      <c r="AG2346" s="53"/>
      <c r="AH2346" s="54"/>
      <c r="AI2346" s="53"/>
      <c r="AJ2346" s="53"/>
      <c r="AK2346" s="54"/>
      <c r="AL2346" s="54"/>
    </row>
    <row r="2347" spans="1:38" ht="15.75" thickBot="1" x14ac:dyDescent="0.3">
      <c r="A2347" s="51"/>
      <c r="B2347" s="51"/>
      <c r="C2347" s="51"/>
      <c r="D2347" s="51"/>
      <c r="E2347" s="51"/>
      <c r="F2347" s="51"/>
      <c r="G2347" s="56"/>
      <c r="H2347" s="55"/>
      <c r="I2347" s="55"/>
      <c r="J2347" s="55"/>
      <c r="K2347" s="56"/>
      <c r="L2347" s="55"/>
      <c r="M2347" s="55"/>
      <c r="N2347" s="55"/>
      <c r="O2347" s="55"/>
      <c r="P2347" s="55"/>
      <c r="Q2347" s="55"/>
      <c r="R2347" s="55"/>
      <c r="S2347" s="55"/>
      <c r="T2347" s="55"/>
      <c r="U2347" s="55"/>
      <c r="V2347" s="55"/>
      <c r="W2347" s="55"/>
      <c r="X2347" s="55"/>
      <c r="Y2347" s="55"/>
      <c r="Z2347" s="55"/>
      <c r="AA2347" s="55"/>
      <c r="AB2347" s="55"/>
      <c r="AC2347" s="55"/>
      <c r="AD2347" s="55"/>
      <c r="AE2347" s="55"/>
      <c r="AF2347" s="55"/>
      <c r="AG2347" s="55"/>
      <c r="AH2347" s="56"/>
      <c r="AI2347" s="55"/>
      <c r="AJ2347" s="55"/>
      <c r="AK2347" s="56"/>
      <c r="AL2347" s="56"/>
    </row>
    <row r="2348" spans="1:38" ht="15.75" thickBot="1" x14ac:dyDescent="0.3">
      <c r="A2348" s="51"/>
      <c r="B2348" s="51"/>
      <c r="C2348" s="51"/>
      <c r="D2348" s="51"/>
      <c r="E2348" s="51"/>
      <c r="F2348" s="51"/>
      <c r="G2348" s="54"/>
      <c r="H2348" s="53"/>
      <c r="I2348" s="53"/>
      <c r="J2348" s="53"/>
      <c r="K2348" s="53"/>
      <c r="L2348" s="53"/>
      <c r="M2348" s="53"/>
      <c r="N2348" s="53"/>
      <c r="O2348" s="53"/>
      <c r="P2348" s="53"/>
      <c r="Q2348" s="53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3"/>
      <c r="AB2348" s="53"/>
      <c r="AC2348" s="54"/>
      <c r="AD2348" s="53"/>
      <c r="AE2348" s="53"/>
      <c r="AF2348" s="53"/>
      <c r="AG2348" s="53"/>
      <c r="AH2348" s="54"/>
      <c r="AI2348" s="53"/>
      <c r="AJ2348" s="53"/>
      <c r="AK2348" s="54"/>
      <c r="AL2348" s="54"/>
    </row>
    <row r="2349" spans="1:38" ht="15.75" thickBot="1" x14ac:dyDescent="0.3">
      <c r="A2349" s="51"/>
      <c r="B2349" s="51"/>
      <c r="C2349" s="51"/>
      <c r="D2349" s="51"/>
      <c r="E2349" s="51"/>
      <c r="F2349" s="51"/>
      <c r="G2349" s="56"/>
      <c r="H2349" s="55"/>
      <c r="I2349" s="55"/>
      <c r="J2349" s="55"/>
      <c r="K2349" s="55"/>
      <c r="L2349" s="55"/>
      <c r="M2349" s="55"/>
      <c r="N2349" s="55"/>
      <c r="O2349" s="55"/>
      <c r="P2349" s="55"/>
      <c r="Q2349" s="55"/>
      <c r="R2349" s="55"/>
      <c r="S2349" s="55"/>
      <c r="T2349" s="55"/>
      <c r="U2349" s="55"/>
      <c r="V2349" s="55"/>
      <c r="W2349" s="55"/>
      <c r="X2349" s="55"/>
      <c r="Y2349" s="55"/>
      <c r="Z2349" s="55"/>
      <c r="AA2349" s="55"/>
      <c r="AB2349" s="55"/>
      <c r="AC2349" s="56"/>
      <c r="AD2349" s="55"/>
      <c r="AE2349" s="55"/>
      <c r="AF2349" s="55"/>
      <c r="AG2349" s="55"/>
      <c r="AH2349" s="56"/>
      <c r="AI2349" s="55"/>
      <c r="AJ2349" s="55"/>
      <c r="AK2349" s="56"/>
      <c r="AL2349" s="56"/>
    </row>
    <row r="2350" spans="1:38" ht="15.75" thickBot="1" x14ac:dyDescent="0.3">
      <c r="A2350" s="51"/>
      <c r="B2350" s="51"/>
      <c r="C2350" s="51"/>
      <c r="D2350" s="51"/>
      <c r="E2350" s="51"/>
      <c r="F2350" s="51"/>
      <c r="G2350" s="54"/>
      <c r="H2350" s="53"/>
      <c r="I2350" s="53"/>
      <c r="J2350" s="53"/>
      <c r="K2350" s="54"/>
      <c r="L2350" s="53"/>
      <c r="M2350" s="53"/>
      <c r="N2350" s="53"/>
      <c r="O2350" s="53"/>
      <c r="P2350" s="53"/>
      <c r="Q2350" s="53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53"/>
      <c r="AC2350" s="53"/>
      <c r="AD2350" s="53"/>
      <c r="AE2350" s="53"/>
      <c r="AF2350" s="53"/>
      <c r="AG2350" s="53"/>
      <c r="AH2350" s="54"/>
      <c r="AI2350" s="53"/>
      <c r="AJ2350" s="53"/>
      <c r="AK2350" s="54"/>
      <c r="AL2350" s="54"/>
    </row>
    <row r="2351" spans="1:38" ht="15.75" thickBot="1" x14ac:dyDescent="0.3">
      <c r="A2351" s="51"/>
      <c r="B2351" s="51"/>
      <c r="C2351" s="51"/>
      <c r="D2351" s="51"/>
      <c r="E2351" s="51"/>
      <c r="F2351" s="51"/>
      <c r="G2351" s="56"/>
      <c r="H2351" s="55"/>
      <c r="I2351" s="55"/>
      <c r="J2351" s="55"/>
      <c r="K2351" s="56"/>
      <c r="L2351" s="55"/>
      <c r="M2351" s="55"/>
      <c r="N2351" s="55"/>
      <c r="O2351" s="55"/>
      <c r="P2351" s="55"/>
      <c r="Q2351" s="55"/>
      <c r="R2351" s="55"/>
      <c r="S2351" s="55"/>
      <c r="T2351" s="55"/>
      <c r="U2351" s="55"/>
      <c r="V2351" s="55"/>
      <c r="W2351" s="55"/>
      <c r="X2351" s="55"/>
      <c r="Y2351" s="55"/>
      <c r="Z2351" s="55"/>
      <c r="AA2351" s="55"/>
      <c r="AB2351" s="55"/>
      <c r="AC2351" s="55"/>
      <c r="AD2351" s="55"/>
      <c r="AE2351" s="55"/>
      <c r="AF2351" s="55"/>
      <c r="AG2351" s="55"/>
      <c r="AH2351" s="56"/>
      <c r="AI2351" s="55"/>
      <c r="AJ2351" s="55"/>
      <c r="AK2351" s="56"/>
      <c r="AL2351" s="56"/>
    </row>
    <row r="2352" spans="1:38" ht="15.75" thickBot="1" x14ac:dyDescent="0.3">
      <c r="A2352" s="51"/>
      <c r="B2352" s="51"/>
      <c r="C2352" s="51"/>
      <c r="D2352" s="51"/>
      <c r="E2352" s="51"/>
      <c r="F2352" s="51"/>
      <c r="G2352" s="54"/>
      <c r="H2352" s="54"/>
      <c r="I2352" s="53"/>
      <c r="J2352" s="53"/>
      <c r="K2352" s="53"/>
      <c r="L2352" s="53"/>
      <c r="M2352" s="54"/>
      <c r="N2352" s="53"/>
      <c r="O2352" s="53"/>
      <c r="P2352" s="53"/>
      <c r="Q2352" s="53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53"/>
      <c r="AC2352" s="53"/>
      <c r="AD2352" s="53"/>
      <c r="AE2352" s="53"/>
      <c r="AF2352" s="53"/>
      <c r="AG2352" s="53"/>
      <c r="AH2352" s="54"/>
      <c r="AI2352" s="53"/>
      <c r="AJ2352" s="53"/>
      <c r="AK2352" s="54"/>
      <c r="AL2352" s="54"/>
    </row>
    <row r="2353" spans="1:38" ht="15.75" thickBot="1" x14ac:dyDescent="0.3">
      <c r="A2353" s="51"/>
      <c r="B2353" s="51"/>
      <c r="C2353" s="51"/>
      <c r="D2353" s="51"/>
      <c r="E2353" s="51"/>
      <c r="F2353" s="51"/>
      <c r="G2353" s="56"/>
      <c r="H2353" s="148"/>
      <c r="I2353" s="55"/>
      <c r="J2353" s="55"/>
      <c r="K2353" s="55"/>
      <c r="L2353" s="55"/>
      <c r="M2353" s="56"/>
      <c r="N2353" s="55"/>
      <c r="O2353" s="55"/>
      <c r="P2353" s="55"/>
      <c r="Q2353" s="55"/>
      <c r="R2353" s="55"/>
      <c r="S2353" s="55"/>
      <c r="T2353" s="55"/>
      <c r="U2353" s="55"/>
      <c r="V2353" s="55"/>
      <c r="W2353" s="55"/>
      <c r="X2353" s="55"/>
      <c r="Y2353" s="55"/>
      <c r="Z2353" s="55"/>
      <c r="AA2353" s="55"/>
      <c r="AB2353" s="55"/>
      <c r="AC2353" s="55"/>
      <c r="AD2353" s="55"/>
      <c r="AE2353" s="55"/>
      <c r="AF2353" s="55"/>
      <c r="AG2353" s="55"/>
      <c r="AH2353" s="56"/>
      <c r="AI2353" s="55"/>
      <c r="AJ2353" s="55"/>
      <c r="AK2353" s="56"/>
      <c r="AL2353" s="56"/>
    </row>
    <row r="2354" spans="1:38" ht="15.75" thickBot="1" x14ac:dyDescent="0.3">
      <c r="A2354" s="51"/>
      <c r="B2354" s="51"/>
      <c r="C2354" s="51"/>
      <c r="D2354" s="51"/>
      <c r="E2354" s="51"/>
      <c r="F2354" s="51"/>
      <c r="G2354" s="54"/>
      <c r="H2354" s="53"/>
      <c r="I2354" s="53"/>
      <c r="J2354" s="53"/>
      <c r="K2354" s="53"/>
      <c r="L2354" s="53"/>
      <c r="M2354" s="53"/>
      <c r="N2354" s="53"/>
      <c r="O2354" s="53"/>
      <c r="P2354" s="53"/>
      <c r="Q2354" s="53"/>
      <c r="R2354" s="53"/>
      <c r="S2354" s="53"/>
      <c r="T2354" s="53"/>
      <c r="U2354" s="53"/>
      <c r="V2354" s="53"/>
      <c r="W2354" s="53"/>
      <c r="X2354" s="53"/>
      <c r="Y2354" s="53"/>
      <c r="Z2354" s="54"/>
      <c r="AA2354" s="53"/>
      <c r="AB2354" s="53"/>
      <c r="AC2354" s="53"/>
      <c r="AD2354" s="53"/>
      <c r="AE2354" s="53"/>
      <c r="AF2354" s="53"/>
      <c r="AG2354" s="53"/>
      <c r="AH2354" s="54"/>
      <c r="AI2354" s="53"/>
      <c r="AJ2354" s="53"/>
      <c r="AK2354" s="54"/>
      <c r="AL2354" s="54"/>
    </row>
    <row r="2355" spans="1:38" ht="15.75" thickBot="1" x14ac:dyDescent="0.3">
      <c r="A2355" s="51"/>
      <c r="B2355" s="51"/>
      <c r="C2355" s="51"/>
      <c r="D2355" s="51"/>
      <c r="E2355" s="51"/>
      <c r="F2355" s="51"/>
      <c r="G2355" s="56"/>
      <c r="H2355" s="55"/>
      <c r="I2355" s="55"/>
      <c r="J2355" s="55"/>
      <c r="K2355" s="55"/>
      <c r="L2355" s="55"/>
      <c r="M2355" s="55"/>
      <c r="N2355" s="55"/>
      <c r="O2355" s="55"/>
      <c r="P2355" s="55"/>
      <c r="Q2355" s="55"/>
      <c r="R2355" s="55"/>
      <c r="S2355" s="55"/>
      <c r="T2355" s="55"/>
      <c r="U2355" s="55"/>
      <c r="V2355" s="55"/>
      <c r="W2355" s="55"/>
      <c r="X2355" s="55"/>
      <c r="Y2355" s="55"/>
      <c r="Z2355" s="56"/>
      <c r="AA2355" s="55"/>
      <c r="AB2355" s="55"/>
      <c r="AC2355" s="55"/>
      <c r="AD2355" s="55"/>
      <c r="AE2355" s="55"/>
      <c r="AF2355" s="55"/>
      <c r="AG2355" s="55"/>
      <c r="AH2355" s="56"/>
      <c r="AI2355" s="55"/>
      <c r="AJ2355" s="55"/>
      <c r="AK2355" s="56"/>
      <c r="AL2355" s="56"/>
    </row>
    <row r="2356" spans="1:38" ht="15.75" thickBot="1" x14ac:dyDescent="0.3">
      <c r="A2356" s="51"/>
      <c r="B2356" s="51"/>
      <c r="C2356" s="51"/>
      <c r="D2356" s="51"/>
      <c r="E2356" s="51"/>
      <c r="F2356" s="51"/>
      <c r="G2356" s="54"/>
      <c r="H2356" s="53"/>
      <c r="I2356" s="53"/>
      <c r="J2356" s="53"/>
      <c r="K2356" s="53"/>
      <c r="L2356" s="53"/>
      <c r="M2356" s="53"/>
      <c r="N2356" s="53"/>
      <c r="O2356" s="53"/>
      <c r="P2356" s="53"/>
      <c r="Q2356" s="53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4"/>
      <c r="AB2356" s="53"/>
      <c r="AC2356" s="53"/>
      <c r="AD2356" s="53"/>
      <c r="AE2356" s="53"/>
      <c r="AF2356" s="53"/>
      <c r="AG2356" s="53"/>
      <c r="AH2356" s="54"/>
      <c r="AI2356" s="53"/>
      <c r="AJ2356" s="53"/>
      <c r="AK2356" s="54"/>
      <c r="AL2356" s="54"/>
    </row>
    <row r="2357" spans="1:38" ht="15.75" thickBot="1" x14ac:dyDescent="0.3">
      <c r="A2357" s="51"/>
      <c r="B2357" s="51"/>
      <c r="C2357" s="51"/>
      <c r="D2357" s="51"/>
      <c r="E2357" s="51"/>
      <c r="F2357" s="51"/>
      <c r="G2357" s="56"/>
      <c r="H2357" s="55"/>
      <c r="I2357" s="55"/>
      <c r="J2357" s="55"/>
      <c r="K2357" s="55"/>
      <c r="L2357" s="55"/>
      <c r="M2357" s="55"/>
      <c r="N2357" s="55"/>
      <c r="O2357" s="55"/>
      <c r="P2357" s="55"/>
      <c r="Q2357" s="55"/>
      <c r="R2357" s="55"/>
      <c r="S2357" s="55"/>
      <c r="T2357" s="55"/>
      <c r="U2357" s="55"/>
      <c r="V2357" s="55"/>
      <c r="W2357" s="55"/>
      <c r="X2357" s="55"/>
      <c r="Y2357" s="55"/>
      <c r="Z2357" s="55"/>
      <c r="AA2357" s="56"/>
      <c r="AB2357" s="55"/>
      <c r="AC2357" s="55"/>
      <c r="AD2357" s="55"/>
      <c r="AE2357" s="55"/>
      <c r="AF2357" s="55"/>
      <c r="AG2357" s="55"/>
      <c r="AH2357" s="56"/>
      <c r="AI2357" s="55"/>
      <c r="AJ2357" s="55"/>
      <c r="AK2357" s="56"/>
      <c r="AL2357" s="56"/>
    </row>
    <row r="2358" spans="1:38" ht="15.75" thickBot="1" x14ac:dyDescent="0.3">
      <c r="A2358" s="51"/>
      <c r="B2358" s="51"/>
      <c r="C2358" s="51"/>
      <c r="D2358" s="51"/>
      <c r="E2358" s="51"/>
      <c r="F2358" s="51"/>
      <c r="G2358" s="54"/>
      <c r="H2358" s="53"/>
      <c r="I2358" s="53"/>
      <c r="J2358" s="53"/>
      <c r="K2358" s="53"/>
      <c r="L2358" s="53"/>
      <c r="M2358" s="53"/>
      <c r="N2358" s="53"/>
      <c r="O2358" s="53"/>
      <c r="P2358" s="53"/>
      <c r="Q2358" s="53"/>
      <c r="R2358" s="53"/>
      <c r="S2358" s="53"/>
      <c r="T2358" s="53"/>
      <c r="U2358" s="53"/>
      <c r="V2358" s="53"/>
      <c r="W2358" s="53"/>
      <c r="X2358" s="53"/>
      <c r="Y2358" s="54"/>
      <c r="Z2358" s="53"/>
      <c r="AA2358" s="53"/>
      <c r="AB2358" s="53"/>
      <c r="AC2358" s="53"/>
      <c r="AD2358" s="53"/>
      <c r="AE2358" s="53"/>
      <c r="AF2358" s="53"/>
      <c r="AG2358" s="53"/>
      <c r="AH2358" s="54"/>
      <c r="AI2358" s="53"/>
      <c r="AJ2358" s="53"/>
      <c r="AK2358" s="54"/>
      <c r="AL2358" s="54"/>
    </row>
    <row r="2359" spans="1:38" ht="15.75" thickBot="1" x14ac:dyDescent="0.3">
      <c r="A2359" s="51"/>
      <c r="B2359" s="51"/>
      <c r="C2359" s="51"/>
      <c r="D2359" s="51"/>
      <c r="E2359" s="51"/>
      <c r="F2359" s="51"/>
      <c r="G2359" s="56"/>
      <c r="H2359" s="55"/>
      <c r="I2359" s="55"/>
      <c r="J2359" s="55"/>
      <c r="K2359" s="55"/>
      <c r="L2359" s="55"/>
      <c r="M2359" s="55"/>
      <c r="N2359" s="55"/>
      <c r="O2359" s="55"/>
      <c r="P2359" s="55"/>
      <c r="Q2359" s="55"/>
      <c r="R2359" s="55"/>
      <c r="S2359" s="55"/>
      <c r="T2359" s="55"/>
      <c r="U2359" s="55"/>
      <c r="V2359" s="55"/>
      <c r="W2359" s="55"/>
      <c r="X2359" s="55"/>
      <c r="Y2359" s="56"/>
      <c r="Z2359" s="55"/>
      <c r="AA2359" s="55"/>
      <c r="AB2359" s="55"/>
      <c r="AC2359" s="55"/>
      <c r="AD2359" s="55"/>
      <c r="AE2359" s="55"/>
      <c r="AF2359" s="55"/>
      <c r="AG2359" s="55"/>
      <c r="AH2359" s="56"/>
      <c r="AI2359" s="55"/>
      <c r="AJ2359" s="55"/>
      <c r="AK2359" s="56"/>
      <c r="AL2359" s="56"/>
    </row>
    <row r="2360" spans="1:38" ht="15.75" thickBot="1" x14ac:dyDescent="0.3">
      <c r="A2360" s="51"/>
      <c r="B2360" s="51"/>
      <c r="C2360" s="51"/>
      <c r="D2360" s="51"/>
      <c r="E2360" s="51"/>
      <c r="F2360" s="51"/>
      <c r="G2360" s="54"/>
      <c r="H2360" s="53"/>
      <c r="I2360" s="53"/>
      <c r="J2360" s="53"/>
      <c r="K2360" s="54"/>
      <c r="L2360" s="53"/>
      <c r="M2360" s="53"/>
      <c r="N2360" s="53"/>
      <c r="O2360" s="53"/>
      <c r="P2360" s="53"/>
      <c r="Q2360" s="53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3"/>
      <c r="AB2360" s="53"/>
      <c r="AC2360" s="53"/>
      <c r="AD2360" s="53"/>
      <c r="AE2360" s="53"/>
      <c r="AF2360" s="53"/>
      <c r="AG2360" s="53"/>
      <c r="AH2360" s="54"/>
      <c r="AI2360" s="53"/>
      <c r="AJ2360" s="53"/>
      <c r="AK2360" s="54"/>
      <c r="AL2360" s="54"/>
    </row>
    <row r="2361" spans="1:38" ht="15.75" thickBot="1" x14ac:dyDescent="0.3">
      <c r="A2361" s="51"/>
      <c r="B2361" s="51"/>
      <c r="C2361" s="51"/>
      <c r="D2361" s="51"/>
      <c r="E2361" s="51"/>
      <c r="F2361" s="51"/>
      <c r="G2361" s="56"/>
      <c r="H2361" s="55"/>
      <c r="I2361" s="55"/>
      <c r="J2361" s="55"/>
      <c r="K2361" s="56"/>
      <c r="L2361" s="55"/>
      <c r="M2361" s="55"/>
      <c r="N2361" s="55"/>
      <c r="O2361" s="55"/>
      <c r="P2361" s="55"/>
      <c r="Q2361" s="55"/>
      <c r="R2361" s="55"/>
      <c r="S2361" s="55"/>
      <c r="T2361" s="55"/>
      <c r="U2361" s="55"/>
      <c r="V2361" s="55"/>
      <c r="W2361" s="55"/>
      <c r="X2361" s="55"/>
      <c r="Y2361" s="55"/>
      <c r="Z2361" s="55"/>
      <c r="AA2361" s="55"/>
      <c r="AB2361" s="55"/>
      <c r="AC2361" s="55"/>
      <c r="AD2361" s="55"/>
      <c r="AE2361" s="55"/>
      <c r="AF2361" s="55"/>
      <c r="AG2361" s="55"/>
      <c r="AH2361" s="56"/>
      <c r="AI2361" s="55"/>
      <c r="AJ2361" s="55"/>
      <c r="AK2361" s="56"/>
      <c r="AL2361" s="56"/>
    </row>
    <row r="2362" spans="1:38" ht="15.75" thickBot="1" x14ac:dyDescent="0.3">
      <c r="A2362" s="51"/>
      <c r="B2362" s="51"/>
      <c r="C2362" s="51"/>
      <c r="D2362" s="51"/>
      <c r="E2362" s="51"/>
      <c r="F2362" s="51"/>
      <c r="G2362" s="54"/>
      <c r="H2362" s="53"/>
      <c r="I2362" s="53"/>
      <c r="J2362" s="53"/>
      <c r="K2362" s="53"/>
      <c r="L2362" s="53"/>
      <c r="M2362" s="53"/>
      <c r="N2362" s="53"/>
      <c r="O2362" s="53"/>
      <c r="P2362" s="53"/>
      <c r="Q2362" s="53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3"/>
      <c r="AB2362" s="53"/>
      <c r="AC2362" s="54"/>
      <c r="AD2362" s="53"/>
      <c r="AE2362" s="53"/>
      <c r="AF2362" s="53"/>
      <c r="AG2362" s="53"/>
      <c r="AH2362" s="54"/>
      <c r="AI2362" s="53"/>
      <c r="AJ2362" s="53"/>
      <c r="AK2362" s="54"/>
      <c r="AL2362" s="54"/>
    </row>
    <row r="2363" spans="1:38" ht="15.75" thickBot="1" x14ac:dyDescent="0.3">
      <c r="A2363" s="51"/>
      <c r="B2363" s="51"/>
      <c r="C2363" s="51"/>
      <c r="D2363" s="51"/>
      <c r="E2363" s="51"/>
      <c r="F2363" s="51"/>
      <c r="G2363" s="56"/>
      <c r="H2363" s="55"/>
      <c r="I2363" s="55"/>
      <c r="J2363" s="55"/>
      <c r="K2363" s="55"/>
      <c r="L2363" s="55"/>
      <c r="M2363" s="55"/>
      <c r="N2363" s="55"/>
      <c r="O2363" s="55"/>
      <c r="P2363" s="55"/>
      <c r="Q2363" s="55"/>
      <c r="R2363" s="55"/>
      <c r="S2363" s="55"/>
      <c r="T2363" s="55"/>
      <c r="U2363" s="55"/>
      <c r="V2363" s="55"/>
      <c r="W2363" s="55"/>
      <c r="X2363" s="55"/>
      <c r="Y2363" s="55"/>
      <c r="Z2363" s="55"/>
      <c r="AA2363" s="55"/>
      <c r="AB2363" s="55"/>
      <c r="AC2363" s="56"/>
      <c r="AD2363" s="55"/>
      <c r="AE2363" s="55"/>
      <c r="AF2363" s="55"/>
      <c r="AG2363" s="55"/>
      <c r="AH2363" s="56"/>
      <c r="AI2363" s="55"/>
      <c r="AJ2363" s="55"/>
      <c r="AK2363" s="56"/>
      <c r="AL2363" s="56"/>
    </row>
    <row r="2364" spans="1:38" ht="15.75" thickBot="1" x14ac:dyDescent="0.3">
      <c r="A2364" s="51"/>
      <c r="B2364" s="51"/>
      <c r="C2364" s="51"/>
      <c r="D2364" s="51"/>
      <c r="E2364" s="51"/>
      <c r="F2364" s="51"/>
      <c r="G2364" s="54"/>
      <c r="H2364" s="54"/>
      <c r="I2364" s="53"/>
      <c r="J2364" s="53"/>
      <c r="K2364" s="53"/>
      <c r="L2364" s="53"/>
      <c r="M2364" s="54"/>
      <c r="N2364" s="53"/>
      <c r="O2364" s="53"/>
      <c r="P2364" s="53"/>
      <c r="Q2364" s="53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3"/>
      <c r="AB2364" s="53"/>
      <c r="AC2364" s="53"/>
      <c r="AD2364" s="53"/>
      <c r="AE2364" s="53"/>
      <c r="AF2364" s="53"/>
      <c r="AG2364" s="53"/>
      <c r="AH2364" s="54"/>
      <c r="AI2364" s="53"/>
      <c r="AJ2364" s="53"/>
      <c r="AK2364" s="54"/>
      <c r="AL2364" s="54"/>
    </row>
    <row r="2365" spans="1:38" ht="15.75" thickBot="1" x14ac:dyDescent="0.3">
      <c r="A2365" s="51"/>
      <c r="B2365" s="51"/>
      <c r="C2365" s="51"/>
      <c r="D2365" s="51"/>
      <c r="E2365" s="51"/>
      <c r="F2365" s="51"/>
      <c r="G2365" s="56"/>
      <c r="H2365" s="148"/>
      <c r="I2365" s="55"/>
      <c r="J2365" s="55"/>
      <c r="K2365" s="55"/>
      <c r="L2365" s="55"/>
      <c r="M2365" s="56"/>
      <c r="N2365" s="55"/>
      <c r="O2365" s="55"/>
      <c r="P2365" s="55"/>
      <c r="Q2365" s="55"/>
      <c r="R2365" s="55"/>
      <c r="S2365" s="55"/>
      <c r="T2365" s="55"/>
      <c r="U2365" s="55"/>
      <c r="V2365" s="55"/>
      <c r="W2365" s="55"/>
      <c r="X2365" s="55"/>
      <c r="Y2365" s="55"/>
      <c r="Z2365" s="55"/>
      <c r="AA2365" s="55"/>
      <c r="AB2365" s="55"/>
      <c r="AC2365" s="55"/>
      <c r="AD2365" s="55"/>
      <c r="AE2365" s="55"/>
      <c r="AF2365" s="55"/>
      <c r="AG2365" s="55"/>
      <c r="AH2365" s="56"/>
      <c r="AI2365" s="55"/>
      <c r="AJ2365" s="55"/>
      <c r="AK2365" s="56"/>
      <c r="AL2365" s="56"/>
    </row>
    <row r="2366" spans="1:38" ht="15.75" thickBot="1" x14ac:dyDescent="0.3">
      <c r="A2366" s="51"/>
      <c r="B2366" s="51"/>
      <c r="C2366" s="51"/>
      <c r="D2366" s="51"/>
      <c r="E2366" s="51"/>
      <c r="F2366" s="51"/>
      <c r="G2366" s="54"/>
      <c r="H2366" s="53"/>
      <c r="I2366" s="53"/>
      <c r="J2366" s="53"/>
      <c r="K2366" s="53"/>
      <c r="L2366" s="53"/>
      <c r="M2366" s="53"/>
      <c r="N2366" s="53"/>
      <c r="O2366" s="53"/>
      <c r="P2366" s="53"/>
      <c r="Q2366" s="53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4"/>
      <c r="AB2366" s="53"/>
      <c r="AC2366" s="53"/>
      <c r="AD2366" s="53"/>
      <c r="AE2366" s="53"/>
      <c r="AF2366" s="53"/>
      <c r="AG2366" s="53"/>
      <c r="AH2366" s="54"/>
      <c r="AI2366" s="53"/>
      <c r="AJ2366" s="53"/>
      <c r="AK2366" s="54"/>
      <c r="AL2366" s="54"/>
    </row>
    <row r="2367" spans="1:38" ht="15.75" thickBot="1" x14ac:dyDescent="0.3">
      <c r="A2367" s="51"/>
      <c r="B2367" s="51"/>
      <c r="C2367" s="51"/>
      <c r="D2367" s="51"/>
      <c r="E2367" s="51"/>
      <c r="F2367" s="51"/>
      <c r="G2367" s="56"/>
      <c r="H2367" s="55"/>
      <c r="I2367" s="55"/>
      <c r="J2367" s="55"/>
      <c r="K2367" s="55"/>
      <c r="L2367" s="55"/>
      <c r="M2367" s="55"/>
      <c r="N2367" s="55"/>
      <c r="O2367" s="55"/>
      <c r="P2367" s="55"/>
      <c r="Q2367" s="55"/>
      <c r="R2367" s="55"/>
      <c r="S2367" s="55"/>
      <c r="T2367" s="55"/>
      <c r="U2367" s="55"/>
      <c r="V2367" s="55"/>
      <c r="W2367" s="55"/>
      <c r="X2367" s="55"/>
      <c r="Y2367" s="55"/>
      <c r="Z2367" s="55"/>
      <c r="AA2367" s="56"/>
      <c r="AB2367" s="55"/>
      <c r="AC2367" s="55"/>
      <c r="AD2367" s="55"/>
      <c r="AE2367" s="55"/>
      <c r="AF2367" s="55"/>
      <c r="AG2367" s="55"/>
      <c r="AH2367" s="56"/>
      <c r="AI2367" s="55"/>
      <c r="AJ2367" s="55"/>
      <c r="AK2367" s="56"/>
      <c r="AL2367" s="56"/>
    </row>
    <row r="2368" spans="1:38" ht="15.75" thickBot="1" x14ac:dyDescent="0.3">
      <c r="A2368" s="51"/>
      <c r="B2368" s="51"/>
      <c r="C2368" s="51"/>
      <c r="D2368" s="51"/>
      <c r="E2368" s="51"/>
      <c r="F2368" s="51"/>
      <c r="G2368" s="54"/>
      <c r="H2368" s="53"/>
      <c r="I2368" s="53"/>
      <c r="J2368" s="53"/>
      <c r="K2368" s="53"/>
      <c r="L2368" s="53"/>
      <c r="M2368" s="53"/>
      <c r="N2368" s="54"/>
      <c r="O2368" s="53"/>
      <c r="P2368" s="53"/>
      <c r="Q2368" s="53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3"/>
      <c r="AB2368" s="53"/>
      <c r="AC2368" s="53"/>
      <c r="AD2368" s="53"/>
      <c r="AE2368" s="53"/>
      <c r="AF2368" s="53"/>
      <c r="AG2368" s="53"/>
      <c r="AH2368" s="54"/>
      <c r="AI2368" s="53"/>
      <c r="AJ2368" s="53"/>
      <c r="AK2368" s="54"/>
      <c r="AL2368" s="54"/>
    </row>
    <row r="2369" spans="1:38" ht="15.75" thickBot="1" x14ac:dyDescent="0.3">
      <c r="A2369" s="51"/>
      <c r="B2369" s="51"/>
      <c r="C2369" s="51"/>
      <c r="D2369" s="51"/>
      <c r="E2369" s="51"/>
      <c r="F2369" s="51"/>
      <c r="G2369" s="56"/>
      <c r="H2369" s="55"/>
      <c r="I2369" s="55"/>
      <c r="J2369" s="55"/>
      <c r="K2369" s="55"/>
      <c r="L2369" s="55"/>
      <c r="M2369" s="55"/>
      <c r="N2369" s="56"/>
      <c r="O2369" s="55"/>
      <c r="P2369" s="55"/>
      <c r="Q2369" s="55"/>
      <c r="R2369" s="55"/>
      <c r="S2369" s="55"/>
      <c r="T2369" s="55"/>
      <c r="U2369" s="55"/>
      <c r="V2369" s="55"/>
      <c r="W2369" s="55"/>
      <c r="X2369" s="55"/>
      <c r="Y2369" s="55"/>
      <c r="Z2369" s="55"/>
      <c r="AA2369" s="55"/>
      <c r="AB2369" s="55"/>
      <c r="AC2369" s="55"/>
      <c r="AD2369" s="55"/>
      <c r="AE2369" s="55"/>
      <c r="AF2369" s="55"/>
      <c r="AG2369" s="55"/>
      <c r="AH2369" s="56"/>
      <c r="AI2369" s="55"/>
      <c r="AJ2369" s="55"/>
      <c r="AK2369" s="56"/>
      <c r="AL2369" s="56"/>
    </row>
    <row r="2370" spans="1:38" ht="15.75" thickBot="1" x14ac:dyDescent="0.3">
      <c r="A2370" s="51"/>
      <c r="B2370" s="51"/>
      <c r="C2370" s="51"/>
      <c r="D2370" s="51"/>
      <c r="E2370" s="51"/>
      <c r="F2370" s="51"/>
      <c r="G2370" s="54"/>
      <c r="H2370" s="53"/>
      <c r="I2370" s="53"/>
      <c r="J2370" s="53"/>
      <c r="K2370" s="54"/>
      <c r="L2370" s="53"/>
      <c r="M2370" s="53"/>
      <c r="N2370" s="53"/>
      <c r="O2370" s="53"/>
      <c r="P2370" s="53"/>
      <c r="Q2370" s="53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3"/>
      <c r="AB2370" s="53"/>
      <c r="AC2370" s="53"/>
      <c r="AD2370" s="53"/>
      <c r="AE2370" s="53"/>
      <c r="AF2370" s="53"/>
      <c r="AG2370" s="53"/>
      <c r="AH2370" s="54"/>
      <c r="AI2370" s="53"/>
      <c r="AJ2370" s="53"/>
      <c r="AK2370" s="54"/>
      <c r="AL2370" s="54"/>
    </row>
    <row r="2371" spans="1:38" ht="15.75" thickBot="1" x14ac:dyDescent="0.3">
      <c r="A2371" s="51"/>
      <c r="B2371" s="51"/>
      <c r="C2371" s="51"/>
      <c r="D2371" s="51"/>
      <c r="E2371" s="51"/>
      <c r="F2371" s="51"/>
      <c r="G2371" s="56"/>
      <c r="H2371" s="55"/>
      <c r="I2371" s="55"/>
      <c r="J2371" s="55"/>
      <c r="K2371" s="56"/>
      <c r="L2371" s="55"/>
      <c r="M2371" s="55"/>
      <c r="N2371" s="55"/>
      <c r="O2371" s="55"/>
      <c r="P2371" s="55"/>
      <c r="Q2371" s="55"/>
      <c r="R2371" s="55"/>
      <c r="S2371" s="55"/>
      <c r="T2371" s="55"/>
      <c r="U2371" s="55"/>
      <c r="V2371" s="55"/>
      <c r="W2371" s="55"/>
      <c r="X2371" s="55"/>
      <c r="Y2371" s="55"/>
      <c r="Z2371" s="55"/>
      <c r="AA2371" s="55"/>
      <c r="AB2371" s="55"/>
      <c r="AC2371" s="55"/>
      <c r="AD2371" s="55"/>
      <c r="AE2371" s="55"/>
      <c r="AF2371" s="55"/>
      <c r="AG2371" s="55"/>
      <c r="AH2371" s="56"/>
      <c r="AI2371" s="55"/>
      <c r="AJ2371" s="55"/>
      <c r="AK2371" s="56"/>
      <c r="AL2371" s="56"/>
    </row>
    <row r="2372" spans="1:38" ht="15.75" thickBot="1" x14ac:dyDescent="0.3">
      <c r="A2372" s="51"/>
      <c r="B2372" s="51"/>
      <c r="C2372" s="51"/>
      <c r="D2372" s="51"/>
      <c r="E2372" s="51"/>
      <c r="F2372" s="51"/>
      <c r="G2372" s="54"/>
      <c r="H2372" s="53"/>
      <c r="I2372" s="53"/>
      <c r="J2372" s="53"/>
      <c r="K2372" s="53"/>
      <c r="L2372" s="53"/>
      <c r="M2372" s="53"/>
      <c r="N2372" s="53"/>
      <c r="O2372" s="53"/>
      <c r="P2372" s="53"/>
      <c r="Q2372" s="53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3"/>
      <c r="AB2372" s="53"/>
      <c r="AC2372" s="54"/>
      <c r="AD2372" s="53"/>
      <c r="AE2372" s="53"/>
      <c r="AF2372" s="53"/>
      <c r="AG2372" s="53"/>
      <c r="AH2372" s="54"/>
      <c r="AI2372" s="53"/>
      <c r="AJ2372" s="53"/>
      <c r="AK2372" s="54"/>
      <c r="AL2372" s="54"/>
    </row>
    <row r="2373" spans="1:38" ht="15.75" thickBot="1" x14ac:dyDescent="0.3">
      <c r="A2373" s="51"/>
      <c r="B2373" s="51"/>
      <c r="C2373" s="51"/>
      <c r="D2373" s="51"/>
      <c r="E2373" s="51"/>
      <c r="F2373" s="51"/>
      <c r="G2373" s="56"/>
      <c r="H2373" s="55"/>
      <c r="I2373" s="55"/>
      <c r="J2373" s="55"/>
      <c r="K2373" s="55"/>
      <c r="L2373" s="55"/>
      <c r="M2373" s="55"/>
      <c r="N2373" s="55"/>
      <c r="O2373" s="55"/>
      <c r="P2373" s="55"/>
      <c r="Q2373" s="55"/>
      <c r="R2373" s="55"/>
      <c r="S2373" s="55"/>
      <c r="T2373" s="55"/>
      <c r="U2373" s="55"/>
      <c r="V2373" s="55"/>
      <c r="W2373" s="55"/>
      <c r="X2373" s="55"/>
      <c r="Y2373" s="55"/>
      <c r="Z2373" s="55"/>
      <c r="AA2373" s="55"/>
      <c r="AB2373" s="55"/>
      <c r="AC2373" s="56"/>
      <c r="AD2373" s="55"/>
      <c r="AE2373" s="55"/>
      <c r="AF2373" s="55"/>
      <c r="AG2373" s="55"/>
      <c r="AH2373" s="56"/>
      <c r="AI2373" s="55"/>
      <c r="AJ2373" s="55"/>
      <c r="AK2373" s="56"/>
      <c r="AL2373" s="56"/>
    </row>
    <row r="2374" spans="1:38" ht="15.75" thickBot="1" x14ac:dyDescent="0.3">
      <c r="A2374" s="51"/>
      <c r="B2374" s="51"/>
      <c r="C2374" s="51"/>
      <c r="D2374" s="51"/>
      <c r="E2374" s="51"/>
      <c r="F2374" s="51"/>
      <c r="G2374" s="54"/>
      <c r="H2374" s="53"/>
      <c r="I2374" s="53"/>
      <c r="J2374" s="53"/>
      <c r="K2374" s="53"/>
      <c r="L2374" s="53"/>
      <c r="M2374" s="53"/>
      <c r="N2374" s="53"/>
      <c r="O2374" s="53"/>
      <c r="P2374" s="53"/>
      <c r="Q2374" s="53"/>
      <c r="R2374" s="53"/>
      <c r="S2374" s="53"/>
      <c r="T2374" s="54"/>
      <c r="U2374" s="53"/>
      <c r="V2374" s="53"/>
      <c r="W2374" s="53"/>
      <c r="X2374" s="53"/>
      <c r="Y2374" s="53"/>
      <c r="Z2374" s="53"/>
      <c r="AA2374" s="53"/>
      <c r="AB2374" s="53"/>
      <c r="AC2374" s="53"/>
      <c r="AD2374" s="53"/>
      <c r="AE2374" s="53"/>
      <c r="AF2374" s="53"/>
      <c r="AG2374" s="53"/>
      <c r="AH2374" s="54"/>
      <c r="AI2374" s="53"/>
      <c r="AJ2374" s="53"/>
      <c r="AK2374" s="54"/>
      <c r="AL2374" s="54"/>
    </row>
    <row r="2375" spans="1:38" ht="15.75" thickBot="1" x14ac:dyDescent="0.3">
      <c r="A2375" s="51"/>
      <c r="B2375" s="51"/>
      <c r="C2375" s="51"/>
      <c r="D2375" s="51"/>
      <c r="E2375" s="51"/>
      <c r="F2375" s="51"/>
      <c r="G2375" s="56"/>
      <c r="H2375" s="55"/>
      <c r="I2375" s="55"/>
      <c r="J2375" s="55"/>
      <c r="K2375" s="55"/>
      <c r="L2375" s="55"/>
      <c r="M2375" s="55"/>
      <c r="N2375" s="55"/>
      <c r="O2375" s="55"/>
      <c r="P2375" s="55"/>
      <c r="Q2375" s="55"/>
      <c r="R2375" s="55"/>
      <c r="S2375" s="55"/>
      <c r="T2375" s="56"/>
      <c r="U2375" s="55"/>
      <c r="V2375" s="55"/>
      <c r="W2375" s="55"/>
      <c r="X2375" s="55"/>
      <c r="Y2375" s="55"/>
      <c r="Z2375" s="55"/>
      <c r="AA2375" s="55"/>
      <c r="AB2375" s="55"/>
      <c r="AC2375" s="55"/>
      <c r="AD2375" s="55"/>
      <c r="AE2375" s="55"/>
      <c r="AF2375" s="55"/>
      <c r="AG2375" s="55"/>
      <c r="AH2375" s="56"/>
      <c r="AI2375" s="55"/>
      <c r="AJ2375" s="55"/>
      <c r="AK2375" s="56"/>
      <c r="AL2375" s="56"/>
    </row>
    <row r="2376" spans="1:38" ht="15.75" thickBot="1" x14ac:dyDescent="0.3">
      <c r="A2376" s="51"/>
      <c r="B2376" s="51"/>
      <c r="C2376" s="51"/>
      <c r="D2376" s="51"/>
      <c r="E2376" s="51"/>
      <c r="F2376" s="51"/>
      <c r="G2376" s="54"/>
      <c r="H2376" s="54"/>
      <c r="I2376" s="53"/>
      <c r="J2376" s="53"/>
      <c r="K2376" s="53"/>
      <c r="L2376" s="53"/>
      <c r="M2376" s="54"/>
      <c r="N2376" s="53"/>
      <c r="O2376" s="53"/>
      <c r="P2376" s="53"/>
      <c r="Q2376" s="53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3"/>
      <c r="AB2376" s="53"/>
      <c r="AC2376" s="53"/>
      <c r="AD2376" s="53"/>
      <c r="AE2376" s="53"/>
      <c r="AF2376" s="53"/>
      <c r="AG2376" s="53"/>
      <c r="AH2376" s="54"/>
      <c r="AI2376" s="53"/>
      <c r="AJ2376" s="53"/>
      <c r="AK2376" s="54"/>
      <c r="AL2376" s="54"/>
    </row>
    <row r="2377" spans="1:38" ht="15.75" thickBot="1" x14ac:dyDescent="0.3">
      <c r="A2377" s="51"/>
      <c r="B2377" s="51"/>
      <c r="C2377" s="51"/>
      <c r="D2377" s="51"/>
      <c r="E2377" s="51"/>
      <c r="F2377" s="51"/>
      <c r="G2377" s="56"/>
      <c r="H2377" s="56"/>
      <c r="I2377" s="55"/>
      <c r="J2377" s="55"/>
      <c r="K2377" s="55"/>
      <c r="L2377" s="55"/>
      <c r="M2377" s="56"/>
      <c r="N2377" s="55"/>
      <c r="O2377" s="55"/>
      <c r="P2377" s="55"/>
      <c r="Q2377" s="55"/>
      <c r="R2377" s="55"/>
      <c r="S2377" s="55"/>
      <c r="T2377" s="55"/>
      <c r="U2377" s="55"/>
      <c r="V2377" s="55"/>
      <c r="W2377" s="55"/>
      <c r="X2377" s="55"/>
      <c r="Y2377" s="55"/>
      <c r="Z2377" s="55"/>
      <c r="AA2377" s="55"/>
      <c r="AB2377" s="55"/>
      <c r="AC2377" s="55"/>
      <c r="AD2377" s="55"/>
      <c r="AE2377" s="55"/>
      <c r="AF2377" s="55"/>
      <c r="AG2377" s="55"/>
      <c r="AH2377" s="56"/>
      <c r="AI2377" s="55"/>
      <c r="AJ2377" s="55"/>
      <c r="AK2377" s="56"/>
      <c r="AL2377" s="56"/>
    </row>
    <row r="2378" spans="1:38" ht="15.75" thickBot="1" x14ac:dyDescent="0.3">
      <c r="A2378" s="51"/>
      <c r="B2378" s="51"/>
      <c r="C2378" s="51"/>
      <c r="D2378" s="51"/>
      <c r="E2378" s="51"/>
      <c r="F2378" s="51"/>
      <c r="G2378" s="54"/>
      <c r="H2378" s="147"/>
      <c r="I2378" s="53"/>
      <c r="J2378" s="53"/>
      <c r="K2378" s="53"/>
      <c r="L2378" s="53"/>
      <c r="M2378" s="54"/>
      <c r="N2378" s="53"/>
      <c r="O2378" s="53"/>
      <c r="P2378" s="53"/>
      <c r="Q2378" s="53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3"/>
      <c r="AB2378" s="53"/>
      <c r="AC2378" s="53"/>
      <c r="AD2378" s="53"/>
      <c r="AE2378" s="53"/>
      <c r="AF2378" s="53"/>
      <c r="AG2378" s="53"/>
      <c r="AH2378" s="54"/>
      <c r="AI2378" s="53"/>
      <c r="AJ2378" s="53"/>
      <c r="AK2378" s="54"/>
      <c r="AL2378" s="54"/>
    </row>
    <row r="2379" spans="1:38" ht="15.75" thickBot="1" x14ac:dyDescent="0.3">
      <c r="A2379" s="51"/>
      <c r="B2379" s="51"/>
      <c r="C2379" s="51"/>
      <c r="D2379" s="51"/>
      <c r="E2379" s="51"/>
      <c r="F2379" s="51"/>
      <c r="G2379" s="56"/>
      <c r="H2379" s="55"/>
      <c r="I2379" s="55"/>
      <c r="J2379" s="55"/>
      <c r="K2379" s="55"/>
      <c r="L2379" s="55"/>
      <c r="M2379" s="55"/>
      <c r="N2379" s="55"/>
      <c r="O2379" s="55"/>
      <c r="P2379" s="55"/>
      <c r="Q2379" s="55"/>
      <c r="R2379" s="55"/>
      <c r="S2379" s="55"/>
      <c r="T2379" s="55"/>
      <c r="U2379" s="55"/>
      <c r="V2379" s="55"/>
      <c r="W2379" s="55"/>
      <c r="X2379" s="55"/>
      <c r="Y2379" s="55"/>
      <c r="Z2379" s="55"/>
      <c r="AA2379" s="56"/>
      <c r="AB2379" s="55"/>
      <c r="AC2379" s="55"/>
      <c r="AD2379" s="55"/>
      <c r="AE2379" s="55"/>
      <c r="AF2379" s="55"/>
      <c r="AG2379" s="55"/>
      <c r="AH2379" s="56"/>
      <c r="AI2379" s="55"/>
      <c r="AJ2379" s="55"/>
      <c r="AK2379" s="56"/>
      <c r="AL2379" s="56"/>
    </row>
    <row r="2380" spans="1:38" ht="15.75" thickBot="1" x14ac:dyDescent="0.3">
      <c r="A2380" s="51"/>
      <c r="B2380" s="51"/>
      <c r="C2380" s="51"/>
      <c r="D2380" s="51"/>
      <c r="E2380" s="51"/>
      <c r="F2380" s="51"/>
      <c r="G2380" s="54"/>
      <c r="H2380" s="53"/>
      <c r="I2380" s="53"/>
      <c r="J2380" s="53"/>
      <c r="K2380" s="53"/>
      <c r="L2380" s="53"/>
      <c r="M2380" s="53"/>
      <c r="N2380" s="53"/>
      <c r="O2380" s="53"/>
      <c r="P2380" s="53"/>
      <c r="Q2380" s="53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4"/>
      <c r="AB2380" s="53"/>
      <c r="AC2380" s="53"/>
      <c r="AD2380" s="53"/>
      <c r="AE2380" s="53"/>
      <c r="AF2380" s="53"/>
      <c r="AG2380" s="53"/>
      <c r="AH2380" s="54"/>
      <c r="AI2380" s="53"/>
      <c r="AJ2380" s="53"/>
      <c r="AK2380" s="54"/>
      <c r="AL2380" s="54"/>
    </row>
    <row r="2381" spans="1:38" ht="15.75" thickBot="1" x14ac:dyDescent="0.3">
      <c r="A2381" s="51"/>
      <c r="B2381" s="51"/>
      <c r="C2381" s="51"/>
      <c r="D2381" s="51"/>
      <c r="E2381" s="51"/>
      <c r="F2381" s="51"/>
      <c r="G2381" s="56"/>
      <c r="H2381" s="55"/>
      <c r="I2381" s="55"/>
      <c r="J2381" s="55"/>
      <c r="K2381" s="55"/>
      <c r="L2381" s="55"/>
      <c r="M2381" s="55"/>
      <c r="N2381" s="55"/>
      <c r="O2381" s="55"/>
      <c r="P2381" s="55"/>
      <c r="Q2381" s="55"/>
      <c r="R2381" s="55"/>
      <c r="S2381" s="55"/>
      <c r="T2381" s="55"/>
      <c r="U2381" s="56"/>
      <c r="V2381" s="55"/>
      <c r="W2381" s="55"/>
      <c r="X2381" s="55"/>
      <c r="Y2381" s="55"/>
      <c r="Z2381" s="55"/>
      <c r="AA2381" s="55"/>
      <c r="AB2381" s="55"/>
      <c r="AC2381" s="55"/>
      <c r="AD2381" s="55"/>
      <c r="AE2381" s="55"/>
      <c r="AF2381" s="55"/>
      <c r="AG2381" s="55"/>
      <c r="AH2381" s="56"/>
      <c r="AI2381" s="55"/>
      <c r="AJ2381" s="55"/>
      <c r="AK2381" s="56"/>
      <c r="AL2381" s="56"/>
    </row>
    <row r="2382" spans="1:38" ht="15.75" thickBot="1" x14ac:dyDescent="0.3">
      <c r="A2382" s="51"/>
      <c r="B2382" s="51"/>
      <c r="C2382" s="51"/>
      <c r="D2382" s="51"/>
      <c r="E2382" s="51"/>
      <c r="F2382" s="51"/>
      <c r="G2382" s="54"/>
      <c r="H2382" s="53"/>
      <c r="I2382" s="53"/>
      <c r="J2382" s="53"/>
      <c r="K2382" s="53"/>
      <c r="L2382" s="53"/>
      <c r="M2382" s="53"/>
      <c r="N2382" s="53"/>
      <c r="O2382" s="53"/>
      <c r="P2382" s="53"/>
      <c r="Q2382" s="53"/>
      <c r="R2382" s="53"/>
      <c r="S2382" s="53"/>
      <c r="T2382" s="53"/>
      <c r="U2382" s="54"/>
      <c r="V2382" s="53"/>
      <c r="W2382" s="53"/>
      <c r="X2382" s="53"/>
      <c r="Y2382" s="53"/>
      <c r="Z2382" s="53"/>
      <c r="AA2382" s="53"/>
      <c r="AB2382" s="53"/>
      <c r="AC2382" s="53"/>
      <c r="AD2382" s="53"/>
      <c r="AE2382" s="53"/>
      <c r="AF2382" s="53"/>
      <c r="AG2382" s="53"/>
      <c r="AH2382" s="54"/>
      <c r="AI2382" s="53"/>
      <c r="AJ2382" s="53"/>
      <c r="AK2382" s="54"/>
      <c r="AL2382" s="54"/>
    </row>
    <row r="2383" spans="1:38" ht="15.75" thickBot="1" x14ac:dyDescent="0.3">
      <c r="A2383" s="51"/>
      <c r="B2383" s="51"/>
      <c r="C2383" s="51"/>
      <c r="D2383" s="51"/>
      <c r="E2383" s="51"/>
      <c r="F2383" s="51"/>
      <c r="G2383" s="56"/>
      <c r="H2383" s="55"/>
      <c r="I2383" s="55"/>
      <c r="J2383" s="55"/>
      <c r="K2383" s="55"/>
      <c r="L2383" s="55"/>
      <c r="M2383" s="55"/>
      <c r="N2383" s="56"/>
      <c r="O2383" s="55"/>
      <c r="P2383" s="55"/>
      <c r="Q2383" s="55"/>
      <c r="R2383" s="55"/>
      <c r="S2383" s="55"/>
      <c r="T2383" s="55"/>
      <c r="U2383" s="55"/>
      <c r="V2383" s="55"/>
      <c r="W2383" s="55"/>
      <c r="X2383" s="55"/>
      <c r="Y2383" s="55"/>
      <c r="Z2383" s="55"/>
      <c r="AA2383" s="55"/>
      <c r="AB2383" s="55"/>
      <c r="AC2383" s="55"/>
      <c r="AD2383" s="55"/>
      <c r="AE2383" s="55"/>
      <c r="AF2383" s="55"/>
      <c r="AG2383" s="55"/>
      <c r="AH2383" s="56"/>
      <c r="AI2383" s="55"/>
      <c r="AJ2383" s="55"/>
      <c r="AK2383" s="56"/>
      <c r="AL2383" s="56"/>
    </row>
    <row r="2384" spans="1:38" ht="15.75" thickBot="1" x14ac:dyDescent="0.3">
      <c r="A2384" s="51"/>
      <c r="B2384" s="51"/>
      <c r="C2384" s="51"/>
      <c r="D2384" s="51"/>
      <c r="E2384" s="51"/>
      <c r="F2384" s="51"/>
      <c r="G2384" s="54"/>
      <c r="H2384" s="53"/>
      <c r="I2384" s="53"/>
      <c r="J2384" s="53"/>
      <c r="K2384" s="53"/>
      <c r="L2384" s="53"/>
      <c r="M2384" s="53"/>
      <c r="N2384" s="54"/>
      <c r="O2384" s="53"/>
      <c r="P2384" s="53"/>
      <c r="Q2384" s="53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3"/>
      <c r="AB2384" s="53"/>
      <c r="AC2384" s="53"/>
      <c r="AD2384" s="53"/>
      <c r="AE2384" s="53"/>
      <c r="AF2384" s="53"/>
      <c r="AG2384" s="53"/>
      <c r="AH2384" s="54"/>
      <c r="AI2384" s="53"/>
      <c r="AJ2384" s="53"/>
      <c r="AK2384" s="54"/>
      <c r="AL2384" s="54"/>
    </row>
    <row r="2385" spans="1:38" ht="15.75" thickBot="1" x14ac:dyDescent="0.3">
      <c r="A2385" s="51"/>
      <c r="B2385" s="51"/>
      <c r="C2385" s="51"/>
      <c r="D2385" s="51"/>
      <c r="E2385" s="51"/>
      <c r="F2385" s="51"/>
      <c r="G2385" s="56"/>
      <c r="H2385" s="55"/>
      <c r="I2385" s="55"/>
      <c r="J2385" s="55"/>
      <c r="K2385" s="56"/>
      <c r="L2385" s="55"/>
      <c r="M2385" s="55"/>
      <c r="N2385" s="55"/>
      <c r="O2385" s="55"/>
      <c r="P2385" s="55"/>
      <c r="Q2385" s="55"/>
      <c r="R2385" s="55"/>
      <c r="S2385" s="55"/>
      <c r="T2385" s="55"/>
      <c r="U2385" s="55"/>
      <c r="V2385" s="55"/>
      <c r="W2385" s="55"/>
      <c r="X2385" s="55"/>
      <c r="Y2385" s="55"/>
      <c r="Z2385" s="55"/>
      <c r="AA2385" s="55"/>
      <c r="AB2385" s="55"/>
      <c r="AC2385" s="55"/>
      <c r="AD2385" s="55"/>
      <c r="AE2385" s="55"/>
      <c r="AF2385" s="55"/>
      <c r="AG2385" s="55"/>
      <c r="AH2385" s="56"/>
      <c r="AI2385" s="55"/>
      <c r="AJ2385" s="55"/>
      <c r="AK2385" s="56"/>
      <c r="AL2385" s="56"/>
    </row>
    <row r="2386" spans="1:38" ht="15.75" thickBot="1" x14ac:dyDescent="0.3">
      <c r="A2386" s="51"/>
      <c r="B2386" s="51"/>
      <c r="C2386" s="51"/>
      <c r="D2386" s="51"/>
      <c r="E2386" s="51"/>
      <c r="F2386" s="51"/>
      <c r="G2386" s="54"/>
      <c r="H2386" s="53"/>
      <c r="I2386" s="53"/>
      <c r="J2386" s="53"/>
      <c r="K2386" s="54"/>
      <c r="L2386" s="53"/>
      <c r="M2386" s="53"/>
      <c r="N2386" s="53"/>
      <c r="O2386" s="53"/>
      <c r="P2386" s="53"/>
      <c r="Q2386" s="53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3"/>
      <c r="AB2386" s="53"/>
      <c r="AC2386" s="53"/>
      <c r="AD2386" s="53"/>
      <c r="AE2386" s="53"/>
      <c r="AF2386" s="53"/>
      <c r="AG2386" s="53"/>
      <c r="AH2386" s="54"/>
      <c r="AI2386" s="53"/>
      <c r="AJ2386" s="53"/>
      <c r="AK2386" s="54"/>
      <c r="AL2386" s="54"/>
    </row>
    <row r="2387" spans="1:38" ht="15.75" thickBot="1" x14ac:dyDescent="0.3">
      <c r="A2387" s="51"/>
      <c r="B2387" s="51"/>
      <c r="C2387" s="51"/>
      <c r="D2387" s="51"/>
      <c r="E2387" s="51"/>
      <c r="F2387" s="51"/>
      <c r="G2387" s="56"/>
      <c r="H2387" s="55"/>
      <c r="I2387" s="55"/>
      <c r="J2387" s="55"/>
      <c r="K2387" s="55"/>
      <c r="L2387" s="55"/>
      <c r="M2387" s="55"/>
      <c r="N2387" s="55"/>
      <c r="O2387" s="55"/>
      <c r="P2387" s="55"/>
      <c r="Q2387" s="55"/>
      <c r="R2387" s="55"/>
      <c r="S2387" s="55"/>
      <c r="T2387" s="55"/>
      <c r="U2387" s="55"/>
      <c r="V2387" s="55"/>
      <c r="W2387" s="55"/>
      <c r="X2387" s="55"/>
      <c r="Y2387" s="55"/>
      <c r="Z2387" s="55"/>
      <c r="AA2387" s="55"/>
      <c r="AB2387" s="55"/>
      <c r="AC2387" s="56"/>
      <c r="AD2387" s="55"/>
      <c r="AE2387" s="55"/>
      <c r="AF2387" s="55"/>
      <c r="AG2387" s="55"/>
      <c r="AH2387" s="56"/>
      <c r="AI2387" s="55"/>
      <c r="AJ2387" s="55"/>
      <c r="AK2387" s="56"/>
      <c r="AL2387" s="56"/>
    </row>
    <row r="2388" spans="1:38" ht="15.75" thickBot="1" x14ac:dyDescent="0.3">
      <c r="A2388" s="51"/>
      <c r="B2388" s="51"/>
      <c r="C2388" s="51"/>
      <c r="D2388" s="51"/>
      <c r="E2388" s="51"/>
      <c r="F2388" s="51"/>
      <c r="G2388" s="54"/>
      <c r="H2388" s="53"/>
      <c r="I2388" s="53"/>
      <c r="J2388" s="53"/>
      <c r="K2388" s="53"/>
      <c r="L2388" s="53"/>
      <c r="M2388" s="53"/>
      <c r="N2388" s="53"/>
      <c r="O2388" s="53"/>
      <c r="P2388" s="53"/>
      <c r="Q2388" s="53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3"/>
      <c r="AB2388" s="53"/>
      <c r="AC2388" s="54"/>
      <c r="AD2388" s="53"/>
      <c r="AE2388" s="53"/>
      <c r="AF2388" s="53"/>
      <c r="AG2388" s="53"/>
      <c r="AH2388" s="54"/>
      <c r="AI2388" s="53"/>
      <c r="AJ2388" s="53"/>
      <c r="AK2388" s="54"/>
      <c r="AL2388" s="54"/>
    </row>
    <row r="2389" spans="1:38" ht="15.75" thickBot="1" x14ac:dyDescent="0.3">
      <c r="A2389" s="51"/>
      <c r="B2389" s="51"/>
      <c r="C2389" s="51"/>
      <c r="D2389" s="51"/>
      <c r="E2389" s="51"/>
      <c r="F2389" s="51"/>
      <c r="G2389" s="56"/>
      <c r="H2389" s="55"/>
      <c r="I2389" s="55"/>
      <c r="J2389" s="55"/>
      <c r="K2389" s="55"/>
      <c r="L2389" s="55"/>
      <c r="M2389" s="55"/>
      <c r="N2389" s="55"/>
      <c r="O2389" s="55"/>
      <c r="P2389" s="55"/>
      <c r="Q2389" s="55"/>
      <c r="R2389" s="55"/>
      <c r="S2389" s="55"/>
      <c r="T2389" s="55"/>
      <c r="U2389" s="55"/>
      <c r="V2389" s="55"/>
      <c r="W2389" s="56"/>
      <c r="X2389" s="55"/>
      <c r="Y2389" s="55"/>
      <c r="Z2389" s="55"/>
      <c r="AA2389" s="55"/>
      <c r="AB2389" s="55"/>
      <c r="AC2389" s="55"/>
      <c r="AD2389" s="55"/>
      <c r="AE2389" s="55"/>
      <c r="AF2389" s="55"/>
      <c r="AG2389" s="55"/>
      <c r="AH2389" s="56"/>
      <c r="AI2389" s="55"/>
      <c r="AJ2389" s="55"/>
      <c r="AK2389" s="56"/>
      <c r="AL2389" s="56"/>
    </row>
    <row r="2390" spans="1:38" ht="15.75" thickBot="1" x14ac:dyDescent="0.3">
      <c r="A2390" s="51"/>
      <c r="B2390" s="51"/>
      <c r="C2390" s="51"/>
      <c r="D2390" s="51"/>
      <c r="E2390" s="51"/>
      <c r="F2390" s="51"/>
      <c r="G2390" s="54"/>
      <c r="H2390" s="53"/>
      <c r="I2390" s="53"/>
      <c r="J2390" s="53"/>
      <c r="K2390" s="53"/>
      <c r="L2390" s="53"/>
      <c r="M2390" s="53"/>
      <c r="N2390" s="53"/>
      <c r="O2390" s="53"/>
      <c r="P2390" s="53"/>
      <c r="Q2390" s="53"/>
      <c r="R2390" s="53"/>
      <c r="S2390" s="53"/>
      <c r="T2390" s="53"/>
      <c r="U2390" s="53"/>
      <c r="V2390" s="53"/>
      <c r="W2390" s="54"/>
      <c r="X2390" s="53"/>
      <c r="Y2390" s="53"/>
      <c r="Z2390" s="53"/>
      <c r="AA2390" s="53"/>
      <c r="AB2390" s="53"/>
      <c r="AC2390" s="53"/>
      <c r="AD2390" s="53"/>
      <c r="AE2390" s="53"/>
      <c r="AF2390" s="53"/>
      <c r="AG2390" s="53"/>
      <c r="AH2390" s="54"/>
      <c r="AI2390" s="53"/>
      <c r="AJ2390" s="53"/>
      <c r="AK2390" s="54"/>
      <c r="AL2390" s="54"/>
    </row>
    <row r="2391" spans="1:38" ht="15.75" thickBot="1" x14ac:dyDescent="0.3">
      <c r="A2391" s="51"/>
      <c r="B2391" s="51"/>
      <c r="C2391" s="51"/>
      <c r="D2391" s="51"/>
      <c r="E2391" s="51"/>
      <c r="F2391" s="51"/>
      <c r="G2391" s="56"/>
      <c r="H2391" s="55"/>
      <c r="I2391" s="55"/>
      <c r="J2391" s="55"/>
      <c r="K2391" s="55"/>
      <c r="L2391" s="55"/>
      <c r="M2391" s="55"/>
      <c r="N2391" s="55"/>
      <c r="O2391" s="55"/>
      <c r="P2391" s="55"/>
      <c r="Q2391" s="55"/>
      <c r="R2391" s="55"/>
      <c r="S2391" s="55"/>
      <c r="T2391" s="55"/>
      <c r="U2391" s="55"/>
      <c r="V2391" s="55"/>
      <c r="W2391" s="55"/>
      <c r="X2391" s="56"/>
      <c r="Y2391" s="55"/>
      <c r="Z2391" s="55"/>
      <c r="AA2391" s="55"/>
      <c r="AB2391" s="55"/>
      <c r="AC2391" s="55"/>
      <c r="AD2391" s="55"/>
      <c r="AE2391" s="55"/>
      <c r="AF2391" s="55"/>
      <c r="AG2391" s="55"/>
      <c r="AH2391" s="56"/>
      <c r="AI2391" s="55"/>
      <c r="AJ2391" s="55"/>
      <c r="AK2391" s="56"/>
      <c r="AL2391" s="56"/>
    </row>
    <row r="2392" spans="1:38" ht="15.75" thickBot="1" x14ac:dyDescent="0.3">
      <c r="A2392" s="51"/>
      <c r="B2392" s="51"/>
      <c r="C2392" s="51"/>
      <c r="D2392" s="51"/>
      <c r="E2392" s="51"/>
      <c r="F2392" s="51"/>
      <c r="G2392" s="54"/>
      <c r="H2392" s="53"/>
      <c r="I2392" s="53"/>
      <c r="J2392" s="53"/>
      <c r="K2392" s="53"/>
      <c r="L2392" s="53"/>
      <c r="M2392" s="53"/>
      <c r="N2392" s="53"/>
      <c r="O2392" s="53"/>
      <c r="P2392" s="53"/>
      <c r="Q2392" s="53"/>
      <c r="R2392" s="53"/>
      <c r="S2392" s="53"/>
      <c r="T2392" s="53"/>
      <c r="U2392" s="53"/>
      <c r="V2392" s="53"/>
      <c r="W2392" s="53"/>
      <c r="X2392" s="54"/>
      <c r="Y2392" s="53"/>
      <c r="Z2392" s="53"/>
      <c r="AA2392" s="53"/>
      <c r="AB2392" s="53"/>
      <c r="AC2392" s="53"/>
      <c r="AD2392" s="53"/>
      <c r="AE2392" s="53"/>
      <c r="AF2392" s="53"/>
      <c r="AG2392" s="53"/>
      <c r="AH2392" s="54"/>
      <c r="AI2392" s="53"/>
      <c r="AJ2392" s="53"/>
      <c r="AK2392" s="54"/>
      <c r="AL2392" s="54"/>
    </row>
    <row r="2393" spans="1:38" ht="15.75" thickBot="1" x14ac:dyDescent="0.3">
      <c r="A2393" s="51"/>
      <c r="B2393" s="51"/>
      <c r="C2393" s="51"/>
      <c r="D2393" s="51"/>
      <c r="E2393" s="51"/>
      <c r="F2393" s="51"/>
      <c r="G2393" s="56"/>
      <c r="H2393" s="56"/>
      <c r="I2393" s="55"/>
      <c r="J2393" s="55"/>
      <c r="K2393" s="55"/>
      <c r="L2393" s="55"/>
      <c r="M2393" s="56"/>
      <c r="N2393" s="55"/>
      <c r="O2393" s="55"/>
      <c r="P2393" s="55"/>
      <c r="Q2393" s="55"/>
      <c r="R2393" s="55"/>
      <c r="S2393" s="55"/>
      <c r="T2393" s="55"/>
      <c r="U2393" s="55"/>
      <c r="V2393" s="55"/>
      <c r="W2393" s="55"/>
      <c r="X2393" s="55"/>
      <c r="Y2393" s="55"/>
      <c r="Z2393" s="55"/>
      <c r="AA2393" s="55"/>
      <c r="AB2393" s="55"/>
      <c r="AC2393" s="55"/>
      <c r="AD2393" s="55"/>
      <c r="AE2393" s="55"/>
      <c r="AF2393" s="55"/>
      <c r="AG2393" s="55"/>
      <c r="AH2393" s="56"/>
      <c r="AI2393" s="55"/>
      <c r="AJ2393" s="55"/>
      <c r="AK2393" s="56"/>
      <c r="AL2393" s="56"/>
    </row>
    <row r="2394" spans="1:38" ht="15.75" thickBot="1" x14ac:dyDescent="0.3">
      <c r="A2394" s="51"/>
      <c r="B2394" s="51"/>
      <c r="C2394" s="51"/>
      <c r="D2394" s="51"/>
      <c r="E2394" s="51"/>
      <c r="F2394" s="51"/>
      <c r="G2394" s="54"/>
      <c r="H2394" s="147"/>
      <c r="I2394" s="53"/>
      <c r="J2394" s="53"/>
      <c r="K2394" s="53"/>
      <c r="L2394" s="53"/>
      <c r="M2394" s="54"/>
      <c r="N2394" s="53"/>
      <c r="O2394" s="53"/>
      <c r="P2394" s="53"/>
      <c r="Q2394" s="53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3"/>
      <c r="AB2394" s="53"/>
      <c r="AC2394" s="53"/>
      <c r="AD2394" s="53"/>
      <c r="AE2394" s="53"/>
      <c r="AF2394" s="53"/>
      <c r="AG2394" s="53"/>
      <c r="AH2394" s="54"/>
      <c r="AI2394" s="53"/>
      <c r="AJ2394" s="53"/>
      <c r="AK2394" s="54"/>
      <c r="AL2394" s="54"/>
    </row>
    <row r="2395" spans="1:38" ht="15.75" thickBot="1" x14ac:dyDescent="0.3">
      <c r="A2395" s="51"/>
      <c r="B2395" s="51"/>
      <c r="C2395" s="51"/>
      <c r="D2395" s="51"/>
      <c r="E2395" s="51"/>
      <c r="F2395" s="51"/>
      <c r="G2395" s="56"/>
      <c r="H2395" s="55"/>
      <c r="I2395" s="55"/>
      <c r="J2395" s="55"/>
      <c r="K2395" s="55"/>
      <c r="L2395" s="55"/>
      <c r="M2395" s="55"/>
      <c r="N2395" s="55"/>
      <c r="O2395" s="55"/>
      <c r="P2395" s="55"/>
      <c r="Q2395" s="55"/>
      <c r="R2395" s="55"/>
      <c r="S2395" s="55"/>
      <c r="T2395" s="55"/>
      <c r="U2395" s="55"/>
      <c r="V2395" s="55"/>
      <c r="W2395" s="55"/>
      <c r="X2395" s="55"/>
      <c r="Y2395" s="55"/>
      <c r="Z2395" s="55"/>
      <c r="AA2395" s="56"/>
      <c r="AB2395" s="55"/>
      <c r="AC2395" s="55"/>
      <c r="AD2395" s="55"/>
      <c r="AE2395" s="55"/>
      <c r="AF2395" s="55"/>
      <c r="AG2395" s="55"/>
      <c r="AH2395" s="56"/>
      <c r="AI2395" s="55"/>
      <c r="AJ2395" s="55"/>
      <c r="AK2395" s="56"/>
      <c r="AL2395" s="56"/>
    </row>
    <row r="2396" spans="1:38" ht="15.75" thickBot="1" x14ac:dyDescent="0.3">
      <c r="A2396" s="51"/>
      <c r="B2396" s="51"/>
      <c r="C2396" s="51"/>
      <c r="D2396" s="51"/>
      <c r="E2396" s="51"/>
      <c r="F2396" s="51"/>
      <c r="G2396" s="54"/>
      <c r="H2396" s="53"/>
      <c r="I2396" s="53"/>
      <c r="J2396" s="53"/>
      <c r="K2396" s="53"/>
      <c r="L2396" s="53"/>
      <c r="M2396" s="53"/>
      <c r="N2396" s="53"/>
      <c r="O2396" s="53"/>
      <c r="P2396" s="53"/>
      <c r="Q2396" s="53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4"/>
      <c r="AB2396" s="53"/>
      <c r="AC2396" s="53"/>
      <c r="AD2396" s="53"/>
      <c r="AE2396" s="53"/>
      <c r="AF2396" s="53"/>
      <c r="AG2396" s="53"/>
      <c r="AH2396" s="54"/>
      <c r="AI2396" s="53"/>
      <c r="AJ2396" s="53"/>
      <c r="AK2396" s="54"/>
      <c r="AL2396" s="54"/>
    </row>
    <row r="2397" spans="1:38" ht="15.75" thickBot="1" x14ac:dyDescent="0.3">
      <c r="A2397" s="51"/>
      <c r="B2397" s="51"/>
      <c r="C2397" s="51"/>
      <c r="D2397" s="51"/>
      <c r="E2397" s="51"/>
      <c r="F2397" s="51"/>
      <c r="G2397" s="56"/>
      <c r="H2397" s="55"/>
      <c r="I2397" s="55"/>
      <c r="J2397" s="55"/>
      <c r="K2397" s="56"/>
      <c r="L2397" s="55"/>
      <c r="M2397" s="55"/>
      <c r="N2397" s="55"/>
      <c r="O2397" s="55"/>
      <c r="P2397" s="55"/>
      <c r="Q2397" s="55"/>
      <c r="R2397" s="55"/>
      <c r="S2397" s="55"/>
      <c r="T2397" s="55"/>
      <c r="U2397" s="55"/>
      <c r="V2397" s="55"/>
      <c r="W2397" s="55"/>
      <c r="X2397" s="55"/>
      <c r="Y2397" s="55"/>
      <c r="Z2397" s="55"/>
      <c r="AA2397" s="55"/>
      <c r="AB2397" s="55"/>
      <c r="AC2397" s="55"/>
      <c r="AD2397" s="55"/>
      <c r="AE2397" s="55"/>
      <c r="AF2397" s="55"/>
      <c r="AG2397" s="55"/>
      <c r="AH2397" s="56"/>
      <c r="AI2397" s="55"/>
      <c r="AJ2397" s="55"/>
      <c r="AK2397" s="56"/>
      <c r="AL2397" s="56"/>
    </row>
    <row r="2398" spans="1:38" ht="15.75" thickBot="1" x14ac:dyDescent="0.3">
      <c r="A2398" s="51"/>
      <c r="B2398" s="51"/>
      <c r="C2398" s="51"/>
      <c r="D2398" s="51"/>
      <c r="E2398" s="51"/>
      <c r="F2398" s="51"/>
      <c r="G2398" s="54"/>
      <c r="H2398" s="53"/>
      <c r="I2398" s="53"/>
      <c r="J2398" s="53"/>
      <c r="K2398" s="54"/>
      <c r="L2398" s="53"/>
      <c r="M2398" s="53"/>
      <c r="N2398" s="53"/>
      <c r="O2398" s="53"/>
      <c r="P2398" s="53"/>
      <c r="Q2398" s="53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3"/>
      <c r="AB2398" s="53"/>
      <c r="AC2398" s="53"/>
      <c r="AD2398" s="53"/>
      <c r="AE2398" s="53"/>
      <c r="AF2398" s="53"/>
      <c r="AG2398" s="53"/>
      <c r="AH2398" s="54"/>
      <c r="AI2398" s="53"/>
      <c r="AJ2398" s="53"/>
      <c r="AK2398" s="54"/>
      <c r="AL2398" s="54"/>
    </row>
    <row r="2399" spans="1:38" ht="15.75" thickBot="1" x14ac:dyDescent="0.3">
      <c r="A2399" s="51"/>
      <c r="B2399" s="51"/>
      <c r="C2399" s="51"/>
      <c r="D2399" s="51"/>
      <c r="E2399" s="51"/>
      <c r="F2399" s="51"/>
      <c r="G2399" s="56"/>
      <c r="H2399" s="55"/>
      <c r="I2399" s="55"/>
      <c r="J2399" s="55"/>
      <c r="K2399" s="55"/>
      <c r="L2399" s="55"/>
      <c r="M2399" s="55"/>
      <c r="N2399" s="55"/>
      <c r="O2399" s="55"/>
      <c r="P2399" s="55"/>
      <c r="Q2399" s="55"/>
      <c r="R2399" s="55"/>
      <c r="S2399" s="55"/>
      <c r="T2399" s="55"/>
      <c r="U2399" s="55"/>
      <c r="V2399" s="55"/>
      <c r="W2399" s="55"/>
      <c r="X2399" s="55"/>
      <c r="Y2399" s="55"/>
      <c r="Z2399" s="55"/>
      <c r="AA2399" s="55"/>
      <c r="AB2399" s="55"/>
      <c r="AC2399" s="56"/>
      <c r="AD2399" s="55"/>
      <c r="AE2399" s="55"/>
      <c r="AF2399" s="55"/>
      <c r="AG2399" s="55"/>
      <c r="AH2399" s="56"/>
      <c r="AI2399" s="55"/>
      <c r="AJ2399" s="55"/>
      <c r="AK2399" s="56"/>
      <c r="AL2399" s="56"/>
    </row>
    <row r="2400" spans="1:38" ht="15.75" thickBot="1" x14ac:dyDescent="0.3">
      <c r="A2400" s="51"/>
      <c r="B2400" s="51"/>
      <c r="C2400" s="51"/>
      <c r="D2400" s="51"/>
      <c r="E2400" s="51"/>
      <c r="F2400" s="51"/>
      <c r="G2400" s="54"/>
      <c r="H2400" s="53"/>
      <c r="I2400" s="53"/>
      <c r="J2400" s="53"/>
      <c r="K2400" s="53"/>
      <c r="L2400" s="53"/>
      <c r="M2400" s="53"/>
      <c r="N2400" s="53"/>
      <c r="O2400" s="53"/>
      <c r="P2400" s="53"/>
      <c r="Q2400" s="53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3"/>
      <c r="AB2400" s="53"/>
      <c r="AC2400" s="54"/>
      <c r="AD2400" s="53"/>
      <c r="AE2400" s="53"/>
      <c r="AF2400" s="53"/>
      <c r="AG2400" s="53"/>
      <c r="AH2400" s="54"/>
      <c r="AI2400" s="53"/>
      <c r="AJ2400" s="53"/>
      <c r="AK2400" s="54"/>
      <c r="AL2400" s="54"/>
    </row>
    <row r="2401" spans="1:38" ht="15.75" thickBot="1" x14ac:dyDescent="0.3">
      <c r="A2401" s="51"/>
      <c r="B2401" s="51"/>
      <c r="C2401" s="51"/>
      <c r="D2401" s="51"/>
      <c r="E2401" s="51"/>
      <c r="F2401" s="51"/>
      <c r="G2401" s="56"/>
      <c r="H2401" s="55"/>
      <c r="I2401" s="55"/>
      <c r="J2401" s="55"/>
      <c r="K2401" s="55"/>
      <c r="L2401" s="55"/>
      <c r="M2401" s="55"/>
      <c r="N2401" s="55"/>
      <c r="O2401" s="55"/>
      <c r="P2401" s="55"/>
      <c r="Q2401" s="55"/>
      <c r="R2401" s="55"/>
      <c r="S2401" s="55"/>
      <c r="T2401" s="56"/>
      <c r="U2401" s="55"/>
      <c r="V2401" s="55"/>
      <c r="W2401" s="55"/>
      <c r="X2401" s="55"/>
      <c r="Y2401" s="55"/>
      <c r="Z2401" s="55"/>
      <c r="AA2401" s="55"/>
      <c r="AB2401" s="55"/>
      <c r="AC2401" s="55"/>
      <c r="AD2401" s="55"/>
      <c r="AE2401" s="55"/>
      <c r="AF2401" s="55"/>
      <c r="AG2401" s="55"/>
      <c r="AH2401" s="56"/>
      <c r="AI2401" s="55"/>
      <c r="AJ2401" s="55"/>
      <c r="AK2401" s="56"/>
      <c r="AL2401" s="56"/>
    </row>
    <row r="2402" spans="1:38" ht="15.75" thickBot="1" x14ac:dyDescent="0.3">
      <c r="A2402" s="51"/>
      <c r="B2402" s="51"/>
      <c r="C2402" s="51"/>
      <c r="D2402" s="51"/>
      <c r="E2402" s="51"/>
      <c r="F2402" s="51"/>
      <c r="G2402" s="54"/>
      <c r="H2402" s="53"/>
      <c r="I2402" s="53"/>
      <c r="J2402" s="53"/>
      <c r="K2402" s="53"/>
      <c r="L2402" s="53"/>
      <c r="M2402" s="53"/>
      <c r="N2402" s="53"/>
      <c r="O2402" s="53"/>
      <c r="P2402" s="53"/>
      <c r="Q2402" s="53"/>
      <c r="R2402" s="53"/>
      <c r="S2402" s="53"/>
      <c r="T2402" s="54"/>
      <c r="U2402" s="53"/>
      <c r="V2402" s="53"/>
      <c r="W2402" s="53"/>
      <c r="X2402" s="53"/>
      <c r="Y2402" s="53"/>
      <c r="Z2402" s="53"/>
      <c r="AA2402" s="53"/>
      <c r="AB2402" s="53"/>
      <c r="AC2402" s="53"/>
      <c r="AD2402" s="53"/>
      <c r="AE2402" s="53"/>
      <c r="AF2402" s="53"/>
      <c r="AG2402" s="53"/>
      <c r="AH2402" s="54"/>
      <c r="AI2402" s="53"/>
      <c r="AJ2402" s="53"/>
      <c r="AK2402" s="54"/>
      <c r="AL2402" s="54"/>
    </row>
    <row r="2403" spans="1:38" ht="15.75" thickBot="1" x14ac:dyDescent="0.3">
      <c r="A2403" s="51"/>
      <c r="B2403" s="51"/>
      <c r="C2403" s="51"/>
      <c r="D2403" s="51"/>
      <c r="E2403" s="51"/>
      <c r="F2403" s="51"/>
      <c r="G2403" s="56"/>
      <c r="H2403" s="55"/>
      <c r="I2403" s="55"/>
      <c r="J2403" s="55"/>
      <c r="K2403" s="55"/>
      <c r="L2403" s="55"/>
      <c r="M2403" s="55"/>
      <c r="N2403" s="55"/>
      <c r="O2403" s="55"/>
      <c r="P2403" s="55"/>
      <c r="Q2403" s="55"/>
      <c r="R2403" s="55"/>
      <c r="S2403" s="55"/>
      <c r="T2403" s="55"/>
      <c r="U2403" s="56"/>
      <c r="V2403" s="55"/>
      <c r="W2403" s="55"/>
      <c r="X2403" s="55"/>
      <c r="Y2403" s="55"/>
      <c r="Z2403" s="55"/>
      <c r="AA2403" s="55"/>
      <c r="AB2403" s="55"/>
      <c r="AC2403" s="55"/>
      <c r="AD2403" s="55"/>
      <c r="AE2403" s="55"/>
      <c r="AF2403" s="55"/>
      <c r="AG2403" s="55"/>
      <c r="AH2403" s="56"/>
      <c r="AI2403" s="55"/>
      <c r="AJ2403" s="55"/>
      <c r="AK2403" s="56"/>
      <c r="AL2403" s="56"/>
    </row>
    <row r="2404" spans="1:38" ht="15.75" thickBot="1" x14ac:dyDescent="0.3">
      <c r="A2404" s="51"/>
      <c r="B2404" s="51"/>
      <c r="C2404" s="51"/>
      <c r="D2404" s="51"/>
      <c r="E2404" s="51"/>
      <c r="F2404" s="51"/>
      <c r="G2404" s="54"/>
      <c r="H2404" s="53"/>
      <c r="I2404" s="53"/>
      <c r="J2404" s="53"/>
      <c r="K2404" s="53"/>
      <c r="L2404" s="53"/>
      <c r="M2404" s="53"/>
      <c r="N2404" s="53"/>
      <c r="O2404" s="53"/>
      <c r="P2404" s="53"/>
      <c r="Q2404" s="53"/>
      <c r="R2404" s="53"/>
      <c r="S2404" s="53"/>
      <c r="T2404" s="53"/>
      <c r="U2404" s="54"/>
      <c r="V2404" s="53"/>
      <c r="W2404" s="53"/>
      <c r="X2404" s="53"/>
      <c r="Y2404" s="53"/>
      <c r="Z2404" s="53"/>
      <c r="AA2404" s="53"/>
      <c r="AB2404" s="53"/>
      <c r="AC2404" s="53"/>
      <c r="AD2404" s="53"/>
      <c r="AE2404" s="53"/>
      <c r="AF2404" s="53"/>
      <c r="AG2404" s="53"/>
      <c r="AH2404" s="54"/>
      <c r="AI2404" s="53"/>
      <c r="AJ2404" s="53"/>
      <c r="AK2404" s="54"/>
      <c r="AL2404" s="54"/>
    </row>
    <row r="2405" spans="1:38" ht="15.75" thickBot="1" x14ac:dyDescent="0.3">
      <c r="A2405" s="51"/>
      <c r="B2405" s="51"/>
      <c r="C2405" s="51"/>
      <c r="D2405" s="51"/>
      <c r="E2405" s="51"/>
      <c r="F2405" s="51"/>
      <c r="G2405" s="56"/>
      <c r="H2405" s="55"/>
      <c r="I2405" s="55"/>
      <c r="J2405" s="55"/>
      <c r="K2405" s="56"/>
      <c r="L2405" s="55"/>
      <c r="M2405" s="55"/>
      <c r="N2405" s="55"/>
      <c r="O2405" s="55"/>
      <c r="P2405" s="55"/>
      <c r="Q2405" s="55"/>
      <c r="R2405" s="55"/>
      <c r="S2405" s="55"/>
      <c r="T2405" s="55"/>
      <c r="U2405" s="55"/>
      <c r="V2405" s="55"/>
      <c r="W2405" s="55"/>
      <c r="X2405" s="55"/>
      <c r="Y2405" s="55"/>
      <c r="Z2405" s="55"/>
      <c r="AA2405" s="55"/>
      <c r="AB2405" s="55"/>
      <c r="AC2405" s="55"/>
      <c r="AD2405" s="55"/>
      <c r="AE2405" s="55"/>
      <c r="AF2405" s="55"/>
      <c r="AG2405" s="55"/>
      <c r="AH2405" s="56"/>
      <c r="AI2405" s="55"/>
      <c r="AJ2405" s="55"/>
      <c r="AK2405" s="56"/>
      <c r="AL2405" s="56"/>
    </row>
    <row r="2406" spans="1:38" ht="15.75" thickBot="1" x14ac:dyDescent="0.3">
      <c r="A2406" s="51"/>
      <c r="B2406" s="51"/>
      <c r="C2406" s="51"/>
      <c r="D2406" s="51"/>
      <c r="E2406" s="51"/>
      <c r="F2406" s="51"/>
      <c r="G2406" s="54"/>
      <c r="H2406" s="53"/>
      <c r="I2406" s="53"/>
      <c r="J2406" s="53"/>
      <c r="K2406" s="54"/>
      <c r="L2406" s="53"/>
      <c r="M2406" s="53"/>
      <c r="N2406" s="53"/>
      <c r="O2406" s="53"/>
      <c r="P2406" s="53"/>
      <c r="Q2406" s="53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3"/>
      <c r="AB2406" s="53"/>
      <c r="AC2406" s="53"/>
      <c r="AD2406" s="53"/>
      <c r="AE2406" s="53"/>
      <c r="AF2406" s="53"/>
      <c r="AG2406" s="53"/>
      <c r="AH2406" s="54"/>
      <c r="AI2406" s="53"/>
      <c r="AJ2406" s="53"/>
      <c r="AK2406" s="54"/>
      <c r="AL2406" s="54"/>
    </row>
    <row r="2407" spans="1:38" ht="15.75" thickBot="1" x14ac:dyDescent="0.3">
      <c r="A2407" s="51"/>
      <c r="B2407" s="51"/>
      <c r="C2407" s="51"/>
      <c r="D2407" s="51"/>
      <c r="E2407" s="51"/>
      <c r="F2407" s="51"/>
      <c r="G2407" s="56"/>
      <c r="H2407" s="55"/>
      <c r="I2407" s="55"/>
      <c r="J2407" s="55"/>
      <c r="K2407" s="55"/>
      <c r="L2407" s="55"/>
      <c r="M2407" s="55"/>
      <c r="N2407" s="55"/>
      <c r="O2407" s="55"/>
      <c r="P2407" s="55"/>
      <c r="Q2407" s="55"/>
      <c r="R2407" s="55"/>
      <c r="S2407" s="55"/>
      <c r="T2407" s="55"/>
      <c r="U2407" s="55"/>
      <c r="V2407" s="55"/>
      <c r="W2407" s="56"/>
      <c r="X2407" s="55"/>
      <c r="Y2407" s="55"/>
      <c r="Z2407" s="55"/>
      <c r="AA2407" s="55"/>
      <c r="AB2407" s="55"/>
      <c r="AC2407" s="55"/>
      <c r="AD2407" s="55"/>
      <c r="AE2407" s="55"/>
      <c r="AF2407" s="55"/>
      <c r="AG2407" s="55"/>
      <c r="AH2407" s="56"/>
      <c r="AI2407" s="55"/>
      <c r="AJ2407" s="55"/>
      <c r="AK2407" s="56"/>
      <c r="AL2407" s="56"/>
    </row>
    <row r="2408" spans="1:38" ht="15.75" thickBot="1" x14ac:dyDescent="0.3">
      <c r="A2408" s="51"/>
      <c r="B2408" s="51"/>
      <c r="C2408" s="51"/>
      <c r="D2408" s="51"/>
      <c r="E2408" s="51"/>
      <c r="F2408" s="51"/>
      <c r="G2408" s="54"/>
      <c r="H2408" s="53"/>
      <c r="I2408" s="53"/>
      <c r="J2408" s="53"/>
      <c r="K2408" s="53"/>
      <c r="L2408" s="53"/>
      <c r="M2408" s="53"/>
      <c r="N2408" s="53"/>
      <c r="O2408" s="53"/>
      <c r="P2408" s="53"/>
      <c r="Q2408" s="53"/>
      <c r="R2408" s="53"/>
      <c r="S2408" s="53"/>
      <c r="T2408" s="53"/>
      <c r="U2408" s="53"/>
      <c r="V2408" s="53"/>
      <c r="W2408" s="54"/>
      <c r="X2408" s="53"/>
      <c r="Y2408" s="53"/>
      <c r="Z2408" s="53"/>
      <c r="AA2408" s="53"/>
      <c r="AB2408" s="53"/>
      <c r="AC2408" s="53"/>
      <c r="AD2408" s="53"/>
      <c r="AE2408" s="53"/>
      <c r="AF2408" s="53"/>
      <c r="AG2408" s="53"/>
      <c r="AH2408" s="54"/>
      <c r="AI2408" s="53"/>
      <c r="AJ2408" s="53"/>
      <c r="AK2408" s="54"/>
      <c r="AL2408" s="54"/>
    </row>
    <row r="2409" spans="1:38" ht="15.75" thickBot="1" x14ac:dyDescent="0.3">
      <c r="A2409" s="51"/>
      <c r="B2409" s="51"/>
      <c r="C2409" s="51"/>
      <c r="D2409" s="51"/>
      <c r="E2409" s="51"/>
      <c r="F2409" s="51"/>
      <c r="G2409" s="56"/>
      <c r="H2409" s="55"/>
      <c r="I2409" s="55"/>
      <c r="J2409" s="55"/>
      <c r="K2409" s="55"/>
      <c r="L2409" s="55"/>
      <c r="M2409" s="55"/>
      <c r="N2409" s="55"/>
      <c r="O2409" s="55"/>
      <c r="P2409" s="55"/>
      <c r="Q2409" s="55"/>
      <c r="R2409" s="55"/>
      <c r="S2409" s="55"/>
      <c r="T2409" s="55"/>
      <c r="U2409" s="55"/>
      <c r="V2409" s="55"/>
      <c r="W2409" s="55"/>
      <c r="X2409" s="56"/>
      <c r="Y2409" s="55"/>
      <c r="Z2409" s="55"/>
      <c r="AA2409" s="55"/>
      <c r="AB2409" s="55"/>
      <c r="AC2409" s="55"/>
      <c r="AD2409" s="55"/>
      <c r="AE2409" s="55"/>
      <c r="AF2409" s="55"/>
      <c r="AG2409" s="55"/>
      <c r="AH2409" s="56"/>
      <c r="AI2409" s="55"/>
      <c r="AJ2409" s="55"/>
      <c r="AK2409" s="56"/>
      <c r="AL2409" s="56"/>
    </row>
    <row r="2410" spans="1:38" ht="15.75" thickBot="1" x14ac:dyDescent="0.3">
      <c r="A2410" s="51"/>
      <c r="B2410" s="51"/>
      <c r="C2410" s="51"/>
      <c r="D2410" s="51"/>
      <c r="E2410" s="51"/>
      <c r="F2410" s="51"/>
      <c r="G2410" s="54"/>
      <c r="H2410" s="53"/>
      <c r="I2410" s="53"/>
      <c r="J2410" s="53"/>
      <c r="K2410" s="53"/>
      <c r="L2410" s="53"/>
      <c r="M2410" s="53"/>
      <c r="N2410" s="53"/>
      <c r="O2410" s="53"/>
      <c r="P2410" s="53"/>
      <c r="Q2410" s="53"/>
      <c r="R2410" s="53"/>
      <c r="S2410" s="53"/>
      <c r="T2410" s="53"/>
      <c r="U2410" s="53"/>
      <c r="V2410" s="53"/>
      <c r="W2410" s="53"/>
      <c r="X2410" s="54"/>
      <c r="Y2410" s="53"/>
      <c r="Z2410" s="53"/>
      <c r="AA2410" s="53"/>
      <c r="AB2410" s="53"/>
      <c r="AC2410" s="53"/>
      <c r="AD2410" s="53"/>
      <c r="AE2410" s="53"/>
      <c r="AF2410" s="53"/>
      <c r="AG2410" s="53"/>
      <c r="AH2410" s="54"/>
      <c r="AI2410" s="53"/>
      <c r="AJ2410" s="53"/>
      <c r="AK2410" s="54"/>
      <c r="AL2410" s="54"/>
    </row>
    <row r="2411" spans="1:38" ht="15.75" thickBot="1" x14ac:dyDescent="0.3">
      <c r="A2411" s="51"/>
      <c r="B2411" s="51"/>
      <c r="C2411" s="51"/>
      <c r="D2411" s="51"/>
      <c r="E2411" s="51"/>
      <c r="F2411" s="51"/>
      <c r="G2411" s="56"/>
      <c r="H2411" s="55"/>
      <c r="I2411" s="55"/>
      <c r="J2411" s="55"/>
      <c r="K2411" s="56"/>
      <c r="L2411" s="55"/>
      <c r="M2411" s="55"/>
      <c r="N2411" s="55"/>
      <c r="O2411" s="55"/>
      <c r="P2411" s="55"/>
      <c r="Q2411" s="55"/>
      <c r="R2411" s="55"/>
      <c r="S2411" s="55"/>
      <c r="T2411" s="55"/>
      <c r="U2411" s="55"/>
      <c r="V2411" s="55"/>
      <c r="W2411" s="55"/>
      <c r="X2411" s="55"/>
      <c r="Y2411" s="55"/>
      <c r="Z2411" s="55"/>
      <c r="AA2411" s="55"/>
      <c r="AB2411" s="55"/>
      <c r="AC2411" s="55"/>
      <c r="AD2411" s="55"/>
      <c r="AE2411" s="55"/>
      <c r="AF2411" s="55"/>
      <c r="AG2411" s="55"/>
      <c r="AH2411" s="56"/>
      <c r="AI2411" s="55"/>
      <c r="AJ2411" s="55"/>
      <c r="AK2411" s="56"/>
      <c r="AL2411" s="56"/>
    </row>
    <row r="2412" spans="1:38" ht="15.75" thickBot="1" x14ac:dyDescent="0.3">
      <c r="A2412" s="51"/>
      <c r="B2412" s="51"/>
      <c r="C2412" s="51"/>
      <c r="D2412" s="51"/>
      <c r="E2412" s="51"/>
      <c r="F2412" s="51"/>
      <c r="G2412" s="54"/>
      <c r="H2412" s="53"/>
      <c r="I2412" s="53"/>
      <c r="J2412" s="53"/>
      <c r="K2412" s="54"/>
      <c r="L2412" s="53"/>
      <c r="M2412" s="53"/>
      <c r="N2412" s="53"/>
      <c r="O2412" s="53"/>
      <c r="P2412" s="53"/>
      <c r="Q2412" s="53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53"/>
      <c r="AC2412" s="53"/>
      <c r="AD2412" s="53"/>
      <c r="AE2412" s="53"/>
      <c r="AF2412" s="53"/>
      <c r="AG2412" s="53"/>
      <c r="AH2412" s="54"/>
      <c r="AI2412" s="53"/>
      <c r="AJ2412" s="53"/>
      <c r="AK2412" s="54"/>
      <c r="AL2412" s="54"/>
    </row>
    <row r="2413" spans="1:38" ht="15.75" thickBot="1" x14ac:dyDescent="0.3">
      <c r="A2413" s="51"/>
      <c r="B2413" s="51"/>
      <c r="C2413" s="51"/>
      <c r="D2413" s="51"/>
      <c r="E2413" s="51"/>
      <c r="F2413" s="51"/>
      <c r="G2413" s="56"/>
      <c r="H2413" s="55"/>
      <c r="I2413" s="55"/>
      <c r="J2413" s="55"/>
      <c r="K2413" s="55"/>
      <c r="L2413" s="56"/>
      <c r="M2413" s="55"/>
      <c r="N2413" s="55"/>
      <c r="O2413" s="55"/>
      <c r="P2413" s="55"/>
      <c r="Q2413" s="55"/>
      <c r="R2413" s="55"/>
      <c r="S2413" s="55"/>
      <c r="T2413" s="55"/>
      <c r="U2413" s="55"/>
      <c r="V2413" s="55"/>
      <c r="W2413" s="55"/>
      <c r="X2413" s="55"/>
      <c r="Y2413" s="55"/>
      <c r="Z2413" s="55"/>
      <c r="AA2413" s="55"/>
      <c r="AB2413" s="55"/>
      <c r="AC2413" s="55"/>
      <c r="AD2413" s="55"/>
      <c r="AE2413" s="55"/>
      <c r="AF2413" s="55"/>
      <c r="AG2413" s="55"/>
      <c r="AH2413" s="56"/>
      <c r="AI2413" s="55"/>
      <c r="AJ2413" s="55"/>
      <c r="AK2413" s="56"/>
      <c r="AL2413" s="56"/>
    </row>
    <row r="2414" spans="1:38" ht="15.75" thickBot="1" x14ac:dyDescent="0.3">
      <c r="A2414" s="51"/>
      <c r="B2414" s="51"/>
      <c r="C2414" s="51"/>
      <c r="D2414" s="51"/>
      <c r="E2414" s="51"/>
      <c r="F2414" s="51"/>
      <c r="G2414" s="54"/>
      <c r="H2414" s="53"/>
      <c r="I2414" s="53"/>
      <c r="J2414" s="53"/>
      <c r="K2414" s="53"/>
      <c r="L2414" s="54"/>
      <c r="M2414" s="53"/>
      <c r="N2414" s="53"/>
      <c r="O2414" s="53"/>
      <c r="P2414" s="53"/>
      <c r="Q2414" s="53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3"/>
      <c r="AB2414" s="53"/>
      <c r="AC2414" s="53"/>
      <c r="AD2414" s="53"/>
      <c r="AE2414" s="53"/>
      <c r="AF2414" s="53"/>
      <c r="AG2414" s="53"/>
      <c r="AH2414" s="54"/>
      <c r="AI2414" s="53"/>
      <c r="AJ2414" s="53"/>
      <c r="AK2414" s="54"/>
      <c r="AL2414" s="54"/>
    </row>
    <row r="2415" spans="1:38" ht="15.75" thickBot="1" x14ac:dyDescent="0.3">
      <c r="A2415" s="51"/>
      <c r="B2415" s="51"/>
      <c r="C2415" s="51"/>
      <c r="D2415" s="51"/>
      <c r="E2415" s="51"/>
      <c r="F2415" s="51"/>
      <c r="G2415" s="56"/>
      <c r="H2415" s="56"/>
      <c r="I2415" s="55"/>
      <c r="J2415" s="55"/>
      <c r="K2415" s="55"/>
      <c r="L2415" s="55"/>
      <c r="M2415" s="56"/>
      <c r="N2415" s="55"/>
      <c r="O2415" s="55"/>
      <c r="P2415" s="55"/>
      <c r="Q2415" s="55"/>
      <c r="R2415" s="55"/>
      <c r="S2415" s="55"/>
      <c r="T2415" s="55"/>
      <c r="U2415" s="55"/>
      <c r="V2415" s="55"/>
      <c r="W2415" s="55"/>
      <c r="X2415" s="55"/>
      <c r="Y2415" s="55"/>
      <c r="Z2415" s="55"/>
      <c r="AA2415" s="55"/>
      <c r="AB2415" s="55"/>
      <c r="AC2415" s="55"/>
      <c r="AD2415" s="55"/>
      <c r="AE2415" s="55"/>
      <c r="AF2415" s="55"/>
      <c r="AG2415" s="55"/>
      <c r="AH2415" s="56"/>
      <c r="AI2415" s="55"/>
      <c r="AJ2415" s="55"/>
      <c r="AK2415" s="56"/>
      <c r="AL2415" s="56"/>
    </row>
    <row r="2416" spans="1:38" ht="15.75" thickBot="1" x14ac:dyDescent="0.3">
      <c r="A2416" s="51"/>
      <c r="B2416" s="51"/>
      <c r="C2416" s="51"/>
      <c r="D2416" s="51"/>
      <c r="E2416" s="51"/>
      <c r="F2416" s="51"/>
      <c r="G2416" s="54"/>
      <c r="H2416" s="147"/>
      <c r="I2416" s="53"/>
      <c r="J2416" s="53"/>
      <c r="K2416" s="53"/>
      <c r="L2416" s="53"/>
      <c r="M2416" s="54"/>
      <c r="N2416" s="53"/>
      <c r="O2416" s="53"/>
      <c r="P2416" s="53"/>
      <c r="Q2416" s="53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53"/>
      <c r="AC2416" s="53"/>
      <c r="AD2416" s="53"/>
      <c r="AE2416" s="53"/>
      <c r="AF2416" s="53"/>
      <c r="AG2416" s="53"/>
      <c r="AH2416" s="54"/>
      <c r="AI2416" s="53"/>
      <c r="AJ2416" s="53"/>
      <c r="AK2416" s="54"/>
      <c r="AL2416" s="54"/>
    </row>
    <row r="2417" spans="1:38" ht="15.75" thickBot="1" x14ac:dyDescent="0.3">
      <c r="A2417" s="51"/>
      <c r="B2417" s="51"/>
      <c r="C2417" s="51"/>
      <c r="D2417" s="51"/>
      <c r="E2417" s="51"/>
      <c r="F2417" s="51"/>
      <c r="G2417" s="56"/>
      <c r="H2417" s="55"/>
      <c r="I2417" s="55"/>
      <c r="J2417" s="55"/>
      <c r="K2417" s="55"/>
      <c r="L2417" s="55"/>
      <c r="M2417" s="55"/>
      <c r="N2417" s="55"/>
      <c r="O2417" s="55"/>
      <c r="P2417" s="55"/>
      <c r="Q2417" s="55"/>
      <c r="R2417" s="55"/>
      <c r="S2417" s="55"/>
      <c r="T2417" s="55"/>
      <c r="U2417" s="55"/>
      <c r="V2417" s="55"/>
      <c r="W2417" s="55"/>
      <c r="X2417" s="55"/>
      <c r="Y2417" s="55"/>
      <c r="Z2417" s="56"/>
      <c r="AA2417" s="55"/>
      <c r="AB2417" s="55"/>
      <c r="AC2417" s="55"/>
      <c r="AD2417" s="55"/>
      <c r="AE2417" s="55"/>
      <c r="AF2417" s="55"/>
      <c r="AG2417" s="55"/>
      <c r="AH2417" s="56"/>
      <c r="AI2417" s="55"/>
      <c r="AJ2417" s="55"/>
      <c r="AK2417" s="56"/>
      <c r="AL2417" s="56"/>
    </row>
    <row r="2418" spans="1:38" ht="15.75" thickBot="1" x14ac:dyDescent="0.3">
      <c r="A2418" s="51"/>
      <c r="B2418" s="51"/>
      <c r="C2418" s="51"/>
      <c r="D2418" s="51"/>
      <c r="E2418" s="51"/>
      <c r="F2418" s="51"/>
      <c r="G2418" s="54"/>
      <c r="H2418" s="53"/>
      <c r="I2418" s="53"/>
      <c r="J2418" s="53"/>
      <c r="K2418" s="53"/>
      <c r="L2418" s="53"/>
      <c r="M2418" s="53"/>
      <c r="N2418" s="53"/>
      <c r="O2418" s="53"/>
      <c r="P2418" s="53"/>
      <c r="Q2418" s="53"/>
      <c r="R2418" s="53"/>
      <c r="S2418" s="53"/>
      <c r="T2418" s="53"/>
      <c r="U2418" s="53"/>
      <c r="V2418" s="53"/>
      <c r="W2418" s="53"/>
      <c r="X2418" s="53"/>
      <c r="Y2418" s="53"/>
      <c r="Z2418" s="54"/>
      <c r="AA2418" s="53"/>
      <c r="AB2418" s="53"/>
      <c r="AC2418" s="53"/>
      <c r="AD2418" s="53"/>
      <c r="AE2418" s="53"/>
      <c r="AF2418" s="53"/>
      <c r="AG2418" s="53"/>
      <c r="AH2418" s="54"/>
      <c r="AI2418" s="53"/>
      <c r="AJ2418" s="53"/>
      <c r="AK2418" s="54"/>
      <c r="AL2418" s="54"/>
    </row>
    <row r="2419" spans="1:38" ht="15.75" thickBot="1" x14ac:dyDescent="0.3">
      <c r="A2419" s="51"/>
      <c r="B2419" s="51"/>
      <c r="C2419" s="51"/>
      <c r="D2419" s="51"/>
      <c r="E2419" s="51"/>
      <c r="F2419" s="51"/>
      <c r="G2419" s="56"/>
      <c r="H2419" s="55"/>
      <c r="I2419" s="55"/>
      <c r="J2419" s="55"/>
      <c r="K2419" s="55"/>
      <c r="L2419" s="55"/>
      <c r="M2419" s="55"/>
      <c r="N2419" s="55"/>
      <c r="O2419" s="55"/>
      <c r="P2419" s="55"/>
      <c r="Q2419" s="55"/>
      <c r="R2419" s="55"/>
      <c r="S2419" s="55"/>
      <c r="T2419" s="55"/>
      <c r="U2419" s="55"/>
      <c r="V2419" s="55"/>
      <c r="W2419" s="55"/>
      <c r="X2419" s="55"/>
      <c r="Y2419" s="55"/>
      <c r="Z2419" s="55"/>
      <c r="AA2419" s="56"/>
      <c r="AB2419" s="55"/>
      <c r="AC2419" s="55"/>
      <c r="AD2419" s="55"/>
      <c r="AE2419" s="55"/>
      <c r="AF2419" s="55"/>
      <c r="AG2419" s="55"/>
      <c r="AH2419" s="56"/>
      <c r="AI2419" s="55"/>
      <c r="AJ2419" s="55"/>
      <c r="AK2419" s="56"/>
      <c r="AL2419" s="56"/>
    </row>
    <row r="2420" spans="1:38" ht="15.75" thickBot="1" x14ac:dyDescent="0.3">
      <c r="A2420" s="51"/>
      <c r="B2420" s="51"/>
      <c r="C2420" s="51"/>
      <c r="D2420" s="51"/>
      <c r="E2420" s="51"/>
      <c r="F2420" s="51"/>
      <c r="G2420" s="54"/>
      <c r="H2420" s="53"/>
      <c r="I2420" s="53"/>
      <c r="J2420" s="53"/>
      <c r="K2420" s="53"/>
      <c r="L2420" s="53"/>
      <c r="M2420" s="53"/>
      <c r="N2420" s="53"/>
      <c r="O2420" s="53"/>
      <c r="P2420" s="53"/>
      <c r="Q2420" s="53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4"/>
      <c r="AB2420" s="53"/>
      <c r="AC2420" s="53"/>
      <c r="AD2420" s="53"/>
      <c r="AE2420" s="53"/>
      <c r="AF2420" s="53"/>
      <c r="AG2420" s="53"/>
      <c r="AH2420" s="54"/>
      <c r="AI2420" s="53"/>
      <c r="AJ2420" s="53"/>
      <c r="AK2420" s="54"/>
      <c r="AL2420" s="54"/>
    </row>
    <row r="2421" spans="1:38" ht="15.75" thickBot="1" x14ac:dyDescent="0.3">
      <c r="A2421" s="51"/>
      <c r="B2421" s="51"/>
      <c r="C2421" s="51"/>
      <c r="D2421" s="51"/>
      <c r="E2421" s="51"/>
      <c r="F2421" s="51"/>
      <c r="G2421" s="56"/>
      <c r="H2421" s="55"/>
      <c r="I2421" s="55"/>
      <c r="J2421" s="55"/>
      <c r="K2421" s="55"/>
      <c r="L2421" s="55"/>
      <c r="M2421" s="55"/>
      <c r="N2421" s="55"/>
      <c r="O2421" s="55"/>
      <c r="P2421" s="55"/>
      <c r="Q2421" s="55"/>
      <c r="R2421" s="56"/>
      <c r="S2421" s="55"/>
      <c r="T2421" s="55"/>
      <c r="U2421" s="55"/>
      <c r="V2421" s="55"/>
      <c r="W2421" s="55"/>
      <c r="X2421" s="55"/>
      <c r="Y2421" s="55"/>
      <c r="Z2421" s="55"/>
      <c r="AA2421" s="55"/>
      <c r="AB2421" s="55"/>
      <c r="AC2421" s="55"/>
      <c r="AD2421" s="55"/>
      <c r="AE2421" s="55"/>
      <c r="AF2421" s="55"/>
      <c r="AG2421" s="55"/>
      <c r="AH2421" s="56"/>
      <c r="AI2421" s="55"/>
      <c r="AJ2421" s="55"/>
      <c r="AK2421" s="56"/>
      <c r="AL2421" s="56"/>
    </row>
    <row r="2422" spans="1:38" ht="15.75" thickBot="1" x14ac:dyDescent="0.3">
      <c r="A2422" s="51"/>
      <c r="B2422" s="51"/>
      <c r="C2422" s="51"/>
      <c r="D2422" s="51"/>
      <c r="E2422" s="51"/>
      <c r="F2422" s="51"/>
      <c r="G2422" s="54"/>
      <c r="H2422" s="53"/>
      <c r="I2422" s="53"/>
      <c r="J2422" s="53"/>
      <c r="K2422" s="53"/>
      <c r="L2422" s="53"/>
      <c r="M2422" s="53"/>
      <c r="N2422" s="53"/>
      <c r="O2422" s="53"/>
      <c r="P2422" s="53"/>
      <c r="Q2422" s="53"/>
      <c r="R2422" s="54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53"/>
      <c r="AC2422" s="53"/>
      <c r="AD2422" s="53"/>
      <c r="AE2422" s="53"/>
      <c r="AF2422" s="53"/>
      <c r="AG2422" s="53"/>
      <c r="AH2422" s="54"/>
      <c r="AI2422" s="53"/>
      <c r="AJ2422" s="53"/>
      <c r="AK2422" s="54"/>
      <c r="AL2422" s="54"/>
    </row>
    <row r="2423" spans="1:38" ht="15.75" thickBot="1" x14ac:dyDescent="0.3">
      <c r="A2423" s="51"/>
      <c r="B2423" s="51"/>
      <c r="C2423" s="51"/>
      <c r="D2423" s="51"/>
      <c r="E2423" s="51"/>
      <c r="F2423" s="51"/>
      <c r="G2423" s="56"/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55"/>
      <c r="S2423" s="55"/>
      <c r="T2423" s="55"/>
      <c r="U2423" s="55"/>
      <c r="V2423" s="55"/>
      <c r="W2423" s="55"/>
      <c r="X2423" s="55"/>
      <c r="Y2423" s="55"/>
      <c r="Z2423" s="55"/>
      <c r="AA2423" s="55"/>
      <c r="AB2423" s="55"/>
      <c r="AC2423" s="56"/>
      <c r="AD2423" s="55"/>
      <c r="AE2423" s="55"/>
      <c r="AF2423" s="55"/>
      <c r="AG2423" s="55"/>
      <c r="AH2423" s="56"/>
      <c r="AI2423" s="55"/>
      <c r="AJ2423" s="55"/>
      <c r="AK2423" s="56"/>
      <c r="AL2423" s="56"/>
    </row>
    <row r="2424" spans="1:38" ht="15.75" thickBot="1" x14ac:dyDescent="0.3">
      <c r="A2424" s="51"/>
      <c r="B2424" s="51"/>
      <c r="C2424" s="51"/>
      <c r="D2424" s="51"/>
      <c r="E2424" s="51"/>
      <c r="F2424" s="51"/>
      <c r="G2424" s="54"/>
      <c r="H2424" s="53"/>
      <c r="I2424" s="53"/>
      <c r="J2424" s="53"/>
      <c r="K2424" s="53"/>
      <c r="L2424" s="53"/>
      <c r="M2424" s="53"/>
      <c r="N2424" s="53"/>
      <c r="O2424" s="53"/>
      <c r="P2424" s="53"/>
      <c r="Q2424" s="53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53"/>
      <c r="AC2424" s="54"/>
      <c r="AD2424" s="53"/>
      <c r="AE2424" s="53"/>
      <c r="AF2424" s="53"/>
      <c r="AG2424" s="53"/>
      <c r="AH2424" s="54"/>
      <c r="AI2424" s="53"/>
      <c r="AJ2424" s="53"/>
      <c r="AK2424" s="54"/>
      <c r="AL2424" s="54"/>
    </row>
    <row r="2425" spans="1:38" ht="15.75" thickBot="1" x14ac:dyDescent="0.3">
      <c r="A2425" s="51"/>
      <c r="B2425" s="51"/>
      <c r="C2425" s="51"/>
      <c r="D2425" s="51"/>
      <c r="E2425" s="51"/>
      <c r="F2425" s="51"/>
      <c r="G2425" s="56"/>
      <c r="H2425" s="55"/>
      <c r="I2425" s="55"/>
      <c r="J2425" s="55"/>
      <c r="K2425" s="56"/>
      <c r="L2425" s="55"/>
      <c r="M2425" s="55"/>
      <c r="N2425" s="55"/>
      <c r="O2425" s="55"/>
      <c r="P2425" s="55"/>
      <c r="Q2425" s="55"/>
      <c r="R2425" s="55"/>
      <c r="S2425" s="55"/>
      <c r="T2425" s="55"/>
      <c r="U2425" s="55"/>
      <c r="V2425" s="55"/>
      <c r="W2425" s="55"/>
      <c r="X2425" s="55"/>
      <c r="Y2425" s="55"/>
      <c r="Z2425" s="55"/>
      <c r="AA2425" s="55"/>
      <c r="AB2425" s="55"/>
      <c r="AC2425" s="55"/>
      <c r="AD2425" s="55"/>
      <c r="AE2425" s="55"/>
      <c r="AF2425" s="55"/>
      <c r="AG2425" s="55"/>
      <c r="AH2425" s="56"/>
      <c r="AI2425" s="55"/>
      <c r="AJ2425" s="55"/>
      <c r="AK2425" s="56"/>
      <c r="AL2425" s="56"/>
    </row>
    <row r="2426" spans="1:38" ht="15.75" thickBot="1" x14ac:dyDescent="0.3">
      <c r="A2426" s="51"/>
      <c r="B2426" s="51"/>
      <c r="C2426" s="51"/>
      <c r="D2426" s="51"/>
      <c r="E2426" s="51"/>
      <c r="F2426" s="51"/>
      <c r="G2426" s="54"/>
      <c r="H2426" s="53"/>
      <c r="I2426" s="53"/>
      <c r="J2426" s="53"/>
      <c r="K2426" s="54"/>
      <c r="L2426" s="53"/>
      <c r="M2426" s="53"/>
      <c r="N2426" s="53"/>
      <c r="O2426" s="53"/>
      <c r="P2426" s="53"/>
      <c r="Q2426" s="53"/>
      <c r="R2426" s="53"/>
      <c r="S2426" s="53"/>
      <c r="T2426" s="53"/>
      <c r="U2426" s="53"/>
      <c r="V2426" s="53"/>
      <c r="W2426" s="53"/>
      <c r="X2426" s="53"/>
      <c r="Y2426" s="53"/>
      <c r="Z2426" s="53"/>
      <c r="AA2426" s="53"/>
      <c r="AB2426" s="53"/>
      <c r="AC2426" s="53"/>
      <c r="AD2426" s="53"/>
      <c r="AE2426" s="53"/>
      <c r="AF2426" s="53"/>
      <c r="AG2426" s="53"/>
      <c r="AH2426" s="54"/>
      <c r="AI2426" s="53"/>
      <c r="AJ2426" s="53"/>
      <c r="AK2426" s="54"/>
      <c r="AL2426" s="54"/>
    </row>
    <row r="2427" spans="1:38" ht="15.75" thickBot="1" x14ac:dyDescent="0.3">
      <c r="A2427" s="51"/>
      <c r="B2427" s="51"/>
      <c r="C2427" s="51"/>
      <c r="D2427" s="51"/>
      <c r="E2427" s="51"/>
      <c r="F2427" s="51"/>
      <c r="G2427" s="56"/>
      <c r="H2427" s="56"/>
      <c r="I2427" s="55"/>
      <c r="J2427" s="55"/>
      <c r="K2427" s="55"/>
      <c r="L2427" s="55"/>
      <c r="M2427" s="56"/>
      <c r="N2427" s="55"/>
      <c r="O2427" s="55"/>
      <c r="P2427" s="55"/>
      <c r="Q2427" s="55"/>
      <c r="R2427" s="55"/>
      <c r="S2427" s="55"/>
      <c r="T2427" s="55"/>
      <c r="U2427" s="55"/>
      <c r="V2427" s="55"/>
      <c r="W2427" s="55"/>
      <c r="X2427" s="55"/>
      <c r="Y2427" s="55"/>
      <c r="Z2427" s="55"/>
      <c r="AA2427" s="55"/>
      <c r="AB2427" s="55"/>
      <c r="AC2427" s="55"/>
      <c r="AD2427" s="55"/>
      <c r="AE2427" s="55"/>
      <c r="AF2427" s="55"/>
      <c r="AG2427" s="55"/>
      <c r="AH2427" s="56"/>
      <c r="AI2427" s="55"/>
      <c r="AJ2427" s="55"/>
      <c r="AK2427" s="56"/>
      <c r="AL2427" s="56"/>
    </row>
    <row r="2428" spans="1:38" ht="15.75" thickBot="1" x14ac:dyDescent="0.3">
      <c r="A2428" s="51"/>
      <c r="B2428" s="51"/>
      <c r="C2428" s="51"/>
      <c r="D2428" s="51"/>
      <c r="E2428" s="51"/>
      <c r="F2428" s="51"/>
      <c r="G2428" s="54"/>
      <c r="H2428" s="147"/>
      <c r="I2428" s="53"/>
      <c r="J2428" s="53"/>
      <c r="K2428" s="53"/>
      <c r="L2428" s="53"/>
      <c r="M2428" s="54"/>
      <c r="N2428" s="53"/>
      <c r="O2428" s="53"/>
      <c r="P2428" s="53"/>
      <c r="Q2428" s="53"/>
      <c r="R2428" s="53"/>
      <c r="S2428" s="53"/>
      <c r="T2428" s="53"/>
      <c r="U2428" s="53"/>
      <c r="V2428" s="53"/>
      <c r="W2428" s="53"/>
      <c r="X2428" s="53"/>
      <c r="Y2428" s="53"/>
      <c r="Z2428" s="53"/>
      <c r="AA2428" s="53"/>
      <c r="AB2428" s="53"/>
      <c r="AC2428" s="53"/>
      <c r="AD2428" s="53"/>
      <c r="AE2428" s="53"/>
      <c r="AF2428" s="53"/>
      <c r="AG2428" s="53"/>
      <c r="AH2428" s="54"/>
      <c r="AI2428" s="53"/>
      <c r="AJ2428" s="53"/>
      <c r="AK2428" s="54"/>
      <c r="AL2428" s="54"/>
    </row>
    <row r="2429" spans="1:38" ht="15.75" thickBot="1" x14ac:dyDescent="0.3">
      <c r="A2429" s="51"/>
      <c r="B2429" s="51"/>
      <c r="C2429" s="51"/>
      <c r="D2429" s="51"/>
      <c r="E2429" s="51"/>
      <c r="F2429" s="51"/>
      <c r="G2429" s="56"/>
      <c r="H2429" s="55"/>
      <c r="I2429" s="55"/>
      <c r="J2429" s="55"/>
      <c r="K2429" s="55"/>
      <c r="L2429" s="55"/>
      <c r="M2429" s="55"/>
      <c r="N2429" s="55"/>
      <c r="O2429" s="55"/>
      <c r="P2429" s="55"/>
      <c r="Q2429" s="56"/>
      <c r="R2429" s="55"/>
      <c r="S2429" s="55"/>
      <c r="T2429" s="55"/>
      <c r="U2429" s="55"/>
      <c r="V2429" s="55"/>
      <c r="W2429" s="55"/>
      <c r="X2429" s="55"/>
      <c r="Y2429" s="55"/>
      <c r="Z2429" s="55"/>
      <c r="AA2429" s="55"/>
      <c r="AB2429" s="55"/>
      <c r="AC2429" s="55"/>
      <c r="AD2429" s="55"/>
      <c r="AE2429" s="55"/>
      <c r="AF2429" s="55"/>
      <c r="AG2429" s="55"/>
      <c r="AH2429" s="56"/>
      <c r="AI2429" s="55"/>
      <c r="AJ2429" s="55"/>
      <c r="AK2429" s="56"/>
      <c r="AL2429" s="56"/>
    </row>
    <row r="2430" spans="1:38" ht="15.75" thickBot="1" x14ac:dyDescent="0.3">
      <c r="A2430" s="51"/>
      <c r="B2430" s="51"/>
      <c r="C2430" s="51"/>
      <c r="D2430" s="51"/>
      <c r="E2430" s="51"/>
      <c r="F2430" s="51"/>
      <c r="G2430" s="54"/>
      <c r="H2430" s="53"/>
      <c r="I2430" s="53"/>
      <c r="J2430" s="53"/>
      <c r="K2430" s="53"/>
      <c r="L2430" s="53"/>
      <c r="M2430" s="53"/>
      <c r="N2430" s="53"/>
      <c r="O2430" s="53"/>
      <c r="P2430" s="53"/>
      <c r="Q2430" s="54"/>
      <c r="R2430" s="53"/>
      <c r="S2430" s="53"/>
      <c r="T2430" s="53"/>
      <c r="U2430" s="53"/>
      <c r="V2430" s="53"/>
      <c r="W2430" s="53"/>
      <c r="X2430" s="53"/>
      <c r="Y2430" s="53"/>
      <c r="Z2430" s="53"/>
      <c r="AA2430" s="53"/>
      <c r="AB2430" s="53"/>
      <c r="AC2430" s="53"/>
      <c r="AD2430" s="53"/>
      <c r="AE2430" s="53"/>
      <c r="AF2430" s="53"/>
      <c r="AG2430" s="53"/>
      <c r="AH2430" s="54"/>
      <c r="AI2430" s="53"/>
      <c r="AJ2430" s="53"/>
      <c r="AK2430" s="54"/>
      <c r="AL2430" s="54"/>
    </row>
    <row r="2431" spans="1:38" ht="15.75" thickBot="1" x14ac:dyDescent="0.3">
      <c r="A2431" s="51"/>
      <c r="B2431" s="51"/>
      <c r="C2431" s="51"/>
      <c r="D2431" s="51"/>
      <c r="E2431" s="51"/>
      <c r="F2431" s="51"/>
      <c r="G2431" s="55"/>
      <c r="H2431" s="55"/>
      <c r="I2431" s="55"/>
      <c r="J2431" s="55"/>
      <c r="K2431" s="55"/>
      <c r="L2431" s="55"/>
      <c r="M2431" s="55"/>
      <c r="N2431" s="55"/>
      <c r="O2431" s="55"/>
      <c r="P2431" s="55"/>
      <c r="Q2431" s="55"/>
      <c r="R2431" s="55"/>
      <c r="S2431" s="55"/>
      <c r="T2431" s="55"/>
      <c r="U2431" s="55"/>
      <c r="V2431" s="55"/>
      <c r="W2431" s="55"/>
      <c r="X2431" s="55"/>
      <c r="Y2431" s="55"/>
      <c r="Z2431" s="55"/>
      <c r="AA2431" s="55"/>
      <c r="AB2431" s="55"/>
      <c r="AC2431" s="55"/>
      <c r="AD2431" s="55"/>
      <c r="AE2431" s="55"/>
      <c r="AF2431" s="56"/>
      <c r="AG2431" s="55"/>
      <c r="AH2431" s="56"/>
      <c r="AI2431" s="55"/>
      <c r="AJ2431" s="55"/>
      <c r="AK2431" s="56"/>
      <c r="AL2431" s="56"/>
    </row>
    <row r="2432" spans="1:38" ht="15.75" thickBot="1" x14ac:dyDescent="0.3">
      <c r="A2432" s="51"/>
      <c r="B2432" s="51"/>
      <c r="C2432" s="51"/>
      <c r="D2432" s="51"/>
      <c r="E2432" s="51"/>
      <c r="F2432" s="51"/>
      <c r="G2432" s="53"/>
      <c r="H2432" s="53"/>
      <c r="I2432" s="53"/>
      <c r="J2432" s="53"/>
      <c r="K2432" s="53"/>
      <c r="L2432" s="53"/>
      <c r="M2432" s="53"/>
      <c r="N2432" s="53"/>
      <c r="O2432" s="53"/>
      <c r="P2432" s="53"/>
      <c r="Q2432" s="53"/>
      <c r="R2432" s="53"/>
      <c r="S2432" s="53"/>
      <c r="T2432" s="53"/>
      <c r="U2432" s="53"/>
      <c r="V2432" s="53"/>
      <c r="W2432" s="53"/>
      <c r="X2432" s="53"/>
      <c r="Y2432" s="53"/>
      <c r="Z2432" s="53"/>
      <c r="AA2432" s="53"/>
      <c r="AB2432" s="53"/>
      <c r="AC2432" s="53"/>
      <c r="AD2432" s="53"/>
      <c r="AE2432" s="53"/>
      <c r="AF2432" s="54"/>
      <c r="AG2432" s="53"/>
      <c r="AH2432" s="54"/>
      <c r="AI2432" s="53"/>
      <c r="AJ2432" s="53"/>
      <c r="AK2432" s="54"/>
      <c r="AL2432" s="54"/>
    </row>
    <row r="2433" spans="1:38" ht="15.75" thickBot="1" x14ac:dyDescent="0.3">
      <c r="A2433" s="51"/>
      <c r="B2433" s="51"/>
      <c r="C2433" s="51"/>
      <c r="D2433" s="51"/>
      <c r="E2433" s="51"/>
      <c r="F2433" s="51"/>
      <c r="G2433" s="56"/>
      <c r="H2433" s="55"/>
      <c r="I2433" s="55"/>
      <c r="J2433" s="55"/>
      <c r="K2433" s="55"/>
      <c r="L2433" s="55"/>
      <c r="M2433" s="55"/>
      <c r="N2433" s="55"/>
      <c r="O2433" s="55"/>
      <c r="P2433" s="55"/>
      <c r="Q2433" s="55"/>
      <c r="R2433" s="55"/>
      <c r="S2433" s="55"/>
      <c r="T2433" s="55"/>
      <c r="U2433" s="55"/>
      <c r="V2433" s="55"/>
      <c r="W2433" s="55"/>
      <c r="X2433" s="55"/>
      <c r="Y2433" s="55"/>
      <c r="Z2433" s="56"/>
      <c r="AA2433" s="55"/>
      <c r="AB2433" s="55"/>
      <c r="AC2433" s="55"/>
      <c r="AD2433" s="55"/>
      <c r="AE2433" s="55"/>
      <c r="AF2433" s="55"/>
      <c r="AG2433" s="55"/>
      <c r="AH2433" s="56"/>
      <c r="AI2433" s="55"/>
      <c r="AJ2433" s="55"/>
      <c r="AK2433" s="56"/>
      <c r="AL2433" s="56"/>
    </row>
    <row r="2434" spans="1:38" ht="15.75" thickBot="1" x14ac:dyDescent="0.3">
      <c r="A2434" s="51"/>
      <c r="B2434" s="51"/>
      <c r="C2434" s="51"/>
      <c r="D2434" s="51"/>
      <c r="E2434" s="51"/>
      <c r="F2434" s="51"/>
      <c r="G2434" s="54"/>
      <c r="H2434" s="53"/>
      <c r="I2434" s="53"/>
      <c r="J2434" s="53"/>
      <c r="K2434" s="53"/>
      <c r="L2434" s="53"/>
      <c r="M2434" s="53"/>
      <c r="N2434" s="53"/>
      <c r="O2434" s="53"/>
      <c r="P2434" s="53"/>
      <c r="Q2434" s="53"/>
      <c r="R2434" s="53"/>
      <c r="S2434" s="53"/>
      <c r="T2434" s="53"/>
      <c r="U2434" s="53"/>
      <c r="V2434" s="53"/>
      <c r="W2434" s="53"/>
      <c r="X2434" s="53"/>
      <c r="Y2434" s="53"/>
      <c r="Z2434" s="54"/>
      <c r="AA2434" s="53"/>
      <c r="AB2434" s="53"/>
      <c r="AC2434" s="53"/>
      <c r="AD2434" s="53"/>
      <c r="AE2434" s="53"/>
      <c r="AF2434" s="53"/>
      <c r="AG2434" s="53"/>
      <c r="AH2434" s="54"/>
      <c r="AI2434" s="53"/>
      <c r="AJ2434" s="53"/>
      <c r="AK2434" s="54"/>
      <c r="AL2434" s="54"/>
    </row>
    <row r="2435" spans="1:38" ht="15.75" thickBot="1" x14ac:dyDescent="0.3">
      <c r="A2435" s="51"/>
      <c r="B2435" s="51"/>
      <c r="C2435" s="51"/>
      <c r="D2435" s="51"/>
      <c r="E2435" s="51"/>
      <c r="F2435" s="51"/>
      <c r="G2435" s="56"/>
      <c r="H2435" s="55"/>
      <c r="I2435" s="55"/>
      <c r="J2435" s="55"/>
      <c r="K2435" s="55"/>
      <c r="L2435" s="55"/>
      <c r="M2435" s="55"/>
      <c r="N2435" s="55"/>
      <c r="O2435" s="55"/>
      <c r="P2435" s="55"/>
      <c r="Q2435" s="55"/>
      <c r="R2435" s="55"/>
      <c r="S2435" s="55"/>
      <c r="T2435" s="55"/>
      <c r="U2435" s="55"/>
      <c r="V2435" s="55"/>
      <c r="W2435" s="55"/>
      <c r="X2435" s="55"/>
      <c r="Y2435" s="55"/>
      <c r="Z2435" s="55"/>
      <c r="AA2435" s="56"/>
      <c r="AB2435" s="55"/>
      <c r="AC2435" s="55"/>
      <c r="AD2435" s="55"/>
      <c r="AE2435" s="55"/>
      <c r="AF2435" s="55"/>
      <c r="AG2435" s="55"/>
      <c r="AH2435" s="56"/>
      <c r="AI2435" s="55"/>
      <c r="AJ2435" s="55"/>
      <c r="AK2435" s="56"/>
      <c r="AL2435" s="56"/>
    </row>
    <row r="2436" spans="1:38" ht="15.75" thickBot="1" x14ac:dyDescent="0.3">
      <c r="A2436" s="51"/>
      <c r="B2436" s="51"/>
      <c r="C2436" s="51"/>
      <c r="D2436" s="51"/>
      <c r="E2436" s="51"/>
      <c r="F2436" s="51"/>
      <c r="G2436" s="54"/>
      <c r="H2436" s="53"/>
      <c r="I2436" s="53"/>
      <c r="J2436" s="53"/>
      <c r="K2436" s="53"/>
      <c r="L2436" s="53"/>
      <c r="M2436" s="53"/>
      <c r="N2436" s="53"/>
      <c r="O2436" s="53"/>
      <c r="P2436" s="53"/>
      <c r="Q2436" s="53"/>
      <c r="R2436" s="53"/>
      <c r="S2436" s="53"/>
      <c r="T2436" s="53"/>
      <c r="U2436" s="53"/>
      <c r="V2436" s="53"/>
      <c r="W2436" s="53"/>
      <c r="X2436" s="53"/>
      <c r="Y2436" s="53"/>
      <c r="Z2436" s="53"/>
      <c r="AA2436" s="54"/>
      <c r="AB2436" s="53"/>
      <c r="AC2436" s="53"/>
      <c r="AD2436" s="53"/>
      <c r="AE2436" s="53"/>
      <c r="AF2436" s="53"/>
      <c r="AG2436" s="53"/>
      <c r="AH2436" s="54"/>
      <c r="AI2436" s="53"/>
      <c r="AJ2436" s="53"/>
      <c r="AK2436" s="54"/>
      <c r="AL2436" s="54"/>
    </row>
    <row r="2437" spans="1:38" ht="15.75" thickBot="1" x14ac:dyDescent="0.3">
      <c r="A2437" s="51"/>
      <c r="B2437" s="51"/>
      <c r="C2437" s="51"/>
      <c r="D2437" s="51"/>
      <c r="E2437" s="51"/>
      <c r="F2437" s="51"/>
      <c r="G2437" s="56"/>
      <c r="H2437" s="55"/>
      <c r="I2437" s="55"/>
      <c r="J2437" s="55"/>
      <c r="K2437" s="55"/>
      <c r="L2437" s="55"/>
      <c r="M2437" s="55"/>
      <c r="N2437" s="55"/>
      <c r="O2437" s="55"/>
      <c r="P2437" s="55"/>
      <c r="Q2437" s="55"/>
      <c r="R2437" s="56"/>
      <c r="S2437" s="55"/>
      <c r="T2437" s="55"/>
      <c r="U2437" s="55"/>
      <c r="V2437" s="55"/>
      <c r="W2437" s="55"/>
      <c r="X2437" s="55"/>
      <c r="Y2437" s="55"/>
      <c r="Z2437" s="55"/>
      <c r="AA2437" s="55"/>
      <c r="AB2437" s="55"/>
      <c r="AC2437" s="55"/>
      <c r="AD2437" s="55"/>
      <c r="AE2437" s="55"/>
      <c r="AF2437" s="55"/>
      <c r="AG2437" s="55"/>
      <c r="AH2437" s="56"/>
      <c r="AI2437" s="55"/>
      <c r="AJ2437" s="55"/>
      <c r="AK2437" s="56"/>
      <c r="AL2437" s="56"/>
    </row>
    <row r="2438" spans="1:38" ht="15.75" thickBot="1" x14ac:dyDescent="0.3">
      <c r="A2438" s="51"/>
      <c r="B2438" s="51"/>
      <c r="C2438" s="51"/>
      <c r="D2438" s="51"/>
      <c r="E2438" s="51"/>
      <c r="F2438" s="51"/>
      <c r="G2438" s="54"/>
      <c r="H2438" s="53"/>
      <c r="I2438" s="53"/>
      <c r="J2438" s="53"/>
      <c r="K2438" s="53"/>
      <c r="L2438" s="53"/>
      <c r="M2438" s="53"/>
      <c r="N2438" s="53"/>
      <c r="O2438" s="53"/>
      <c r="P2438" s="53"/>
      <c r="Q2438" s="53"/>
      <c r="R2438" s="54"/>
      <c r="S2438" s="53"/>
      <c r="T2438" s="53"/>
      <c r="U2438" s="53"/>
      <c r="V2438" s="53"/>
      <c r="W2438" s="53"/>
      <c r="X2438" s="53"/>
      <c r="Y2438" s="53"/>
      <c r="Z2438" s="53"/>
      <c r="AA2438" s="53"/>
      <c r="AB2438" s="53"/>
      <c r="AC2438" s="53"/>
      <c r="AD2438" s="53"/>
      <c r="AE2438" s="53"/>
      <c r="AF2438" s="53"/>
      <c r="AG2438" s="53"/>
      <c r="AH2438" s="54"/>
      <c r="AI2438" s="53"/>
      <c r="AJ2438" s="53"/>
      <c r="AK2438" s="54"/>
      <c r="AL2438" s="54"/>
    </row>
    <row r="2439" spans="1:38" ht="15.75" thickBot="1" x14ac:dyDescent="0.3">
      <c r="A2439" s="51"/>
      <c r="B2439" s="51"/>
      <c r="C2439" s="51"/>
      <c r="D2439" s="51"/>
      <c r="E2439" s="51"/>
      <c r="F2439" s="51"/>
      <c r="G2439" s="56"/>
      <c r="H2439" s="55"/>
      <c r="I2439" s="55"/>
      <c r="J2439" s="55"/>
      <c r="K2439" s="55"/>
      <c r="L2439" s="55"/>
      <c r="M2439" s="55"/>
      <c r="N2439" s="55"/>
      <c r="O2439" s="55"/>
      <c r="P2439" s="55"/>
      <c r="Q2439" s="55"/>
      <c r="R2439" s="55"/>
      <c r="S2439" s="55"/>
      <c r="T2439" s="55"/>
      <c r="U2439" s="55"/>
      <c r="V2439" s="55"/>
      <c r="W2439" s="55"/>
      <c r="X2439" s="55"/>
      <c r="Y2439" s="55"/>
      <c r="Z2439" s="55"/>
      <c r="AA2439" s="55"/>
      <c r="AB2439" s="55"/>
      <c r="AC2439" s="56"/>
      <c r="AD2439" s="55"/>
      <c r="AE2439" s="55"/>
      <c r="AF2439" s="55"/>
      <c r="AG2439" s="55"/>
      <c r="AH2439" s="56"/>
      <c r="AI2439" s="55"/>
      <c r="AJ2439" s="55"/>
      <c r="AK2439" s="56"/>
      <c r="AL2439" s="56"/>
    </row>
    <row r="2440" spans="1:38" ht="15.75" thickBot="1" x14ac:dyDescent="0.3">
      <c r="A2440" s="51"/>
      <c r="B2440" s="51"/>
      <c r="C2440" s="51"/>
      <c r="D2440" s="51"/>
      <c r="E2440" s="51"/>
      <c r="F2440" s="51"/>
      <c r="G2440" s="54"/>
      <c r="H2440" s="53"/>
      <c r="I2440" s="53"/>
      <c r="J2440" s="53"/>
      <c r="K2440" s="53"/>
      <c r="L2440" s="53"/>
      <c r="M2440" s="53"/>
      <c r="N2440" s="53"/>
      <c r="O2440" s="53"/>
      <c r="P2440" s="53"/>
      <c r="Q2440" s="53"/>
      <c r="R2440" s="53"/>
      <c r="S2440" s="53"/>
      <c r="T2440" s="53"/>
      <c r="U2440" s="53"/>
      <c r="V2440" s="53"/>
      <c r="W2440" s="53"/>
      <c r="X2440" s="53"/>
      <c r="Y2440" s="53"/>
      <c r="Z2440" s="53"/>
      <c r="AA2440" s="53"/>
      <c r="AB2440" s="53"/>
      <c r="AC2440" s="54"/>
      <c r="AD2440" s="53"/>
      <c r="AE2440" s="53"/>
      <c r="AF2440" s="53"/>
      <c r="AG2440" s="53"/>
      <c r="AH2440" s="54"/>
      <c r="AI2440" s="53"/>
      <c r="AJ2440" s="53"/>
      <c r="AK2440" s="54"/>
      <c r="AL2440" s="54"/>
    </row>
    <row r="2441" spans="1:38" ht="15.75" thickBot="1" x14ac:dyDescent="0.3">
      <c r="A2441" s="51"/>
      <c r="B2441" s="51"/>
      <c r="C2441" s="51"/>
      <c r="D2441" s="51"/>
      <c r="E2441" s="51"/>
      <c r="F2441" s="51"/>
      <c r="G2441" s="56"/>
      <c r="H2441" s="55"/>
      <c r="I2441" s="55"/>
      <c r="J2441" s="55"/>
      <c r="K2441" s="56"/>
      <c r="L2441" s="55"/>
      <c r="M2441" s="55"/>
      <c r="N2441" s="55"/>
      <c r="O2441" s="55"/>
      <c r="P2441" s="55"/>
      <c r="Q2441" s="55"/>
      <c r="R2441" s="55"/>
      <c r="S2441" s="55"/>
      <c r="T2441" s="55"/>
      <c r="U2441" s="55"/>
      <c r="V2441" s="55"/>
      <c r="W2441" s="55"/>
      <c r="X2441" s="55"/>
      <c r="Y2441" s="55"/>
      <c r="Z2441" s="55"/>
      <c r="AA2441" s="55"/>
      <c r="AB2441" s="55"/>
      <c r="AC2441" s="55"/>
      <c r="AD2441" s="55"/>
      <c r="AE2441" s="55"/>
      <c r="AF2441" s="55"/>
      <c r="AG2441" s="55"/>
      <c r="AH2441" s="56"/>
      <c r="AI2441" s="55"/>
      <c r="AJ2441" s="55"/>
      <c r="AK2441" s="56"/>
      <c r="AL2441" s="56"/>
    </row>
    <row r="2442" spans="1:38" ht="15.75" thickBot="1" x14ac:dyDescent="0.3">
      <c r="A2442" s="51"/>
      <c r="B2442" s="51"/>
      <c r="C2442" s="51"/>
      <c r="D2442" s="51"/>
      <c r="E2442" s="51"/>
      <c r="F2442" s="51"/>
      <c r="G2442" s="54"/>
      <c r="H2442" s="53"/>
      <c r="I2442" s="53"/>
      <c r="J2442" s="53"/>
      <c r="K2442" s="54"/>
      <c r="L2442" s="53"/>
      <c r="M2442" s="53"/>
      <c r="N2442" s="53"/>
      <c r="O2442" s="53"/>
      <c r="P2442" s="53"/>
      <c r="Q2442" s="53"/>
      <c r="R2442" s="53"/>
      <c r="S2442" s="53"/>
      <c r="T2442" s="53"/>
      <c r="U2442" s="53"/>
      <c r="V2442" s="53"/>
      <c r="W2442" s="53"/>
      <c r="X2442" s="53"/>
      <c r="Y2442" s="53"/>
      <c r="Z2442" s="53"/>
      <c r="AA2442" s="53"/>
      <c r="AB2442" s="53"/>
      <c r="AC2442" s="53"/>
      <c r="AD2442" s="53"/>
      <c r="AE2442" s="53"/>
      <c r="AF2442" s="53"/>
      <c r="AG2442" s="53"/>
      <c r="AH2442" s="54"/>
      <c r="AI2442" s="53"/>
      <c r="AJ2442" s="53"/>
      <c r="AK2442" s="54"/>
      <c r="AL2442" s="54"/>
    </row>
    <row r="2443" spans="1:38" ht="15.75" thickBot="1" x14ac:dyDescent="0.3">
      <c r="A2443" s="51"/>
      <c r="B2443" s="51"/>
      <c r="C2443" s="51"/>
      <c r="D2443" s="51"/>
      <c r="E2443" s="51"/>
      <c r="F2443" s="51"/>
      <c r="G2443" s="56"/>
      <c r="H2443" s="56"/>
      <c r="I2443" s="55"/>
      <c r="J2443" s="55"/>
      <c r="K2443" s="55"/>
      <c r="L2443" s="55"/>
      <c r="M2443" s="56"/>
      <c r="N2443" s="55"/>
      <c r="O2443" s="55"/>
      <c r="P2443" s="55"/>
      <c r="Q2443" s="55"/>
      <c r="R2443" s="55"/>
      <c r="S2443" s="55"/>
      <c r="T2443" s="55"/>
      <c r="U2443" s="55"/>
      <c r="V2443" s="55"/>
      <c r="W2443" s="55"/>
      <c r="X2443" s="55"/>
      <c r="Y2443" s="55"/>
      <c r="Z2443" s="55"/>
      <c r="AA2443" s="55"/>
      <c r="AB2443" s="55"/>
      <c r="AC2443" s="55"/>
      <c r="AD2443" s="55"/>
      <c r="AE2443" s="55"/>
      <c r="AF2443" s="55"/>
      <c r="AG2443" s="55"/>
      <c r="AH2443" s="56"/>
      <c r="AI2443" s="55"/>
      <c r="AJ2443" s="55"/>
      <c r="AK2443" s="56"/>
      <c r="AL2443" s="56"/>
    </row>
    <row r="2444" spans="1:38" ht="15.75" thickBot="1" x14ac:dyDescent="0.3">
      <c r="A2444" s="51"/>
      <c r="B2444" s="51"/>
      <c r="C2444" s="51"/>
      <c r="D2444" s="51"/>
      <c r="E2444" s="51"/>
      <c r="F2444" s="51"/>
      <c r="G2444" s="54"/>
      <c r="H2444" s="147"/>
      <c r="I2444" s="53"/>
      <c r="J2444" s="53"/>
      <c r="K2444" s="53"/>
      <c r="L2444" s="53"/>
      <c r="M2444" s="54"/>
      <c r="N2444" s="53"/>
      <c r="O2444" s="53"/>
      <c r="P2444" s="53"/>
      <c r="Q2444" s="53"/>
      <c r="R2444" s="53"/>
      <c r="S2444" s="53"/>
      <c r="T2444" s="53"/>
      <c r="U2444" s="53"/>
      <c r="V2444" s="53"/>
      <c r="W2444" s="53"/>
      <c r="X2444" s="53"/>
      <c r="Y2444" s="53"/>
      <c r="Z2444" s="53"/>
      <c r="AA2444" s="53"/>
      <c r="AB2444" s="53"/>
      <c r="AC2444" s="53"/>
      <c r="AD2444" s="53"/>
      <c r="AE2444" s="53"/>
      <c r="AF2444" s="53"/>
      <c r="AG2444" s="53"/>
      <c r="AH2444" s="54"/>
      <c r="AI2444" s="53"/>
      <c r="AJ2444" s="53"/>
      <c r="AK2444" s="54"/>
      <c r="AL2444" s="54"/>
    </row>
    <row r="2445" spans="1:38" ht="15.75" thickBot="1" x14ac:dyDescent="0.3">
      <c r="A2445" s="51"/>
      <c r="B2445" s="51"/>
      <c r="C2445" s="51"/>
      <c r="D2445" s="51"/>
      <c r="E2445" s="51"/>
      <c r="F2445" s="51"/>
      <c r="G2445" s="56"/>
      <c r="H2445" s="55"/>
      <c r="I2445" s="55"/>
      <c r="J2445" s="55"/>
      <c r="K2445" s="55"/>
      <c r="L2445" s="55"/>
      <c r="M2445" s="55"/>
      <c r="N2445" s="55"/>
      <c r="O2445" s="55"/>
      <c r="P2445" s="55"/>
      <c r="Q2445" s="56"/>
      <c r="R2445" s="55"/>
      <c r="S2445" s="55"/>
      <c r="T2445" s="55"/>
      <c r="U2445" s="55"/>
      <c r="V2445" s="55"/>
      <c r="W2445" s="55"/>
      <c r="X2445" s="55"/>
      <c r="Y2445" s="55"/>
      <c r="Z2445" s="55"/>
      <c r="AA2445" s="55"/>
      <c r="AB2445" s="55"/>
      <c r="AC2445" s="55"/>
      <c r="AD2445" s="55"/>
      <c r="AE2445" s="55"/>
      <c r="AF2445" s="55"/>
      <c r="AG2445" s="55"/>
      <c r="AH2445" s="56"/>
      <c r="AI2445" s="55"/>
      <c r="AJ2445" s="55"/>
      <c r="AK2445" s="56"/>
      <c r="AL2445" s="56"/>
    </row>
    <row r="2446" spans="1:38" ht="15.75" thickBot="1" x14ac:dyDescent="0.3">
      <c r="A2446" s="51"/>
      <c r="B2446" s="51"/>
      <c r="C2446" s="51"/>
      <c r="D2446" s="51"/>
      <c r="E2446" s="51"/>
      <c r="F2446" s="51"/>
      <c r="G2446" s="54"/>
      <c r="H2446" s="53"/>
      <c r="I2446" s="53"/>
      <c r="J2446" s="53"/>
      <c r="K2446" s="53"/>
      <c r="L2446" s="53"/>
      <c r="M2446" s="53"/>
      <c r="N2446" s="53"/>
      <c r="O2446" s="53"/>
      <c r="P2446" s="53"/>
      <c r="Q2446" s="54"/>
      <c r="R2446" s="53"/>
      <c r="S2446" s="53"/>
      <c r="T2446" s="53"/>
      <c r="U2446" s="53"/>
      <c r="V2446" s="53"/>
      <c r="W2446" s="53"/>
      <c r="X2446" s="53"/>
      <c r="Y2446" s="53"/>
      <c r="Z2446" s="53"/>
      <c r="AA2446" s="53"/>
      <c r="AB2446" s="53"/>
      <c r="AC2446" s="53"/>
      <c r="AD2446" s="53"/>
      <c r="AE2446" s="53"/>
      <c r="AF2446" s="53"/>
      <c r="AG2446" s="53"/>
      <c r="AH2446" s="54"/>
      <c r="AI2446" s="53"/>
      <c r="AJ2446" s="53"/>
      <c r="AK2446" s="54"/>
      <c r="AL2446" s="54"/>
    </row>
    <row r="2447" spans="1:38" ht="15.75" thickBot="1" x14ac:dyDescent="0.3">
      <c r="A2447" s="51"/>
      <c r="B2447" s="51"/>
      <c r="C2447" s="51"/>
      <c r="D2447" s="51"/>
      <c r="E2447" s="51"/>
      <c r="F2447" s="51"/>
      <c r="G2447" s="55"/>
      <c r="H2447" s="55"/>
      <c r="I2447" s="55"/>
      <c r="J2447" s="55"/>
      <c r="K2447" s="55"/>
      <c r="L2447" s="55"/>
      <c r="M2447" s="55"/>
      <c r="N2447" s="55"/>
      <c r="O2447" s="55"/>
      <c r="P2447" s="55"/>
      <c r="Q2447" s="55"/>
      <c r="R2447" s="55"/>
      <c r="S2447" s="55"/>
      <c r="T2447" s="55"/>
      <c r="U2447" s="55"/>
      <c r="V2447" s="55"/>
      <c r="W2447" s="55"/>
      <c r="X2447" s="55"/>
      <c r="Y2447" s="55"/>
      <c r="Z2447" s="55"/>
      <c r="AA2447" s="55"/>
      <c r="AB2447" s="55"/>
      <c r="AC2447" s="55"/>
      <c r="AD2447" s="55"/>
      <c r="AE2447" s="55"/>
      <c r="AF2447" s="56"/>
      <c r="AG2447" s="55"/>
      <c r="AH2447" s="56"/>
      <c r="AI2447" s="55"/>
      <c r="AJ2447" s="55"/>
      <c r="AK2447" s="56"/>
      <c r="AL2447" s="56"/>
    </row>
    <row r="2448" spans="1:38" ht="15.75" thickBot="1" x14ac:dyDescent="0.3">
      <c r="A2448" s="51"/>
      <c r="B2448" s="51"/>
      <c r="C2448" s="51"/>
      <c r="D2448" s="51"/>
      <c r="E2448" s="51"/>
      <c r="F2448" s="51"/>
      <c r="G2448" s="53"/>
      <c r="H2448" s="53"/>
      <c r="I2448" s="53"/>
      <c r="J2448" s="53"/>
      <c r="K2448" s="53"/>
      <c r="L2448" s="53"/>
      <c r="M2448" s="53"/>
      <c r="N2448" s="53"/>
      <c r="O2448" s="53"/>
      <c r="P2448" s="53"/>
      <c r="Q2448" s="53"/>
      <c r="R2448" s="53"/>
      <c r="S2448" s="53"/>
      <c r="T2448" s="53"/>
      <c r="U2448" s="53"/>
      <c r="V2448" s="53"/>
      <c r="W2448" s="53"/>
      <c r="X2448" s="53"/>
      <c r="Y2448" s="53"/>
      <c r="Z2448" s="53"/>
      <c r="AA2448" s="53"/>
      <c r="AB2448" s="53"/>
      <c r="AC2448" s="53"/>
      <c r="AD2448" s="53"/>
      <c r="AE2448" s="53"/>
      <c r="AF2448" s="54"/>
      <c r="AG2448" s="53"/>
      <c r="AH2448" s="54"/>
      <c r="AI2448" s="53"/>
      <c r="AJ2448" s="53"/>
      <c r="AK2448" s="54"/>
      <c r="AL2448" s="54"/>
    </row>
    <row r="2449" spans="1:38" ht="15.75" thickBot="1" x14ac:dyDescent="0.3">
      <c r="A2449" s="51"/>
      <c r="B2449" s="51"/>
      <c r="C2449" s="51"/>
      <c r="D2449" s="51"/>
      <c r="E2449" s="51"/>
      <c r="F2449" s="51"/>
      <c r="G2449" s="56"/>
      <c r="H2449" s="55"/>
      <c r="I2449" s="55"/>
      <c r="J2449" s="55"/>
      <c r="K2449" s="55"/>
      <c r="L2449" s="55"/>
      <c r="M2449" s="55"/>
      <c r="N2449" s="55"/>
      <c r="O2449" s="55"/>
      <c r="P2449" s="55"/>
      <c r="Q2449" s="55"/>
      <c r="R2449" s="55"/>
      <c r="S2449" s="55"/>
      <c r="T2449" s="55"/>
      <c r="U2449" s="55"/>
      <c r="V2449" s="55"/>
      <c r="W2449" s="55"/>
      <c r="X2449" s="55"/>
      <c r="Y2449" s="55"/>
      <c r="Z2449" s="56"/>
      <c r="AA2449" s="55"/>
      <c r="AB2449" s="55"/>
      <c r="AC2449" s="55"/>
      <c r="AD2449" s="55"/>
      <c r="AE2449" s="55"/>
      <c r="AF2449" s="55"/>
      <c r="AG2449" s="55"/>
      <c r="AH2449" s="56"/>
      <c r="AI2449" s="55"/>
      <c r="AJ2449" s="55"/>
      <c r="AK2449" s="56"/>
      <c r="AL2449" s="56"/>
    </row>
    <row r="2450" spans="1:38" ht="15.75" thickBot="1" x14ac:dyDescent="0.3">
      <c r="A2450" s="51"/>
      <c r="B2450" s="51"/>
      <c r="C2450" s="51"/>
      <c r="D2450" s="51"/>
      <c r="E2450" s="51"/>
      <c r="F2450" s="51"/>
      <c r="G2450" s="54"/>
      <c r="H2450" s="53"/>
      <c r="I2450" s="53"/>
      <c r="J2450" s="53"/>
      <c r="K2450" s="53"/>
      <c r="L2450" s="53"/>
      <c r="M2450" s="53"/>
      <c r="N2450" s="53"/>
      <c r="O2450" s="53"/>
      <c r="P2450" s="53"/>
      <c r="Q2450" s="53"/>
      <c r="R2450" s="53"/>
      <c r="S2450" s="53"/>
      <c r="T2450" s="53"/>
      <c r="U2450" s="53"/>
      <c r="V2450" s="53"/>
      <c r="W2450" s="53"/>
      <c r="X2450" s="53"/>
      <c r="Y2450" s="53"/>
      <c r="Z2450" s="54"/>
      <c r="AA2450" s="53"/>
      <c r="AB2450" s="53"/>
      <c r="AC2450" s="53"/>
      <c r="AD2450" s="53"/>
      <c r="AE2450" s="53"/>
      <c r="AF2450" s="53"/>
      <c r="AG2450" s="53"/>
      <c r="AH2450" s="54"/>
      <c r="AI2450" s="53"/>
      <c r="AJ2450" s="53"/>
      <c r="AK2450" s="54"/>
      <c r="AL2450" s="54"/>
    </row>
    <row r="2451" spans="1:38" ht="15.75" thickBot="1" x14ac:dyDescent="0.3">
      <c r="A2451" s="51"/>
      <c r="B2451" s="51"/>
      <c r="C2451" s="51"/>
      <c r="D2451" s="51"/>
      <c r="E2451" s="51"/>
      <c r="F2451" s="51"/>
      <c r="G2451" s="56"/>
      <c r="H2451" s="55"/>
      <c r="I2451" s="55"/>
      <c r="J2451" s="55"/>
      <c r="K2451" s="55"/>
      <c r="L2451" s="55"/>
      <c r="M2451" s="55"/>
      <c r="N2451" s="55"/>
      <c r="O2451" s="55"/>
      <c r="P2451" s="55"/>
      <c r="Q2451" s="55"/>
      <c r="R2451" s="55"/>
      <c r="S2451" s="55"/>
      <c r="T2451" s="55"/>
      <c r="U2451" s="55"/>
      <c r="V2451" s="55"/>
      <c r="W2451" s="55"/>
      <c r="X2451" s="55"/>
      <c r="Y2451" s="55"/>
      <c r="Z2451" s="55"/>
      <c r="AA2451" s="56"/>
      <c r="AB2451" s="55"/>
      <c r="AC2451" s="55"/>
      <c r="AD2451" s="55"/>
      <c r="AE2451" s="55"/>
      <c r="AF2451" s="55"/>
      <c r="AG2451" s="55"/>
      <c r="AH2451" s="56"/>
      <c r="AI2451" s="55"/>
      <c r="AJ2451" s="55"/>
      <c r="AK2451" s="56"/>
      <c r="AL2451" s="56"/>
    </row>
    <row r="2452" spans="1:38" ht="15.75" thickBot="1" x14ac:dyDescent="0.3">
      <c r="A2452" s="51"/>
      <c r="B2452" s="51"/>
      <c r="C2452" s="51"/>
      <c r="D2452" s="51"/>
      <c r="E2452" s="51"/>
      <c r="F2452" s="51"/>
      <c r="G2452" s="54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4"/>
      <c r="AB2452" s="53"/>
      <c r="AC2452" s="53"/>
      <c r="AD2452" s="53"/>
      <c r="AE2452" s="53"/>
      <c r="AF2452" s="53"/>
      <c r="AG2452" s="53"/>
      <c r="AH2452" s="54"/>
      <c r="AI2452" s="53"/>
      <c r="AJ2452" s="53"/>
      <c r="AK2452" s="54"/>
      <c r="AL2452" s="54"/>
    </row>
    <row r="2453" spans="1:38" ht="15.75" thickBot="1" x14ac:dyDescent="0.3">
      <c r="A2453" s="51"/>
      <c r="B2453" s="51"/>
      <c r="C2453" s="51"/>
      <c r="D2453" s="51"/>
      <c r="E2453" s="51"/>
      <c r="F2453" s="51"/>
      <c r="G2453" s="56"/>
      <c r="H2453" s="55"/>
      <c r="I2453" s="55"/>
      <c r="J2453" s="55"/>
      <c r="K2453" s="55"/>
      <c r="L2453" s="55"/>
      <c r="M2453" s="55"/>
      <c r="N2453" s="55"/>
      <c r="O2453" s="55"/>
      <c r="P2453" s="55"/>
      <c r="Q2453" s="55"/>
      <c r="R2453" s="56"/>
      <c r="S2453" s="55"/>
      <c r="T2453" s="55"/>
      <c r="U2453" s="55"/>
      <c r="V2453" s="55"/>
      <c r="W2453" s="55"/>
      <c r="X2453" s="55"/>
      <c r="Y2453" s="55"/>
      <c r="Z2453" s="55"/>
      <c r="AA2453" s="55"/>
      <c r="AB2453" s="55"/>
      <c r="AC2453" s="55"/>
      <c r="AD2453" s="55"/>
      <c r="AE2453" s="55"/>
      <c r="AF2453" s="55"/>
      <c r="AG2453" s="55"/>
      <c r="AH2453" s="56"/>
      <c r="AI2453" s="55"/>
      <c r="AJ2453" s="55"/>
      <c r="AK2453" s="56"/>
      <c r="AL2453" s="56"/>
    </row>
    <row r="2454" spans="1:38" ht="15.75" thickBot="1" x14ac:dyDescent="0.3">
      <c r="A2454" s="51"/>
      <c r="B2454" s="51"/>
      <c r="C2454" s="51"/>
      <c r="D2454" s="51"/>
      <c r="E2454" s="51"/>
      <c r="F2454" s="51"/>
      <c r="G2454" s="54"/>
      <c r="H2454" s="53"/>
      <c r="I2454" s="53"/>
      <c r="J2454" s="53"/>
      <c r="K2454" s="53"/>
      <c r="L2454" s="53"/>
      <c r="M2454" s="53"/>
      <c r="N2454" s="53"/>
      <c r="O2454" s="53"/>
      <c r="P2454" s="53"/>
      <c r="Q2454" s="53"/>
      <c r="R2454" s="54"/>
      <c r="S2454" s="53"/>
      <c r="T2454" s="53"/>
      <c r="U2454" s="53"/>
      <c r="V2454" s="53"/>
      <c r="W2454" s="53"/>
      <c r="X2454" s="53"/>
      <c r="Y2454" s="53"/>
      <c r="Z2454" s="53"/>
      <c r="AA2454" s="53"/>
      <c r="AB2454" s="53"/>
      <c r="AC2454" s="53"/>
      <c r="AD2454" s="53"/>
      <c r="AE2454" s="53"/>
      <c r="AF2454" s="53"/>
      <c r="AG2454" s="53"/>
      <c r="AH2454" s="54"/>
      <c r="AI2454" s="53"/>
      <c r="AJ2454" s="53"/>
      <c r="AK2454" s="54"/>
      <c r="AL2454" s="54"/>
    </row>
    <row r="2455" spans="1:38" ht="15.75" thickBot="1" x14ac:dyDescent="0.3">
      <c r="A2455" s="51"/>
      <c r="B2455" s="51"/>
      <c r="C2455" s="51"/>
      <c r="D2455" s="51"/>
      <c r="E2455" s="51"/>
      <c r="F2455" s="51"/>
      <c r="G2455" s="56"/>
      <c r="H2455" s="55"/>
      <c r="I2455" s="55"/>
      <c r="J2455" s="55"/>
      <c r="K2455" s="55"/>
      <c r="L2455" s="55"/>
      <c r="M2455" s="55"/>
      <c r="N2455" s="55"/>
      <c r="O2455" s="55"/>
      <c r="P2455" s="55"/>
      <c r="Q2455" s="55"/>
      <c r="R2455" s="55"/>
      <c r="S2455" s="55"/>
      <c r="T2455" s="55"/>
      <c r="U2455" s="55"/>
      <c r="V2455" s="55"/>
      <c r="W2455" s="55"/>
      <c r="X2455" s="55"/>
      <c r="Y2455" s="55"/>
      <c r="Z2455" s="55"/>
      <c r="AA2455" s="55"/>
      <c r="AB2455" s="55"/>
      <c r="AC2455" s="56"/>
      <c r="AD2455" s="55"/>
      <c r="AE2455" s="55"/>
      <c r="AF2455" s="55"/>
      <c r="AG2455" s="55"/>
      <c r="AH2455" s="56"/>
      <c r="AI2455" s="55"/>
      <c r="AJ2455" s="55"/>
      <c r="AK2455" s="56"/>
      <c r="AL2455" s="56"/>
    </row>
    <row r="2456" spans="1:38" ht="15.75" thickBot="1" x14ac:dyDescent="0.3">
      <c r="A2456" s="51"/>
      <c r="B2456" s="51"/>
      <c r="C2456" s="51"/>
      <c r="D2456" s="51"/>
      <c r="E2456" s="51"/>
      <c r="F2456" s="51"/>
      <c r="G2456" s="54"/>
      <c r="H2456" s="53"/>
      <c r="I2456" s="53"/>
      <c r="J2456" s="53"/>
      <c r="K2456" s="53"/>
      <c r="L2456" s="53"/>
      <c r="M2456" s="53"/>
      <c r="N2456" s="53"/>
      <c r="O2456" s="53"/>
      <c r="P2456" s="53"/>
      <c r="Q2456" s="53"/>
      <c r="R2456" s="53"/>
      <c r="S2456" s="53"/>
      <c r="T2456" s="53"/>
      <c r="U2456" s="53"/>
      <c r="V2456" s="53"/>
      <c r="W2456" s="53"/>
      <c r="X2456" s="53"/>
      <c r="Y2456" s="53"/>
      <c r="Z2456" s="53"/>
      <c r="AA2456" s="53"/>
      <c r="AB2456" s="53"/>
      <c r="AC2456" s="54"/>
      <c r="AD2456" s="53"/>
      <c r="AE2456" s="53"/>
      <c r="AF2456" s="53"/>
      <c r="AG2456" s="53"/>
      <c r="AH2456" s="54"/>
      <c r="AI2456" s="53"/>
      <c r="AJ2456" s="53"/>
      <c r="AK2456" s="54"/>
      <c r="AL2456" s="54"/>
    </row>
    <row r="2457" spans="1:38" ht="15.75" thickBot="1" x14ac:dyDescent="0.3">
      <c r="A2457" s="51"/>
      <c r="B2457" s="51"/>
      <c r="C2457" s="51"/>
      <c r="D2457" s="51"/>
      <c r="E2457" s="51"/>
      <c r="F2457" s="51"/>
      <c r="G2457" s="56"/>
      <c r="H2457" s="55"/>
      <c r="I2457" s="55"/>
      <c r="J2457" s="55"/>
      <c r="K2457" s="56"/>
      <c r="L2457" s="55"/>
      <c r="M2457" s="55"/>
      <c r="N2457" s="55"/>
      <c r="O2457" s="55"/>
      <c r="P2457" s="55"/>
      <c r="Q2457" s="55"/>
      <c r="R2457" s="55"/>
      <c r="S2457" s="55"/>
      <c r="T2457" s="55"/>
      <c r="U2457" s="55"/>
      <c r="V2457" s="55"/>
      <c r="W2457" s="55"/>
      <c r="X2457" s="55"/>
      <c r="Y2457" s="55"/>
      <c r="Z2457" s="55"/>
      <c r="AA2457" s="55"/>
      <c r="AB2457" s="55"/>
      <c r="AC2457" s="55"/>
      <c r="AD2457" s="55"/>
      <c r="AE2457" s="55"/>
      <c r="AF2457" s="55"/>
      <c r="AG2457" s="55"/>
      <c r="AH2457" s="56"/>
      <c r="AI2457" s="55"/>
      <c r="AJ2457" s="55"/>
      <c r="AK2457" s="56"/>
      <c r="AL2457" s="56"/>
    </row>
    <row r="2458" spans="1:38" ht="15.75" thickBot="1" x14ac:dyDescent="0.3">
      <c r="A2458" s="51"/>
      <c r="B2458" s="51"/>
      <c r="C2458" s="51"/>
      <c r="D2458" s="51"/>
      <c r="E2458" s="51"/>
      <c r="F2458" s="51"/>
      <c r="G2458" s="54"/>
      <c r="H2458" s="53"/>
      <c r="I2458" s="53"/>
      <c r="J2458" s="53"/>
      <c r="K2458" s="54"/>
      <c r="L2458" s="53"/>
      <c r="M2458" s="53"/>
      <c r="N2458" s="53"/>
      <c r="O2458" s="53"/>
      <c r="P2458" s="53"/>
      <c r="Q2458" s="53"/>
      <c r="R2458" s="53"/>
      <c r="S2458" s="53"/>
      <c r="T2458" s="53"/>
      <c r="U2458" s="53"/>
      <c r="V2458" s="53"/>
      <c r="W2458" s="53"/>
      <c r="X2458" s="53"/>
      <c r="Y2458" s="53"/>
      <c r="Z2458" s="53"/>
      <c r="AA2458" s="53"/>
      <c r="AB2458" s="53"/>
      <c r="AC2458" s="53"/>
      <c r="AD2458" s="53"/>
      <c r="AE2458" s="53"/>
      <c r="AF2458" s="53"/>
      <c r="AG2458" s="53"/>
      <c r="AH2458" s="54"/>
      <c r="AI2458" s="53"/>
      <c r="AJ2458" s="53"/>
      <c r="AK2458" s="54"/>
      <c r="AL2458" s="54"/>
    </row>
    <row r="2459" spans="1:38" ht="15.75" thickBot="1" x14ac:dyDescent="0.3">
      <c r="A2459" s="51"/>
      <c r="B2459" s="51"/>
      <c r="C2459" s="51"/>
      <c r="D2459" s="51"/>
      <c r="E2459" s="51"/>
      <c r="F2459" s="51"/>
      <c r="G2459" s="55"/>
      <c r="H2459" s="55"/>
      <c r="I2459" s="55"/>
      <c r="J2459" s="55"/>
      <c r="K2459" s="55"/>
      <c r="L2459" s="55"/>
      <c r="M2459" s="55"/>
      <c r="N2459" s="55"/>
      <c r="O2459" s="55"/>
      <c r="P2459" s="55"/>
      <c r="Q2459" s="55"/>
      <c r="R2459" s="55"/>
      <c r="S2459" s="55"/>
      <c r="T2459" s="55"/>
      <c r="U2459" s="55"/>
      <c r="V2459" s="55"/>
      <c r="W2459" s="55"/>
      <c r="X2459" s="55"/>
      <c r="Y2459" s="55"/>
      <c r="Z2459" s="55"/>
      <c r="AA2459" s="55"/>
      <c r="AB2459" s="55"/>
      <c r="AC2459" s="55"/>
      <c r="AD2459" s="55"/>
      <c r="AE2459" s="55"/>
      <c r="AF2459" s="55"/>
      <c r="AG2459" s="56"/>
      <c r="AH2459" s="56"/>
      <c r="AI2459" s="55"/>
      <c r="AJ2459" s="55"/>
      <c r="AK2459" s="56"/>
      <c r="AL2459" s="56"/>
    </row>
    <row r="2460" spans="1:38" ht="15.75" thickBot="1" x14ac:dyDescent="0.3">
      <c r="A2460" s="51"/>
      <c r="B2460" s="51"/>
      <c r="C2460" s="51"/>
      <c r="D2460" s="51"/>
      <c r="E2460" s="51"/>
      <c r="F2460" s="51"/>
      <c r="G2460" s="53"/>
      <c r="H2460" s="53"/>
      <c r="I2460" s="53"/>
      <c r="J2460" s="53"/>
      <c r="K2460" s="53"/>
      <c r="L2460" s="53"/>
      <c r="M2460" s="53"/>
      <c r="N2460" s="53"/>
      <c r="O2460" s="53"/>
      <c r="P2460" s="53"/>
      <c r="Q2460" s="53"/>
      <c r="R2460" s="53"/>
      <c r="S2460" s="53"/>
      <c r="T2460" s="53"/>
      <c r="U2460" s="53"/>
      <c r="V2460" s="53"/>
      <c r="W2460" s="53"/>
      <c r="X2460" s="53"/>
      <c r="Y2460" s="53"/>
      <c r="Z2460" s="53"/>
      <c r="AA2460" s="53"/>
      <c r="AB2460" s="53"/>
      <c r="AC2460" s="53"/>
      <c r="AD2460" s="53"/>
      <c r="AE2460" s="53"/>
      <c r="AF2460" s="53"/>
      <c r="AG2460" s="54"/>
      <c r="AH2460" s="54"/>
      <c r="AI2460" s="53"/>
      <c r="AJ2460" s="53"/>
      <c r="AK2460" s="54"/>
      <c r="AL2460" s="54"/>
    </row>
    <row r="2461" spans="1:38" ht="15.75" thickBot="1" x14ac:dyDescent="0.3">
      <c r="A2461" s="51"/>
      <c r="B2461" s="51"/>
      <c r="C2461" s="51"/>
      <c r="D2461" s="51"/>
      <c r="E2461" s="51"/>
      <c r="F2461" s="51"/>
      <c r="G2461" s="56"/>
      <c r="H2461" s="55"/>
      <c r="I2461" s="55"/>
      <c r="J2461" s="55"/>
      <c r="K2461" s="56"/>
      <c r="L2461" s="55"/>
      <c r="M2461" s="55"/>
      <c r="N2461" s="55"/>
      <c r="O2461" s="55"/>
      <c r="P2461" s="55"/>
      <c r="Q2461" s="55"/>
      <c r="R2461" s="55"/>
      <c r="S2461" s="55"/>
      <c r="T2461" s="55"/>
      <c r="U2461" s="55"/>
      <c r="V2461" s="55"/>
      <c r="W2461" s="55"/>
      <c r="X2461" s="55"/>
      <c r="Y2461" s="55"/>
      <c r="Z2461" s="55"/>
      <c r="AA2461" s="55"/>
      <c r="AB2461" s="55"/>
      <c r="AC2461" s="55"/>
      <c r="AD2461" s="55"/>
      <c r="AE2461" s="55"/>
      <c r="AF2461" s="55"/>
      <c r="AG2461" s="55"/>
      <c r="AH2461" s="56"/>
      <c r="AI2461" s="55"/>
      <c r="AJ2461" s="55"/>
      <c r="AK2461" s="56"/>
      <c r="AL2461" s="56"/>
    </row>
    <row r="2462" spans="1:38" ht="15.75" thickBot="1" x14ac:dyDescent="0.3">
      <c r="A2462" s="51"/>
      <c r="B2462" s="51"/>
      <c r="C2462" s="51"/>
      <c r="D2462" s="51"/>
      <c r="E2462" s="51"/>
      <c r="F2462" s="51"/>
      <c r="G2462" s="54"/>
      <c r="H2462" s="53"/>
      <c r="I2462" s="53"/>
      <c r="J2462" s="53"/>
      <c r="K2462" s="54"/>
      <c r="L2462" s="53"/>
      <c r="M2462" s="53"/>
      <c r="N2462" s="53"/>
      <c r="O2462" s="53"/>
      <c r="P2462" s="53"/>
      <c r="Q2462" s="53"/>
      <c r="R2462" s="53"/>
      <c r="S2462" s="53"/>
      <c r="T2462" s="53"/>
      <c r="U2462" s="53"/>
      <c r="V2462" s="53"/>
      <c r="W2462" s="53"/>
      <c r="X2462" s="53"/>
      <c r="Y2462" s="53"/>
      <c r="Z2462" s="53"/>
      <c r="AA2462" s="53"/>
      <c r="AB2462" s="53"/>
      <c r="AC2462" s="53"/>
      <c r="AD2462" s="53"/>
      <c r="AE2462" s="53"/>
      <c r="AF2462" s="53"/>
      <c r="AG2462" s="53"/>
      <c r="AH2462" s="54"/>
      <c r="AI2462" s="53"/>
      <c r="AJ2462" s="53"/>
      <c r="AK2462" s="54"/>
      <c r="AL2462" s="54"/>
    </row>
    <row r="2463" spans="1:38" ht="15.75" thickBot="1" x14ac:dyDescent="0.3">
      <c r="A2463" s="51"/>
      <c r="B2463" s="51"/>
      <c r="C2463" s="51"/>
      <c r="D2463" s="51"/>
      <c r="E2463" s="51"/>
      <c r="F2463" s="51"/>
      <c r="G2463" s="56"/>
      <c r="H2463" s="56"/>
      <c r="I2463" s="55"/>
      <c r="J2463" s="55"/>
      <c r="K2463" s="55"/>
      <c r="L2463" s="55"/>
      <c r="M2463" s="56"/>
      <c r="N2463" s="55"/>
      <c r="O2463" s="55"/>
      <c r="P2463" s="55"/>
      <c r="Q2463" s="55"/>
      <c r="R2463" s="55"/>
      <c r="S2463" s="55"/>
      <c r="T2463" s="55"/>
      <c r="U2463" s="55"/>
      <c r="V2463" s="55"/>
      <c r="W2463" s="55"/>
      <c r="X2463" s="55"/>
      <c r="Y2463" s="55"/>
      <c r="Z2463" s="55"/>
      <c r="AA2463" s="55"/>
      <c r="AB2463" s="55"/>
      <c r="AC2463" s="55"/>
      <c r="AD2463" s="55"/>
      <c r="AE2463" s="55"/>
      <c r="AF2463" s="55"/>
      <c r="AG2463" s="55"/>
      <c r="AH2463" s="56"/>
      <c r="AI2463" s="55"/>
      <c r="AJ2463" s="55"/>
      <c r="AK2463" s="56"/>
      <c r="AL2463" s="56"/>
    </row>
    <row r="2464" spans="1:38" ht="15.75" thickBot="1" x14ac:dyDescent="0.3">
      <c r="A2464" s="51"/>
      <c r="B2464" s="51"/>
      <c r="C2464" s="51"/>
      <c r="D2464" s="51"/>
      <c r="E2464" s="51"/>
      <c r="F2464" s="51"/>
      <c r="G2464" s="54"/>
      <c r="H2464" s="147"/>
      <c r="I2464" s="53"/>
      <c r="J2464" s="53"/>
      <c r="K2464" s="53"/>
      <c r="L2464" s="53"/>
      <c r="M2464" s="54"/>
      <c r="N2464" s="53"/>
      <c r="O2464" s="53"/>
      <c r="P2464" s="53"/>
      <c r="Q2464" s="53"/>
      <c r="R2464" s="53"/>
      <c r="S2464" s="53"/>
      <c r="T2464" s="53"/>
      <c r="U2464" s="53"/>
      <c r="V2464" s="53"/>
      <c r="W2464" s="53"/>
      <c r="X2464" s="53"/>
      <c r="Y2464" s="53"/>
      <c r="Z2464" s="53"/>
      <c r="AA2464" s="53"/>
      <c r="AB2464" s="53"/>
      <c r="AC2464" s="53"/>
      <c r="AD2464" s="53"/>
      <c r="AE2464" s="53"/>
      <c r="AF2464" s="53"/>
      <c r="AG2464" s="53"/>
      <c r="AH2464" s="54"/>
      <c r="AI2464" s="53"/>
      <c r="AJ2464" s="53"/>
      <c r="AK2464" s="54"/>
      <c r="AL2464" s="54"/>
    </row>
    <row r="2465" spans="1:38" ht="15.75" thickBot="1" x14ac:dyDescent="0.3">
      <c r="A2465" s="51"/>
      <c r="B2465" s="51"/>
      <c r="C2465" s="51"/>
      <c r="D2465" s="51"/>
      <c r="E2465" s="51"/>
      <c r="F2465" s="51"/>
      <c r="G2465" s="56"/>
      <c r="H2465" s="55"/>
      <c r="I2465" s="55"/>
      <c r="J2465" s="55"/>
      <c r="K2465" s="55"/>
      <c r="L2465" s="55"/>
      <c r="M2465" s="55"/>
      <c r="N2465" s="55"/>
      <c r="O2465" s="55"/>
      <c r="P2465" s="55"/>
      <c r="Q2465" s="56"/>
      <c r="R2465" s="55"/>
      <c r="S2465" s="55"/>
      <c r="T2465" s="55"/>
      <c r="U2465" s="55"/>
      <c r="V2465" s="55"/>
      <c r="W2465" s="55"/>
      <c r="X2465" s="55"/>
      <c r="Y2465" s="55"/>
      <c r="Z2465" s="55"/>
      <c r="AA2465" s="55"/>
      <c r="AB2465" s="55"/>
      <c r="AC2465" s="55"/>
      <c r="AD2465" s="55"/>
      <c r="AE2465" s="55"/>
      <c r="AF2465" s="55"/>
      <c r="AG2465" s="55"/>
      <c r="AH2465" s="56"/>
      <c r="AI2465" s="55"/>
      <c r="AJ2465" s="55"/>
      <c r="AK2465" s="56"/>
      <c r="AL2465" s="56"/>
    </row>
    <row r="2466" spans="1:38" ht="15.75" thickBot="1" x14ac:dyDescent="0.3">
      <c r="A2466" s="51"/>
      <c r="B2466" s="51"/>
      <c r="C2466" s="51"/>
      <c r="D2466" s="51"/>
      <c r="E2466" s="51"/>
      <c r="F2466" s="51"/>
      <c r="G2466" s="54"/>
      <c r="H2466" s="53"/>
      <c r="I2466" s="53"/>
      <c r="J2466" s="53"/>
      <c r="K2466" s="53"/>
      <c r="L2466" s="53"/>
      <c r="M2466" s="53"/>
      <c r="N2466" s="53"/>
      <c r="O2466" s="53"/>
      <c r="P2466" s="53"/>
      <c r="Q2466" s="54"/>
      <c r="R2466" s="53"/>
      <c r="S2466" s="53"/>
      <c r="T2466" s="53"/>
      <c r="U2466" s="53"/>
      <c r="V2466" s="53"/>
      <c r="W2466" s="53"/>
      <c r="X2466" s="53"/>
      <c r="Y2466" s="53"/>
      <c r="Z2466" s="53"/>
      <c r="AA2466" s="53"/>
      <c r="AB2466" s="53"/>
      <c r="AC2466" s="53"/>
      <c r="AD2466" s="53"/>
      <c r="AE2466" s="53"/>
      <c r="AF2466" s="53"/>
      <c r="AG2466" s="53"/>
      <c r="AH2466" s="54"/>
      <c r="AI2466" s="53"/>
      <c r="AJ2466" s="53"/>
      <c r="AK2466" s="54"/>
      <c r="AL2466" s="54"/>
    </row>
    <row r="2467" spans="1:38" ht="15.75" thickBot="1" x14ac:dyDescent="0.3">
      <c r="A2467" s="51"/>
      <c r="B2467" s="51"/>
      <c r="C2467" s="51"/>
      <c r="D2467" s="51"/>
      <c r="E2467" s="51"/>
      <c r="F2467" s="51"/>
      <c r="G2467" s="55"/>
      <c r="H2467" s="55"/>
      <c r="I2467" s="55"/>
      <c r="J2467" s="55"/>
      <c r="K2467" s="55"/>
      <c r="L2467" s="55"/>
      <c r="M2467" s="55"/>
      <c r="N2467" s="55"/>
      <c r="O2467" s="55"/>
      <c r="P2467" s="55"/>
      <c r="Q2467" s="55"/>
      <c r="R2467" s="55"/>
      <c r="S2467" s="55"/>
      <c r="T2467" s="55"/>
      <c r="U2467" s="55"/>
      <c r="V2467" s="55"/>
      <c r="W2467" s="55"/>
      <c r="X2467" s="55"/>
      <c r="Y2467" s="55"/>
      <c r="Z2467" s="55"/>
      <c r="AA2467" s="55"/>
      <c r="AB2467" s="55"/>
      <c r="AC2467" s="55"/>
      <c r="AD2467" s="55"/>
      <c r="AE2467" s="55"/>
      <c r="AF2467" s="56"/>
      <c r="AG2467" s="55"/>
      <c r="AH2467" s="56"/>
      <c r="AI2467" s="55"/>
      <c r="AJ2467" s="55"/>
      <c r="AK2467" s="56"/>
      <c r="AL2467" s="56"/>
    </row>
    <row r="2468" spans="1:38" ht="15.75" thickBot="1" x14ac:dyDescent="0.3">
      <c r="A2468" s="51"/>
      <c r="B2468" s="51"/>
      <c r="C2468" s="51"/>
      <c r="D2468" s="51"/>
      <c r="E2468" s="51"/>
      <c r="F2468" s="51"/>
      <c r="G2468" s="53"/>
      <c r="H2468" s="53"/>
      <c r="I2468" s="53"/>
      <c r="J2468" s="53"/>
      <c r="K2468" s="53"/>
      <c r="L2468" s="53"/>
      <c r="M2468" s="53"/>
      <c r="N2468" s="53"/>
      <c r="O2468" s="53"/>
      <c r="P2468" s="53"/>
      <c r="Q2468" s="53"/>
      <c r="R2468" s="53"/>
      <c r="S2468" s="53"/>
      <c r="T2468" s="53"/>
      <c r="U2468" s="53"/>
      <c r="V2468" s="53"/>
      <c r="W2468" s="53"/>
      <c r="X2468" s="53"/>
      <c r="Y2468" s="53"/>
      <c r="Z2468" s="53"/>
      <c r="AA2468" s="53"/>
      <c r="AB2468" s="53"/>
      <c r="AC2468" s="53"/>
      <c r="AD2468" s="53"/>
      <c r="AE2468" s="53"/>
      <c r="AF2468" s="54"/>
      <c r="AG2468" s="53"/>
      <c r="AH2468" s="54"/>
      <c r="AI2468" s="53"/>
      <c r="AJ2468" s="53"/>
      <c r="AK2468" s="54"/>
      <c r="AL2468" s="54"/>
    </row>
    <row r="2469" spans="1:38" ht="15.75" thickBot="1" x14ac:dyDescent="0.3">
      <c r="A2469" s="51"/>
      <c r="B2469" s="51"/>
      <c r="C2469" s="51"/>
      <c r="D2469" s="51"/>
      <c r="E2469" s="51"/>
      <c r="F2469" s="51"/>
      <c r="G2469" s="56"/>
      <c r="H2469" s="55"/>
      <c r="I2469" s="55"/>
      <c r="J2469" s="55"/>
      <c r="K2469" s="55"/>
      <c r="L2469" s="55"/>
      <c r="M2469" s="55"/>
      <c r="N2469" s="55"/>
      <c r="O2469" s="55"/>
      <c r="P2469" s="55"/>
      <c r="Q2469" s="55"/>
      <c r="R2469" s="55"/>
      <c r="S2469" s="55"/>
      <c r="T2469" s="55"/>
      <c r="U2469" s="55"/>
      <c r="V2469" s="55"/>
      <c r="W2469" s="55"/>
      <c r="X2469" s="55"/>
      <c r="Y2469" s="55"/>
      <c r="Z2469" s="56"/>
      <c r="AA2469" s="55"/>
      <c r="AB2469" s="55"/>
      <c r="AC2469" s="55"/>
      <c r="AD2469" s="55"/>
      <c r="AE2469" s="55"/>
      <c r="AF2469" s="55"/>
      <c r="AG2469" s="55"/>
      <c r="AH2469" s="56"/>
      <c r="AI2469" s="55"/>
      <c r="AJ2469" s="55"/>
      <c r="AK2469" s="56"/>
      <c r="AL2469" s="56"/>
    </row>
    <row r="2470" spans="1:38" ht="15.75" thickBot="1" x14ac:dyDescent="0.3">
      <c r="A2470" s="51"/>
      <c r="B2470" s="51"/>
      <c r="C2470" s="51"/>
      <c r="D2470" s="51"/>
      <c r="E2470" s="51"/>
      <c r="F2470" s="51"/>
      <c r="G2470" s="54"/>
      <c r="H2470" s="53"/>
      <c r="I2470" s="53"/>
      <c r="J2470" s="53"/>
      <c r="K2470" s="53"/>
      <c r="L2470" s="53"/>
      <c r="M2470" s="53"/>
      <c r="N2470" s="53"/>
      <c r="O2470" s="53"/>
      <c r="P2470" s="53"/>
      <c r="Q2470" s="53"/>
      <c r="R2470" s="53"/>
      <c r="S2470" s="53"/>
      <c r="T2470" s="53"/>
      <c r="U2470" s="53"/>
      <c r="V2470" s="53"/>
      <c r="W2470" s="53"/>
      <c r="X2470" s="53"/>
      <c r="Y2470" s="53"/>
      <c r="Z2470" s="54"/>
      <c r="AA2470" s="53"/>
      <c r="AB2470" s="53"/>
      <c r="AC2470" s="53"/>
      <c r="AD2470" s="53"/>
      <c r="AE2470" s="53"/>
      <c r="AF2470" s="53"/>
      <c r="AG2470" s="53"/>
      <c r="AH2470" s="54"/>
      <c r="AI2470" s="53"/>
      <c r="AJ2470" s="53"/>
      <c r="AK2470" s="54"/>
      <c r="AL2470" s="54"/>
    </row>
    <row r="2471" spans="1:38" ht="15.75" thickBot="1" x14ac:dyDescent="0.3">
      <c r="A2471" s="51"/>
      <c r="B2471" s="51"/>
      <c r="C2471" s="51"/>
      <c r="D2471" s="51"/>
      <c r="E2471" s="51"/>
      <c r="F2471" s="51"/>
      <c r="G2471" s="56"/>
      <c r="H2471" s="55"/>
      <c r="I2471" s="55"/>
      <c r="J2471" s="55"/>
      <c r="K2471" s="55"/>
      <c r="L2471" s="55"/>
      <c r="M2471" s="55"/>
      <c r="N2471" s="55"/>
      <c r="O2471" s="55"/>
      <c r="P2471" s="55"/>
      <c r="Q2471" s="55"/>
      <c r="R2471" s="55"/>
      <c r="S2471" s="55"/>
      <c r="T2471" s="55"/>
      <c r="U2471" s="55"/>
      <c r="V2471" s="55"/>
      <c r="W2471" s="55"/>
      <c r="X2471" s="55"/>
      <c r="Y2471" s="55"/>
      <c r="Z2471" s="56"/>
      <c r="AA2471" s="55"/>
      <c r="AB2471" s="55"/>
      <c r="AC2471" s="55"/>
      <c r="AD2471" s="55"/>
      <c r="AE2471" s="55"/>
      <c r="AF2471" s="55"/>
      <c r="AG2471" s="55"/>
      <c r="AH2471" s="56"/>
      <c r="AI2471" s="55"/>
      <c r="AJ2471" s="55"/>
      <c r="AK2471" s="56"/>
      <c r="AL2471" s="56"/>
    </row>
    <row r="2472" spans="1:38" ht="15.75" thickBot="1" x14ac:dyDescent="0.3">
      <c r="A2472" s="51"/>
      <c r="B2472" s="51"/>
      <c r="C2472" s="51"/>
      <c r="D2472" s="51"/>
      <c r="E2472" s="51"/>
      <c r="F2472" s="51"/>
      <c r="G2472" s="54"/>
      <c r="H2472" s="53"/>
      <c r="I2472" s="53"/>
      <c r="J2472" s="53"/>
      <c r="K2472" s="53"/>
      <c r="L2472" s="53"/>
      <c r="M2472" s="53"/>
      <c r="N2472" s="53"/>
      <c r="O2472" s="53"/>
      <c r="P2472" s="53"/>
      <c r="Q2472" s="53"/>
      <c r="R2472" s="53"/>
      <c r="S2472" s="53"/>
      <c r="T2472" s="53"/>
      <c r="U2472" s="53"/>
      <c r="V2472" s="53"/>
      <c r="W2472" s="53"/>
      <c r="X2472" s="53"/>
      <c r="Y2472" s="53"/>
      <c r="Z2472" s="54"/>
      <c r="AA2472" s="53"/>
      <c r="AB2472" s="53"/>
      <c r="AC2472" s="53"/>
      <c r="AD2472" s="53"/>
      <c r="AE2472" s="53"/>
      <c r="AF2472" s="53"/>
      <c r="AG2472" s="53"/>
      <c r="AH2472" s="54"/>
      <c r="AI2472" s="53"/>
      <c r="AJ2472" s="53"/>
      <c r="AK2472" s="54"/>
      <c r="AL2472" s="54"/>
    </row>
    <row r="2473" spans="1:38" ht="15.75" thickBot="1" x14ac:dyDescent="0.3">
      <c r="A2473" s="51"/>
      <c r="B2473" s="51"/>
      <c r="C2473" s="51"/>
      <c r="D2473" s="51"/>
      <c r="E2473" s="51"/>
      <c r="F2473" s="51"/>
      <c r="G2473" s="56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/>
      <c r="R2473" s="55"/>
      <c r="S2473" s="55"/>
      <c r="T2473" s="55"/>
      <c r="U2473" s="55"/>
      <c r="V2473" s="55"/>
      <c r="W2473" s="55"/>
      <c r="X2473" s="55"/>
      <c r="Y2473" s="55"/>
      <c r="Z2473" s="55"/>
      <c r="AA2473" s="56"/>
      <c r="AB2473" s="55"/>
      <c r="AC2473" s="55"/>
      <c r="AD2473" s="55"/>
      <c r="AE2473" s="55"/>
      <c r="AF2473" s="55"/>
      <c r="AG2473" s="55"/>
      <c r="AH2473" s="56"/>
      <c r="AI2473" s="55"/>
      <c r="AJ2473" s="55"/>
      <c r="AK2473" s="56"/>
      <c r="AL2473" s="56"/>
    </row>
    <row r="2474" spans="1:38" ht="15.75" thickBot="1" x14ac:dyDescent="0.3">
      <c r="A2474" s="51"/>
      <c r="B2474" s="51"/>
      <c r="C2474" s="51"/>
      <c r="D2474" s="51"/>
      <c r="E2474" s="51"/>
      <c r="F2474" s="51"/>
      <c r="G2474" s="54"/>
      <c r="H2474" s="53"/>
      <c r="I2474" s="53"/>
      <c r="J2474" s="53"/>
      <c r="K2474" s="53"/>
      <c r="L2474" s="53"/>
      <c r="M2474" s="53"/>
      <c r="N2474" s="53"/>
      <c r="O2474" s="53"/>
      <c r="P2474" s="53"/>
      <c r="Q2474" s="53"/>
      <c r="R2474" s="53"/>
      <c r="S2474" s="53"/>
      <c r="T2474" s="53"/>
      <c r="U2474" s="53"/>
      <c r="V2474" s="53"/>
      <c r="W2474" s="53"/>
      <c r="X2474" s="53"/>
      <c r="Y2474" s="53"/>
      <c r="Z2474" s="53"/>
      <c r="AA2474" s="54"/>
      <c r="AB2474" s="53"/>
      <c r="AC2474" s="53"/>
      <c r="AD2474" s="53"/>
      <c r="AE2474" s="53"/>
      <c r="AF2474" s="53"/>
      <c r="AG2474" s="53"/>
      <c r="AH2474" s="54"/>
      <c r="AI2474" s="53"/>
      <c r="AJ2474" s="53"/>
      <c r="AK2474" s="54"/>
      <c r="AL2474" s="54"/>
    </row>
    <row r="2475" spans="1:38" ht="15.75" thickBot="1" x14ac:dyDescent="0.3">
      <c r="A2475" s="51"/>
      <c r="B2475" s="51"/>
      <c r="C2475" s="51"/>
      <c r="D2475" s="51"/>
      <c r="E2475" s="51"/>
      <c r="F2475" s="51"/>
      <c r="G2475" s="56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6"/>
      <c r="S2475" s="55"/>
      <c r="T2475" s="55"/>
      <c r="U2475" s="55"/>
      <c r="V2475" s="55"/>
      <c r="W2475" s="55"/>
      <c r="X2475" s="55"/>
      <c r="Y2475" s="55"/>
      <c r="Z2475" s="55"/>
      <c r="AA2475" s="55"/>
      <c r="AB2475" s="55"/>
      <c r="AC2475" s="55"/>
      <c r="AD2475" s="55"/>
      <c r="AE2475" s="55"/>
      <c r="AF2475" s="55"/>
      <c r="AG2475" s="55"/>
      <c r="AH2475" s="56"/>
      <c r="AI2475" s="55"/>
      <c r="AJ2475" s="55"/>
      <c r="AK2475" s="56"/>
      <c r="AL2475" s="56"/>
    </row>
    <row r="2476" spans="1:38" ht="15.75" thickBot="1" x14ac:dyDescent="0.3">
      <c r="A2476" s="51"/>
      <c r="B2476" s="51"/>
      <c r="C2476" s="51"/>
      <c r="D2476" s="51"/>
      <c r="E2476" s="51"/>
      <c r="F2476" s="51"/>
      <c r="G2476" s="54"/>
      <c r="H2476" s="53"/>
      <c r="I2476" s="53"/>
      <c r="J2476" s="53"/>
      <c r="K2476" s="53"/>
      <c r="L2476" s="53"/>
      <c r="M2476" s="53"/>
      <c r="N2476" s="53"/>
      <c r="O2476" s="53"/>
      <c r="P2476" s="53"/>
      <c r="Q2476" s="53"/>
      <c r="R2476" s="54"/>
      <c r="S2476" s="53"/>
      <c r="T2476" s="53"/>
      <c r="U2476" s="53"/>
      <c r="V2476" s="53"/>
      <c r="W2476" s="53"/>
      <c r="X2476" s="53"/>
      <c r="Y2476" s="53"/>
      <c r="Z2476" s="53"/>
      <c r="AA2476" s="53"/>
      <c r="AB2476" s="53"/>
      <c r="AC2476" s="53"/>
      <c r="AD2476" s="53"/>
      <c r="AE2476" s="53"/>
      <c r="AF2476" s="53"/>
      <c r="AG2476" s="53"/>
      <c r="AH2476" s="54"/>
      <c r="AI2476" s="53"/>
      <c r="AJ2476" s="53"/>
      <c r="AK2476" s="54"/>
      <c r="AL2476" s="54"/>
    </row>
    <row r="2477" spans="1:38" ht="15.75" thickBot="1" x14ac:dyDescent="0.3">
      <c r="A2477" s="51"/>
      <c r="B2477" s="51"/>
      <c r="C2477" s="51"/>
      <c r="D2477" s="51"/>
      <c r="E2477" s="51"/>
      <c r="F2477" s="51"/>
      <c r="G2477" s="56"/>
      <c r="H2477" s="55"/>
      <c r="I2477" s="55"/>
      <c r="J2477" s="55"/>
      <c r="K2477" s="55"/>
      <c r="L2477" s="55"/>
      <c r="M2477" s="55"/>
      <c r="N2477" s="55"/>
      <c r="O2477" s="55"/>
      <c r="P2477" s="55"/>
      <c r="Q2477" s="55"/>
      <c r="R2477" s="55"/>
      <c r="S2477" s="55"/>
      <c r="T2477" s="55"/>
      <c r="U2477" s="55"/>
      <c r="V2477" s="55"/>
      <c r="W2477" s="55"/>
      <c r="X2477" s="55"/>
      <c r="Y2477" s="55"/>
      <c r="Z2477" s="55"/>
      <c r="AA2477" s="55"/>
      <c r="AB2477" s="55"/>
      <c r="AC2477" s="56"/>
      <c r="AD2477" s="55"/>
      <c r="AE2477" s="55"/>
      <c r="AF2477" s="55"/>
      <c r="AG2477" s="55"/>
      <c r="AH2477" s="56"/>
      <c r="AI2477" s="55"/>
      <c r="AJ2477" s="55"/>
      <c r="AK2477" s="56"/>
      <c r="AL2477" s="56"/>
    </row>
    <row r="2478" spans="1:38" ht="15.75" thickBot="1" x14ac:dyDescent="0.3">
      <c r="A2478" s="51"/>
      <c r="B2478" s="51"/>
      <c r="C2478" s="51"/>
      <c r="D2478" s="51"/>
      <c r="E2478" s="51"/>
      <c r="F2478" s="51"/>
      <c r="G2478" s="54"/>
      <c r="H2478" s="53"/>
      <c r="I2478" s="53"/>
      <c r="J2478" s="53"/>
      <c r="K2478" s="53"/>
      <c r="L2478" s="53"/>
      <c r="M2478" s="53"/>
      <c r="N2478" s="53"/>
      <c r="O2478" s="53"/>
      <c r="P2478" s="53"/>
      <c r="Q2478" s="53"/>
      <c r="R2478" s="53"/>
      <c r="S2478" s="53"/>
      <c r="T2478" s="53"/>
      <c r="U2478" s="53"/>
      <c r="V2478" s="53"/>
      <c r="W2478" s="53"/>
      <c r="X2478" s="53"/>
      <c r="Y2478" s="53"/>
      <c r="Z2478" s="53"/>
      <c r="AA2478" s="53"/>
      <c r="AB2478" s="53"/>
      <c r="AC2478" s="54"/>
      <c r="AD2478" s="53"/>
      <c r="AE2478" s="53"/>
      <c r="AF2478" s="53"/>
      <c r="AG2478" s="53"/>
      <c r="AH2478" s="54"/>
      <c r="AI2478" s="53"/>
      <c r="AJ2478" s="53"/>
      <c r="AK2478" s="54"/>
      <c r="AL2478" s="54"/>
    </row>
    <row r="2479" spans="1:38" ht="15.75" thickBot="1" x14ac:dyDescent="0.3">
      <c r="A2479" s="51"/>
      <c r="B2479" s="51"/>
      <c r="C2479" s="51"/>
      <c r="D2479" s="51"/>
      <c r="E2479" s="51"/>
      <c r="F2479" s="51"/>
      <c r="G2479" s="56"/>
      <c r="H2479" s="55"/>
      <c r="I2479" s="55"/>
      <c r="J2479" s="55"/>
      <c r="K2479" s="55"/>
      <c r="L2479" s="55"/>
      <c r="M2479" s="55"/>
      <c r="N2479" s="55"/>
      <c r="O2479" s="55"/>
      <c r="P2479" s="55"/>
      <c r="Q2479" s="55"/>
      <c r="R2479" s="55"/>
      <c r="S2479" s="55"/>
      <c r="T2479" s="55"/>
      <c r="U2479" s="55"/>
      <c r="V2479" s="55"/>
      <c r="W2479" s="55"/>
      <c r="X2479" s="55"/>
      <c r="Y2479" s="55"/>
      <c r="Z2479" s="55"/>
      <c r="AA2479" s="55"/>
      <c r="AB2479" s="56"/>
      <c r="AC2479" s="55"/>
      <c r="AD2479" s="55"/>
      <c r="AE2479" s="55"/>
      <c r="AF2479" s="55"/>
      <c r="AG2479" s="55"/>
      <c r="AH2479" s="56"/>
      <c r="AI2479" s="55"/>
      <c r="AJ2479" s="55"/>
      <c r="AK2479" s="56"/>
      <c r="AL2479" s="56"/>
    </row>
    <row r="2480" spans="1:38" ht="15.75" thickBot="1" x14ac:dyDescent="0.3">
      <c r="A2480" s="51"/>
      <c r="B2480" s="51"/>
      <c r="C2480" s="51"/>
      <c r="D2480" s="51"/>
      <c r="E2480" s="51"/>
      <c r="F2480" s="51"/>
      <c r="G2480" s="54"/>
      <c r="H2480" s="53"/>
      <c r="I2480" s="53"/>
      <c r="J2480" s="53"/>
      <c r="K2480" s="53"/>
      <c r="L2480" s="53"/>
      <c r="M2480" s="53"/>
      <c r="N2480" s="53"/>
      <c r="O2480" s="53"/>
      <c r="P2480" s="53"/>
      <c r="Q2480" s="53"/>
      <c r="R2480" s="53"/>
      <c r="S2480" s="53"/>
      <c r="T2480" s="53"/>
      <c r="U2480" s="53"/>
      <c r="V2480" s="53"/>
      <c r="W2480" s="53"/>
      <c r="X2480" s="53"/>
      <c r="Y2480" s="53"/>
      <c r="Z2480" s="53"/>
      <c r="AA2480" s="53"/>
      <c r="AB2480" s="54"/>
      <c r="AC2480" s="53"/>
      <c r="AD2480" s="53"/>
      <c r="AE2480" s="53"/>
      <c r="AF2480" s="53"/>
      <c r="AG2480" s="53"/>
      <c r="AH2480" s="54"/>
      <c r="AI2480" s="53"/>
      <c r="AJ2480" s="53"/>
      <c r="AK2480" s="54"/>
      <c r="AL2480" s="54"/>
    </row>
    <row r="2481" spans="1:38" ht="15.75" thickBot="1" x14ac:dyDescent="0.3">
      <c r="A2481" s="51"/>
      <c r="B2481" s="51"/>
      <c r="C2481" s="51"/>
      <c r="D2481" s="51"/>
      <c r="E2481" s="51"/>
      <c r="F2481" s="51"/>
      <c r="G2481" s="56"/>
      <c r="H2481" s="55"/>
      <c r="I2481" s="55"/>
      <c r="J2481" s="55"/>
      <c r="K2481" s="56"/>
      <c r="L2481" s="55"/>
      <c r="M2481" s="55"/>
      <c r="N2481" s="55"/>
      <c r="O2481" s="55"/>
      <c r="P2481" s="55"/>
      <c r="Q2481" s="55"/>
      <c r="R2481" s="55"/>
      <c r="S2481" s="55"/>
      <c r="T2481" s="55"/>
      <c r="U2481" s="55"/>
      <c r="V2481" s="55"/>
      <c r="W2481" s="55"/>
      <c r="X2481" s="55"/>
      <c r="Y2481" s="55"/>
      <c r="Z2481" s="55"/>
      <c r="AA2481" s="55"/>
      <c r="AB2481" s="55"/>
      <c r="AC2481" s="55"/>
      <c r="AD2481" s="55"/>
      <c r="AE2481" s="55"/>
      <c r="AF2481" s="55"/>
      <c r="AG2481" s="55"/>
      <c r="AH2481" s="56"/>
      <c r="AI2481" s="55"/>
      <c r="AJ2481" s="55"/>
      <c r="AK2481" s="56"/>
      <c r="AL2481" s="56"/>
    </row>
    <row r="2482" spans="1:38" ht="15.75" thickBot="1" x14ac:dyDescent="0.3">
      <c r="A2482" s="51"/>
      <c r="B2482" s="51"/>
      <c r="C2482" s="51"/>
      <c r="D2482" s="51"/>
      <c r="E2482" s="51"/>
      <c r="F2482" s="51"/>
      <c r="G2482" s="54"/>
      <c r="H2482" s="53"/>
      <c r="I2482" s="53"/>
      <c r="J2482" s="53"/>
      <c r="K2482" s="54"/>
      <c r="L2482" s="53"/>
      <c r="M2482" s="53"/>
      <c r="N2482" s="53"/>
      <c r="O2482" s="53"/>
      <c r="P2482" s="53"/>
      <c r="Q2482" s="53"/>
      <c r="R2482" s="53"/>
      <c r="S2482" s="53"/>
      <c r="T2482" s="53"/>
      <c r="U2482" s="53"/>
      <c r="V2482" s="53"/>
      <c r="W2482" s="53"/>
      <c r="X2482" s="53"/>
      <c r="Y2482" s="53"/>
      <c r="Z2482" s="53"/>
      <c r="AA2482" s="53"/>
      <c r="AB2482" s="53"/>
      <c r="AC2482" s="53"/>
      <c r="AD2482" s="53"/>
      <c r="AE2482" s="53"/>
      <c r="AF2482" s="53"/>
      <c r="AG2482" s="53"/>
      <c r="AH2482" s="54"/>
      <c r="AI2482" s="53"/>
      <c r="AJ2482" s="53"/>
      <c r="AK2482" s="54"/>
      <c r="AL2482" s="54"/>
    </row>
    <row r="2483" spans="1:38" ht="15.75" thickBot="1" x14ac:dyDescent="0.3">
      <c r="A2483" s="51"/>
      <c r="B2483" s="51"/>
      <c r="C2483" s="51"/>
      <c r="D2483" s="51"/>
      <c r="E2483" s="51"/>
      <c r="F2483" s="51"/>
      <c r="G2483" s="56"/>
      <c r="H2483" s="56"/>
      <c r="I2483" s="55"/>
      <c r="J2483" s="55"/>
      <c r="K2483" s="55"/>
      <c r="L2483" s="55"/>
      <c r="M2483" s="56"/>
      <c r="N2483" s="55"/>
      <c r="O2483" s="55"/>
      <c r="P2483" s="55"/>
      <c r="Q2483" s="55"/>
      <c r="R2483" s="55"/>
      <c r="S2483" s="55"/>
      <c r="T2483" s="55"/>
      <c r="U2483" s="55"/>
      <c r="V2483" s="55"/>
      <c r="W2483" s="55"/>
      <c r="X2483" s="55"/>
      <c r="Y2483" s="55"/>
      <c r="Z2483" s="55"/>
      <c r="AA2483" s="55"/>
      <c r="AB2483" s="55"/>
      <c r="AC2483" s="55"/>
      <c r="AD2483" s="55"/>
      <c r="AE2483" s="55"/>
      <c r="AF2483" s="55"/>
      <c r="AG2483" s="55"/>
      <c r="AH2483" s="56"/>
      <c r="AI2483" s="55"/>
      <c r="AJ2483" s="55"/>
      <c r="AK2483" s="56"/>
      <c r="AL2483" s="56"/>
    </row>
    <row r="2484" spans="1:38" ht="15.75" thickBot="1" x14ac:dyDescent="0.3">
      <c r="A2484" s="51"/>
      <c r="B2484" s="51"/>
      <c r="C2484" s="51"/>
      <c r="D2484" s="51"/>
      <c r="E2484" s="51"/>
      <c r="F2484" s="51"/>
      <c r="G2484" s="54"/>
      <c r="H2484" s="147"/>
      <c r="I2484" s="53"/>
      <c r="J2484" s="53"/>
      <c r="K2484" s="53"/>
      <c r="L2484" s="53"/>
      <c r="M2484" s="54"/>
      <c r="N2484" s="53"/>
      <c r="O2484" s="53"/>
      <c r="P2484" s="53"/>
      <c r="Q2484" s="53"/>
      <c r="R2484" s="53"/>
      <c r="S2484" s="53"/>
      <c r="T2484" s="53"/>
      <c r="U2484" s="53"/>
      <c r="V2484" s="53"/>
      <c r="W2484" s="53"/>
      <c r="X2484" s="53"/>
      <c r="Y2484" s="53"/>
      <c r="Z2484" s="53"/>
      <c r="AA2484" s="53"/>
      <c r="AB2484" s="53"/>
      <c r="AC2484" s="53"/>
      <c r="AD2484" s="53"/>
      <c r="AE2484" s="53"/>
      <c r="AF2484" s="53"/>
      <c r="AG2484" s="53"/>
      <c r="AH2484" s="54"/>
      <c r="AI2484" s="53"/>
      <c r="AJ2484" s="53"/>
      <c r="AK2484" s="54"/>
      <c r="AL2484" s="54"/>
    </row>
    <row r="2485" spans="1:38" ht="15.75" thickBot="1" x14ac:dyDescent="0.3">
      <c r="A2485" s="51"/>
      <c r="B2485" s="51"/>
      <c r="C2485" s="51"/>
      <c r="D2485" s="51"/>
      <c r="E2485" s="51"/>
      <c r="F2485" s="51"/>
      <c r="G2485" s="56"/>
      <c r="H2485" s="55"/>
      <c r="I2485" s="55"/>
      <c r="J2485" s="55"/>
      <c r="K2485" s="55"/>
      <c r="L2485" s="55"/>
      <c r="M2485" s="55"/>
      <c r="N2485" s="55"/>
      <c r="O2485" s="55"/>
      <c r="P2485" s="55"/>
      <c r="Q2485" s="56"/>
      <c r="R2485" s="55"/>
      <c r="S2485" s="55"/>
      <c r="T2485" s="55"/>
      <c r="U2485" s="55"/>
      <c r="V2485" s="55"/>
      <c r="W2485" s="55"/>
      <c r="X2485" s="55"/>
      <c r="Y2485" s="55"/>
      <c r="Z2485" s="55"/>
      <c r="AA2485" s="55"/>
      <c r="AB2485" s="55"/>
      <c r="AC2485" s="55"/>
      <c r="AD2485" s="55"/>
      <c r="AE2485" s="55"/>
      <c r="AF2485" s="55"/>
      <c r="AG2485" s="55"/>
      <c r="AH2485" s="56"/>
      <c r="AI2485" s="55"/>
      <c r="AJ2485" s="55"/>
      <c r="AK2485" s="56"/>
      <c r="AL2485" s="56"/>
    </row>
    <row r="2486" spans="1:38" ht="15.75" thickBot="1" x14ac:dyDescent="0.3">
      <c r="A2486" s="51"/>
      <c r="B2486" s="51"/>
      <c r="C2486" s="51"/>
      <c r="D2486" s="51"/>
      <c r="E2486" s="51"/>
      <c r="F2486" s="51"/>
      <c r="G2486" s="54"/>
      <c r="H2486" s="53"/>
      <c r="I2486" s="53"/>
      <c r="J2486" s="53"/>
      <c r="K2486" s="53"/>
      <c r="L2486" s="53"/>
      <c r="M2486" s="53"/>
      <c r="N2486" s="53"/>
      <c r="O2486" s="53"/>
      <c r="P2486" s="53"/>
      <c r="Q2486" s="54"/>
      <c r="R2486" s="53"/>
      <c r="S2486" s="53"/>
      <c r="T2486" s="53"/>
      <c r="U2486" s="53"/>
      <c r="V2486" s="53"/>
      <c r="W2486" s="53"/>
      <c r="X2486" s="53"/>
      <c r="Y2486" s="53"/>
      <c r="Z2486" s="53"/>
      <c r="AA2486" s="53"/>
      <c r="AB2486" s="53"/>
      <c r="AC2486" s="53"/>
      <c r="AD2486" s="53"/>
      <c r="AE2486" s="53"/>
      <c r="AF2486" s="53"/>
      <c r="AG2486" s="53"/>
      <c r="AH2486" s="54"/>
      <c r="AI2486" s="53"/>
      <c r="AJ2486" s="53"/>
      <c r="AK2486" s="54"/>
      <c r="AL2486" s="54"/>
    </row>
    <row r="2487" spans="1:38" ht="15.75" thickBot="1" x14ac:dyDescent="0.3">
      <c r="A2487" s="51"/>
      <c r="B2487" s="51"/>
      <c r="C2487" s="51"/>
      <c r="D2487" s="51"/>
      <c r="E2487" s="51"/>
      <c r="F2487" s="51"/>
      <c r="G2487" s="56"/>
      <c r="H2487" s="55"/>
      <c r="I2487" s="55"/>
      <c r="J2487" s="55"/>
      <c r="K2487" s="55"/>
      <c r="L2487" s="55"/>
      <c r="M2487" s="55"/>
      <c r="N2487" s="55"/>
      <c r="O2487" s="55"/>
      <c r="P2487" s="55"/>
      <c r="Q2487" s="55"/>
      <c r="R2487" s="55"/>
      <c r="S2487" s="55"/>
      <c r="T2487" s="55"/>
      <c r="U2487" s="55"/>
      <c r="V2487" s="55"/>
      <c r="W2487" s="55"/>
      <c r="X2487" s="55"/>
      <c r="Y2487" s="55"/>
      <c r="Z2487" s="56"/>
      <c r="AA2487" s="55"/>
      <c r="AB2487" s="55"/>
      <c r="AC2487" s="55"/>
      <c r="AD2487" s="55"/>
      <c r="AE2487" s="55"/>
      <c r="AF2487" s="55"/>
      <c r="AG2487" s="55"/>
      <c r="AH2487" s="56"/>
      <c r="AI2487" s="55"/>
      <c r="AJ2487" s="55"/>
      <c r="AK2487" s="56"/>
      <c r="AL2487" s="56"/>
    </row>
    <row r="2488" spans="1:38" ht="15.75" thickBot="1" x14ac:dyDescent="0.3">
      <c r="A2488" s="51"/>
      <c r="B2488" s="51"/>
      <c r="C2488" s="51"/>
      <c r="D2488" s="51"/>
      <c r="E2488" s="51"/>
      <c r="F2488" s="51"/>
      <c r="G2488" s="54"/>
      <c r="H2488" s="53"/>
      <c r="I2488" s="53"/>
      <c r="J2488" s="53"/>
      <c r="K2488" s="53"/>
      <c r="L2488" s="53"/>
      <c r="M2488" s="53"/>
      <c r="N2488" s="53"/>
      <c r="O2488" s="53"/>
      <c r="P2488" s="53"/>
      <c r="Q2488" s="53"/>
      <c r="R2488" s="53"/>
      <c r="S2488" s="53"/>
      <c r="T2488" s="53"/>
      <c r="U2488" s="53"/>
      <c r="V2488" s="53"/>
      <c r="W2488" s="53"/>
      <c r="X2488" s="53"/>
      <c r="Y2488" s="53"/>
      <c r="Z2488" s="54"/>
      <c r="AA2488" s="53"/>
      <c r="AB2488" s="53"/>
      <c r="AC2488" s="53"/>
      <c r="AD2488" s="53"/>
      <c r="AE2488" s="53"/>
      <c r="AF2488" s="53"/>
      <c r="AG2488" s="53"/>
      <c r="AH2488" s="54"/>
      <c r="AI2488" s="53"/>
      <c r="AJ2488" s="53"/>
      <c r="AK2488" s="54"/>
      <c r="AL2488" s="54"/>
    </row>
    <row r="2489" spans="1:38" ht="15.75" thickBot="1" x14ac:dyDescent="0.3">
      <c r="A2489" s="51"/>
      <c r="B2489" s="51"/>
      <c r="C2489" s="51"/>
      <c r="D2489" s="51"/>
      <c r="E2489" s="51"/>
      <c r="F2489" s="51"/>
      <c r="G2489" s="56"/>
      <c r="H2489" s="55"/>
      <c r="I2489" s="55"/>
      <c r="J2489" s="55"/>
      <c r="K2489" s="55"/>
      <c r="L2489" s="55"/>
      <c r="M2489" s="55"/>
      <c r="N2489" s="55"/>
      <c r="O2489" s="55"/>
      <c r="P2489" s="55"/>
      <c r="Q2489" s="55"/>
      <c r="R2489" s="55"/>
      <c r="S2489" s="55"/>
      <c r="T2489" s="55"/>
      <c r="U2489" s="55"/>
      <c r="V2489" s="55"/>
      <c r="W2489" s="55"/>
      <c r="X2489" s="55"/>
      <c r="Y2489" s="55"/>
      <c r="Z2489" s="55"/>
      <c r="AA2489" s="56"/>
      <c r="AB2489" s="55"/>
      <c r="AC2489" s="55"/>
      <c r="AD2489" s="55"/>
      <c r="AE2489" s="55"/>
      <c r="AF2489" s="55"/>
      <c r="AG2489" s="55"/>
      <c r="AH2489" s="56"/>
      <c r="AI2489" s="55"/>
      <c r="AJ2489" s="55"/>
      <c r="AK2489" s="56"/>
      <c r="AL2489" s="56"/>
    </row>
    <row r="2490" spans="1:38" ht="15.75" thickBot="1" x14ac:dyDescent="0.3">
      <c r="A2490" s="51"/>
      <c r="B2490" s="51"/>
      <c r="C2490" s="51"/>
      <c r="D2490" s="51"/>
      <c r="E2490" s="51"/>
      <c r="F2490" s="51"/>
      <c r="G2490" s="54"/>
      <c r="H2490" s="53"/>
      <c r="I2490" s="53"/>
      <c r="J2490" s="53"/>
      <c r="K2490" s="53"/>
      <c r="L2490" s="53"/>
      <c r="M2490" s="53"/>
      <c r="N2490" s="53"/>
      <c r="O2490" s="53"/>
      <c r="P2490" s="53"/>
      <c r="Q2490" s="53"/>
      <c r="R2490" s="53"/>
      <c r="S2490" s="53"/>
      <c r="T2490" s="53"/>
      <c r="U2490" s="53"/>
      <c r="V2490" s="53"/>
      <c r="W2490" s="53"/>
      <c r="X2490" s="53"/>
      <c r="Y2490" s="53"/>
      <c r="Z2490" s="53"/>
      <c r="AA2490" s="54"/>
      <c r="AB2490" s="53"/>
      <c r="AC2490" s="53"/>
      <c r="AD2490" s="53"/>
      <c r="AE2490" s="53"/>
      <c r="AF2490" s="53"/>
      <c r="AG2490" s="53"/>
      <c r="AH2490" s="54"/>
      <c r="AI2490" s="53"/>
      <c r="AJ2490" s="53"/>
      <c r="AK2490" s="54"/>
      <c r="AL2490" s="54"/>
    </row>
    <row r="2491" spans="1:38" ht="15.75" thickBot="1" x14ac:dyDescent="0.3">
      <c r="A2491" s="51"/>
      <c r="B2491" s="51"/>
      <c r="C2491" s="51"/>
      <c r="D2491" s="51"/>
      <c r="E2491" s="51"/>
      <c r="F2491" s="51"/>
      <c r="G2491" s="56"/>
      <c r="H2491" s="55"/>
      <c r="I2491" s="55"/>
      <c r="J2491" s="55"/>
      <c r="K2491" s="55"/>
      <c r="L2491" s="55"/>
      <c r="M2491" s="55"/>
      <c r="N2491" s="55"/>
      <c r="O2491" s="55"/>
      <c r="P2491" s="55"/>
      <c r="Q2491" s="55"/>
      <c r="R2491" s="56"/>
      <c r="S2491" s="55"/>
      <c r="T2491" s="55"/>
      <c r="U2491" s="55"/>
      <c r="V2491" s="55"/>
      <c r="W2491" s="55"/>
      <c r="X2491" s="55"/>
      <c r="Y2491" s="55"/>
      <c r="Z2491" s="55"/>
      <c r="AA2491" s="55"/>
      <c r="AB2491" s="55"/>
      <c r="AC2491" s="55"/>
      <c r="AD2491" s="55"/>
      <c r="AE2491" s="55"/>
      <c r="AF2491" s="55"/>
      <c r="AG2491" s="55"/>
      <c r="AH2491" s="56"/>
      <c r="AI2491" s="55"/>
      <c r="AJ2491" s="55"/>
      <c r="AK2491" s="56"/>
      <c r="AL2491" s="56"/>
    </row>
    <row r="2492" spans="1:38" ht="15.75" thickBot="1" x14ac:dyDescent="0.3">
      <c r="A2492" s="51"/>
      <c r="B2492" s="51"/>
      <c r="C2492" s="51"/>
      <c r="D2492" s="51"/>
      <c r="E2492" s="51"/>
      <c r="F2492" s="51"/>
      <c r="G2492" s="54"/>
      <c r="H2492" s="53"/>
      <c r="I2492" s="53"/>
      <c r="J2492" s="53"/>
      <c r="K2492" s="53"/>
      <c r="L2492" s="53"/>
      <c r="M2492" s="53"/>
      <c r="N2492" s="53"/>
      <c r="O2492" s="53"/>
      <c r="P2492" s="53"/>
      <c r="Q2492" s="53"/>
      <c r="R2492" s="54"/>
      <c r="S2492" s="53"/>
      <c r="T2492" s="53"/>
      <c r="U2492" s="53"/>
      <c r="V2492" s="53"/>
      <c r="W2492" s="53"/>
      <c r="X2492" s="53"/>
      <c r="Y2492" s="53"/>
      <c r="Z2492" s="53"/>
      <c r="AA2492" s="53"/>
      <c r="AB2492" s="53"/>
      <c r="AC2492" s="53"/>
      <c r="AD2492" s="53"/>
      <c r="AE2492" s="53"/>
      <c r="AF2492" s="53"/>
      <c r="AG2492" s="53"/>
      <c r="AH2492" s="54"/>
      <c r="AI2492" s="53"/>
      <c r="AJ2492" s="53"/>
      <c r="AK2492" s="54"/>
      <c r="AL2492" s="54"/>
    </row>
    <row r="2493" spans="1:38" ht="15.75" thickBot="1" x14ac:dyDescent="0.3">
      <c r="A2493" s="51"/>
      <c r="B2493" s="51"/>
      <c r="C2493" s="51"/>
      <c r="D2493" s="51"/>
      <c r="E2493" s="51"/>
      <c r="F2493" s="51"/>
      <c r="G2493" s="56"/>
      <c r="H2493" s="55"/>
      <c r="I2493" s="55"/>
      <c r="J2493" s="55"/>
      <c r="K2493" s="55"/>
      <c r="L2493" s="55"/>
      <c r="M2493" s="55"/>
      <c r="N2493" s="55"/>
      <c r="O2493" s="55"/>
      <c r="P2493" s="55"/>
      <c r="Q2493" s="55"/>
      <c r="R2493" s="55"/>
      <c r="S2493" s="55"/>
      <c r="T2493" s="55"/>
      <c r="U2493" s="55"/>
      <c r="V2493" s="55"/>
      <c r="W2493" s="55"/>
      <c r="X2493" s="55"/>
      <c r="Y2493" s="55"/>
      <c r="Z2493" s="55"/>
      <c r="AA2493" s="55"/>
      <c r="AB2493" s="55"/>
      <c r="AC2493" s="56"/>
      <c r="AD2493" s="55"/>
      <c r="AE2493" s="55"/>
      <c r="AF2493" s="55"/>
      <c r="AG2493" s="55"/>
      <c r="AH2493" s="56"/>
      <c r="AI2493" s="55"/>
      <c r="AJ2493" s="55"/>
      <c r="AK2493" s="56"/>
      <c r="AL2493" s="56"/>
    </row>
    <row r="2494" spans="1:38" ht="15.75" thickBot="1" x14ac:dyDescent="0.3">
      <c r="A2494" s="51"/>
      <c r="B2494" s="51"/>
      <c r="C2494" s="51"/>
      <c r="D2494" s="51"/>
      <c r="E2494" s="51"/>
      <c r="F2494" s="51"/>
      <c r="G2494" s="54"/>
      <c r="H2494" s="53"/>
      <c r="I2494" s="53"/>
      <c r="J2494" s="53"/>
      <c r="K2494" s="53"/>
      <c r="L2494" s="53"/>
      <c r="M2494" s="53"/>
      <c r="N2494" s="53"/>
      <c r="O2494" s="53"/>
      <c r="P2494" s="53"/>
      <c r="Q2494" s="53"/>
      <c r="R2494" s="53"/>
      <c r="S2494" s="53"/>
      <c r="T2494" s="53"/>
      <c r="U2494" s="53"/>
      <c r="V2494" s="53"/>
      <c r="W2494" s="53"/>
      <c r="X2494" s="53"/>
      <c r="Y2494" s="53"/>
      <c r="Z2494" s="53"/>
      <c r="AA2494" s="53"/>
      <c r="AB2494" s="53"/>
      <c r="AC2494" s="54"/>
      <c r="AD2494" s="53"/>
      <c r="AE2494" s="53"/>
      <c r="AF2494" s="53"/>
      <c r="AG2494" s="53"/>
      <c r="AH2494" s="54"/>
      <c r="AI2494" s="53"/>
      <c r="AJ2494" s="53"/>
      <c r="AK2494" s="54"/>
      <c r="AL2494" s="54"/>
    </row>
    <row r="2495" spans="1:38" ht="15.75" thickBot="1" x14ac:dyDescent="0.3">
      <c r="A2495" s="51"/>
      <c r="B2495" s="51"/>
      <c r="C2495" s="51"/>
      <c r="D2495" s="51"/>
      <c r="E2495" s="51"/>
      <c r="F2495" s="51"/>
      <c r="G2495" s="56"/>
      <c r="H2495" s="55"/>
      <c r="I2495" s="55"/>
      <c r="J2495" s="55"/>
      <c r="K2495" s="56"/>
      <c r="L2495" s="55"/>
      <c r="M2495" s="55"/>
      <c r="N2495" s="55"/>
      <c r="O2495" s="55"/>
      <c r="P2495" s="55"/>
      <c r="Q2495" s="55"/>
      <c r="R2495" s="55"/>
      <c r="S2495" s="55"/>
      <c r="T2495" s="55"/>
      <c r="U2495" s="55"/>
      <c r="V2495" s="55"/>
      <c r="W2495" s="55"/>
      <c r="X2495" s="55"/>
      <c r="Y2495" s="55"/>
      <c r="Z2495" s="55"/>
      <c r="AA2495" s="55"/>
      <c r="AB2495" s="55"/>
      <c r="AC2495" s="55"/>
      <c r="AD2495" s="55"/>
      <c r="AE2495" s="55"/>
      <c r="AF2495" s="55"/>
      <c r="AG2495" s="55"/>
      <c r="AH2495" s="56"/>
      <c r="AI2495" s="55"/>
      <c r="AJ2495" s="55"/>
      <c r="AK2495" s="56"/>
      <c r="AL2495" s="56"/>
    </row>
    <row r="2496" spans="1:38" ht="15.75" thickBot="1" x14ac:dyDescent="0.3">
      <c r="A2496" s="51"/>
      <c r="B2496" s="51"/>
      <c r="C2496" s="51"/>
      <c r="D2496" s="51"/>
      <c r="E2496" s="51"/>
      <c r="F2496" s="51"/>
      <c r="G2496" s="54"/>
      <c r="H2496" s="53"/>
      <c r="I2496" s="53"/>
      <c r="J2496" s="53"/>
      <c r="K2496" s="54"/>
      <c r="L2496" s="53"/>
      <c r="M2496" s="53"/>
      <c r="N2496" s="53"/>
      <c r="O2496" s="53"/>
      <c r="P2496" s="53"/>
      <c r="Q2496" s="53"/>
      <c r="R2496" s="53"/>
      <c r="S2496" s="53"/>
      <c r="T2496" s="53"/>
      <c r="U2496" s="53"/>
      <c r="V2496" s="53"/>
      <c r="W2496" s="53"/>
      <c r="X2496" s="53"/>
      <c r="Y2496" s="53"/>
      <c r="Z2496" s="53"/>
      <c r="AA2496" s="53"/>
      <c r="AB2496" s="53"/>
      <c r="AC2496" s="53"/>
      <c r="AD2496" s="53"/>
      <c r="AE2496" s="53"/>
      <c r="AF2496" s="53"/>
      <c r="AG2496" s="53"/>
      <c r="AH2496" s="54"/>
      <c r="AI2496" s="53"/>
      <c r="AJ2496" s="53"/>
      <c r="AK2496" s="54"/>
      <c r="AL2496" s="54"/>
    </row>
    <row r="2497" spans="1:38" ht="15.75" thickBot="1" x14ac:dyDescent="0.3">
      <c r="A2497" s="51"/>
      <c r="B2497" s="51"/>
      <c r="C2497" s="51"/>
      <c r="D2497" s="51"/>
      <c r="E2497" s="51"/>
      <c r="F2497" s="51"/>
      <c r="G2497" s="56"/>
      <c r="H2497" s="56"/>
      <c r="I2497" s="55"/>
      <c r="J2497" s="55"/>
      <c r="K2497" s="55"/>
      <c r="L2497" s="55"/>
      <c r="M2497" s="56"/>
      <c r="N2497" s="55"/>
      <c r="O2497" s="55"/>
      <c r="P2497" s="55"/>
      <c r="Q2497" s="55"/>
      <c r="R2497" s="55"/>
      <c r="S2497" s="55"/>
      <c r="T2497" s="55"/>
      <c r="U2497" s="55"/>
      <c r="V2497" s="55"/>
      <c r="W2497" s="55"/>
      <c r="X2497" s="55"/>
      <c r="Y2497" s="55"/>
      <c r="Z2497" s="55"/>
      <c r="AA2497" s="55"/>
      <c r="AB2497" s="55"/>
      <c r="AC2497" s="55"/>
      <c r="AD2497" s="55"/>
      <c r="AE2497" s="55"/>
      <c r="AF2497" s="55"/>
      <c r="AG2497" s="55"/>
      <c r="AH2497" s="56"/>
      <c r="AI2497" s="55"/>
      <c r="AJ2497" s="55"/>
      <c r="AK2497" s="56"/>
      <c r="AL2497" s="56"/>
    </row>
    <row r="2498" spans="1:38" ht="15.75" thickBot="1" x14ac:dyDescent="0.3">
      <c r="A2498" s="51"/>
      <c r="B2498" s="51"/>
      <c r="C2498" s="51"/>
      <c r="D2498" s="51"/>
      <c r="E2498" s="51"/>
      <c r="F2498" s="51"/>
      <c r="G2498" s="54"/>
      <c r="H2498" s="147"/>
      <c r="I2498" s="53"/>
      <c r="J2498" s="53"/>
      <c r="K2498" s="53"/>
      <c r="L2498" s="53"/>
      <c r="M2498" s="54"/>
      <c r="N2498" s="53"/>
      <c r="O2498" s="53"/>
      <c r="P2498" s="53"/>
      <c r="Q2498" s="53"/>
      <c r="R2498" s="53"/>
      <c r="S2498" s="53"/>
      <c r="T2498" s="53"/>
      <c r="U2498" s="53"/>
      <c r="V2498" s="53"/>
      <c r="W2498" s="53"/>
      <c r="X2498" s="53"/>
      <c r="Y2498" s="53"/>
      <c r="Z2498" s="53"/>
      <c r="AA2498" s="53"/>
      <c r="AB2498" s="53"/>
      <c r="AC2498" s="53"/>
      <c r="AD2498" s="53"/>
      <c r="AE2498" s="53"/>
      <c r="AF2498" s="53"/>
      <c r="AG2498" s="53"/>
      <c r="AH2498" s="54"/>
      <c r="AI2498" s="53"/>
      <c r="AJ2498" s="53"/>
      <c r="AK2498" s="54"/>
      <c r="AL2498" s="54"/>
    </row>
    <row r="2499" spans="1:38" ht="15.75" thickBot="1" x14ac:dyDescent="0.3">
      <c r="A2499" s="51"/>
      <c r="B2499" s="51"/>
      <c r="C2499" s="51"/>
      <c r="D2499" s="51"/>
      <c r="E2499" s="51"/>
      <c r="F2499" s="51"/>
      <c r="G2499" s="56"/>
      <c r="H2499" s="55"/>
      <c r="I2499" s="55"/>
      <c r="J2499" s="55"/>
      <c r="K2499" s="55"/>
      <c r="L2499" s="55"/>
      <c r="M2499" s="55"/>
      <c r="N2499" s="55"/>
      <c r="O2499" s="55"/>
      <c r="P2499" s="55"/>
      <c r="Q2499" s="56"/>
      <c r="R2499" s="55"/>
      <c r="S2499" s="55"/>
      <c r="T2499" s="55"/>
      <c r="U2499" s="55"/>
      <c r="V2499" s="55"/>
      <c r="W2499" s="55"/>
      <c r="X2499" s="55"/>
      <c r="Y2499" s="55"/>
      <c r="Z2499" s="55"/>
      <c r="AA2499" s="55"/>
      <c r="AB2499" s="55"/>
      <c r="AC2499" s="55"/>
      <c r="AD2499" s="55"/>
      <c r="AE2499" s="55"/>
      <c r="AF2499" s="55"/>
      <c r="AG2499" s="55"/>
      <c r="AH2499" s="56"/>
      <c r="AI2499" s="55"/>
      <c r="AJ2499" s="55"/>
      <c r="AK2499" s="56"/>
      <c r="AL2499" s="56"/>
    </row>
    <row r="2500" spans="1:38" ht="15.75" thickBot="1" x14ac:dyDescent="0.3">
      <c r="A2500" s="51"/>
      <c r="B2500" s="51"/>
      <c r="C2500" s="51"/>
      <c r="D2500" s="51"/>
      <c r="E2500" s="51"/>
      <c r="F2500" s="51"/>
      <c r="G2500" s="54"/>
      <c r="H2500" s="53"/>
      <c r="I2500" s="53"/>
      <c r="J2500" s="53"/>
      <c r="K2500" s="53"/>
      <c r="L2500" s="53"/>
      <c r="M2500" s="53"/>
      <c r="N2500" s="53"/>
      <c r="O2500" s="53"/>
      <c r="P2500" s="53"/>
      <c r="Q2500" s="54"/>
      <c r="R2500" s="53"/>
      <c r="S2500" s="53"/>
      <c r="T2500" s="53"/>
      <c r="U2500" s="53"/>
      <c r="V2500" s="53"/>
      <c r="W2500" s="53"/>
      <c r="X2500" s="53"/>
      <c r="Y2500" s="53"/>
      <c r="Z2500" s="53"/>
      <c r="AA2500" s="53"/>
      <c r="AB2500" s="53"/>
      <c r="AC2500" s="53"/>
      <c r="AD2500" s="53"/>
      <c r="AE2500" s="53"/>
      <c r="AF2500" s="53"/>
      <c r="AG2500" s="53"/>
      <c r="AH2500" s="54"/>
      <c r="AI2500" s="53"/>
      <c r="AJ2500" s="53"/>
      <c r="AK2500" s="54"/>
      <c r="AL2500" s="54"/>
    </row>
    <row r="2501" spans="1:38" ht="15.75" thickBot="1" x14ac:dyDescent="0.3">
      <c r="A2501" s="51"/>
      <c r="B2501" s="51"/>
      <c r="C2501" s="51"/>
      <c r="D2501" s="51"/>
      <c r="E2501" s="51"/>
      <c r="F2501" s="51"/>
      <c r="G2501" s="56"/>
      <c r="H2501" s="55"/>
      <c r="I2501" s="55"/>
      <c r="J2501" s="55"/>
      <c r="K2501" s="55"/>
      <c r="L2501" s="55"/>
      <c r="M2501" s="55"/>
      <c r="N2501" s="55"/>
      <c r="O2501" s="55"/>
      <c r="P2501" s="55"/>
      <c r="Q2501" s="55"/>
      <c r="R2501" s="55"/>
      <c r="S2501" s="55"/>
      <c r="T2501" s="55"/>
      <c r="U2501" s="55"/>
      <c r="V2501" s="55"/>
      <c r="W2501" s="55"/>
      <c r="X2501" s="55"/>
      <c r="Y2501" s="55"/>
      <c r="Z2501" s="56"/>
      <c r="AA2501" s="55"/>
      <c r="AB2501" s="55"/>
      <c r="AC2501" s="55"/>
      <c r="AD2501" s="55"/>
      <c r="AE2501" s="55"/>
      <c r="AF2501" s="55"/>
      <c r="AG2501" s="55"/>
      <c r="AH2501" s="56"/>
      <c r="AI2501" s="55"/>
      <c r="AJ2501" s="55"/>
      <c r="AK2501" s="56"/>
      <c r="AL2501" s="56"/>
    </row>
    <row r="2502" spans="1:38" ht="15.75" thickBot="1" x14ac:dyDescent="0.3">
      <c r="A2502" s="51"/>
      <c r="B2502" s="51"/>
      <c r="C2502" s="51"/>
      <c r="D2502" s="51"/>
      <c r="E2502" s="51"/>
      <c r="F2502" s="51"/>
      <c r="G2502" s="54"/>
      <c r="H2502" s="53"/>
      <c r="I2502" s="53"/>
      <c r="J2502" s="53"/>
      <c r="K2502" s="53"/>
      <c r="L2502" s="53"/>
      <c r="M2502" s="53"/>
      <c r="N2502" s="53"/>
      <c r="O2502" s="53"/>
      <c r="P2502" s="53"/>
      <c r="Q2502" s="53"/>
      <c r="R2502" s="53"/>
      <c r="S2502" s="53"/>
      <c r="T2502" s="53"/>
      <c r="U2502" s="53"/>
      <c r="V2502" s="53"/>
      <c r="W2502" s="53"/>
      <c r="X2502" s="53"/>
      <c r="Y2502" s="53"/>
      <c r="Z2502" s="54"/>
      <c r="AA2502" s="53"/>
      <c r="AB2502" s="53"/>
      <c r="AC2502" s="53"/>
      <c r="AD2502" s="53"/>
      <c r="AE2502" s="53"/>
      <c r="AF2502" s="53"/>
      <c r="AG2502" s="53"/>
      <c r="AH2502" s="54"/>
      <c r="AI2502" s="53"/>
      <c r="AJ2502" s="53"/>
      <c r="AK2502" s="54"/>
      <c r="AL2502" s="54"/>
    </row>
    <row r="2503" spans="1:38" ht="15.75" thickBot="1" x14ac:dyDescent="0.3">
      <c r="A2503" s="51"/>
      <c r="B2503" s="51"/>
      <c r="C2503" s="51"/>
      <c r="D2503" s="51"/>
      <c r="E2503" s="51"/>
      <c r="F2503" s="51"/>
      <c r="G2503" s="56"/>
      <c r="H2503" s="55"/>
      <c r="I2503" s="55"/>
      <c r="J2503" s="55"/>
      <c r="K2503" s="55"/>
      <c r="L2503" s="55"/>
      <c r="M2503" s="55"/>
      <c r="N2503" s="55"/>
      <c r="O2503" s="55"/>
      <c r="P2503" s="55"/>
      <c r="Q2503" s="55"/>
      <c r="R2503" s="55"/>
      <c r="S2503" s="55"/>
      <c r="T2503" s="55"/>
      <c r="U2503" s="55"/>
      <c r="V2503" s="55"/>
      <c r="W2503" s="55"/>
      <c r="X2503" s="55"/>
      <c r="Y2503" s="55"/>
      <c r="Z2503" s="55"/>
      <c r="AA2503" s="56"/>
      <c r="AB2503" s="55"/>
      <c r="AC2503" s="55"/>
      <c r="AD2503" s="55"/>
      <c r="AE2503" s="55"/>
      <c r="AF2503" s="55"/>
      <c r="AG2503" s="55"/>
      <c r="AH2503" s="56"/>
      <c r="AI2503" s="55"/>
      <c r="AJ2503" s="55"/>
      <c r="AK2503" s="56"/>
      <c r="AL2503" s="56"/>
    </row>
    <row r="2504" spans="1:38" ht="15.75" thickBot="1" x14ac:dyDescent="0.3">
      <c r="A2504" s="51"/>
      <c r="B2504" s="51"/>
      <c r="C2504" s="51"/>
      <c r="D2504" s="51"/>
      <c r="E2504" s="51"/>
      <c r="F2504" s="51"/>
      <c r="G2504" s="54"/>
      <c r="H2504" s="53"/>
      <c r="I2504" s="53"/>
      <c r="J2504" s="53"/>
      <c r="K2504" s="53"/>
      <c r="L2504" s="53"/>
      <c r="M2504" s="53"/>
      <c r="N2504" s="53"/>
      <c r="O2504" s="53"/>
      <c r="P2504" s="53"/>
      <c r="Q2504" s="53"/>
      <c r="R2504" s="53"/>
      <c r="S2504" s="53"/>
      <c r="T2504" s="53"/>
      <c r="U2504" s="53"/>
      <c r="V2504" s="53"/>
      <c r="W2504" s="53"/>
      <c r="X2504" s="53"/>
      <c r="Y2504" s="53"/>
      <c r="Z2504" s="53"/>
      <c r="AA2504" s="54"/>
      <c r="AB2504" s="53"/>
      <c r="AC2504" s="53"/>
      <c r="AD2504" s="53"/>
      <c r="AE2504" s="53"/>
      <c r="AF2504" s="53"/>
      <c r="AG2504" s="53"/>
      <c r="AH2504" s="54"/>
      <c r="AI2504" s="53"/>
      <c r="AJ2504" s="53"/>
      <c r="AK2504" s="54"/>
      <c r="AL2504" s="54"/>
    </row>
    <row r="2505" spans="1:38" ht="15.75" thickBot="1" x14ac:dyDescent="0.3">
      <c r="A2505" s="51"/>
      <c r="B2505" s="51"/>
      <c r="C2505" s="51"/>
      <c r="D2505" s="51"/>
      <c r="E2505" s="51"/>
      <c r="F2505" s="51"/>
      <c r="G2505" s="56"/>
      <c r="H2505" s="55"/>
      <c r="I2505" s="55"/>
      <c r="J2505" s="55"/>
      <c r="K2505" s="55"/>
      <c r="L2505" s="55"/>
      <c r="M2505" s="55"/>
      <c r="N2505" s="55"/>
      <c r="O2505" s="55"/>
      <c r="P2505" s="55"/>
      <c r="Q2505" s="55"/>
      <c r="R2505" s="56"/>
      <c r="S2505" s="55"/>
      <c r="T2505" s="55"/>
      <c r="U2505" s="55"/>
      <c r="V2505" s="55"/>
      <c r="W2505" s="55"/>
      <c r="X2505" s="55"/>
      <c r="Y2505" s="55"/>
      <c r="Z2505" s="55"/>
      <c r="AA2505" s="55"/>
      <c r="AB2505" s="55"/>
      <c r="AC2505" s="55"/>
      <c r="AD2505" s="55"/>
      <c r="AE2505" s="55"/>
      <c r="AF2505" s="55"/>
      <c r="AG2505" s="55"/>
      <c r="AH2505" s="56"/>
      <c r="AI2505" s="55"/>
      <c r="AJ2505" s="55"/>
      <c r="AK2505" s="56"/>
      <c r="AL2505" s="56"/>
    </row>
    <row r="2506" spans="1:38" ht="15.75" thickBot="1" x14ac:dyDescent="0.3">
      <c r="A2506" s="51"/>
      <c r="B2506" s="51"/>
      <c r="C2506" s="51"/>
      <c r="D2506" s="51"/>
      <c r="E2506" s="51"/>
      <c r="F2506" s="51"/>
      <c r="G2506" s="54"/>
      <c r="H2506" s="53"/>
      <c r="I2506" s="53"/>
      <c r="J2506" s="53"/>
      <c r="K2506" s="53"/>
      <c r="L2506" s="53"/>
      <c r="M2506" s="53"/>
      <c r="N2506" s="53"/>
      <c r="O2506" s="53"/>
      <c r="P2506" s="53"/>
      <c r="Q2506" s="53"/>
      <c r="R2506" s="54"/>
      <c r="S2506" s="53"/>
      <c r="T2506" s="53"/>
      <c r="U2506" s="53"/>
      <c r="V2506" s="53"/>
      <c r="W2506" s="53"/>
      <c r="X2506" s="53"/>
      <c r="Y2506" s="53"/>
      <c r="Z2506" s="53"/>
      <c r="AA2506" s="53"/>
      <c r="AB2506" s="53"/>
      <c r="AC2506" s="53"/>
      <c r="AD2506" s="53"/>
      <c r="AE2506" s="53"/>
      <c r="AF2506" s="53"/>
      <c r="AG2506" s="53"/>
      <c r="AH2506" s="54"/>
      <c r="AI2506" s="53"/>
      <c r="AJ2506" s="53"/>
      <c r="AK2506" s="54"/>
      <c r="AL2506" s="54"/>
    </row>
    <row r="2507" spans="1:38" ht="15.75" thickBot="1" x14ac:dyDescent="0.3">
      <c r="A2507" s="51"/>
      <c r="B2507" s="51"/>
      <c r="C2507" s="51"/>
      <c r="D2507" s="51"/>
      <c r="E2507" s="51"/>
      <c r="F2507" s="51"/>
      <c r="G2507" s="56"/>
      <c r="H2507" s="55"/>
      <c r="I2507" s="55"/>
      <c r="J2507" s="55"/>
      <c r="K2507" s="55"/>
      <c r="L2507" s="55"/>
      <c r="M2507" s="55"/>
      <c r="N2507" s="55"/>
      <c r="O2507" s="55"/>
      <c r="P2507" s="55"/>
      <c r="Q2507" s="55"/>
      <c r="R2507" s="55"/>
      <c r="S2507" s="55"/>
      <c r="T2507" s="55"/>
      <c r="U2507" s="55"/>
      <c r="V2507" s="55"/>
      <c r="W2507" s="55"/>
      <c r="X2507" s="55"/>
      <c r="Y2507" s="55"/>
      <c r="Z2507" s="55"/>
      <c r="AA2507" s="55"/>
      <c r="AB2507" s="55"/>
      <c r="AC2507" s="56"/>
      <c r="AD2507" s="55"/>
      <c r="AE2507" s="55"/>
      <c r="AF2507" s="55"/>
      <c r="AG2507" s="55"/>
      <c r="AH2507" s="56"/>
      <c r="AI2507" s="55"/>
      <c r="AJ2507" s="55"/>
      <c r="AK2507" s="56"/>
      <c r="AL2507" s="56"/>
    </row>
    <row r="2508" spans="1:38" ht="15.75" thickBot="1" x14ac:dyDescent="0.3">
      <c r="A2508" s="51"/>
      <c r="B2508" s="51"/>
      <c r="C2508" s="51"/>
      <c r="D2508" s="51"/>
      <c r="E2508" s="51"/>
      <c r="F2508" s="51"/>
      <c r="G2508" s="54"/>
      <c r="H2508" s="53"/>
      <c r="I2508" s="53"/>
      <c r="J2508" s="53"/>
      <c r="K2508" s="53"/>
      <c r="L2508" s="53"/>
      <c r="M2508" s="53"/>
      <c r="N2508" s="53"/>
      <c r="O2508" s="53"/>
      <c r="P2508" s="53"/>
      <c r="Q2508" s="53"/>
      <c r="R2508" s="53"/>
      <c r="S2508" s="53"/>
      <c r="T2508" s="53"/>
      <c r="U2508" s="53"/>
      <c r="V2508" s="53"/>
      <c r="W2508" s="53"/>
      <c r="X2508" s="53"/>
      <c r="Y2508" s="53"/>
      <c r="Z2508" s="53"/>
      <c r="AA2508" s="53"/>
      <c r="AB2508" s="53"/>
      <c r="AC2508" s="54"/>
      <c r="AD2508" s="53"/>
      <c r="AE2508" s="53"/>
      <c r="AF2508" s="53"/>
      <c r="AG2508" s="53"/>
      <c r="AH2508" s="54"/>
      <c r="AI2508" s="53"/>
      <c r="AJ2508" s="53"/>
      <c r="AK2508" s="54"/>
      <c r="AL2508" s="54"/>
    </row>
    <row r="2509" spans="1:38" ht="15.75" thickBot="1" x14ac:dyDescent="0.3">
      <c r="A2509" s="51"/>
      <c r="B2509" s="51"/>
      <c r="C2509" s="51"/>
      <c r="D2509" s="51"/>
      <c r="E2509" s="51"/>
      <c r="F2509" s="51"/>
      <c r="G2509" s="56"/>
      <c r="H2509" s="55"/>
      <c r="I2509" s="55"/>
      <c r="J2509" s="55"/>
      <c r="K2509" s="56"/>
      <c r="L2509" s="55"/>
      <c r="M2509" s="55"/>
      <c r="N2509" s="55"/>
      <c r="O2509" s="55"/>
      <c r="P2509" s="55"/>
      <c r="Q2509" s="55"/>
      <c r="R2509" s="55"/>
      <c r="S2509" s="55"/>
      <c r="T2509" s="55"/>
      <c r="U2509" s="55"/>
      <c r="V2509" s="55"/>
      <c r="W2509" s="55"/>
      <c r="X2509" s="55"/>
      <c r="Y2509" s="55"/>
      <c r="Z2509" s="55"/>
      <c r="AA2509" s="55"/>
      <c r="AB2509" s="55"/>
      <c r="AC2509" s="55"/>
      <c r="AD2509" s="55"/>
      <c r="AE2509" s="55"/>
      <c r="AF2509" s="55"/>
      <c r="AG2509" s="55"/>
      <c r="AH2509" s="56"/>
      <c r="AI2509" s="55"/>
      <c r="AJ2509" s="55"/>
      <c r="AK2509" s="56"/>
      <c r="AL2509" s="56"/>
    </row>
    <row r="2510" spans="1:38" ht="15.75" thickBot="1" x14ac:dyDescent="0.3">
      <c r="A2510" s="51"/>
      <c r="B2510" s="51"/>
      <c r="C2510" s="51"/>
      <c r="D2510" s="51"/>
      <c r="E2510" s="51"/>
      <c r="F2510" s="51"/>
      <c r="G2510" s="54"/>
      <c r="H2510" s="53"/>
      <c r="I2510" s="53"/>
      <c r="J2510" s="53"/>
      <c r="K2510" s="54"/>
      <c r="L2510" s="53"/>
      <c r="M2510" s="53"/>
      <c r="N2510" s="53"/>
      <c r="O2510" s="53"/>
      <c r="P2510" s="53"/>
      <c r="Q2510" s="53"/>
      <c r="R2510" s="53"/>
      <c r="S2510" s="53"/>
      <c r="T2510" s="53"/>
      <c r="U2510" s="53"/>
      <c r="V2510" s="53"/>
      <c r="W2510" s="53"/>
      <c r="X2510" s="53"/>
      <c r="Y2510" s="53"/>
      <c r="Z2510" s="53"/>
      <c r="AA2510" s="53"/>
      <c r="AB2510" s="53"/>
      <c r="AC2510" s="53"/>
      <c r="AD2510" s="53"/>
      <c r="AE2510" s="53"/>
      <c r="AF2510" s="53"/>
      <c r="AG2510" s="53"/>
      <c r="AH2510" s="54"/>
      <c r="AI2510" s="53"/>
      <c r="AJ2510" s="53"/>
      <c r="AK2510" s="54"/>
      <c r="AL2510" s="54"/>
    </row>
    <row r="2511" spans="1:38" ht="15.75" thickBot="1" x14ac:dyDescent="0.3">
      <c r="A2511" s="51"/>
      <c r="B2511" s="51"/>
      <c r="C2511" s="51"/>
      <c r="D2511" s="51"/>
      <c r="E2511" s="51"/>
      <c r="F2511" s="51"/>
      <c r="G2511" s="56"/>
      <c r="H2511" s="56"/>
      <c r="I2511" s="55"/>
      <c r="J2511" s="55"/>
      <c r="K2511" s="55"/>
      <c r="L2511" s="55"/>
      <c r="M2511" s="56"/>
      <c r="N2511" s="55"/>
      <c r="O2511" s="55"/>
      <c r="P2511" s="55"/>
      <c r="Q2511" s="55"/>
      <c r="R2511" s="55"/>
      <c r="S2511" s="55"/>
      <c r="T2511" s="55"/>
      <c r="U2511" s="55"/>
      <c r="V2511" s="55"/>
      <c r="W2511" s="55"/>
      <c r="X2511" s="55"/>
      <c r="Y2511" s="55"/>
      <c r="Z2511" s="55"/>
      <c r="AA2511" s="55"/>
      <c r="AB2511" s="55"/>
      <c r="AC2511" s="55"/>
      <c r="AD2511" s="55"/>
      <c r="AE2511" s="55"/>
      <c r="AF2511" s="55"/>
      <c r="AG2511" s="55"/>
      <c r="AH2511" s="56"/>
      <c r="AI2511" s="55"/>
      <c r="AJ2511" s="55"/>
      <c r="AK2511" s="56"/>
      <c r="AL2511" s="56"/>
    </row>
    <row r="2512" spans="1:38" ht="15.75" thickBot="1" x14ac:dyDescent="0.3">
      <c r="A2512" s="51"/>
      <c r="B2512" s="51"/>
      <c r="C2512" s="51"/>
      <c r="D2512" s="51"/>
      <c r="E2512" s="51"/>
      <c r="F2512" s="51"/>
      <c r="G2512" s="54"/>
      <c r="H2512" s="147"/>
      <c r="I2512" s="53"/>
      <c r="J2512" s="53"/>
      <c r="K2512" s="53"/>
      <c r="L2512" s="53"/>
      <c r="M2512" s="54"/>
      <c r="N2512" s="53"/>
      <c r="O2512" s="53"/>
      <c r="P2512" s="53"/>
      <c r="Q2512" s="53"/>
      <c r="R2512" s="53"/>
      <c r="S2512" s="53"/>
      <c r="T2512" s="53"/>
      <c r="U2512" s="53"/>
      <c r="V2512" s="53"/>
      <c r="W2512" s="53"/>
      <c r="X2512" s="53"/>
      <c r="Y2512" s="53"/>
      <c r="Z2512" s="53"/>
      <c r="AA2512" s="53"/>
      <c r="AB2512" s="53"/>
      <c r="AC2512" s="53"/>
      <c r="AD2512" s="53"/>
      <c r="AE2512" s="53"/>
      <c r="AF2512" s="53"/>
      <c r="AG2512" s="53"/>
      <c r="AH2512" s="54"/>
      <c r="AI2512" s="53"/>
      <c r="AJ2512" s="53"/>
      <c r="AK2512" s="54"/>
      <c r="AL2512" s="54"/>
    </row>
    <row r="2513" spans="1:38" ht="15.75" thickBot="1" x14ac:dyDescent="0.3">
      <c r="A2513" s="51"/>
      <c r="B2513" s="51"/>
      <c r="C2513" s="51"/>
      <c r="D2513" s="51"/>
      <c r="E2513" s="51"/>
      <c r="F2513" s="51"/>
      <c r="G2513" s="56"/>
      <c r="H2513" s="55"/>
      <c r="I2513" s="55"/>
      <c r="J2513" s="55"/>
      <c r="K2513" s="55"/>
      <c r="L2513" s="55"/>
      <c r="M2513" s="55"/>
      <c r="N2513" s="55"/>
      <c r="O2513" s="55"/>
      <c r="P2513" s="55"/>
      <c r="Q2513" s="56"/>
      <c r="R2513" s="55"/>
      <c r="S2513" s="55"/>
      <c r="T2513" s="55"/>
      <c r="U2513" s="55"/>
      <c r="V2513" s="55"/>
      <c r="W2513" s="55"/>
      <c r="X2513" s="55"/>
      <c r="Y2513" s="55"/>
      <c r="Z2513" s="55"/>
      <c r="AA2513" s="55"/>
      <c r="AB2513" s="55"/>
      <c r="AC2513" s="55"/>
      <c r="AD2513" s="55"/>
      <c r="AE2513" s="55"/>
      <c r="AF2513" s="55"/>
      <c r="AG2513" s="55"/>
      <c r="AH2513" s="56"/>
      <c r="AI2513" s="55"/>
      <c r="AJ2513" s="55"/>
      <c r="AK2513" s="56"/>
      <c r="AL2513" s="56"/>
    </row>
    <row r="2514" spans="1:38" ht="15.75" thickBot="1" x14ac:dyDescent="0.3">
      <c r="A2514" s="51"/>
      <c r="B2514" s="51"/>
      <c r="C2514" s="51"/>
      <c r="D2514" s="51"/>
      <c r="E2514" s="51"/>
      <c r="F2514" s="51"/>
      <c r="G2514" s="54"/>
      <c r="H2514" s="53"/>
      <c r="I2514" s="53"/>
      <c r="J2514" s="53"/>
      <c r="K2514" s="53"/>
      <c r="L2514" s="53"/>
      <c r="M2514" s="53"/>
      <c r="N2514" s="53"/>
      <c r="O2514" s="53"/>
      <c r="P2514" s="53"/>
      <c r="Q2514" s="54"/>
      <c r="R2514" s="53"/>
      <c r="S2514" s="53"/>
      <c r="T2514" s="53"/>
      <c r="U2514" s="53"/>
      <c r="V2514" s="53"/>
      <c r="W2514" s="53"/>
      <c r="X2514" s="53"/>
      <c r="Y2514" s="53"/>
      <c r="Z2514" s="53"/>
      <c r="AA2514" s="53"/>
      <c r="AB2514" s="53"/>
      <c r="AC2514" s="53"/>
      <c r="AD2514" s="53"/>
      <c r="AE2514" s="53"/>
      <c r="AF2514" s="53"/>
      <c r="AG2514" s="53"/>
      <c r="AH2514" s="54"/>
      <c r="AI2514" s="53"/>
      <c r="AJ2514" s="53"/>
      <c r="AK2514" s="54"/>
      <c r="AL2514" s="54"/>
    </row>
    <row r="2515" spans="1:38" ht="15.75" thickBot="1" x14ac:dyDescent="0.3">
      <c r="A2515" s="51"/>
      <c r="B2515" s="51"/>
      <c r="C2515" s="51"/>
      <c r="D2515" s="51"/>
      <c r="E2515" s="51"/>
      <c r="F2515" s="51"/>
      <c r="G2515" s="56"/>
      <c r="H2515" s="55"/>
      <c r="I2515" s="55"/>
      <c r="J2515" s="55"/>
      <c r="K2515" s="55"/>
      <c r="L2515" s="55"/>
      <c r="M2515" s="55"/>
      <c r="N2515" s="55"/>
      <c r="O2515" s="55"/>
      <c r="P2515" s="55"/>
      <c r="Q2515" s="55"/>
      <c r="R2515" s="55"/>
      <c r="S2515" s="55"/>
      <c r="T2515" s="55"/>
      <c r="U2515" s="55"/>
      <c r="V2515" s="55"/>
      <c r="W2515" s="55"/>
      <c r="X2515" s="55"/>
      <c r="Y2515" s="55"/>
      <c r="Z2515" s="56"/>
      <c r="AA2515" s="55"/>
      <c r="AB2515" s="55"/>
      <c r="AC2515" s="55"/>
      <c r="AD2515" s="55"/>
      <c r="AE2515" s="55"/>
      <c r="AF2515" s="55"/>
      <c r="AG2515" s="55"/>
      <c r="AH2515" s="56"/>
      <c r="AI2515" s="55"/>
      <c r="AJ2515" s="55"/>
      <c r="AK2515" s="56"/>
      <c r="AL2515" s="56"/>
    </row>
    <row r="2516" spans="1:38" ht="15.75" thickBot="1" x14ac:dyDescent="0.3">
      <c r="A2516" s="51"/>
      <c r="B2516" s="51"/>
      <c r="C2516" s="51"/>
      <c r="D2516" s="51"/>
      <c r="E2516" s="51"/>
      <c r="F2516" s="51"/>
      <c r="G2516" s="54"/>
      <c r="H2516" s="53"/>
      <c r="I2516" s="53"/>
      <c r="J2516" s="53"/>
      <c r="K2516" s="53"/>
      <c r="L2516" s="53"/>
      <c r="M2516" s="53"/>
      <c r="N2516" s="53"/>
      <c r="O2516" s="53"/>
      <c r="P2516" s="53"/>
      <c r="Q2516" s="53"/>
      <c r="R2516" s="53"/>
      <c r="S2516" s="53"/>
      <c r="T2516" s="53"/>
      <c r="U2516" s="53"/>
      <c r="V2516" s="53"/>
      <c r="W2516" s="53"/>
      <c r="X2516" s="53"/>
      <c r="Y2516" s="53"/>
      <c r="Z2516" s="54"/>
      <c r="AA2516" s="53"/>
      <c r="AB2516" s="53"/>
      <c r="AC2516" s="53"/>
      <c r="AD2516" s="53"/>
      <c r="AE2516" s="53"/>
      <c r="AF2516" s="53"/>
      <c r="AG2516" s="53"/>
      <c r="AH2516" s="54"/>
      <c r="AI2516" s="53"/>
      <c r="AJ2516" s="53"/>
      <c r="AK2516" s="54"/>
      <c r="AL2516" s="54"/>
    </row>
    <row r="2517" spans="1:38" ht="15.75" thickBot="1" x14ac:dyDescent="0.3">
      <c r="A2517" s="51"/>
      <c r="B2517" s="51"/>
      <c r="C2517" s="51"/>
      <c r="D2517" s="51"/>
      <c r="E2517" s="51"/>
      <c r="F2517" s="51"/>
      <c r="G2517" s="56"/>
      <c r="H2517" s="55"/>
      <c r="I2517" s="55"/>
      <c r="J2517" s="55"/>
      <c r="K2517" s="55"/>
      <c r="L2517" s="55"/>
      <c r="M2517" s="55"/>
      <c r="N2517" s="55"/>
      <c r="O2517" s="55"/>
      <c r="P2517" s="55"/>
      <c r="Q2517" s="55"/>
      <c r="R2517" s="55"/>
      <c r="S2517" s="55"/>
      <c r="T2517" s="55"/>
      <c r="U2517" s="55"/>
      <c r="V2517" s="55"/>
      <c r="W2517" s="55"/>
      <c r="X2517" s="55"/>
      <c r="Y2517" s="55"/>
      <c r="Z2517" s="55"/>
      <c r="AA2517" s="56"/>
      <c r="AB2517" s="55"/>
      <c r="AC2517" s="55"/>
      <c r="AD2517" s="55"/>
      <c r="AE2517" s="55"/>
      <c r="AF2517" s="55"/>
      <c r="AG2517" s="55"/>
      <c r="AH2517" s="56"/>
      <c r="AI2517" s="55"/>
      <c r="AJ2517" s="55"/>
      <c r="AK2517" s="56"/>
      <c r="AL2517" s="56"/>
    </row>
    <row r="2518" spans="1:38" ht="15.75" thickBot="1" x14ac:dyDescent="0.3">
      <c r="A2518" s="51"/>
      <c r="B2518" s="51"/>
      <c r="C2518" s="51"/>
      <c r="D2518" s="51"/>
      <c r="E2518" s="51"/>
      <c r="F2518" s="51"/>
      <c r="G2518" s="54"/>
      <c r="H2518" s="53"/>
      <c r="I2518" s="53"/>
      <c r="J2518" s="53"/>
      <c r="K2518" s="53"/>
      <c r="L2518" s="53"/>
      <c r="M2518" s="53"/>
      <c r="N2518" s="53"/>
      <c r="O2518" s="53"/>
      <c r="P2518" s="53"/>
      <c r="Q2518" s="53"/>
      <c r="R2518" s="53"/>
      <c r="S2518" s="53"/>
      <c r="T2518" s="53"/>
      <c r="U2518" s="53"/>
      <c r="V2518" s="53"/>
      <c r="W2518" s="53"/>
      <c r="X2518" s="53"/>
      <c r="Y2518" s="53"/>
      <c r="Z2518" s="53"/>
      <c r="AA2518" s="54"/>
      <c r="AB2518" s="53"/>
      <c r="AC2518" s="53"/>
      <c r="AD2518" s="53"/>
      <c r="AE2518" s="53"/>
      <c r="AF2518" s="53"/>
      <c r="AG2518" s="53"/>
      <c r="AH2518" s="54"/>
      <c r="AI2518" s="53"/>
      <c r="AJ2518" s="53"/>
      <c r="AK2518" s="54"/>
      <c r="AL2518" s="54"/>
    </row>
    <row r="2519" spans="1:38" ht="15.75" thickBot="1" x14ac:dyDescent="0.3">
      <c r="A2519" s="51"/>
      <c r="B2519" s="51"/>
      <c r="C2519" s="51"/>
      <c r="D2519" s="51"/>
      <c r="E2519" s="51"/>
      <c r="F2519" s="51"/>
      <c r="G2519" s="56"/>
      <c r="H2519" s="55"/>
      <c r="I2519" s="55"/>
      <c r="J2519" s="55"/>
      <c r="K2519" s="55"/>
      <c r="L2519" s="55"/>
      <c r="M2519" s="55"/>
      <c r="N2519" s="55"/>
      <c r="O2519" s="55"/>
      <c r="P2519" s="55"/>
      <c r="Q2519" s="55"/>
      <c r="R2519" s="56"/>
      <c r="S2519" s="55"/>
      <c r="T2519" s="55"/>
      <c r="U2519" s="55"/>
      <c r="V2519" s="55"/>
      <c r="W2519" s="55"/>
      <c r="X2519" s="55"/>
      <c r="Y2519" s="55"/>
      <c r="Z2519" s="55"/>
      <c r="AA2519" s="55"/>
      <c r="AB2519" s="55"/>
      <c r="AC2519" s="55"/>
      <c r="AD2519" s="55"/>
      <c r="AE2519" s="55"/>
      <c r="AF2519" s="55"/>
      <c r="AG2519" s="55"/>
      <c r="AH2519" s="56"/>
      <c r="AI2519" s="55"/>
      <c r="AJ2519" s="55"/>
      <c r="AK2519" s="56"/>
      <c r="AL2519" s="56"/>
    </row>
    <row r="2520" spans="1:38" ht="15.75" thickBot="1" x14ac:dyDescent="0.3">
      <c r="A2520" s="51"/>
      <c r="B2520" s="51"/>
      <c r="C2520" s="51"/>
      <c r="D2520" s="51"/>
      <c r="E2520" s="51"/>
      <c r="F2520" s="51"/>
      <c r="G2520" s="54"/>
      <c r="H2520" s="53"/>
      <c r="I2520" s="53"/>
      <c r="J2520" s="53"/>
      <c r="K2520" s="53"/>
      <c r="L2520" s="53"/>
      <c r="M2520" s="53"/>
      <c r="N2520" s="53"/>
      <c r="O2520" s="53"/>
      <c r="P2520" s="53"/>
      <c r="Q2520" s="53"/>
      <c r="R2520" s="54"/>
      <c r="S2520" s="53"/>
      <c r="T2520" s="53"/>
      <c r="U2520" s="53"/>
      <c r="V2520" s="53"/>
      <c r="W2520" s="53"/>
      <c r="X2520" s="53"/>
      <c r="Y2520" s="53"/>
      <c r="Z2520" s="53"/>
      <c r="AA2520" s="53"/>
      <c r="AB2520" s="53"/>
      <c r="AC2520" s="53"/>
      <c r="AD2520" s="53"/>
      <c r="AE2520" s="53"/>
      <c r="AF2520" s="53"/>
      <c r="AG2520" s="53"/>
      <c r="AH2520" s="54"/>
      <c r="AI2520" s="53"/>
      <c r="AJ2520" s="53"/>
      <c r="AK2520" s="54"/>
      <c r="AL2520" s="54"/>
    </row>
    <row r="2521" spans="1:38" ht="15.75" thickBot="1" x14ac:dyDescent="0.3">
      <c r="A2521" s="51"/>
      <c r="B2521" s="51"/>
      <c r="C2521" s="51"/>
      <c r="D2521" s="51"/>
      <c r="E2521" s="51"/>
      <c r="F2521" s="51"/>
      <c r="G2521" s="56"/>
      <c r="H2521" s="55"/>
      <c r="I2521" s="55"/>
      <c r="J2521" s="55"/>
      <c r="K2521" s="55"/>
      <c r="L2521" s="55"/>
      <c r="M2521" s="55"/>
      <c r="N2521" s="55"/>
      <c r="O2521" s="55"/>
      <c r="P2521" s="55"/>
      <c r="Q2521" s="55"/>
      <c r="R2521" s="55"/>
      <c r="S2521" s="55"/>
      <c r="T2521" s="55"/>
      <c r="U2521" s="55"/>
      <c r="V2521" s="55"/>
      <c r="W2521" s="55"/>
      <c r="X2521" s="55"/>
      <c r="Y2521" s="55"/>
      <c r="Z2521" s="55"/>
      <c r="AA2521" s="55"/>
      <c r="AB2521" s="55"/>
      <c r="AC2521" s="56"/>
      <c r="AD2521" s="55"/>
      <c r="AE2521" s="55"/>
      <c r="AF2521" s="55"/>
      <c r="AG2521" s="55"/>
      <c r="AH2521" s="56"/>
      <c r="AI2521" s="55"/>
      <c r="AJ2521" s="55"/>
      <c r="AK2521" s="56"/>
      <c r="AL2521" s="56"/>
    </row>
    <row r="2522" spans="1:38" ht="15.75" thickBot="1" x14ac:dyDescent="0.3">
      <c r="A2522" s="51"/>
      <c r="B2522" s="51"/>
      <c r="C2522" s="51"/>
      <c r="D2522" s="51"/>
      <c r="E2522" s="51"/>
      <c r="F2522" s="51"/>
      <c r="G2522" s="54"/>
      <c r="H2522" s="53"/>
      <c r="I2522" s="53"/>
      <c r="J2522" s="53"/>
      <c r="K2522" s="53"/>
      <c r="L2522" s="53"/>
      <c r="M2522" s="53"/>
      <c r="N2522" s="53"/>
      <c r="O2522" s="53"/>
      <c r="P2522" s="53"/>
      <c r="Q2522" s="53"/>
      <c r="R2522" s="53"/>
      <c r="S2522" s="53"/>
      <c r="T2522" s="53"/>
      <c r="U2522" s="53"/>
      <c r="V2522" s="53"/>
      <c r="W2522" s="53"/>
      <c r="X2522" s="53"/>
      <c r="Y2522" s="53"/>
      <c r="Z2522" s="53"/>
      <c r="AA2522" s="53"/>
      <c r="AB2522" s="53"/>
      <c r="AC2522" s="54"/>
      <c r="AD2522" s="53"/>
      <c r="AE2522" s="53"/>
      <c r="AF2522" s="53"/>
      <c r="AG2522" s="53"/>
      <c r="AH2522" s="54"/>
      <c r="AI2522" s="53"/>
      <c r="AJ2522" s="53"/>
      <c r="AK2522" s="54"/>
      <c r="AL2522" s="54"/>
    </row>
    <row r="2523" spans="1:38" ht="15.75" thickBot="1" x14ac:dyDescent="0.3">
      <c r="A2523" s="51"/>
      <c r="B2523" s="51"/>
      <c r="C2523" s="51"/>
      <c r="D2523" s="51"/>
      <c r="E2523" s="51"/>
      <c r="F2523" s="51"/>
      <c r="G2523" s="54"/>
      <c r="H2523" s="53"/>
      <c r="I2523" s="53"/>
      <c r="J2523" s="53"/>
      <c r="K2523" s="54"/>
      <c r="L2523" s="53"/>
      <c r="M2523" s="53"/>
      <c r="N2523" s="53"/>
      <c r="O2523" s="53"/>
      <c r="P2523" s="53"/>
      <c r="Q2523" s="53"/>
      <c r="R2523" s="53"/>
      <c r="S2523" s="53"/>
      <c r="T2523" s="53"/>
      <c r="U2523" s="53"/>
      <c r="V2523" s="53"/>
      <c r="W2523" s="53"/>
      <c r="X2523" s="53"/>
      <c r="Y2523" s="53"/>
      <c r="Z2523" s="53"/>
      <c r="AA2523" s="53"/>
      <c r="AB2523" s="53"/>
      <c r="AC2523" s="53"/>
      <c r="AD2523" s="53"/>
      <c r="AE2523" s="53"/>
      <c r="AF2523" s="53"/>
      <c r="AG2523" s="53"/>
      <c r="AH2523" s="54"/>
      <c r="AI2523" s="53"/>
      <c r="AJ2523" s="53"/>
      <c r="AK2523" s="54"/>
      <c r="AL2523" s="54"/>
    </row>
    <row r="2524" spans="1:38" ht="15.75" thickBot="1" x14ac:dyDescent="0.3">
      <c r="A2524" s="51"/>
      <c r="B2524" s="51"/>
      <c r="C2524" s="51"/>
      <c r="D2524" s="51"/>
      <c r="E2524" s="51"/>
      <c r="F2524" s="51"/>
      <c r="G2524" s="56"/>
      <c r="H2524" s="55"/>
      <c r="I2524" s="55"/>
      <c r="J2524" s="55"/>
      <c r="K2524" s="56"/>
      <c r="L2524" s="55"/>
      <c r="M2524" s="55"/>
      <c r="N2524" s="55"/>
      <c r="O2524" s="55"/>
      <c r="P2524" s="55"/>
      <c r="Q2524" s="55"/>
      <c r="R2524" s="55"/>
      <c r="S2524" s="55"/>
      <c r="T2524" s="55"/>
      <c r="U2524" s="55"/>
      <c r="V2524" s="55"/>
      <c r="W2524" s="55"/>
      <c r="X2524" s="55"/>
      <c r="Y2524" s="55"/>
      <c r="Z2524" s="55"/>
      <c r="AA2524" s="55"/>
      <c r="AB2524" s="55"/>
      <c r="AC2524" s="55"/>
      <c r="AD2524" s="55"/>
      <c r="AE2524" s="55"/>
      <c r="AF2524" s="55"/>
      <c r="AG2524" s="55"/>
      <c r="AH2524" s="56"/>
      <c r="AI2524" s="55"/>
      <c r="AJ2524" s="55"/>
      <c r="AK2524" s="56"/>
      <c r="AL2524" s="56"/>
    </row>
    <row r="2525" spans="1:38" ht="15.75" thickBot="1" x14ac:dyDescent="0.3">
      <c r="A2525" s="51"/>
      <c r="B2525" s="51"/>
      <c r="C2525" s="51"/>
      <c r="D2525" s="51"/>
      <c r="E2525" s="51"/>
      <c r="F2525" s="51"/>
      <c r="G2525" s="53"/>
      <c r="H2525" s="53"/>
      <c r="I2525" s="53"/>
      <c r="J2525" s="53"/>
      <c r="K2525" s="53"/>
      <c r="L2525" s="53"/>
      <c r="M2525" s="53"/>
      <c r="N2525" s="53"/>
      <c r="O2525" s="53"/>
      <c r="P2525" s="53"/>
      <c r="Q2525" s="53"/>
      <c r="R2525" s="53"/>
      <c r="S2525" s="53"/>
      <c r="T2525" s="53"/>
      <c r="U2525" s="53"/>
      <c r="V2525" s="53"/>
      <c r="W2525" s="53"/>
      <c r="X2525" s="53"/>
      <c r="Y2525" s="53"/>
      <c r="Z2525" s="53"/>
      <c r="AA2525" s="53"/>
      <c r="AB2525" s="53"/>
      <c r="AC2525" s="53"/>
      <c r="AD2525" s="53"/>
      <c r="AE2525" s="53"/>
      <c r="AF2525" s="53"/>
      <c r="AG2525" s="54"/>
      <c r="AH2525" s="54"/>
      <c r="AI2525" s="53"/>
      <c r="AJ2525" s="53"/>
      <c r="AK2525" s="54"/>
      <c r="AL2525" s="54"/>
    </row>
    <row r="2526" spans="1:38" ht="15.75" thickBot="1" x14ac:dyDescent="0.3">
      <c r="A2526" s="51"/>
      <c r="B2526" s="51"/>
      <c r="C2526" s="51"/>
      <c r="D2526" s="51"/>
      <c r="E2526" s="51"/>
      <c r="F2526" s="51"/>
      <c r="G2526" s="55"/>
      <c r="H2526" s="55"/>
      <c r="I2526" s="55"/>
      <c r="J2526" s="55"/>
      <c r="K2526" s="55"/>
      <c r="L2526" s="55"/>
      <c r="M2526" s="55"/>
      <c r="N2526" s="55"/>
      <c r="O2526" s="55"/>
      <c r="P2526" s="55"/>
      <c r="Q2526" s="55"/>
      <c r="R2526" s="55"/>
      <c r="S2526" s="55"/>
      <c r="T2526" s="55"/>
      <c r="U2526" s="55"/>
      <c r="V2526" s="55"/>
      <c r="W2526" s="55"/>
      <c r="X2526" s="55"/>
      <c r="Y2526" s="55"/>
      <c r="Z2526" s="55"/>
      <c r="AA2526" s="55"/>
      <c r="AB2526" s="55"/>
      <c r="AC2526" s="55"/>
      <c r="AD2526" s="55"/>
      <c r="AE2526" s="55"/>
      <c r="AF2526" s="55"/>
      <c r="AG2526" s="56"/>
      <c r="AH2526" s="56"/>
      <c r="AI2526" s="55"/>
      <c r="AJ2526" s="55"/>
      <c r="AK2526" s="56"/>
      <c r="AL2526" s="56"/>
    </row>
    <row r="2527" spans="1:38" ht="15.75" thickBot="1" x14ac:dyDescent="0.3">
      <c r="A2527" s="51"/>
      <c r="B2527" s="51"/>
      <c r="C2527" s="51"/>
      <c r="D2527" s="51"/>
      <c r="E2527" s="51"/>
      <c r="F2527" s="51"/>
      <c r="G2527" s="54"/>
      <c r="H2527" s="53"/>
      <c r="I2527" s="53"/>
      <c r="J2527" s="53"/>
      <c r="K2527" s="54"/>
      <c r="L2527" s="53"/>
      <c r="M2527" s="53"/>
      <c r="N2527" s="53"/>
      <c r="O2527" s="53"/>
      <c r="P2527" s="53"/>
      <c r="Q2527" s="53"/>
      <c r="R2527" s="53"/>
      <c r="S2527" s="53"/>
      <c r="T2527" s="53"/>
      <c r="U2527" s="53"/>
      <c r="V2527" s="53"/>
      <c r="W2527" s="53"/>
      <c r="X2527" s="53"/>
      <c r="Y2527" s="53"/>
      <c r="Z2527" s="53"/>
      <c r="AA2527" s="53"/>
      <c r="AB2527" s="53"/>
      <c r="AC2527" s="53"/>
      <c r="AD2527" s="53"/>
      <c r="AE2527" s="53"/>
      <c r="AF2527" s="53"/>
      <c r="AG2527" s="53"/>
      <c r="AH2527" s="54"/>
      <c r="AI2527" s="53"/>
      <c r="AJ2527" s="53"/>
      <c r="AK2527" s="54"/>
      <c r="AL2527" s="54"/>
    </row>
    <row r="2528" spans="1:38" ht="15.75" thickBot="1" x14ac:dyDescent="0.3">
      <c r="A2528" s="51"/>
      <c r="B2528" s="51"/>
      <c r="C2528" s="51"/>
      <c r="D2528" s="51"/>
      <c r="E2528" s="51"/>
      <c r="F2528" s="51"/>
      <c r="G2528" s="56"/>
      <c r="H2528" s="55"/>
      <c r="I2528" s="55"/>
      <c r="J2528" s="55"/>
      <c r="K2528" s="56"/>
      <c r="L2528" s="55"/>
      <c r="M2528" s="55"/>
      <c r="N2528" s="55"/>
      <c r="O2528" s="55"/>
      <c r="P2528" s="55"/>
      <c r="Q2528" s="55"/>
      <c r="R2528" s="55"/>
      <c r="S2528" s="55"/>
      <c r="T2528" s="55"/>
      <c r="U2528" s="55"/>
      <c r="V2528" s="55"/>
      <c r="W2528" s="55"/>
      <c r="X2528" s="55"/>
      <c r="Y2528" s="55"/>
      <c r="Z2528" s="55"/>
      <c r="AA2528" s="55"/>
      <c r="AB2528" s="55"/>
      <c r="AC2528" s="55"/>
      <c r="AD2528" s="55"/>
      <c r="AE2528" s="55"/>
      <c r="AF2528" s="55"/>
      <c r="AG2528" s="55"/>
      <c r="AH2528" s="56"/>
      <c r="AI2528" s="55"/>
      <c r="AJ2528" s="55"/>
      <c r="AK2528" s="56"/>
      <c r="AL2528" s="56"/>
    </row>
    <row r="2529" spans="1:38" ht="15.75" thickBot="1" x14ac:dyDescent="0.3">
      <c r="A2529" s="51"/>
      <c r="B2529" s="51"/>
      <c r="C2529" s="51"/>
      <c r="D2529" s="51"/>
      <c r="E2529" s="51"/>
      <c r="F2529" s="51"/>
      <c r="G2529" s="54"/>
      <c r="H2529" s="54"/>
      <c r="I2529" s="53"/>
      <c r="J2529" s="53"/>
      <c r="K2529" s="53"/>
      <c r="L2529" s="53"/>
      <c r="M2529" s="54"/>
      <c r="N2529" s="53"/>
      <c r="O2529" s="53"/>
      <c r="P2529" s="53"/>
      <c r="Q2529" s="53"/>
      <c r="R2529" s="53"/>
      <c r="S2529" s="53"/>
      <c r="T2529" s="53"/>
      <c r="U2529" s="53"/>
      <c r="V2529" s="53"/>
      <c r="W2529" s="53"/>
      <c r="X2529" s="53"/>
      <c r="Y2529" s="53"/>
      <c r="Z2529" s="53"/>
      <c r="AA2529" s="53"/>
      <c r="AB2529" s="53"/>
      <c r="AC2529" s="53"/>
      <c r="AD2529" s="53"/>
      <c r="AE2529" s="53"/>
      <c r="AF2529" s="53"/>
      <c r="AG2529" s="53"/>
      <c r="AH2529" s="54"/>
      <c r="AI2529" s="53"/>
      <c r="AJ2529" s="53"/>
      <c r="AK2529" s="54"/>
      <c r="AL2529" s="54"/>
    </row>
    <row r="2530" spans="1:38" ht="15.75" thickBot="1" x14ac:dyDescent="0.3">
      <c r="A2530" s="51"/>
      <c r="B2530" s="51"/>
      <c r="C2530" s="51"/>
      <c r="D2530" s="51"/>
      <c r="E2530" s="51"/>
      <c r="F2530" s="51"/>
      <c r="G2530" s="56"/>
      <c r="H2530" s="148"/>
      <c r="I2530" s="55"/>
      <c r="J2530" s="55"/>
      <c r="K2530" s="55"/>
      <c r="L2530" s="55"/>
      <c r="M2530" s="56"/>
      <c r="N2530" s="55"/>
      <c r="O2530" s="55"/>
      <c r="P2530" s="55"/>
      <c r="Q2530" s="55"/>
      <c r="R2530" s="55"/>
      <c r="S2530" s="55"/>
      <c r="T2530" s="55"/>
      <c r="U2530" s="55"/>
      <c r="V2530" s="55"/>
      <c r="W2530" s="55"/>
      <c r="X2530" s="55"/>
      <c r="Y2530" s="55"/>
      <c r="Z2530" s="55"/>
      <c r="AA2530" s="55"/>
      <c r="AB2530" s="55"/>
      <c r="AC2530" s="55"/>
      <c r="AD2530" s="55"/>
      <c r="AE2530" s="55"/>
      <c r="AF2530" s="55"/>
      <c r="AG2530" s="55"/>
      <c r="AH2530" s="56"/>
      <c r="AI2530" s="55"/>
      <c r="AJ2530" s="55"/>
      <c r="AK2530" s="56"/>
      <c r="AL2530" s="56"/>
    </row>
    <row r="2531" spans="1:38" ht="15.75" thickBot="1" x14ac:dyDescent="0.3">
      <c r="A2531" s="51"/>
      <c r="B2531" s="51"/>
      <c r="C2531" s="51"/>
      <c r="D2531" s="51"/>
      <c r="E2531" s="51"/>
      <c r="F2531" s="51"/>
      <c r="G2531" s="54"/>
      <c r="H2531" s="53"/>
      <c r="I2531" s="53"/>
      <c r="J2531" s="53"/>
      <c r="K2531" s="53"/>
      <c r="L2531" s="53"/>
      <c r="M2531" s="53"/>
      <c r="N2531" s="53"/>
      <c r="O2531" s="53"/>
      <c r="P2531" s="53"/>
      <c r="Q2531" s="54"/>
      <c r="R2531" s="53"/>
      <c r="S2531" s="53"/>
      <c r="T2531" s="53"/>
      <c r="U2531" s="53"/>
      <c r="V2531" s="53"/>
      <c r="W2531" s="53"/>
      <c r="X2531" s="53"/>
      <c r="Y2531" s="53"/>
      <c r="Z2531" s="53"/>
      <c r="AA2531" s="53"/>
      <c r="AB2531" s="53"/>
      <c r="AC2531" s="53"/>
      <c r="AD2531" s="53"/>
      <c r="AE2531" s="53"/>
      <c r="AF2531" s="53"/>
      <c r="AG2531" s="53"/>
      <c r="AH2531" s="54"/>
      <c r="AI2531" s="53"/>
      <c r="AJ2531" s="53"/>
      <c r="AK2531" s="54"/>
      <c r="AL2531" s="54"/>
    </row>
    <row r="2532" spans="1:38" ht="15.75" thickBot="1" x14ac:dyDescent="0.3">
      <c r="A2532" s="51"/>
      <c r="B2532" s="51"/>
      <c r="C2532" s="51"/>
      <c r="D2532" s="51"/>
      <c r="E2532" s="51"/>
      <c r="F2532" s="51"/>
      <c r="G2532" s="56"/>
      <c r="H2532" s="55"/>
      <c r="I2532" s="55"/>
      <c r="J2532" s="55"/>
      <c r="K2532" s="55"/>
      <c r="L2532" s="55"/>
      <c r="M2532" s="55"/>
      <c r="N2532" s="55"/>
      <c r="O2532" s="55"/>
      <c r="P2532" s="55"/>
      <c r="Q2532" s="56"/>
      <c r="R2532" s="55"/>
      <c r="S2532" s="55"/>
      <c r="T2532" s="55"/>
      <c r="U2532" s="55"/>
      <c r="V2532" s="55"/>
      <c r="W2532" s="55"/>
      <c r="X2532" s="55"/>
      <c r="Y2532" s="55"/>
      <c r="Z2532" s="55"/>
      <c r="AA2532" s="55"/>
      <c r="AB2532" s="55"/>
      <c r="AC2532" s="55"/>
      <c r="AD2532" s="55"/>
      <c r="AE2532" s="55"/>
      <c r="AF2532" s="55"/>
      <c r="AG2532" s="55"/>
      <c r="AH2532" s="56"/>
      <c r="AI2532" s="55"/>
      <c r="AJ2532" s="55"/>
      <c r="AK2532" s="56"/>
      <c r="AL2532" s="56"/>
    </row>
    <row r="2533" spans="1:38" ht="15.75" thickBot="1" x14ac:dyDescent="0.3">
      <c r="A2533" s="51"/>
      <c r="B2533" s="51"/>
      <c r="C2533" s="51"/>
      <c r="D2533" s="51"/>
      <c r="E2533" s="51"/>
      <c r="F2533" s="51"/>
      <c r="G2533" s="54"/>
      <c r="H2533" s="53"/>
      <c r="I2533" s="53"/>
      <c r="J2533" s="53"/>
      <c r="K2533" s="53"/>
      <c r="L2533" s="53"/>
      <c r="M2533" s="53"/>
      <c r="N2533" s="53"/>
      <c r="O2533" s="53"/>
      <c r="P2533" s="53"/>
      <c r="Q2533" s="53"/>
      <c r="R2533" s="53"/>
      <c r="S2533" s="53"/>
      <c r="T2533" s="53"/>
      <c r="U2533" s="53"/>
      <c r="V2533" s="53"/>
      <c r="W2533" s="53"/>
      <c r="X2533" s="53"/>
      <c r="Y2533" s="53"/>
      <c r="Z2533" s="54"/>
      <c r="AA2533" s="53"/>
      <c r="AB2533" s="53"/>
      <c r="AC2533" s="53"/>
      <c r="AD2533" s="53"/>
      <c r="AE2533" s="53"/>
      <c r="AF2533" s="53"/>
      <c r="AG2533" s="53"/>
      <c r="AH2533" s="54"/>
      <c r="AI2533" s="53"/>
      <c r="AJ2533" s="53"/>
      <c r="AK2533" s="54"/>
      <c r="AL2533" s="54"/>
    </row>
    <row r="2534" spans="1:38" ht="15.75" thickBot="1" x14ac:dyDescent="0.3">
      <c r="A2534" s="51"/>
      <c r="B2534" s="51"/>
      <c r="C2534" s="51"/>
      <c r="D2534" s="51"/>
      <c r="E2534" s="51"/>
      <c r="F2534" s="51"/>
      <c r="G2534" s="56"/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/>
      <c r="S2534" s="55"/>
      <c r="T2534" s="55"/>
      <c r="U2534" s="55"/>
      <c r="V2534" s="55"/>
      <c r="W2534" s="55"/>
      <c r="X2534" s="55"/>
      <c r="Y2534" s="55"/>
      <c r="Z2534" s="56"/>
      <c r="AA2534" s="55"/>
      <c r="AB2534" s="55"/>
      <c r="AC2534" s="55"/>
      <c r="AD2534" s="55"/>
      <c r="AE2534" s="55"/>
      <c r="AF2534" s="55"/>
      <c r="AG2534" s="55"/>
      <c r="AH2534" s="56"/>
      <c r="AI2534" s="55"/>
      <c r="AJ2534" s="55"/>
      <c r="AK2534" s="56"/>
      <c r="AL2534" s="56"/>
    </row>
    <row r="2535" spans="1:38" ht="15.75" thickBot="1" x14ac:dyDescent="0.3">
      <c r="A2535" s="51"/>
      <c r="B2535" s="51"/>
      <c r="C2535" s="51"/>
      <c r="D2535" s="51"/>
      <c r="E2535" s="51"/>
      <c r="F2535" s="51"/>
      <c r="G2535" s="54"/>
      <c r="H2535" s="53"/>
      <c r="I2535" s="53"/>
      <c r="J2535" s="53"/>
      <c r="K2535" s="53"/>
      <c r="L2535" s="53"/>
      <c r="M2535" s="53"/>
      <c r="N2535" s="53"/>
      <c r="O2535" s="53"/>
      <c r="P2535" s="53"/>
      <c r="Q2535" s="53"/>
      <c r="R2535" s="53"/>
      <c r="S2535" s="53"/>
      <c r="T2535" s="53"/>
      <c r="U2535" s="53"/>
      <c r="V2535" s="53"/>
      <c r="W2535" s="53"/>
      <c r="X2535" s="53"/>
      <c r="Y2535" s="53"/>
      <c r="Z2535" s="54"/>
      <c r="AA2535" s="53"/>
      <c r="AB2535" s="53"/>
      <c r="AC2535" s="53"/>
      <c r="AD2535" s="53"/>
      <c r="AE2535" s="53"/>
      <c r="AF2535" s="53"/>
      <c r="AG2535" s="53"/>
      <c r="AH2535" s="54"/>
      <c r="AI2535" s="53"/>
      <c r="AJ2535" s="53"/>
      <c r="AK2535" s="54"/>
      <c r="AL2535" s="54"/>
    </row>
    <row r="2536" spans="1:38" ht="15.75" thickBot="1" x14ac:dyDescent="0.3">
      <c r="A2536" s="51"/>
      <c r="B2536" s="51"/>
      <c r="C2536" s="51"/>
      <c r="D2536" s="51"/>
      <c r="E2536" s="51"/>
      <c r="F2536" s="51"/>
      <c r="G2536" s="56"/>
      <c r="H2536" s="55"/>
      <c r="I2536" s="55"/>
      <c r="J2536" s="55"/>
      <c r="K2536" s="55"/>
      <c r="L2536" s="55"/>
      <c r="M2536" s="55"/>
      <c r="N2536" s="55"/>
      <c r="O2536" s="55"/>
      <c r="P2536" s="55"/>
      <c r="Q2536" s="55"/>
      <c r="R2536" s="55"/>
      <c r="S2536" s="55"/>
      <c r="T2536" s="55"/>
      <c r="U2536" s="55"/>
      <c r="V2536" s="55"/>
      <c r="W2536" s="55"/>
      <c r="X2536" s="55"/>
      <c r="Y2536" s="55"/>
      <c r="Z2536" s="56"/>
      <c r="AA2536" s="55"/>
      <c r="AB2536" s="55"/>
      <c r="AC2536" s="55"/>
      <c r="AD2536" s="55"/>
      <c r="AE2536" s="55"/>
      <c r="AF2536" s="55"/>
      <c r="AG2536" s="55"/>
      <c r="AH2536" s="56"/>
      <c r="AI2536" s="55"/>
      <c r="AJ2536" s="55"/>
      <c r="AK2536" s="56"/>
      <c r="AL2536" s="56"/>
    </row>
    <row r="2537" spans="1:38" ht="15.75" thickBot="1" x14ac:dyDescent="0.3">
      <c r="A2537" s="51"/>
      <c r="B2537" s="51"/>
      <c r="C2537" s="51"/>
      <c r="D2537" s="51"/>
      <c r="E2537" s="51"/>
      <c r="F2537" s="51"/>
      <c r="G2537" s="54"/>
      <c r="H2537" s="53"/>
      <c r="I2537" s="53"/>
      <c r="J2537" s="53"/>
      <c r="K2537" s="53"/>
      <c r="L2537" s="53"/>
      <c r="M2537" s="53"/>
      <c r="N2537" s="53"/>
      <c r="O2537" s="53"/>
      <c r="P2537" s="53"/>
      <c r="Q2537" s="53"/>
      <c r="R2537" s="53"/>
      <c r="S2537" s="53"/>
      <c r="T2537" s="53"/>
      <c r="U2537" s="53"/>
      <c r="V2537" s="53"/>
      <c r="W2537" s="53"/>
      <c r="X2537" s="53"/>
      <c r="Y2537" s="53"/>
      <c r="Z2537" s="53"/>
      <c r="AA2537" s="54"/>
      <c r="AB2537" s="53"/>
      <c r="AC2537" s="53"/>
      <c r="AD2537" s="53"/>
      <c r="AE2537" s="53"/>
      <c r="AF2537" s="53"/>
      <c r="AG2537" s="53"/>
      <c r="AH2537" s="54"/>
      <c r="AI2537" s="53"/>
      <c r="AJ2537" s="53"/>
      <c r="AK2537" s="54"/>
      <c r="AL2537" s="54"/>
    </row>
    <row r="2538" spans="1:38" ht="15.75" thickBot="1" x14ac:dyDescent="0.3">
      <c r="A2538" s="51"/>
      <c r="B2538" s="51"/>
      <c r="C2538" s="51"/>
      <c r="D2538" s="51"/>
      <c r="E2538" s="51"/>
      <c r="F2538" s="51"/>
      <c r="G2538" s="56"/>
      <c r="H2538" s="55"/>
      <c r="I2538" s="55"/>
      <c r="J2538" s="55"/>
      <c r="K2538" s="55"/>
      <c r="L2538" s="55"/>
      <c r="M2538" s="55"/>
      <c r="N2538" s="55"/>
      <c r="O2538" s="55"/>
      <c r="P2538" s="55"/>
      <c r="Q2538" s="55"/>
      <c r="R2538" s="55"/>
      <c r="S2538" s="55"/>
      <c r="T2538" s="55"/>
      <c r="U2538" s="55"/>
      <c r="V2538" s="55"/>
      <c r="W2538" s="55"/>
      <c r="X2538" s="55"/>
      <c r="Y2538" s="55"/>
      <c r="Z2538" s="55"/>
      <c r="AA2538" s="56"/>
      <c r="AB2538" s="55"/>
      <c r="AC2538" s="55"/>
      <c r="AD2538" s="55"/>
      <c r="AE2538" s="55"/>
      <c r="AF2538" s="55"/>
      <c r="AG2538" s="55"/>
      <c r="AH2538" s="56"/>
      <c r="AI2538" s="55"/>
      <c r="AJ2538" s="55"/>
      <c r="AK2538" s="56"/>
      <c r="AL2538" s="56"/>
    </row>
    <row r="2539" spans="1:38" ht="15.75" thickBot="1" x14ac:dyDescent="0.3">
      <c r="A2539" s="51"/>
      <c r="B2539" s="51"/>
      <c r="C2539" s="51"/>
      <c r="D2539" s="51"/>
      <c r="E2539" s="51"/>
      <c r="F2539" s="51"/>
      <c r="G2539" s="54"/>
      <c r="H2539" s="53"/>
      <c r="I2539" s="53"/>
      <c r="J2539" s="53"/>
      <c r="K2539" s="53"/>
      <c r="L2539" s="53"/>
      <c r="M2539" s="53"/>
      <c r="N2539" s="53"/>
      <c r="O2539" s="53"/>
      <c r="P2539" s="53"/>
      <c r="Q2539" s="53"/>
      <c r="R2539" s="54"/>
      <c r="S2539" s="53"/>
      <c r="T2539" s="53"/>
      <c r="U2539" s="53"/>
      <c r="V2539" s="53"/>
      <c r="W2539" s="53"/>
      <c r="X2539" s="53"/>
      <c r="Y2539" s="53"/>
      <c r="Z2539" s="53"/>
      <c r="AA2539" s="53"/>
      <c r="AB2539" s="53"/>
      <c r="AC2539" s="53"/>
      <c r="AD2539" s="53"/>
      <c r="AE2539" s="53"/>
      <c r="AF2539" s="53"/>
      <c r="AG2539" s="53"/>
      <c r="AH2539" s="54"/>
      <c r="AI2539" s="53"/>
      <c r="AJ2539" s="53"/>
      <c r="AK2539" s="54"/>
      <c r="AL2539" s="54"/>
    </row>
    <row r="2540" spans="1:38" ht="15.75" thickBot="1" x14ac:dyDescent="0.3">
      <c r="A2540" s="51"/>
      <c r="B2540" s="51"/>
      <c r="C2540" s="51"/>
      <c r="D2540" s="51"/>
      <c r="E2540" s="51"/>
      <c r="F2540" s="51"/>
      <c r="G2540" s="56"/>
      <c r="H2540" s="55"/>
      <c r="I2540" s="55"/>
      <c r="J2540" s="55"/>
      <c r="K2540" s="55"/>
      <c r="L2540" s="55"/>
      <c r="M2540" s="55"/>
      <c r="N2540" s="55"/>
      <c r="O2540" s="55"/>
      <c r="P2540" s="55"/>
      <c r="Q2540" s="55"/>
      <c r="R2540" s="56"/>
      <c r="S2540" s="55"/>
      <c r="T2540" s="55"/>
      <c r="U2540" s="55"/>
      <c r="V2540" s="55"/>
      <c r="W2540" s="55"/>
      <c r="X2540" s="55"/>
      <c r="Y2540" s="55"/>
      <c r="Z2540" s="55"/>
      <c r="AA2540" s="55"/>
      <c r="AB2540" s="55"/>
      <c r="AC2540" s="55"/>
      <c r="AD2540" s="55"/>
      <c r="AE2540" s="55"/>
      <c r="AF2540" s="55"/>
      <c r="AG2540" s="55"/>
      <c r="AH2540" s="56"/>
      <c r="AI2540" s="55"/>
      <c r="AJ2540" s="55"/>
      <c r="AK2540" s="56"/>
      <c r="AL2540" s="56"/>
    </row>
    <row r="2541" spans="1:38" ht="15.75" thickBot="1" x14ac:dyDescent="0.3">
      <c r="A2541" s="51"/>
      <c r="B2541" s="51"/>
      <c r="C2541" s="51"/>
      <c r="D2541" s="51"/>
      <c r="E2541" s="51"/>
      <c r="F2541" s="51"/>
      <c r="G2541" s="54"/>
      <c r="H2541" s="53"/>
      <c r="I2541" s="53"/>
      <c r="J2541" s="53"/>
      <c r="K2541" s="53"/>
      <c r="L2541" s="53"/>
      <c r="M2541" s="53"/>
      <c r="N2541" s="53"/>
      <c r="O2541" s="53"/>
      <c r="P2541" s="53"/>
      <c r="Q2541" s="53"/>
      <c r="R2541" s="53"/>
      <c r="S2541" s="53"/>
      <c r="T2541" s="53"/>
      <c r="U2541" s="53"/>
      <c r="V2541" s="53"/>
      <c r="W2541" s="53"/>
      <c r="X2541" s="53"/>
      <c r="Y2541" s="53"/>
      <c r="Z2541" s="53"/>
      <c r="AA2541" s="53"/>
      <c r="AB2541" s="53"/>
      <c r="AC2541" s="54"/>
      <c r="AD2541" s="53"/>
      <c r="AE2541" s="53"/>
      <c r="AF2541" s="53"/>
      <c r="AG2541" s="53"/>
      <c r="AH2541" s="54"/>
      <c r="AI2541" s="53"/>
      <c r="AJ2541" s="53"/>
      <c r="AK2541" s="54"/>
      <c r="AL2541" s="54"/>
    </row>
    <row r="2542" spans="1:38" ht="15.75" thickBot="1" x14ac:dyDescent="0.3">
      <c r="A2542" s="51"/>
      <c r="B2542" s="51"/>
      <c r="C2542" s="51"/>
      <c r="D2542" s="51"/>
      <c r="E2542" s="51"/>
      <c r="F2542" s="51"/>
      <c r="G2542" s="56"/>
      <c r="H2542" s="55"/>
      <c r="I2542" s="55"/>
      <c r="J2542" s="55"/>
      <c r="K2542" s="55"/>
      <c r="L2542" s="55"/>
      <c r="M2542" s="55"/>
      <c r="N2542" s="55"/>
      <c r="O2542" s="55"/>
      <c r="P2542" s="55"/>
      <c r="Q2542" s="55"/>
      <c r="R2542" s="55"/>
      <c r="S2542" s="55"/>
      <c r="T2542" s="55"/>
      <c r="U2542" s="55"/>
      <c r="V2542" s="55"/>
      <c r="W2542" s="55"/>
      <c r="X2542" s="55"/>
      <c r="Y2542" s="55"/>
      <c r="Z2542" s="55"/>
      <c r="AA2542" s="55"/>
      <c r="AB2542" s="55"/>
      <c r="AC2542" s="56"/>
      <c r="AD2542" s="55"/>
      <c r="AE2542" s="55"/>
      <c r="AF2542" s="55"/>
      <c r="AG2542" s="55"/>
      <c r="AH2542" s="56"/>
      <c r="AI2542" s="55"/>
      <c r="AJ2542" s="55"/>
      <c r="AK2542" s="56"/>
      <c r="AL2542" s="56"/>
    </row>
    <row r="2543" spans="1:38" ht="15.75" thickBot="1" x14ac:dyDescent="0.3">
      <c r="A2543" s="51"/>
      <c r="B2543" s="51"/>
      <c r="C2543" s="51"/>
      <c r="D2543" s="51"/>
      <c r="E2543" s="51"/>
      <c r="F2543" s="51"/>
      <c r="G2543" s="54"/>
      <c r="H2543" s="53"/>
      <c r="I2543" s="53"/>
      <c r="J2543" s="53"/>
      <c r="K2543" s="53"/>
      <c r="L2543" s="53"/>
      <c r="M2543" s="53"/>
      <c r="N2543" s="53"/>
      <c r="O2543" s="53"/>
      <c r="P2543" s="53"/>
      <c r="Q2543" s="53"/>
      <c r="R2543" s="53"/>
      <c r="S2543" s="53"/>
      <c r="T2543" s="53"/>
      <c r="U2543" s="53"/>
      <c r="V2543" s="53"/>
      <c r="W2543" s="53"/>
      <c r="X2543" s="53"/>
      <c r="Y2543" s="53"/>
      <c r="Z2543" s="53"/>
      <c r="AA2543" s="53"/>
      <c r="AB2543" s="54"/>
      <c r="AC2543" s="53"/>
      <c r="AD2543" s="53"/>
      <c r="AE2543" s="53"/>
      <c r="AF2543" s="53"/>
      <c r="AG2543" s="53"/>
      <c r="AH2543" s="54"/>
      <c r="AI2543" s="53"/>
      <c r="AJ2543" s="53"/>
      <c r="AK2543" s="54"/>
      <c r="AL2543" s="54"/>
    </row>
    <row r="2544" spans="1:38" ht="15.75" thickBot="1" x14ac:dyDescent="0.3">
      <c r="A2544" s="51"/>
      <c r="B2544" s="51"/>
      <c r="C2544" s="51"/>
      <c r="D2544" s="51"/>
      <c r="E2544" s="51"/>
      <c r="F2544" s="51"/>
      <c r="G2544" s="56"/>
      <c r="H2544" s="55"/>
      <c r="I2544" s="55"/>
      <c r="J2544" s="55"/>
      <c r="K2544" s="55"/>
      <c r="L2544" s="55"/>
      <c r="M2544" s="55"/>
      <c r="N2544" s="55"/>
      <c r="O2544" s="55"/>
      <c r="P2544" s="55"/>
      <c r="Q2544" s="55"/>
      <c r="R2544" s="55"/>
      <c r="S2544" s="55"/>
      <c r="T2544" s="55"/>
      <c r="U2544" s="55"/>
      <c r="V2544" s="55"/>
      <c r="W2544" s="55"/>
      <c r="X2544" s="55"/>
      <c r="Y2544" s="55"/>
      <c r="Z2544" s="55"/>
      <c r="AA2544" s="55"/>
      <c r="AB2544" s="56"/>
      <c r="AC2544" s="55"/>
      <c r="AD2544" s="55"/>
      <c r="AE2544" s="55"/>
      <c r="AF2544" s="55"/>
      <c r="AG2544" s="55"/>
      <c r="AH2544" s="56"/>
      <c r="AI2544" s="55"/>
      <c r="AJ2544" s="55"/>
      <c r="AK2544" s="56"/>
      <c r="AL2544" s="56"/>
    </row>
    <row r="2545" spans="1:38" ht="15.75" thickBot="1" x14ac:dyDescent="0.3">
      <c r="A2545" s="51"/>
      <c r="B2545" s="51"/>
      <c r="C2545" s="51"/>
      <c r="D2545" s="51"/>
      <c r="E2545" s="51"/>
      <c r="F2545" s="51"/>
      <c r="G2545" s="53"/>
      <c r="H2545" s="53"/>
      <c r="I2545" s="53"/>
      <c r="J2545" s="53"/>
      <c r="K2545" s="53"/>
      <c r="L2545" s="53"/>
      <c r="M2545" s="53"/>
      <c r="N2545" s="53"/>
      <c r="O2545" s="53"/>
      <c r="P2545" s="53"/>
      <c r="Q2545" s="53"/>
      <c r="R2545" s="53"/>
      <c r="S2545" s="53"/>
      <c r="T2545" s="53"/>
      <c r="U2545" s="53"/>
      <c r="V2545" s="53"/>
      <c r="W2545" s="53"/>
      <c r="X2545" s="53"/>
      <c r="Y2545" s="53"/>
      <c r="Z2545" s="53"/>
      <c r="AA2545" s="53"/>
      <c r="AB2545" s="53"/>
      <c r="AC2545" s="53"/>
      <c r="AD2545" s="53"/>
      <c r="AE2545" s="53"/>
      <c r="AF2545" s="53"/>
      <c r="AG2545" s="54"/>
      <c r="AH2545" s="54"/>
      <c r="AI2545" s="53"/>
      <c r="AJ2545" s="53"/>
      <c r="AK2545" s="54"/>
      <c r="AL2545" s="54"/>
    </row>
    <row r="2546" spans="1:38" ht="15.75" thickBot="1" x14ac:dyDescent="0.3">
      <c r="A2546" s="51"/>
      <c r="B2546" s="51"/>
      <c r="C2546" s="51"/>
      <c r="D2546" s="51"/>
      <c r="E2546" s="51"/>
      <c r="F2546" s="51"/>
      <c r="G2546" s="55"/>
      <c r="H2546" s="55"/>
      <c r="I2546" s="55"/>
      <c r="J2546" s="55"/>
      <c r="K2546" s="55"/>
      <c r="L2546" s="55"/>
      <c r="M2546" s="55"/>
      <c r="N2546" s="55"/>
      <c r="O2546" s="55"/>
      <c r="P2546" s="55"/>
      <c r="Q2546" s="55"/>
      <c r="R2546" s="55"/>
      <c r="S2546" s="55"/>
      <c r="T2546" s="55"/>
      <c r="U2546" s="55"/>
      <c r="V2546" s="55"/>
      <c r="W2546" s="55"/>
      <c r="X2546" s="55"/>
      <c r="Y2546" s="55"/>
      <c r="Z2546" s="55"/>
      <c r="AA2546" s="55"/>
      <c r="AB2546" s="55"/>
      <c r="AC2546" s="55"/>
      <c r="AD2546" s="55"/>
      <c r="AE2546" s="55"/>
      <c r="AF2546" s="55"/>
      <c r="AG2546" s="56"/>
      <c r="AH2546" s="56"/>
      <c r="AI2546" s="55"/>
      <c r="AJ2546" s="55"/>
      <c r="AK2546" s="56"/>
      <c r="AL2546" s="56"/>
    </row>
    <row r="2547" spans="1:38" ht="15.75" thickBot="1" x14ac:dyDescent="0.3">
      <c r="A2547" s="51"/>
      <c r="B2547" s="51"/>
      <c r="C2547" s="51"/>
      <c r="D2547" s="51"/>
      <c r="E2547" s="51"/>
      <c r="F2547" s="51"/>
      <c r="G2547" s="54"/>
      <c r="H2547" s="53"/>
      <c r="I2547" s="53"/>
      <c r="J2547" s="53"/>
      <c r="K2547" s="54"/>
      <c r="L2547" s="53"/>
      <c r="M2547" s="53"/>
      <c r="N2547" s="53"/>
      <c r="O2547" s="53"/>
      <c r="P2547" s="53"/>
      <c r="Q2547" s="53"/>
      <c r="R2547" s="53"/>
      <c r="S2547" s="53"/>
      <c r="T2547" s="53"/>
      <c r="U2547" s="53"/>
      <c r="V2547" s="53"/>
      <c r="W2547" s="53"/>
      <c r="X2547" s="53"/>
      <c r="Y2547" s="53"/>
      <c r="Z2547" s="53"/>
      <c r="AA2547" s="53"/>
      <c r="AB2547" s="53"/>
      <c r="AC2547" s="53"/>
      <c r="AD2547" s="53"/>
      <c r="AE2547" s="53"/>
      <c r="AF2547" s="53"/>
      <c r="AG2547" s="53"/>
      <c r="AH2547" s="54"/>
      <c r="AI2547" s="53"/>
      <c r="AJ2547" s="53"/>
      <c r="AK2547" s="54"/>
      <c r="AL2547" s="54"/>
    </row>
    <row r="2548" spans="1:38" ht="15.75" thickBot="1" x14ac:dyDescent="0.3">
      <c r="A2548" s="51"/>
      <c r="B2548" s="51"/>
      <c r="C2548" s="51"/>
      <c r="D2548" s="51"/>
      <c r="E2548" s="51"/>
      <c r="F2548" s="51"/>
      <c r="G2548" s="56"/>
      <c r="H2548" s="55"/>
      <c r="I2548" s="55"/>
      <c r="J2548" s="55"/>
      <c r="K2548" s="56"/>
      <c r="L2548" s="55"/>
      <c r="M2548" s="55"/>
      <c r="N2548" s="55"/>
      <c r="O2548" s="55"/>
      <c r="P2548" s="55"/>
      <c r="Q2548" s="55"/>
      <c r="R2548" s="55"/>
      <c r="S2548" s="55"/>
      <c r="T2548" s="55"/>
      <c r="U2548" s="55"/>
      <c r="V2548" s="55"/>
      <c r="W2548" s="55"/>
      <c r="X2548" s="55"/>
      <c r="Y2548" s="55"/>
      <c r="Z2548" s="55"/>
      <c r="AA2548" s="55"/>
      <c r="AB2548" s="55"/>
      <c r="AC2548" s="55"/>
      <c r="AD2548" s="55"/>
      <c r="AE2548" s="55"/>
      <c r="AF2548" s="55"/>
      <c r="AG2548" s="55"/>
      <c r="AH2548" s="56"/>
      <c r="AI2548" s="55"/>
      <c r="AJ2548" s="55"/>
      <c r="AK2548" s="56"/>
      <c r="AL2548" s="56"/>
    </row>
    <row r="2549" spans="1:38" ht="15.75" thickBot="1" x14ac:dyDescent="0.3">
      <c r="A2549" s="51"/>
      <c r="B2549" s="51"/>
      <c r="C2549" s="51"/>
      <c r="D2549" s="51"/>
      <c r="E2549" s="51"/>
      <c r="F2549" s="51"/>
      <c r="G2549" s="54"/>
      <c r="H2549" s="54"/>
      <c r="I2549" s="53"/>
      <c r="J2549" s="53"/>
      <c r="K2549" s="53"/>
      <c r="L2549" s="53"/>
      <c r="M2549" s="54"/>
      <c r="N2549" s="53"/>
      <c r="O2549" s="53"/>
      <c r="P2549" s="53"/>
      <c r="Q2549" s="53"/>
      <c r="R2549" s="53"/>
      <c r="S2549" s="53"/>
      <c r="T2549" s="53"/>
      <c r="U2549" s="53"/>
      <c r="V2549" s="53"/>
      <c r="W2549" s="53"/>
      <c r="X2549" s="53"/>
      <c r="Y2549" s="53"/>
      <c r="Z2549" s="53"/>
      <c r="AA2549" s="53"/>
      <c r="AB2549" s="53"/>
      <c r="AC2549" s="53"/>
      <c r="AD2549" s="53"/>
      <c r="AE2549" s="53"/>
      <c r="AF2549" s="53"/>
      <c r="AG2549" s="53"/>
      <c r="AH2549" s="54"/>
      <c r="AI2549" s="53"/>
      <c r="AJ2549" s="53"/>
      <c r="AK2549" s="54"/>
      <c r="AL2549" s="54"/>
    </row>
    <row r="2550" spans="1:38" ht="15.75" thickBot="1" x14ac:dyDescent="0.3">
      <c r="A2550" s="51"/>
      <c r="B2550" s="51"/>
      <c r="C2550" s="51"/>
      <c r="D2550" s="51"/>
      <c r="E2550" s="51"/>
      <c r="F2550" s="51"/>
      <c r="G2550" s="56"/>
      <c r="H2550" s="148"/>
      <c r="I2550" s="55"/>
      <c r="J2550" s="55"/>
      <c r="K2550" s="55"/>
      <c r="L2550" s="55"/>
      <c r="M2550" s="56"/>
      <c r="N2550" s="55"/>
      <c r="O2550" s="55"/>
      <c r="P2550" s="55"/>
      <c r="Q2550" s="55"/>
      <c r="R2550" s="55"/>
      <c r="S2550" s="55"/>
      <c r="T2550" s="55"/>
      <c r="U2550" s="55"/>
      <c r="V2550" s="55"/>
      <c r="W2550" s="55"/>
      <c r="X2550" s="55"/>
      <c r="Y2550" s="55"/>
      <c r="Z2550" s="55"/>
      <c r="AA2550" s="55"/>
      <c r="AB2550" s="55"/>
      <c r="AC2550" s="55"/>
      <c r="AD2550" s="55"/>
      <c r="AE2550" s="55"/>
      <c r="AF2550" s="55"/>
      <c r="AG2550" s="55"/>
      <c r="AH2550" s="56"/>
      <c r="AI2550" s="55"/>
      <c r="AJ2550" s="55"/>
      <c r="AK2550" s="56"/>
      <c r="AL2550" s="56"/>
    </row>
    <row r="2551" spans="1:38" ht="15.75" thickBot="1" x14ac:dyDescent="0.3">
      <c r="A2551" s="51"/>
      <c r="B2551" s="51"/>
      <c r="C2551" s="51"/>
      <c r="D2551" s="51"/>
      <c r="E2551" s="51"/>
      <c r="F2551" s="51"/>
      <c r="G2551" s="54"/>
      <c r="H2551" s="53"/>
      <c r="I2551" s="53"/>
      <c r="J2551" s="53"/>
      <c r="K2551" s="53"/>
      <c r="L2551" s="53"/>
      <c r="M2551" s="53"/>
      <c r="N2551" s="53"/>
      <c r="O2551" s="53"/>
      <c r="P2551" s="53"/>
      <c r="Q2551" s="54"/>
      <c r="R2551" s="53"/>
      <c r="S2551" s="53"/>
      <c r="T2551" s="53"/>
      <c r="U2551" s="53"/>
      <c r="V2551" s="53"/>
      <c r="W2551" s="53"/>
      <c r="X2551" s="53"/>
      <c r="Y2551" s="53"/>
      <c r="Z2551" s="53"/>
      <c r="AA2551" s="53"/>
      <c r="AB2551" s="53"/>
      <c r="AC2551" s="53"/>
      <c r="AD2551" s="53"/>
      <c r="AE2551" s="53"/>
      <c r="AF2551" s="53"/>
      <c r="AG2551" s="53"/>
      <c r="AH2551" s="54"/>
      <c r="AI2551" s="53"/>
      <c r="AJ2551" s="53"/>
      <c r="AK2551" s="54"/>
      <c r="AL2551" s="54"/>
    </row>
    <row r="2552" spans="1:38" ht="15.75" thickBot="1" x14ac:dyDescent="0.3">
      <c r="A2552" s="51"/>
      <c r="B2552" s="51"/>
      <c r="C2552" s="51"/>
      <c r="D2552" s="51"/>
      <c r="E2552" s="51"/>
      <c r="F2552" s="51"/>
      <c r="G2552" s="56"/>
      <c r="H2552" s="55"/>
      <c r="I2552" s="55"/>
      <c r="J2552" s="55"/>
      <c r="K2552" s="55"/>
      <c r="L2552" s="55"/>
      <c r="M2552" s="55"/>
      <c r="N2552" s="55"/>
      <c r="O2552" s="55"/>
      <c r="P2552" s="55"/>
      <c r="Q2552" s="56"/>
      <c r="R2552" s="55"/>
      <c r="S2552" s="55"/>
      <c r="T2552" s="55"/>
      <c r="U2552" s="55"/>
      <c r="V2552" s="55"/>
      <c r="W2552" s="55"/>
      <c r="X2552" s="55"/>
      <c r="Y2552" s="55"/>
      <c r="Z2552" s="55"/>
      <c r="AA2552" s="55"/>
      <c r="AB2552" s="55"/>
      <c r="AC2552" s="55"/>
      <c r="AD2552" s="55"/>
      <c r="AE2552" s="55"/>
      <c r="AF2552" s="55"/>
      <c r="AG2552" s="55"/>
      <c r="AH2552" s="56"/>
      <c r="AI2552" s="55"/>
      <c r="AJ2552" s="55"/>
      <c r="AK2552" s="56"/>
      <c r="AL2552" s="56"/>
    </row>
    <row r="2553" spans="1:38" ht="15.75" thickBot="1" x14ac:dyDescent="0.3">
      <c r="A2553" s="51"/>
      <c r="B2553" s="51"/>
      <c r="C2553" s="51"/>
      <c r="D2553" s="51"/>
      <c r="E2553" s="51"/>
      <c r="F2553" s="51"/>
      <c r="G2553" s="54"/>
      <c r="H2553" s="53"/>
      <c r="I2553" s="53"/>
      <c r="J2553" s="53"/>
      <c r="K2553" s="53"/>
      <c r="L2553" s="53"/>
      <c r="M2553" s="53"/>
      <c r="N2553" s="53"/>
      <c r="O2553" s="53"/>
      <c r="P2553" s="53"/>
      <c r="Q2553" s="53"/>
      <c r="R2553" s="53"/>
      <c r="S2553" s="53"/>
      <c r="T2553" s="53"/>
      <c r="U2553" s="53"/>
      <c r="V2553" s="53"/>
      <c r="W2553" s="53"/>
      <c r="X2553" s="53"/>
      <c r="Y2553" s="53"/>
      <c r="Z2553" s="54"/>
      <c r="AA2553" s="53"/>
      <c r="AB2553" s="53"/>
      <c r="AC2553" s="53"/>
      <c r="AD2553" s="53"/>
      <c r="AE2553" s="53"/>
      <c r="AF2553" s="53"/>
      <c r="AG2553" s="53"/>
      <c r="AH2553" s="54"/>
      <c r="AI2553" s="53"/>
      <c r="AJ2553" s="53"/>
      <c r="AK2553" s="54"/>
      <c r="AL2553" s="54"/>
    </row>
    <row r="2554" spans="1:38" ht="15.75" thickBot="1" x14ac:dyDescent="0.3">
      <c r="A2554" s="51"/>
      <c r="B2554" s="51"/>
      <c r="C2554" s="51"/>
      <c r="D2554" s="51"/>
      <c r="E2554" s="51"/>
      <c r="F2554" s="51"/>
      <c r="G2554" s="56"/>
      <c r="H2554" s="55"/>
      <c r="I2554" s="55"/>
      <c r="J2554" s="55"/>
      <c r="K2554" s="55"/>
      <c r="L2554" s="55"/>
      <c r="M2554" s="55"/>
      <c r="N2554" s="55"/>
      <c r="O2554" s="55"/>
      <c r="P2554" s="55"/>
      <c r="Q2554" s="55"/>
      <c r="R2554" s="55"/>
      <c r="S2554" s="55"/>
      <c r="T2554" s="55"/>
      <c r="U2554" s="55"/>
      <c r="V2554" s="55"/>
      <c r="W2554" s="55"/>
      <c r="X2554" s="55"/>
      <c r="Y2554" s="55"/>
      <c r="Z2554" s="56"/>
      <c r="AA2554" s="55"/>
      <c r="AB2554" s="55"/>
      <c r="AC2554" s="55"/>
      <c r="AD2554" s="55"/>
      <c r="AE2554" s="55"/>
      <c r="AF2554" s="55"/>
      <c r="AG2554" s="55"/>
      <c r="AH2554" s="56"/>
      <c r="AI2554" s="55"/>
      <c r="AJ2554" s="55"/>
      <c r="AK2554" s="56"/>
      <c r="AL2554" s="56"/>
    </row>
    <row r="2555" spans="1:38" ht="15.75" thickBot="1" x14ac:dyDescent="0.3">
      <c r="A2555" s="51"/>
      <c r="B2555" s="51"/>
      <c r="C2555" s="51"/>
      <c r="D2555" s="51"/>
      <c r="E2555" s="51"/>
      <c r="F2555" s="51"/>
      <c r="G2555" s="54"/>
      <c r="H2555" s="53"/>
      <c r="I2555" s="53"/>
      <c r="J2555" s="53"/>
      <c r="K2555" s="53"/>
      <c r="L2555" s="53"/>
      <c r="M2555" s="53"/>
      <c r="N2555" s="53"/>
      <c r="O2555" s="53"/>
      <c r="P2555" s="53"/>
      <c r="Q2555" s="53"/>
      <c r="R2555" s="53"/>
      <c r="S2555" s="53"/>
      <c r="T2555" s="53"/>
      <c r="U2555" s="53"/>
      <c r="V2555" s="53"/>
      <c r="W2555" s="53"/>
      <c r="X2555" s="53"/>
      <c r="Y2555" s="53"/>
      <c r="Z2555" s="53"/>
      <c r="AA2555" s="54"/>
      <c r="AB2555" s="53"/>
      <c r="AC2555" s="53"/>
      <c r="AD2555" s="53"/>
      <c r="AE2555" s="53"/>
      <c r="AF2555" s="53"/>
      <c r="AG2555" s="53"/>
      <c r="AH2555" s="54"/>
      <c r="AI2555" s="53"/>
      <c r="AJ2555" s="53"/>
      <c r="AK2555" s="54"/>
      <c r="AL2555" s="54"/>
    </row>
    <row r="2556" spans="1:38" ht="15.75" thickBot="1" x14ac:dyDescent="0.3">
      <c r="A2556" s="51"/>
      <c r="B2556" s="51"/>
      <c r="C2556" s="51"/>
      <c r="D2556" s="51"/>
      <c r="E2556" s="51"/>
      <c r="F2556" s="51"/>
      <c r="G2556" s="56"/>
      <c r="H2556" s="55"/>
      <c r="I2556" s="55"/>
      <c r="J2556" s="55"/>
      <c r="K2556" s="55"/>
      <c r="L2556" s="55"/>
      <c r="M2556" s="55"/>
      <c r="N2556" s="55"/>
      <c r="O2556" s="55"/>
      <c r="P2556" s="55"/>
      <c r="Q2556" s="55"/>
      <c r="R2556" s="55"/>
      <c r="S2556" s="55"/>
      <c r="T2556" s="55"/>
      <c r="U2556" s="55"/>
      <c r="V2556" s="55"/>
      <c r="W2556" s="55"/>
      <c r="X2556" s="55"/>
      <c r="Y2556" s="55"/>
      <c r="Z2556" s="55"/>
      <c r="AA2556" s="56"/>
      <c r="AB2556" s="55"/>
      <c r="AC2556" s="55"/>
      <c r="AD2556" s="55"/>
      <c r="AE2556" s="55"/>
      <c r="AF2556" s="55"/>
      <c r="AG2556" s="55"/>
      <c r="AH2556" s="56"/>
      <c r="AI2556" s="55"/>
      <c r="AJ2556" s="55"/>
      <c r="AK2556" s="56"/>
      <c r="AL2556" s="56"/>
    </row>
    <row r="2557" spans="1:38" ht="15.75" thickBot="1" x14ac:dyDescent="0.3">
      <c r="A2557" s="51"/>
      <c r="B2557" s="51"/>
      <c r="C2557" s="51"/>
      <c r="D2557" s="51"/>
      <c r="E2557" s="51"/>
      <c r="F2557" s="51"/>
      <c r="G2557" s="54"/>
      <c r="H2557" s="53"/>
      <c r="I2557" s="53"/>
      <c r="J2557" s="53"/>
      <c r="K2557" s="53"/>
      <c r="L2557" s="53"/>
      <c r="M2557" s="53"/>
      <c r="N2557" s="53"/>
      <c r="O2557" s="53"/>
      <c r="P2557" s="53"/>
      <c r="Q2557" s="53"/>
      <c r="R2557" s="54"/>
      <c r="S2557" s="53"/>
      <c r="T2557" s="53"/>
      <c r="U2557" s="53"/>
      <c r="V2557" s="53"/>
      <c r="W2557" s="53"/>
      <c r="X2557" s="53"/>
      <c r="Y2557" s="53"/>
      <c r="Z2557" s="53"/>
      <c r="AA2557" s="53"/>
      <c r="AB2557" s="53"/>
      <c r="AC2557" s="53"/>
      <c r="AD2557" s="53"/>
      <c r="AE2557" s="53"/>
      <c r="AF2557" s="53"/>
      <c r="AG2557" s="53"/>
      <c r="AH2557" s="54"/>
      <c r="AI2557" s="53"/>
      <c r="AJ2557" s="53"/>
      <c r="AK2557" s="54"/>
      <c r="AL2557" s="54"/>
    </row>
    <row r="2558" spans="1:38" ht="15.75" thickBot="1" x14ac:dyDescent="0.3">
      <c r="A2558" s="51"/>
      <c r="B2558" s="51"/>
      <c r="C2558" s="51"/>
      <c r="D2558" s="51"/>
      <c r="E2558" s="51"/>
      <c r="F2558" s="51"/>
      <c r="G2558" s="56"/>
      <c r="H2558" s="55"/>
      <c r="I2558" s="55"/>
      <c r="J2558" s="55"/>
      <c r="K2558" s="55"/>
      <c r="L2558" s="55"/>
      <c r="M2558" s="55"/>
      <c r="N2558" s="55"/>
      <c r="O2558" s="55"/>
      <c r="P2558" s="55"/>
      <c r="Q2558" s="55"/>
      <c r="R2558" s="56"/>
      <c r="S2558" s="55"/>
      <c r="T2558" s="55"/>
      <c r="U2558" s="55"/>
      <c r="V2558" s="55"/>
      <c r="W2558" s="55"/>
      <c r="X2558" s="55"/>
      <c r="Y2558" s="55"/>
      <c r="Z2558" s="55"/>
      <c r="AA2558" s="55"/>
      <c r="AB2558" s="55"/>
      <c r="AC2558" s="55"/>
      <c r="AD2558" s="55"/>
      <c r="AE2558" s="55"/>
      <c r="AF2558" s="55"/>
      <c r="AG2558" s="55"/>
      <c r="AH2558" s="56"/>
      <c r="AI2558" s="55"/>
      <c r="AJ2558" s="55"/>
      <c r="AK2558" s="56"/>
      <c r="AL2558" s="56"/>
    </row>
    <row r="2559" spans="1:38" ht="15.75" thickBot="1" x14ac:dyDescent="0.3">
      <c r="A2559" s="51"/>
      <c r="B2559" s="51"/>
      <c r="C2559" s="51"/>
      <c r="D2559" s="51"/>
      <c r="E2559" s="51"/>
      <c r="F2559" s="51"/>
      <c r="G2559" s="54"/>
      <c r="H2559" s="53"/>
      <c r="I2559" s="53"/>
      <c r="J2559" s="53"/>
      <c r="K2559" s="53"/>
      <c r="L2559" s="53"/>
      <c r="M2559" s="53"/>
      <c r="N2559" s="53"/>
      <c r="O2559" s="53"/>
      <c r="P2559" s="53"/>
      <c r="Q2559" s="53"/>
      <c r="R2559" s="53"/>
      <c r="S2559" s="53"/>
      <c r="T2559" s="53"/>
      <c r="U2559" s="53"/>
      <c r="V2559" s="53"/>
      <c r="W2559" s="53"/>
      <c r="X2559" s="53"/>
      <c r="Y2559" s="53"/>
      <c r="Z2559" s="53"/>
      <c r="AA2559" s="53"/>
      <c r="AB2559" s="53"/>
      <c r="AC2559" s="54"/>
      <c r="AD2559" s="53"/>
      <c r="AE2559" s="53"/>
      <c r="AF2559" s="53"/>
      <c r="AG2559" s="53"/>
      <c r="AH2559" s="54"/>
      <c r="AI2559" s="53"/>
      <c r="AJ2559" s="53"/>
      <c r="AK2559" s="54"/>
      <c r="AL2559" s="54"/>
    </row>
    <row r="2560" spans="1:38" ht="15.75" thickBot="1" x14ac:dyDescent="0.3">
      <c r="A2560" s="51"/>
      <c r="B2560" s="51"/>
      <c r="C2560" s="51"/>
      <c r="D2560" s="51"/>
      <c r="E2560" s="51"/>
      <c r="F2560" s="51"/>
      <c r="G2560" s="56"/>
      <c r="H2560" s="55"/>
      <c r="I2560" s="55"/>
      <c r="J2560" s="55"/>
      <c r="K2560" s="55"/>
      <c r="L2560" s="55"/>
      <c r="M2560" s="55"/>
      <c r="N2560" s="55"/>
      <c r="O2560" s="55"/>
      <c r="P2560" s="55"/>
      <c r="Q2560" s="55"/>
      <c r="R2560" s="55"/>
      <c r="S2560" s="55"/>
      <c r="T2560" s="55"/>
      <c r="U2560" s="55"/>
      <c r="V2560" s="55"/>
      <c r="W2560" s="55"/>
      <c r="X2560" s="55"/>
      <c r="Y2560" s="55"/>
      <c r="Z2560" s="55"/>
      <c r="AA2560" s="55"/>
      <c r="AB2560" s="55"/>
      <c r="AC2560" s="56"/>
      <c r="AD2560" s="55"/>
      <c r="AE2560" s="55"/>
      <c r="AF2560" s="55"/>
      <c r="AG2560" s="55"/>
      <c r="AH2560" s="56"/>
      <c r="AI2560" s="55"/>
      <c r="AJ2560" s="55"/>
      <c r="AK2560" s="56"/>
      <c r="AL2560" s="56"/>
    </row>
    <row r="2561" spans="1:38" ht="15.75" thickBot="1" x14ac:dyDescent="0.3">
      <c r="A2561" s="51"/>
      <c r="B2561" s="51"/>
      <c r="C2561" s="51"/>
      <c r="D2561" s="51"/>
      <c r="E2561" s="51"/>
      <c r="F2561" s="51"/>
      <c r="G2561" s="54"/>
      <c r="H2561" s="53"/>
      <c r="I2561" s="53"/>
      <c r="J2561" s="53"/>
      <c r="K2561" s="53"/>
      <c r="L2561" s="53"/>
      <c r="M2561" s="53"/>
      <c r="N2561" s="53"/>
      <c r="O2561" s="53"/>
      <c r="P2561" s="53"/>
      <c r="Q2561" s="53"/>
      <c r="R2561" s="53"/>
      <c r="S2561" s="53"/>
      <c r="T2561" s="53"/>
      <c r="U2561" s="53"/>
      <c r="V2561" s="53"/>
      <c r="W2561" s="53"/>
      <c r="X2561" s="53"/>
      <c r="Y2561" s="53"/>
      <c r="Z2561" s="53"/>
      <c r="AA2561" s="53"/>
      <c r="AB2561" s="54"/>
      <c r="AC2561" s="53"/>
      <c r="AD2561" s="53"/>
      <c r="AE2561" s="53"/>
      <c r="AF2561" s="53"/>
      <c r="AG2561" s="53"/>
      <c r="AH2561" s="54"/>
      <c r="AI2561" s="53"/>
      <c r="AJ2561" s="53"/>
      <c r="AK2561" s="54"/>
      <c r="AL2561" s="54"/>
    </row>
    <row r="2562" spans="1:38" ht="15.75" thickBot="1" x14ac:dyDescent="0.3">
      <c r="A2562" s="51"/>
      <c r="B2562" s="51"/>
      <c r="C2562" s="51"/>
      <c r="D2562" s="51"/>
      <c r="E2562" s="51"/>
      <c r="F2562" s="51"/>
      <c r="G2562" s="56"/>
      <c r="H2562" s="55"/>
      <c r="I2562" s="55"/>
      <c r="J2562" s="55"/>
      <c r="K2562" s="55"/>
      <c r="L2562" s="55"/>
      <c r="M2562" s="55"/>
      <c r="N2562" s="55"/>
      <c r="O2562" s="55"/>
      <c r="P2562" s="55"/>
      <c r="Q2562" s="55"/>
      <c r="R2562" s="55"/>
      <c r="S2562" s="55"/>
      <c r="T2562" s="55"/>
      <c r="U2562" s="55"/>
      <c r="V2562" s="55"/>
      <c r="W2562" s="55"/>
      <c r="X2562" s="55"/>
      <c r="Y2562" s="55"/>
      <c r="Z2562" s="55"/>
      <c r="AA2562" s="55"/>
      <c r="AB2562" s="56"/>
      <c r="AC2562" s="55"/>
      <c r="AD2562" s="55"/>
      <c r="AE2562" s="55"/>
      <c r="AF2562" s="55"/>
      <c r="AG2562" s="55"/>
      <c r="AH2562" s="56"/>
      <c r="AI2562" s="55"/>
      <c r="AJ2562" s="55"/>
      <c r="AK2562" s="56"/>
      <c r="AL2562" s="56"/>
    </row>
    <row r="2563" spans="1:38" ht="15.75" thickBot="1" x14ac:dyDescent="0.3">
      <c r="A2563" s="51"/>
      <c r="B2563" s="51"/>
      <c r="C2563" s="51"/>
      <c r="D2563" s="51"/>
      <c r="E2563" s="51"/>
      <c r="F2563" s="51"/>
      <c r="G2563" s="53"/>
      <c r="H2563" s="53"/>
      <c r="I2563" s="53"/>
      <c r="J2563" s="53"/>
      <c r="K2563" s="53"/>
      <c r="L2563" s="53"/>
      <c r="M2563" s="53"/>
      <c r="N2563" s="53"/>
      <c r="O2563" s="53"/>
      <c r="P2563" s="53"/>
      <c r="Q2563" s="53"/>
      <c r="R2563" s="53"/>
      <c r="S2563" s="53"/>
      <c r="T2563" s="53"/>
      <c r="U2563" s="53"/>
      <c r="V2563" s="53"/>
      <c r="W2563" s="53"/>
      <c r="X2563" s="53"/>
      <c r="Y2563" s="53"/>
      <c r="Z2563" s="53"/>
      <c r="AA2563" s="53"/>
      <c r="AB2563" s="53"/>
      <c r="AC2563" s="53"/>
      <c r="AD2563" s="53"/>
      <c r="AE2563" s="53"/>
      <c r="AF2563" s="53"/>
      <c r="AG2563" s="54"/>
      <c r="AH2563" s="54"/>
      <c r="AI2563" s="53"/>
      <c r="AJ2563" s="53"/>
      <c r="AK2563" s="54"/>
      <c r="AL2563" s="54"/>
    </row>
    <row r="2564" spans="1:38" ht="15.75" thickBot="1" x14ac:dyDescent="0.3">
      <c r="A2564" s="51"/>
      <c r="B2564" s="51"/>
      <c r="C2564" s="51"/>
      <c r="D2564" s="51"/>
      <c r="E2564" s="51"/>
      <c r="F2564" s="51"/>
      <c r="G2564" s="55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/>
      <c r="S2564" s="55"/>
      <c r="T2564" s="55"/>
      <c r="U2564" s="55"/>
      <c r="V2564" s="55"/>
      <c r="W2564" s="55"/>
      <c r="X2564" s="55"/>
      <c r="Y2564" s="55"/>
      <c r="Z2564" s="55"/>
      <c r="AA2564" s="55"/>
      <c r="AB2564" s="55"/>
      <c r="AC2564" s="55"/>
      <c r="AD2564" s="55"/>
      <c r="AE2564" s="55"/>
      <c r="AF2564" s="55"/>
      <c r="AG2564" s="56"/>
      <c r="AH2564" s="56"/>
      <c r="AI2564" s="55"/>
      <c r="AJ2564" s="55"/>
      <c r="AK2564" s="56"/>
      <c r="AL2564" s="56"/>
    </row>
    <row r="2565" spans="1:38" ht="15.75" thickBot="1" x14ac:dyDescent="0.3">
      <c r="A2565" s="51"/>
      <c r="B2565" s="51"/>
      <c r="C2565" s="51"/>
      <c r="D2565" s="51"/>
      <c r="E2565" s="51"/>
      <c r="F2565" s="51"/>
      <c r="G2565" s="54"/>
      <c r="H2565" s="53"/>
      <c r="I2565" s="53"/>
      <c r="J2565" s="53"/>
      <c r="K2565" s="54"/>
      <c r="L2565" s="53"/>
      <c r="M2565" s="53"/>
      <c r="N2565" s="53"/>
      <c r="O2565" s="53"/>
      <c r="P2565" s="53"/>
      <c r="Q2565" s="53"/>
      <c r="R2565" s="53"/>
      <c r="S2565" s="53"/>
      <c r="T2565" s="53"/>
      <c r="U2565" s="53"/>
      <c r="V2565" s="53"/>
      <c r="W2565" s="53"/>
      <c r="X2565" s="53"/>
      <c r="Y2565" s="53"/>
      <c r="Z2565" s="53"/>
      <c r="AA2565" s="53"/>
      <c r="AB2565" s="53"/>
      <c r="AC2565" s="53"/>
      <c r="AD2565" s="53"/>
      <c r="AE2565" s="53"/>
      <c r="AF2565" s="53"/>
      <c r="AG2565" s="53"/>
      <c r="AH2565" s="54"/>
      <c r="AI2565" s="53"/>
      <c r="AJ2565" s="53"/>
      <c r="AK2565" s="54"/>
      <c r="AL2565" s="54"/>
    </row>
    <row r="2566" spans="1:38" ht="15.75" thickBot="1" x14ac:dyDescent="0.3">
      <c r="A2566" s="51"/>
      <c r="B2566" s="51"/>
      <c r="C2566" s="51"/>
      <c r="D2566" s="51"/>
      <c r="E2566" s="51"/>
      <c r="F2566" s="51"/>
      <c r="G2566" s="56"/>
      <c r="H2566" s="55"/>
      <c r="I2566" s="55"/>
      <c r="J2566" s="55"/>
      <c r="K2566" s="56"/>
      <c r="L2566" s="55"/>
      <c r="M2566" s="55"/>
      <c r="N2566" s="55"/>
      <c r="O2566" s="55"/>
      <c r="P2566" s="55"/>
      <c r="Q2566" s="55"/>
      <c r="R2566" s="55"/>
      <c r="S2566" s="55"/>
      <c r="T2566" s="55"/>
      <c r="U2566" s="55"/>
      <c r="V2566" s="55"/>
      <c r="W2566" s="55"/>
      <c r="X2566" s="55"/>
      <c r="Y2566" s="55"/>
      <c r="Z2566" s="55"/>
      <c r="AA2566" s="55"/>
      <c r="AB2566" s="55"/>
      <c r="AC2566" s="55"/>
      <c r="AD2566" s="55"/>
      <c r="AE2566" s="55"/>
      <c r="AF2566" s="55"/>
      <c r="AG2566" s="55"/>
      <c r="AH2566" s="56"/>
      <c r="AI2566" s="55"/>
      <c r="AJ2566" s="55"/>
      <c r="AK2566" s="56"/>
      <c r="AL2566" s="56"/>
    </row>
    <row r="2567" spans="1:38" ht="15.75" thickBot="1" x14ac:dyDescent="0.3">
      <c r="A2567" s="51"/>
      <c r="B2567" s="51"/>
      <c r="C2567" s="51"/>
      <c r="D2567" s="51"/>
      <c r="E2567" s="51"/>
      <c r="F2567" s="51"/>
      <c r="G2567" s="54"/>
      <c r="H2567" s="54"/>
      <c r="I2567" s="53"/>
      <c r="J2567" s="53"/>
      <c r="K2567" s="53"/>
      <c r="L2567" s="53"/>
      <c r="M2567" s="54"/>
      <c r="N2567" s="53"/>
      <c r="O2567" s="53"/>
      <c r="P2567" s="53"/>
      <c r="Q2567" s="53"/>
      <c r="R2567" s="53"/>
      <c r="S2567" s="53"/>
      <c r="T2567" s="53"/>
      <c r="U2567" s="53"/>
      <c r="V2567" s="53"/>
      <c r="W2567" s="53"/>
      <c r="X2567" s="53"/>
      <c r="Y2567" s="53"/>
      <c r="Z2567" s="53"/>
      <c r="AA2567" s="53"/>
      <c r="AB2567" s="53"/>
      <c r="AC2567" s="53"/>
      <c r="AD2567" s="53"/>
      <c r="AE2567" s="53"/>
      <c r="AF2567" s="53"/>
      <c r="AG2567" s="53"/>
      <c r="AH2567" s="54"/>
      <c r="AI2567" s="53"/>
      <c r="AJ2567" s="53"/>
      <c r="AK2567" s="54"/>
      <c r="AL2567" s="54"/>
    </row>
    <row r="2568" spans="1:38" ht="15.75" thickBot="1" x14ac:dyDescent="0.3">
      <c r="A2568" s="51"/>
      <c r="B2568" s="51"/>
      <c r="C2568" s="51"/>
      <c r="D2568" s="51"/>
      <c r="E2568" s="51"/>
      <c r="F2568" s="51"/>
      <c r="G2568" s="56"/>
      <c r="H2568" s="148"/>
      <c r="I2568" s="55"/>
      <c r="J2568" s="55"/>
      <c r="K2568" s="55"/>
      <c r="L2568" s="55"/>
      <c r="M2568" s="56"/>
      <c r="N2568" s="55"/>
      <c r="O2568" s="55"/>
      <c r="P2568" s="55"/>
      <c r="Q2568" s="55"/>
      <c r="R2568" s="55"/>
      <c r="S2568" s="55"/>
      <c r="T2568" s="55"/>
      <c r="U2568" s="55"/>
      <c r="V2568" s="55"/>
      <c r="W2568" s="55"/>
      <c r="X2568" s="55"/>
      <c r="Y2568" s="55"/>
      <c r="Z2568" s="55"/>
      <c r="AA2568" s="55"/>
      <c r="AB2568" s="55"/>
      <c r="AC2568" s="55"/>
      <c r="AD2568" s="55"/>
      <c r="AE2568" s="55"/>
      <c r="AF2568" s="55"/>
      <c r="AG2568" s="55"/>
      <c r="AH2568" s="56"/>
      <c r="AI2568" s="55"/>
      <c r="AJ2568" s="55"/>
      <c r="AK2568" s="56"/>
      <c r="AL2568" s="56"/>
    </row>
    <row r="2569" spans="1:38" ht="15.75" thickBot="1" x14ac:dyDescent="0.3">
      <c r="A2569" s="51"/>
      <c r="B2569" s="51"/>
      <c r="C2569" s="51"/>
      <c r="D2569" s="51"/>
      <c r="E2569" s="51"/>
      <c r="F2569" s="51"/>
      <c r="G2569" s="54"/>
      <c r="H2569" s="53"/>
      <c r="I2569" s="53"/>
      <c r="J2569" s="53"/>
      <c r="K2569" s="53"/>
      <c r="L2569" s="53"/>
      <c r="M2569" s="53"/>
      <c r="N2569" s="53"/>
      <c r="O2569" s="53"/>
      <c r="P2569" s="53"/>
      <c r="Q2569" s="54"/>
      <c r="R2569" s="53"/>
      <c r="S2569" s="53"/>
      <c r="T2569" s="53"/>
      <c r="U2569" s="53"/>
      <c r="V2569" s="53"/>
      <c r="W2569" s="53"/>
      <c r="X2569" s="53"/>
      <c r="Y2569" s="53"/>
      <c r="Z2569" s="53"/>
      <c r="AA2569" s="53"/>
      <c r="AB2569" s="53"/>
      <c r="AC2569" s="53"/>
      <c r="AD2569" s="53"/>
      <c r="AE2569" s="53"/>
      <c r="AF2569" s="53"/>
      <c r="AG2569" s="53"/>
      <c r="AH2569" s="54"/>
      <c r="AI2569" s="53"/>
      <c r="AJ2569" s="53"/>
      <c r="AK2569" s="54"/>
      <c r="AL2569" s="54"/>
    </row>
    <row r="2570" spans="1:38" ht="15.75" thickBot="1" x14ac:dyDescent="0.3">
      <c r="A2570" s="51"/>
      <c r="B2570" s="51"/>
      <c r="C2570" s="51"/>
      <c r="D2570" s="51"/>
      <c r="E2570" s="51"/>
      <c r="F2570" s="51"/>
      <c r="G2570" s="56"/>
      <c r="H2570" s="55"/>
      <c r="I2570" s="55"/>
      <c r="J2570" s="55"/>
      <c r="K2570" s="55"/>
      <c r="L2570" s="55"/>
      <c r="M2570" s="55"/>
      <c r="N2570" s="55"/>
      <c r="O2570" s="55"/>
      <c r="P2570" s="55"/>
      <c r="Q2570" s="56"/>
      <c r="R2570" s="55"/>
      <c r="S2570" s="55"/>
      <c r="T2570" s="55"/>
      <c r="U2570" s="55"/>
      <c r="V2570" s="55"/>
      <c r="W2570" s="55"/>
      <c r="X2570" s="55"/>
      <c r="Y2570" s="55"/>
      <c r="Z2570" s="55"/>
      <c r="AA2570" s="55"/>
      <c r="AB2570" s="55"/>
      <c r="AC2570" s="55"/>
      <c r="AD2570" s="55"/>
      <c r="AE2570" s="55"/>
      <c r="AF2570" s="55"/>
      <c r="AG2570" s="55"/>
      <c r="AH2570" s="56"/>
      <c r="AI2570" s="55"/>
      <c r="AJ2570" s="55"/>
      <c r="AK2570" s="56"/>
      <c r="AL2570" s="56"/>
    </row>
    <row r="2571" spans="1:38" ht="15.75" thickBot="1" x14ac:dyDescent="0.3">
      <c r="A2571" s="51"/>
      <c r="B2571" s="51"/>
      <c r="C2571" s="51"/>
      <c r="D2571" s="51"/>
      <c r="E2571" s="51"/>
      <c r="F2571" s="51"/>
      <c r="G2571" s="54"/>
      <c r="H2571" s="53"/>
      <c r="I2571" s="53"/>
      <c r="J2571" s="53"/>
      <c r="K2571" s="53"/>
      <c r="L2571" s="53"/>
      <c r="M2571" s="53"/>
      <c r="N2571" s="53"/>
      <c r="O2571" s="53"/>
      <c r="P2571" s="53"/>
      <c r="Q2571" s="53"/>
      <c r="R2571" s="53"/>
      <c r="S2571" s="53"/>
      <c r="T2571" s="53"/>
      <c r="U2571" s="53"/>
      <c r="V2571" s="53"/>
      <c r="W2571" s="53"/>
      <c r="X2571" s="53"/>
      <c r="Y2571" s="53"/>
      <c r="Z2571" s="54"/>
      <c r="AA2571" s="53"/>
      <c r="AB2571" s="53"/>
      <c r="AC2571" s="53"/>
      <c r="AD2571" s="53"/>
      <c r="AE2571" s="53"/>
      <c r="AF2571" s="53"/>
      <c r="AG2571" s="53"/>
      <c r="AH2571" s="54"/>
      <c r="AI2571" s="53"/>
      <c r="AJ2571" s="53"/>
      <c r="AK2571" s="54"/>
      <c r="AL2571" s="54"/>
    </row>
    <row r="2572" spans="1:38" ht="15.75" thickBot="1" x14ac:dyDescent="0.3">
      <c r="A2572" s="51"/>
      <c r="B2572" s="51"/>
      <c r="C2572" s="51"/>
      <c r="D2572" s="51"/>
      <c r="E2572" s="51"/>
      <c r="F2572" s="51"/>
      <c r="G2572" s="56"/>
      <c r="H2572" s="55"/>
      <c r="I2572" s="55"/>
      <c r="J2572" s="55"/>
      <c r="K2572" s="55"/>
      <c r="L2572" s="55"/>
      <c r="M2572" s="55"/>
      <c r="N2572" s="55"/>
      <c r="O2572" s="55"/>
      <c r="P2572" s="55"/>
      <c r="Q2572" s="55"/>
      <c r="R2572" s="55"/>
      <c r="S2572" s="55"/>
      <c r="T2572" s="55"/>
      <c r="U2572" s="55"/>
      <c r="V2572" s="55"/>
      <c r="W2572" s="55"/>
      <c r="X2572" s="55"/>
      <c r="Y2572" s="55"/>
      <c r="Z2572" s="56"/>
      <c r="AA2572" s="55"/>
      <c r="AB2572" s="55"/>
      <c r="AC2572" s="55"/>
      <c r="AD2572" s="55"/>
      <c r="AE2572" s="55"/>
      <c r="AF2572" s="55"/>
      <c r="AG2572" s="55"/>
      <c r="AH2572" s="56"/>
      <c r="AI2572" s="55"/>
      <c r="AJ2572" s="55"/>
      <c r="AK2572" s="56"/>
      <c r="AL2572" s="56"/>
    </row>
    <row r="2573" spans="1:38" ht="15.75" thickBot="1" x14ac:dyDescent="0.3">
      <c r="A2573" s="51"/>
      <c r="B2573" s="51"/>
      <c r="C2573" s="51"/>
      <c r="D2573" s="51"/>
      <c r="E2573" s="51"/>
      <c r="F2573" s="51"/>
      <c r="G2573" s="54"/>
      <c r="H2573" s="53"/>
      <c r="I2573" s="53"/>
      <c r="J2573" s="53"/>
      <c r="K2573" s="53"/>
      <c r="L2573" s="53"/>
      <c r="M2573" s="53"/>
      <c r="N2573" s="53"/>
      <c r="O2573" s="53"/>
      <c r="P2573" s="53"/>
      <c r="Q2573" s="53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4"/>
      <c r="AB2573" s="53"/>
      <c r="AC2573" s="53"/>
      <c r="AD2573" s="53"/>
      <c r="AE2573" s="53"/>
      <c r="AF2573" s="53"/>
      <c r="AG2573" s="53"/>
      <c r="AH2573" s="54"/>
      <c r="AI2573" s="53"/>
      <c r="AJ2573" s="53"/>
      <c r="AK2573" s="54"/>
      <c r="AL2573" s="54"/>
    </row>
    <row r="2574" spans="1:38" ht="15.75" thickBot="1" x14ac:dyDescent="0.3">
      <c r="A2574" s="51"/>
      <c r="B2574" s="51"/>
      <c r="C2574" s="51"/>
      <c r="D2574" s="51"/>
      <c r="E2574" s="51"/>
      <c r="F2574" s="51"/>
      <c r="G2574" s="56"/>
      <c r="H2574" s="55"/>
      <c r="I2574" s="55"/>
      <c r="J2574" s="55"/>
      <c r="K2574" s="55"/>
      <c r="L2574" s="55"/>
      <c r="M2574" s="55"/>
      <c r="N2574" s="55"/>
      <c r="O2574" s="55"/>
      <c r="P2574" s="55"/>
      <c r="Q2574" s="55"/>
      <c r="R2574" s="55"/>
      <c r="S2574" s="55"/>
      <c r="T2574" s="55"/>
      <c r="U2574" s="55"/>
      <c r="V2574" s="55"/>
      <c r="W2574" s="55"/>
      <c r="X2574" s="55"/>
      <c r="Y2574" s="55"/>
      <c r="Z2574" s="55"/>
      <c r="AA2574" s="56"/>
      <c r="AB2574" s="55"/>
      <c r="AC2574" s="55"/>
      <c r="AD2574" s="55"/>
      <c r="AE2574" s="55"/>
      <c r="AF2574" s="55"/>
      <c r="AG2574" s="55"/>
      <c r="AH2574" s="56"/>
      <c r="AI2574" s="55"/>
      <c r="AJ2574" s="55"/>
      <c r="AK2574" s="56"/>
      <c r="AL2574" s="56"/>
    </row>
    <row r="2575" spans="1:38" ht="15.75" thickBot="1" x14ac:dyDescent="0.3">
      <c r="A2575" s="51"/>
      <c r="B2575" s="51"/>
      <c r="C2575" s="51"/>
      <c r="D2575" s="51"/>
      <c r="E2575" s="51"/>
      <c r="F2575" s="51"/>
      <c r="G2575" s="54"/>
      <c r="H2575" s="53"/>
      <c r="I2575" s="53"/>
      <c r="J2575" s="53"/>
      <c r="K2575" s="53"/>
      <c r="L2575" s="53"/>
      <c r="M2575" s="53"/>
      <c r="N2575" s="53"/>
      <c r="O2575" s="53"/>
      <c r="P2575" s="53"/>
      <c r="Q2575" s="53"/>
      <c r="R2575" s="54"/>
      <c r="S2575" s="53"/>
      <c r="T2575" s="53"/>
      <c r="U2575" s="53"/>
      <c r="V2575" s="53"/>
      <c r="W2575" s="53"/>
      <c r="X2575" s="53"/>
      <c r="Y2575" s="53"/>
      <c r="Z2575" s="53"/>
      <c r="AA2575" s="53"/>
      <c r="AB2575" s="53"/>
      <c r="AC2575" s="53"/>
      <c r="AD2575" s="53"/>
      <c r="AE2575" s="53"/>
      <c r="AF2575" s="53"/>
      <c r="AG2575" s="53"/>
      <c r="AH2575" s="54"/>
      <c r="AI2575" s="53"/>
      <c r="AJ2575" s="53"/>
      <c r="AK2575" s="54"/>
      <c r="AL2575" s="54"/>
    </row>
    <row r="2576" spans="1:38" ht="15.75" thickBot="1" x14ac:dyDescent="0.3">
      <c r="A2576" s="51"/>
      <c r="B2576" s="51"/>
      <c r="C2576" s="51"/>
      <c r="D2576" s="51"/>
      <c r="E2576" s="51"/>
      <c r="F2576" s="51"/>
      <c r="G2576" s="56"/>
      <c r="H2576" s="55"/>
      <c r="I2576" s="55"/>
      <c r="J2576" s="55"/>
      <c r="K2576" s="55"/>
      <c r="L2576" s="55"/>
      <c r="M2576" s="55"/>
      <c r="N2576" s="55"/>
      <c r="O2576" s="55"/>
      <c r="P2576" s="55"/>
      <c r="Q2576" s="55"/>
      <c r="R2576" s="56"/>
      <c r="S2576" s="55"/>
      <c r="T2576" s="55"/>
      <c r="U2576" s="55"/>
      <c r="V2576" s="55"/>
      <c r="W2576" s="55"/>
      <c r="X2576" s="55"/>
      <c r="Y2576" s="55"/>
      <c r="Z2576" s="55"/>
      <c r="AA2576" s="55"/>
      <c r="AB2576" s="55"/>
      <c r="AC2576" s="55"/>
      <c r="AD2576" s="55"/>
      <c r="AE2576" s="55"/>
      <c r="AF2576" s="55"/>
      <c r="AG2576" s="55"/>
      <c r="AH2576" s="56"/>
      <c r="AI2576" s="55"/>
      <c r="AJ2576" s="55"/>
      <c r="AK2576" s="56"/>
      <c r="AL2576" s="56"/>
    </row>
    <row r="2577" spans="1:38" ht="15.75" thickBot="1" x14ac:dyDescent="0.3">
      <c r="A2577" s="51"/>
      <c r="B2577" s="51"/>
      <c r="C2577" s="51"/>
      <c r="D2577" s="51"/>
      <c r="E2577" s="51"/>
      <c r="F2577" s="51"/>
      <c r="G2577" s="54"/>
      <c r="H2577" s="53"/>
      <c r="I2577" s="53"/>
      <c r="J2577" s="53"/>
      <c r="K2577" s="53"/>
      <c r="L2577" s="53"/>
      <c r="M2577" s="53"/>
      <c r="N2577" s="53"/>
      <c r="O2577" s="53"/>
      <c r="P2577" s="53"/>
      <c r="Q2577" s="53"/>
      <c r="R2577" s="53"/>
      <c r="S2577" s="53"/>
      <c r="T2577" s="53"/>
      <c r="U2577" s="53"/>
      <c r="V2577" s="53"/>
      <c r="W2577" s="53"/>
      <c r="X2577" s="53"/>
      <c r="Y2577" s="53"/>
      <c r="Z2577" s="53"/>
      <c r="AA2577" s="53"/>
      <c r="AB2577" s="53"/>
      <c r="AC2577" s="54"/>
      <c r="AD2577" s="53"/>
      <c r="AE2577" s="53"/>
      <c r="AF2577" s="53"/>
      <c r="AG2577" s="53"/>
      <c r="AH2577" s="54"/>
      <c r="AI2577" s="53"/>
      <c r="AJ2577" s="53"/>
      <c r="AK2577" s="54"/>
      <c r="AL2577" s="54"/>
    </row>
    <row r="2578" spans="1:38" ht="15.75" thickBot="1" x14ac:dyDescent="0.3">
      <c r="A2578" s="51"/>
      <c r="B2578" s="51"/>
      <c r="C2578" s="51"/>
      <c r="D2578" s="51"/>
      <c r="E2578" s="51"/>
      <c r="F2578" s="51"/>
      <c r="G2578" s="56"/>
      <c r="H2578" s="55"/>
      <c r="I2578" s="55"/>
      <c r="J2578" s="55"/>
      <c r="K2578" s="55"/>
      <c r="L2578" s="55"/>
      <c r="M2578" s="55"/>
      <c r="N2578" s="55"/>
      <c r="O2578" s="55"/>
      <c r="P2578" s="55"/>
      <c r="Q2578" s="55"/>
      <c r="R2578" s="55"/>
      <c r="S2578" s="55"/>
      <c r="T2578" s="55"/>
      <c r="U2578" s="55"/>
      <c r="V2578" s="55"/>
      <c r="W2578" s="55"/>
      <c r="X2578" s="55"/>
      <c r="Y2578" s="55"/>
      <c r="Z2578" s="55"/>
      <c r="AA2578" s="55"/>
      <c r="AB2578" s="55"/>
      <c r="AC2578" s="56"/>
      <c r="AD2578" s="55"/>
      <c r="AE2578" s="55"/>
      <c r="AF2578" s="55"/>
      <c r="AG2578" s="55"/>
      <c r="AH2578" s="56"/>
      <c r="AI2578" s="55"/>
      <c r="AJ2578" s="55"/>
      <c r="AK2578" s="56"/>
      <c r="AL2578" s="56"/>
    </row>
    <row r="2579" spans="1:38" ht="15.75" thickBot="1" x14ac:dyDescent="0.3">
      <c r="A2579" s="51"/>
      <c r="B2579" s="51"/>
      <c r="C2579" s="51"/>
      <c r="D2579" s="51"/>
      <c r="E2579" s="51"/>
      <c r="F2579" s="51"/>
      <c r="G2579" s="54"/>
      <c r="H2579" s="53"/>
      <c r="I2579" s="53"/>
      <c r="J2579" s="53"/>
      <c r="K2579" s="53"/>
      <c r="L2579" s="53"/>
      <c r="M2579" s="53"/>
      <c r="N2579" s="53"/>
      <c r="O2579" s="53"/>
      <c r="P2579" s="53"/>
      <c r="Q2579" s="53"/>
      <c r="R2579" s="53"/>
      <c r="S2579" s="53"/>
      <c r="T2579" s="53"/>
      <c r="U2579" s="53"/>
      <c r="V2579" s="53"/>
      <c r="W2579" s="53"/>
      <c r="X2579" s="53"/>
      <c r="Y2579" s="53"/>
      <c r="Z2579" s="53"/>
      <c r="AA2579" s="53"/>
      <c r="AB2579" s="54"/>
      <c r="AC2579" s="53"/>
      <c r="AD2579" s="53"/>
      <c r="AE2579" s="53"/>
      <c r="AF2579" s="53"/>
      <c r="AG2579" s="53"/>
      <c r="AH2579" s="54"/>
      <c r="AI2579" s="53"/>
      <c r="AJ2579" s="53"/>
      <c r="AK2579" s="54"/>
      <c r="AL2579" s="54"/>
    </row>
    <row r="2580" spans="1:38" ht="15.75" thickBot="1" x14ac:dyDescent="0.3">
      <c r="A2580" s="51"/>
      <c r="B2580" s="51"/>
      <c r="C2580" s="51"/>
      <c r="D2580" s="51"/>
      <c r="E2580" s="51"/>
      <c r="F2580" s="51"/>
      <c r="G2580" s="56"/>
      <c r="H2580" s="55"/>
      <c r="I2580" s="55"/>
      <c r="J2580" s="55"/>
      <c r="K2580" s="55"/>
      <c r="L2580" s="55"/>
      <c r="M2580" s="55"/>
      <c r="N2580" s="55"/>
      <c r="O2580" s="55"/>
      <c r="P2580" s="55"/>
      <c r="Q2580" s="55"/>
      <c r="R2580" s="55"/>
      <c r="S2580" s="55"/>
      <c r="T2580" s="55"/>
      <c r="U2580" s="55"/>
      <c r="V2580" s="55"/>
      <c r="W2580" s="55"/>
      <c r="X2580" s="55"/>
      <c r="Y2580" s="55"/>
      <c r="Z2580" s="55"/>
      <c r="AA2580" s="55"/>
      <c r="AB2580" s="56"/>
      <c r="AC2580" s="55"/>
      <c r="AD2580" s="55"/>
      <c r="AE2580" s="55"/>
      <c r="AF2580" s="55"/>
      <c r="AG2580" s="55"/>
      <c r="AH2580" s="56"/>
      <c r="AI2580" s="55"/>
      <c r="AJ2580" s="55"/>
      <c r="AK2580" s="56"/>
      <c r="AL2580" s="56"/>
    </row>
    <row r="2581" spans="1:38" ht="15.75" thickBot="1" x14ac:dyDescent="0.3">
      <c r="A2581" s="51"/>
      <c r="B2581" s="51"/>
      <c r="C2581" s="51"/>
      <c r="D2581" s="51"/>
      <c r="E2581" s="51"/>
      <c r="F2581" s="51"/>
      <c r="G2581" s="54"/>
      <c r="H2581" s="53"/>
      <c r="I2581" s="53"/>
      <c r="J2581" s="53"/>
      <c r="K2581" s="54"/>
      <c r="L2581" s="53"/>
      <c r="M2581" s="53"/>
      <c r="N2581" s="53"/>
      <c r="O2581" s="53"/>
      <c r="P2581" s="53"/>
      <c r="Q2581" s="53"/>
      <c r="R2581" s="53"/>
      <c r="S2581" s="53"/>
      <c r="T2581" s="53"/>
      <c r="U2581" s="53"/>
      <c r="V2581" s="53"/>
      <c r="W2581" s="53"/>
      <c r="X2581" s="53"/>
      <c r="Y2581" s="53"/>
      <c r="Z2581" s="53"/>
      <c r="AA2581" s="53"/>
      <c r="AB2581" s="53"/>
      <c r="AC2581" s="53"/>
      <c r="AD2581" s="53"/>
      <c r="AE2581" s="53"/>
      <c r="AF2581" s="53"/>
      <c r="AG2581" s="53"/>
      <c r="AH2581" s="54"/>
      <c r="AI2581" s="53"/>
      <c r="AJ2581" s="53"/>
      <c r="AK2581" s="54"/>
      <c r="AL2581" s="54"/>
    </row>
    <row r="2582" spans="1:38" ht="15.75" thickBot="1" x14ac:dyDescent="0.3">
      <c r="A2582" s="51"/>
      <c r="B2582" s="51"/>
      <c r="C2582" s="51"/>
      <c r="D2582" s="51"/>
      <c r="E2582" s="51"/>
      <c r="F2582" s="51"/>
      <c r="G2582" s="56"/>
      <c r="H2582" s="55"/>
      <c r="I2582" s="55"/>
      <c r="J2582" s="55"/>
      <c r="K2582" s="56"/>
      <c r="L2582" s="55"/>
      <c r="M2582" s="55"/>
      <c r="N2582" s="55"/>
      <c r="O2582" s="55"/>
      <c r="P2582" s="55"/>
      <c r="Q2582" s="55"/>
      <c r="R2582" s="55"/>
      <c r="S2582" s="55"/>
      <c r="T2582" s="55"/>
      <c r="U2582" s="55"/>
      <c r="V2582" s="55"/>
      <c r="W2582" s="55"/>
      <c r="X2582" s="55"/>
      <c r="Y2582" s="55"/>
      <c r="Z2582" s="55"/>
      <c r="AA2582" s="55"/>
      <c r="AB2582" s="55"/>
      <c r="AC2582" s="55"/>
      <c r="AD2582" s="55"/>
      <c r="AE2582" s="55"/>
      <c r="AF2582" s="55"/>
      <c r="AG2582" s="55"/>
      <c r="AH2582" s="56"/>
      <c r="AI2582" s="55"/>
      <c r="AJ2582" s="55"/>
      <c r="AK2582" s="56"/>
      <c r="AL2582" s="56"/>
    </row>
    <row r="2583" spans="1:38" ht="15.75" thickBot="1" x14ac:dyDescent="0.3">
      <c r="A2583" s="51"/>
      <c r="B2583" s="51"/>
      <c r="C2583" s="51"/>
      <c r="D2583" s="51"/>
      <c r="E2583" s="51"/>
      <c r="F2583" s="51"/>
      <c r="G2583" s="54"/>
      <c r="H2583" s="54"/>
      <c r="I2583" s="53"/>
      <c r="J2583" s="53"/>
      <c r="K2583" s="53"/>
      <c r="L2583" s="53"/>
      <c r="M2583" s="54"/>
      <c r="N2583" s="53"/>
      <c r="O2583" s="53"/>
      <c r="P2583" s="53"/>
      <c r="Q2583" s="53"/>
      <c r="R2583" s="53"/>
      <c r="S2583" s="53"/>
      <c r="T2583" s="53"/>
      <c r="U2583" s="53"/>
      <c r="V2583" s="53"/>
      <c r="W2583" s="53"/>
      <c r="X2583" s="53"/>
      <c r="Y2583" s="53"/>
      <c r="Z2583" s="53"/>
      <c r="AA2583" s="53"/>
      <c r="AB2583" s="53"/>
      <c r="AC2583" s="53"/>
      <c r="AD2583" s="53"/>
      <c r="AE2583" s="53"/>
      <c r="AF2583" s="53"/>
      <c r="AG2583" s="53"/>
      <c r="AH2583" s="54"/>
      <c r="AI2583" s="53"/>
      <c r="AJ2583" s="53"/>
      <c r="AK2583" s="54"/>
      <c r="AL2583" s="54"/>
    </row>
    <row r="2584" spans="1:38" ht="15.75" thickBot="1" x14ac:dyDescent="0.3">
      <c r="A2584" s="51"/>
      <c r="B2584" s="51"/>
      <c r="C2584" s="51"/>
      <c r="D2584" s="51"/>
      <c r="E2584" s="51"/>
      <c r="F2584" s="51"/>
      <c r="G2584" s="56"/>
      <c r="H2584" s="148"/>
      <c r="I2584" s="55"/>
      <c r="J2584" s="55"/>
      <c r="K2584" s="55"/>
      <c r="L2584" s="55"/>
      <c r="M2584" s="56"/>
      <c r="N2584" s="55"/>
      <c r="O2584" s="55"/>
      <c r="P2584" s="55"/>
      <c r="Q2584" s="55"/>
      <c r="R2584" s="55"/>
      <c r="S2584" s="55"/>
      <c r="T2584" s="55"/>
      <c r="U2584" s="55"/>
      <c r="V2584" s="55"/>
      <c r="W2584" s="55"/>
      <c r="X2584" s="55"/>
      <c r="Y2584" s="55"/>
      <c r="Z2584" s="55"/>
      <c r="AA2584" s="55"/>
      <c r="AB2584" s="55"/>
      <c r="AC2584" s="55"/>
      <c r="AD2584" s="55"/>
      <c r="AE2584" s="55"/>
      <c r="AF2584" s="55"/>
      <c r="AG2584" s="55"/>
      <c r="AH2584" s="56"/>
      <c r="AI2584" s="55"/>
      <c r="AJ2584" s="55"/>
      <c r="AK2584" s="56"/>
      <c r="AL2584" s="56"/>
    </row>
    <row r="2585" spans="1:38" ht="15.75" thickBot="1" x14ac:dyDescent="0.3">
      <c r="A2585" s="51"/>
      <c r="B2585" s="51"/>
      <c r="C2585" s="51"/>
      <c r="D2585" s="51"/>
      <c r="E2585" s="51"/>
      <c r="F2585" s="51"/>
      <c r="G2585" s="54"/>
      <c r="H2585" s="53"/>
      <c r="I2585" s="53"/>
      <c r="J2585" s="53"/>
      <c r="K2585" s="53"/>
      <c r="L2585" s="53"/>
      <c r="M2585" s="53"/>
      <c r="N2585" s="53"/>
      <c r="O2585" s="53"/>
      <c r="P2585" s="53"/>
      <c r="Q2585" s="53"/>
      <c r="R2585" s="53"/>
      <c r="S2585" s="53"/>
      <c r="T2585" s="53"/>
      <c r="U2585" s="53"/>
      <c r="V2585" s="53"/>
      <c r="W2585" s="53"/>
      <c r="X2585" s="53"/>
      <c r="Y2585" s="53"/>
      <c r="Z2585" s="54"/>
      <c r="AA2585" s="53"/>
      <c r="AB2585" s="53"/>
      <c r="AC2585" s="53"/>
      <c r="AD2585" s="53"/>
      <c r="AE2585" s="53"/>
      <c r="AF2585" s="53"/>
      <c r="AG2585" s="53"/>
      <c r="AH2585" s="54"/>
      <c r="AI2585" s="53"/>
      <c r="AJ2585" s="53"/>
      <c r="AK2585" s="54"/>
      <c r="AL2585" s="54"/>
    </row>
    <row r="2586" spans="1:38" ht="15.75" thickBot="1" x14ac:dyDescent="0.3">
      <c r="A2586" s="51"/>
      <c r="B2586" s="51"/>
      <c r="C2586" s="51"/>
      <c r="D2586" s="51"/>
      <c r="E2586" s="51"/>
      <c r="F2586" s="51"/>
      <c r="G2586" s="56"/>
      <c r="H2586" s="55"/>
      <c r="I2586" s="55"/>
      <c r="J2586" s="55"/>
      <c r="K2586" s="55"/>
      <c r="L2586" s="55"/>
      <c r="M2586" s="55"/>
      <c r="N2586" s="55"/>
      <c r="O2586" s="55"/>
      <c r="P2586" s="55"/>
      <c r="Q2586" s="55"/>
      <c r="R2586" s="55"/>
      <c r="S2586" s="55"/>
      <c r="T2586" s="55"/>
      <c r="U2586" s="55"/>
      <c r="V2586" s="55"/>
      <c r="W2586" s="55"/>
      <c r="X2586" s="55"/>
      <c r="Y2586" s="55"/>
      <c r="Z2586" s="56"/>
      <c r="AA2586" s="55"/>
      <c r="AB2586" s="55"/>
      <c r="AC2586" s="55"/>
      <c r="AD2586" s="55"/>
      <c r="AE2586" s="55"/>
      <c r="AF2586" s="55"/>
      <c r="AG2586" s="55"/>
      <c r="AH2586" s="56"/>
      <c r="AI2586" s="55"/>
      <c r="AJ2586" s="55"/>
      <c r="AK2586" s="56"/>
      <c r="AL2586" s="56"/>
    </row>
    <row r="2587" spans="1:38" ht="15.75" thickBot="1" x14ac:dyDescent="0.3">
      <c r="A2587" s="51"/>
      <c r="B2587" s="51"/>
      <c r="C2587" s="51"/>
      <c r="D2587" s="51"/>
      <c r="E2587" s="51"/>
      <c r="F2587" s="51"/>
      <c r="G2587" s="54"/>
      <c r="H2587" s="53"/>
      <c r="I2587" s="53"/>
      <c r="J2587" s="53"/>
      <c r="K2587" s="53"/>
      <c r="L2587" s="53"/>
      <c r="M2587" s="53"/>
      <c r="N2587" s="53"/>
      <c r="O2587" s="53"/>
      <c r="P2587" s="53"/>
      <c r="Q2587" s="53"/>
      <c r="R2587" s="54"/>
      <c r="S2587" s="53"/>
      <c r="T2587" s="53"/>
      <c r="U2587" s="53"/>
      <c r="V2587" s="53"/>
      <c r="W2587" s="53"/>
      <c r="X2587" s="53"/>
      <c r="Y2587" s="53"/>
      <c r="Z2587" s="53"/>
      <c r="AA2587" s="53"/>
      <c r="AB2587" s="53"/>
      <c r="AC2587" s="53"/>
      <c r="AD2587" s="53"/>
      <c r="AE2587" s="53"/>
      <c r="AF2587" s="53"/>
      <c r="AG2587" s="53"/>
      <c r="AH2587" s="54"/>
      <c r="AI2587" s="53"/>
      <c r="AJ2587" s="53"/>
      <c r="AK2587" s="54"/>
      <c r="AL2587" s="54"/>
    </row>
    <row r="2588" spans="1:38" ht="15.75" thickBot="1" x14ac:dyDescent="0.3">
      <c r="A2588" s="51"/>
      <c r="B2588" s="51"/>
      <c r="C2588" s="51"/>
      <c r="D2588" s="51"/>
      <c r="E2588" s="51"/>
      <c r="F2588" s="51"/>
      <c r="G2588" s="56"/>
      <c r="H2588" s="55"/>
      <c r="I2588" s="55"/>
      <c r="J2588" s="55"/>
      <c r="K2588" s="55"/>
      <c r="L2588" s="55"/>
      <c r="M2588" s="55"/>
      <c r="N2588" s="55"/>
      <c r="O2588" s="55"/>
      <c r="P2588" s="55"/>
      <c r="Q2588" s="55"/>
      <c r="R2588" s="56"/>
      <c r="S2588" s="55"/>
      <c r="T2588" s="55"/>
      <c r="U2588" s="55"/>
      <c r="V2588" s="55"/>
      <c r="W2588" s="55"/>
      <c r="X2588" s="55"/>
      <c r="Y2588" s="55"/>
      <c r="Z2588" s="55"/>
      <c r="AA2588" s="55"/>
      <c r="AB2588" s="55"/>
      <c r="AC2588" s="55"/>
      <c r="AD2588" s="55"/>
      <c r="AE2588" s="55"/>
      <c r="AF2588" s="55"/>
      <c r="AG2588" s="55"/>
      <c r="AH2588" s="56"/>
      <c r="AI2588" s="55"/>
      <c r="AJ2588" s="55"/>
      <c r="AK2588" s="56"/>
      <c r="AL2588" s="56"/>
    </row>
    <row r="2589" spans="1:38" ht="15.75" thickBot="1" x14ac:dyDescent="0.3">
      <c r="A2589" s="51"/>
      <c r="B2589" s="51"/>
      <c r="C2589" s="51"/>
      <c r="D2589" s="51"/>
      <c r="E2589" s="51"/>
      <c r="F2589" s="51"/>
      <c r="G2589" s="54"/>
      <c r="H2589" s="53"/>
      <c r="I2589" s="53"/>
      <c r="J2589" s="53"/>
      <c r="K2589" s="53"/>
      <c r="L2589" s="53"/>
      <c r="M2589" s="53"/>
      <c r="N2589" s="53"/>
      <c r="O2589" s="53"/>
      <c r="P2589" s="53"/>
      <c r="Q2589" s="53"/>
      <c r="R2589" s="53"/>
      <c r="S2589" s="53"/>
      <c r="T2589" s="53"/>
      <c r="U2589" s="53"/>
      <c r="V2589" s="53"/>
      <c r="W2589" s="53"/>
      <c r="X2589" s="53"/>
      <c r="Y2589" s="53"/>
      <c r="Z2589" s="53"/>
      <c r="AA2589" s="53"/>
      <c r="AB2589" s="53"/>
      <c r="AC2589" s="54"/>
      <c r="AD2589" s="53"/>
      <c r="AE2589" s="53"/>
      <c r="AF2589" s="53"/>
      <c r="AG2589" s="53"/>
      <c r="AH2589" s="54"/>
      <c r="AI2589" s="53"/>
      <c r="AJ2589" s="53"/>
      <c r="AK2589" s="54"/>
      <c r="AL2589" s="54"/>
    </row>
    <row r="2590" spans="1:38" ht="15.75" thickBot="1" x14ac:dyDescent="0.3">
      <c r="A2590" s="51"/>
      <c r="B2590" s="51"/>
      <c r="C2590" s="51"/>
      <c r="D2590" s="51"/>
      <c r="E2590" s="51"/>
      <c r="F2590" s="51"/>
      <c r="G2590" s="56"/>
      <c r="H2590" s="55"/>
      <c r="I2590" s="55"/>
      <c r="J2590" s="55"/>
      <c r="K2590" s="55"/>
      <c r="L2590" s="55"/>
      <c r="M2590" s="55"/>
      <c r="N2590" s="55"/>
      <c r="O2590" s="55"/>
      <c r="P2590" s="55"/>
      <c r="Q2590" s="55"/>
      <c r="R2590" s="55"/>
      <c r="S2590" s="55"/>
      <c r="T2590" s="55"/>
      <c r="U2590" s="55"/>
      <c r="V2590" s="55"/>
      <c r="W2590" s="55"/>
      <c r="X2590" s="55"/>
      <c r="Y2590" s="55"/>
      <c r="Z2590" s="55"/>
      <c r="AA2590" s="55"/>
      <c r="AB2590" s="55"/>
      <c r="AC2590" s="56"/>
      <c r="AD2590" s="55"/>
      <c r="AE2590" s="55"/>
      <c r="AF2590" s="55"/>
      <c r="AG2590" s="55"/>
      <c r="AH2590" s="56"/>
      <c r="AI2590" s="55"/>
      <c r="AJ2590" s="55"/>
      <c r="AK2590" s="56"/>
      <c r="AL2590" s="56"/>
    </row>
    <row r="2591" spans="1:38" ht="15.75" thickBot="1" x14ac:dyDescent="0.3">
      <c r="A2591" s="51"/>
      <c r="B2591" s="51"/>
      <c r="C2591" s="51"/>
      <c r="D2591" s="51"/>
      <c r="E2591" s="51"/>
      <c r="F2591" s="51"/>
      <c r="G2591" s="54"/>
      <c r="H2591" s="53"/>
      <c r="I2591" s="53"/>
      <c r="J2591" s="53"/>
      <c r="K2591" s="54"/>
      <c r="L2591" s="53"/>
      <c r="M2591" s="53"/>
      <c r="N2591" s="53"/>
      <c r="O2591" s="53"/>
      <c r="P2591" s="53"/>
      <c r="Q2591" s="53"/>
      <c r="R2591" s="53"/>
      <c r="S2591" s="53"/>
      <c r="T2591" s="53"/>
      <c r="U2591" s="53"/>
      <c r="V2591" s="53"/>
      <c r="W2591" s="53"/>
      <c r="X2591" s="53"/>
      <c r="Y2591" s="53"/>
      <c r="Z2591" s="53"/>
      <c r="AA2591" s="53"/>
      <c r="AB2591" s="53"/>
      <c r="AC2591" s="53"/>
      <c r="AD2591" s="53"/>
      <c r="AE2591" s="53"/>
      <c r="AF2591" s="53"/>
      <c r="AG2591" s="53"/>
      <c r="AH2591" s="54"/>
      <c r="AI2591" s="53"/>
      <c r="AJ2591" s="53"/>
      <c r="AK2591" s="54"/>
      <c r="AL2591" s="54"/>
    </row>
    <row r="2592" spans="1:38" ht="15.75" thickBot="1" x14ac:dyDescent="0.3">
      <c r="A2592" s="51"/>
      <c r="B2592" s="51"/>
      <c r="C2592" s="51"/>
      <c r="D2592" s="51"/>
      <c r="E2592" s="51"/>
      <c r="F2592" s="51"/>
      <c r="G2592" s="56"/>
      <c r="H2592" s="55"/>
      <c r="I2592" s="55"/>
      <c r="J2592" s="55"/>
      <c r="K2592" s="56"/>
      <c r="L2592" s="55"/>
      <c r="M2592" s="55"/>
      <c r="N2592" s="55"/>
      <c r="O2592" s="55"/>
      <c r="P2592" s="55"/>
      <c r="Q2592" s="55"/>
      <c r="R2592" s="55"/>
      <c r="S2592" s="55"/>
      <c r="T2592" s="55"/>
      <c r="U2592" s="55"/>
      <c r="V2592" s="55"/>
      <c r="W2592" s="55"/>
      <c r="X2592" s="55"/>
      <c r="Y2592" s="55"/>
      <c r="Z2592" s="55"/>
      <c r="AA2592" s="55"/>
      <c r="AB2592" s="55"/>
      <c r="AC2592" s="55"/>
      <c r="AD2592" s="55"/>
      <c r="AE2592" s="55"/>
      <c r="AF2592" s="55"/>
      <c r="AG2592" s="55"/>
      <c r="AH2592" s="56"/>
      <c r="AI2592" s="55"/>
      <c r="AJ2592" s="55"/>
      <c r="AK2592" s="56"/>
      <c r="AL2592" s="56"/>
    </row>
    <row r="2593" spans="1:38" ht="15.75" thickBot="1" x14ac:dyDescent="0.3">
      <c r="A2593" s="51"/>
      <c r="B2593" s="51"/>
      <c r="C2593" s="51"/>
      <c r="D2593" s="51"/>
      <c r="E2593" s="51"/>
      <c r="F2593" s="51"/>
      <c r="G2593" s="54"/>
      <c r="H2593" s="54"/>
      <c r="I2593" s="53"/>
      <c r="J2593" s="53"/>
      <c r="K2593" s="53"/>
      <c r="L2593" s="53"/>
      <c r="M2593" s="54"/>
      <c r="N2593" s="53"/>
      <c r="O2593" s="53"/>
      <c r="P2593" s="53"/>
      <c r="Q2593" s="53"/>
      <c r="R2593" s="53"/>
      <c r="S2593" s="53"/>
      <c r="T2593" s="53"/>
      <c r="U2593" s="53"/>
      <c r="V2593" s="53"/>
      <c r="W2593" s="53"/>
      <c r="X2593" s="53"/>
      <c r="Y2593" s="53"/>
      <c r="Z2593" s="53"/>
      <c r="AA2593" s="53"/>
      <c r="AB2593" s="53"/>
      <c r="AC2593" s="53"/>
      <c r="AD2593" s="53"/>
      <c r="AE2593" s="53"/>
      <c r="AF2593" s="53"/>
      <c r="AG2593" s="53"/>
      <c r="AH2593" s="54"/>
      <c r="AI2593" s="53"/>
      <c r="AJ2593" s="53"/>
      <c r="AK2593" s="54"/>
      <c r="AL2593" s="54"/>
    </row>
    <row r="2594" spans="1:38" ht="15.75" thickBot="1" x14ac:dyDescent="0.3">
      <c r="A2594" s="51"/>
      <c r="B2594" s="51"/>
      <c r="C2594" s="51"/>
      <c r="D2594" s="51"/>
      <c r="E2594" s="51"/>
      <c r="F2594" s="51"/>
      <c r="G2594" s="56"/>
      <c r="H2594" s="148"/>
      <c r="I2594" s="55"/>
      <c r="J2594" s="55"/>
      <c r="K2594" s="55"/>
      <c r="L2594" s="55"/>
      <c r="M2594" s="56"/>
      <c r="N2594" s="55"/>
      <c r="O2594" s="55"/>
      <c r="P2594" s="55"/>
      <c r="Q2594" s="55"/>
      <c r="R2594" s="55"/>
      <c r="S2594" s="55"/>
      <c r="T2594" s="55"/>
      <c r="U2594" s="55"/>
      <c r="V2594" s="55"/>
      <c r="W2594" s="55"/>
      <c r="X2594" s="55"/>
      <c r="Y2594" s="55"/>
      <c r="Z2594" s="55"/>
      <c r="AA2594" s="55"/>
      <c r="AB2594" s="55"/>
      <c r="AC2594" s="55"/>
      <c r="AD2594" s="55"/>
      <c r="AE2594" s="55"/>
      <c r="AF2594" s="55"/>
      <c r="AG2594" s="55"/>
      <c r="AH2594" s="56"/>
      <c r="AI2594" s="55"/>
      <c r="AJ2594" s="55"/>
      <c r="AK2594" s="56"/>
      <c r="AL2594" s="56"/>
    </row>
    <row r="2595" spans="1:38" ht="15.75" thickBot="1" x14ac:dyDescent="0.3">
      <c r="A2595" s="51"/>
      <c r="B2595" s="51"/>
      <c r="C2595" s="51"/>
      <c r="D2595" s="51"/>
      <c r="E2595" s="51"/>
      <c r="F2595" s="51"/>
      <c r="G2595" s="54"/>
      <c r="H2595" s="53"/>
      <c r="I2595" s="53"/>
      <c r="J2595" s="53"/>
      <c r="K2595" s="53"/>
      <c r="L2595" s="53"/>
      <c r="M2595" s="53"/>
      <c r="N2595" s="53"/>
      <c r="O2595" s="53"/>
      <c r="P2595" s="53"/>
      <c r="Q2595" s="54"/>
      <c r="R2595" s="53"/>
      <c r="S2595" s="53"/>
      <c r="T2595" s="53"/>
      <c r="U2595" s="53"/>
      <c r="V2595" s="53"/>
      <c r="W2595" s="53"/>
      <c r="X2595" s="53"/>
      <c r="Y2595" s="53"/>
      <c r="Z2595" s="53"/>
      <c r="AA2595" s="53"/>
      <c r="AB2595" s="53"/>
      <c r="AC2595" s="53"/>
      <c r="AD2595" s="53"/>
      <c r="AE2595" s="53"/>
      <c r="AF2595" s="53"/>
      <c r="AG2595" s="53"/>
      <c r="AH2595" s="54"/>
      <c r="AI2595" s="53"/>
      <c r="AJ2595" s="53"/>
      <c r="AK2595" s="54"/>
      <c r="AL2595" s="54"/>
    </row>
    <row r="2596" spans="1:38" ht="15.75" thickBot="1" x14ac:dyDescent="0.3">
      <c r="A2596" s="51"/>
      <c r="B2596" s="51"/>
      <c r="C2596" s="51"/>
      <c r="D2596" s="51"/>
      <c r="E2596" s="51"/>
      <c r="F2596" s="51"/>
      <c r="G2596" s="56"/>
      <c r="H2596" s="55"/>
      <c r="I2596" s="55"/>
      <c r="J2596" s="55"/>
      <c r="K2596" s="55"/>
      <c r="L2596" s="55"/>
      <c r="M2596" s="55"/>
      <c r="N2596" s="55"/>
      <c r="O2596" s="55"/>
      <c r="P2596" s="55"/>
      <c r="Q2596" s="56"/>
      <c r="R2596" s="55"/>
      <c r="S2596" s="55"/>
      <c r="T2596" s="55"/>
      <c r="U2596" s="55"/>
      <c r="V2596" s="55"/>
      <c r="W2596" s="55"/>
      <c r="X2596" s="55"/>
      <c r="Y2596" s="55"/>
      <c r="Z2596" s="55"/>
      <c r="AA2596" s="55"/>
      <c r="AB2596" s="55"/>
      <c r="AC2596" s="55"/>
      <c r="AD2596" s="55"/>
      <c r="AE2596" s="55"/>
      <c r="AF2596" s="55"/>
      <c r="AG2596" s="55"/>
      <c r="AH2596" s="56"/>
      <c r="AI2596" s="55"/>
      <c r="AJ2596" s="55"/>
      <c r="AK2596" s="56"/>
      <c r="AL2596" s="56"/>
    </row>
    <row r="2597" spans="1:38" ht="15.75" thickBot="1" x14ac:dyDescent="0.3">
      <c r="A2597" s="51"/>
      <c r="B2597" s="51"/>
      <c r="C2597" s="51"/>
      <c r="D2597" s="51"/>
      <c r="E2597" s="51"/>
      <c r="F2597" s="51"/>
      <c r="G2597" s="54"/>
      <c r="H2597" s="53"/>
      <c r="I2597" s="53"/>
      <c r="J2597" s="53"/>
      <c r="K2597" s="53"/>
      <c r="L2597" s="53"/>
      <c r="M2597" s="53"/>
      <c r="N2597" s="53"/>
      <c r="O2597" s="53"/>
      <c r="P2597" s="53"/>
      <c r="Q2597" s="53"/>
      <c r="R2597" s="53"/>
      <c r="S2597" s="53"/>
      <c r="T2597" s="53"/>
      <c r="U2597" s="53"/>
      <c r="V2597" s="53"/>
      <c r="W2597" s="53"/>
      <c r="X2597" s="53"/>
      <c r="Y2597" s="53"/>
      <c r="Z2597" s="54"/>
      <c r="AA2597" s="53"/>
      <c r="AB2597" s="53"/>
      <c r="AC2597" s="53"/>
      <c r="AD2597" s="53"/>
      <c r="AE2597" s="53"/>
      <c r="AF2597" s="53"/>
      <c r="AG2597" s="53"/>
      <c r="AH2597" s="54"/>
      <c r="AI2597" s="53"/>
      <c r="AJ2597" s="53"/>
      <c r="AK2597" s="54"/>
      <c r="AL2597" s="54"/>
    </row>
    <row r="2598" spans="1:38" ht="15.75" thickBot="1" x14ac:dyDescent="0.3">
      <c r="A2598" s="51"/>
      <c r="B2598" s="51"/>
      <c r="C2598" s="51"/>
      <c r="D2598" s="51"/>
      <c r="E2598" s="51"/>
      <c r="F2598" s="51"/>
      <c r="G2598" s="56"/>
      <c r="H2598" s="55"/>
      <c r="I2598" s="55"/>
      <c r="J2598" s="55"/>
      <c r="K2598" s="55"/>
      <c r="L2598" s="55"/>
      <c r="M2598" s="55"/>
      <c r="N2598" s="55"/>
      <c r="O2598" s="55"/>
      <c r="P2598" s="55"/>
      <c r="Q2598" s="55"/>
      <c r="R2598" s="55"/>
      <c r="S2598" s="55"/>
      <c r="T2598" s="55"/>
      <c r="U2598" s="55"/>
      <c r="V2598" s="55"/>
      <c r="W2598" s="55"/>
      <c r="X2598" s="55"/>
      <c r="Y2598" s="55"/>
      <c r="Z2598" s="56"/>
      <c r="AA2598" s="55"/>
      <c r="AB2598" s="55"/>
      <c r="AC2598" s="55"/>
      <c r="AD2598" s="55"/>
      <c r="AE2598" s="55"/>
      <c r="AF2598" s="55"/>
      <c r="AG2598" s="55"/>
      <c r="AH2598" s="56"/>
      <c r="AI2598" s="55"/>
      <c r="AJ2598" s="55"/>
      <c r="AK2598" s="56"/>
      <c r="AL2598" s="56"/>
    </row>
    <row r="2599" spans="1:38" ht="15.75" thickBot="1" x14ac:dyDescent="0.3">
      <c r="A2599" s="51"/>
      <c r="B2599" s="51"/>
      <c r="C2599" s="51"/>
      <c r="D2599" s="51"/>
      <c r="E2599" s="51"/>
      <c r="F2599" s="51"/>
      <c r="G2599" s="54"/>
      <c r="H2599" s="53"/>
      <c r="I2599" s="53"/>
      <c r="J2599" s="53"/>
      <c r="K2599" s="53"/>
      <c r="L2599" s="53"/>
      <c r="M2599" s="53"/>
      <c r="N2599" s="53"/>
      <c r="O2599" s="53"/>
      <c r="P2599" s="53"/>
      <c r="Q2599" s="53"/>
      <c r="R2599" s="53"/>
      <c r="S2599" s="53"/>
      <c r="T2599" s="53"/>
      <c r="U2599" s="53"/>
      <c r="V2599" s="53"/>
      <c r="W2599" s="53"/>
      <c r="X2599" s="53"/>
      <c r="Y2599" s="53"/>
      <c r="Z2599" s="53"/>
      <c r="AA2599" s="54"/>
      <c r="AB2599" s="53"/>
      <c r="AC2599" s="53"/>
      <c r="AD2599" s="53"/>
      <c r="AE2599" s="53"/>
      <c r="AF2599" s="53"/>
      <c r="AG2599" s="53"/>
      <c r="AH2599" s="54"/>
      <c r="AI2599" s="53"/>
      <c r="AJ2599" s="53"/>
      <c r="AK2599" s="54"/>
      <c r="AL2599" s="54"/>
    </row>
    <row r="2600" spans="1:38" ht="15.75" thickBot="1" x14ac:dyDescent="0.3">
      <c r="A2600" s="51"/>
      <c r="B2600" s="51"/>
      <c r="C2600" s="51"/>
      <c r="D2600" s="51"/>
      <c r="E2600" s="51"/>
      <c r="F2600" s="51"/>
      <c r="G2600" s="56"/>
      <c r="H2600" s="55"/>
      <c r="I2600" s="55"/>
      <c r="J2600" s="55"/>
      <c r="K2600" s="55"/>
      <c r="L2600" s="55"/>
      <c r="M2600" s="55"/>
      <c r="N2600" s="55"/>
      <c r="O2600" s="55"/>
      <c r="P2600" s="55"/>
      <c r="Q2600" s="55"/>
      <c r="R2600" s="55"/>
      <c r="S2600" s="55"/>
      <c r="T2600" s="55"/>
      <c r="U2600" s="55"/>
      <c r="V2600" s="55"/>
      <c r="W2600" s="55"/>
      <c r="X2600" s="55"/>
      <c r="Y2600" s="55"/>
      <c r="Z2600" s="55"/>
      <c r="AA2600" s="56"/>
      <c r="AB2600" s="55"/>
      <c r="AC2600" s="55"/>
      <c r="AD2600" s="55"/>
      <c r="AE2600" s="55"/>
      <c r="AF2600" s="55"/>
      <c r="AG2600" s="55"/>
      <c r="AH2600" s="56"/>
      <c r="AI2600" s="55"/>
      <c r="AJ2600" s="55"/>
      <c r="AK2600" s="56"/>
      <c r="AL2600" s="56"/>
    </row>
    <row r="2601" spans="1:38" ht="15.75" thickBot="1" x14ac:dyDescent="0.3">
      <c r="A2601" s="51"/>
      <c r="B2601" s="51"/>
      <c r="C2601" s="51"/>
      <c r="D2601" s="51"/>
      <c r="E2601" s="51"/>
      <c r="F2601" s="51"/>
      <c r="G2601" s="54"/>
      <c r="H2601" s="53"/>
      <c r="I2601" s="53"/>
      <c r="J2601" s="53"/>
      <c r="K2601" s="53"/>
      <c r="L2601" s="53"/>
      <c r="M2601" s="53"/>
      <c r="N2601" s="53"/>
      <c r="O2601" s="53"/>
      <c r="P2601" s="53"/>
      <c r="Q2601" s="53"/>
      <c r="R2601" s="54"/>
      <c r="S2601" s="53"/>
      <c r="T2601" s="53"/>
      <c r="U2601" s="53"/>
      <c r="V2601" s="53"/>
      <c r="W2601" s="53"/>
      <c r="X2601" s="53"/>
      <c r="Y2601" s="53"/>
      <c r="Z2601" s="53"/>
      <c r="AA2601" s="53"/>
      <c r="AB2601" s="53"/>
      <c r="AC2601" s="53"/>
      <c r="AD2601" s="53"/>
      <c r="AE2601" s="53"/>
      <c r="AF2601" s="53"/>
      <c r="AG2601" s="53"/>
      <c r="AH2601" s="54"/>
      <c r="AI2601" s="53"/>
      <c r="AJ2601" s="53"/>
      <c r="AK2601" s="54"/>
      <c r="AL2601" s="54"/>
    </row>
    <row r="2602" spans="1:38" ht="15.75" thickBot="1" x14ac:dyDescent="0.3">
      <c r="A2602" s="51"/>
      <c r="B2602" s="51"/>
      <c r="C2602" s="51"/>
      <c r="D2602" s="51"/>
      <c r="E2602" s="51"/>
      <c r="F2602" s="51"/>
      <c r="G2602" s="56"/>
      <c r="H2602" s="55"/>
      <c r="I2602" s="55"/>
      <c r="J2602" s="55"/>
      <c r="K2602" s="55"/>
      <c r="L2602" s="55"/>
      <c r="M2602" s="55"/>
      <c r="N2602" s="55"/>
      <c r="O2602" s="55"/>
      <c r="P2602" s="55"/>
      <c r="Q2602" s="55"/>
      <c r="R2602" s="56"/>
      <c r="S2602" s="55"/>
      <c r="T2602" s="55"/>
      <c r="U2602" s="55"/>
      <c r="V2602" s="55"/>
      <c r="W2602" s="55"/>
      <c r="X2602" s="55"/>
      <c r="Y2602" s="55"/>
      <c r="Z2602" s="55"/>
      <c r="AA2602" s="55"/>
      <c r="AB2602" s="55"/>
      <c r="AC2602" s="55"/>
      <c r="AD2602" s="55"/>
      <c r="AE2602" s="55"/>
      <c r="AF2602" s="55"/>
      <c r="AG2602" s="55"/>
      <c r="AH2602" s="56"/>
      <c r="AI2602" s="55"/>
      <c r="AJ2602" s="55"/>
      <c r="AK2602" s="56"/>
      <c r="AL2602" s="56"/>
    </row>
    <row r="2603" spans="1:38" ht="15.75" thickBot="1" x14ac:dyDescent="0.3">
      <c r="A2603" s="51"/>
      <c r="B2603" s="51"/>
      <c r="C2603" s="51"/>
      <c r="D2603" s="51"/>
      <c r="E2603" s="51"/>
      <c r="F2603" s="51"/>
      <c r="G2603" s="54"/>
      <c r="H2603" s="53"/>
      <c r="I2603" s="53"/>
      <c r="J2603" s="53"/>
      <c r="K2603" s="53"/>
      <c r="L2603" s="53"/>
      <c r="M2603" s="53"/>
      <c r="N2603" s="53"/>
      <c r="O2603" s="53"/>
      <c r="P2603" s="53"/>
      <c r="Q2603" s="53"/>
      <c r="R2603" s="53"/>
      <c r="S2603" s="53"/>
      <c r="T2603" s="53"/>
      <c r="U2603" s="53"/>
      <c r="V2603" s="53"/>
      <c r="W2603" s="53"/>
      <c r="X2603" s="53"/>
      <c r="Y2603" s="53"/>
      <c r="Z2603" s="53"/>
      <c r="AA2603" s="53"/>
      <c r="AB2603" s="53"/>
      <c r="AC2603" s="54"/>
      <c r="AD2603" s="53"/>
      <c r="AE2603" s="53"/>
      <c r="AF2603" s="53"/>
      <c r="AG2603" s="53"/>
      <c r="AH2603" s="54"/>
      <c r="AI2603" s="53"/>
      <c r="AJ2603" s="53"/>
      <c r="AK2603" s="54"/>
      <c r="AL2603" s="54"/>
    </row>
    <row r="2604" spans="1:38" ht="15.75" thickBot="1" x14ac:dyDescent="0.3">
      <c r="A2604" s="51"/>
      <c r="B2604" s="51"/>
      <c r="C2604" s="51"/>
      <c r="D2604" s="51"/>
      <c r="E2604" s="51"/>
      <c r="F2604" s="51"/>
      <c r="G2604" s="56"/>
      <c r="H2604" s="55"/>
      <c r="I2604" s="55"/>
      <c r="J2604" s="55"/>
      <c r="K2604" s="55"/>
      <c r="L2604" s="55"/>
      <c r="M2604" s="55"/>
      <c r="N2604" s="55"/>
      <c r="O2604" s="55"/>
      <c r="P2604" s="55"/>
      <c r="Q2604" s="55"/>
      <c r="R2604" s="55"/>
      <c r="S2604" s="55"/>
      <c r="T2604" s="55"/>
      <c r="U2604" s="55"/>
      <c r="V2604" s="55"/>
      <c r="W2604" s="55"/>
      <c r="X2604" s="55"/>
      <c r="Y2604" s="55"/>
      <c r="Z2604" s="55"/>
      <c r="AA2604" s="55"/>
      <c r="AB2604" s="55"/>
      <c r="AC2604" s="56"/>
      <c r="AD2604" s="55"/>
      <c r="AE2604" s="55"/>
      <c r="AF2604" s="55"/>
      <c r="AG2604" s="55"/>
      <c r="AH2604" s="56"/>
      <c r="AI2604" s="55"/>
      <c r="AJ2604" s="55"/>
      <c r="AK2604" s="56"/>
      <c r="AL2604" s="56"/>
    </row>
    <row r="2605" spans="1:38" ht="15.75" thickBot="1" x14ac:dyDescent="0.3">
      <c r="A2605" s="51"/>
      <c r="B2605" s="51"/>
      <c r="C2605" s="51"/>
      <c r="D2605" s="51"/>
      <c r="E2605" s="51"/>
      <c r="F2605" s="51"/>
      <c r="G2605" s="54"/>
      <c r="H2605" s="53"/>
      <c r="I2605" s="53"/>
      <c r="J2605" s="53"/>
      <c r="K2605" s="54"/>
      <c r="L2605" s="53"/>
      <c r="M2605" s="53"/>
      <c r="N2605" s="53"/>
      <c r="O2605" s="53"/>
      <c r="P2605" s="53"/>
      <c r="Q2605" s="53"/>
      <c r="R2605" s="53"/>
      <c r="S2605" s="53"/>
      <c r="T2605" s="53"/>
      <c r="U2605" s="53"/>
      <c r="V2605" s="53"/>
      <c r="W2605" s="53"/>
      <c r="X2605" s="53"/>
      <c r="Y2605" s="53"/>
      <c r="Z2605" s="53"/>
      <c r="AA2605" s="53"/>
      <c r="AB2605" s="53"/>
      <c r="AC2605" s="53"/>
      <c r="AD2605" s="53"/>
      <c r="AE2605" s="53"/>
      <c r="AF2605" s="53"/>
      <c r="AG2605" s="53"/>
      <c r="AH2605" s="54"/>
      <c r="AI2605" s="53"/>
      <c r="AJ2605" s="53"/>
      <c r="AK2605" s="54"/>
      <c r="AL2605" s="54"/>
    </row>
    <row r="2606" spans="1:38" ht="15.75" thickBot="1" x14ac:dyDescent="0.3">
      <c r="A2606" s="51"/>
      <c r="B2606" s="51"/>
      <c r="C2606" s="51"/>
      <c r="D2606" s="51"/>
      <c r="E2606" s="51"/>
      <c r="F2606" s="51"/>
      <c r="G2606" s="56"/>
      <c r="H2606" s="55"/>
      <c r="I2606" s="55"/>
      <c r="J2606" s="55"/>
      <c r="K2606" s="56"/>
      <c r="L2606" s="55"/>
      <c r="M2606" s="55"/>
      <c r="N2606" s="55"/>
      <c r="O2606" s="55"/>
      <c r="P2606" s="55"/>
      <c r="Q2606" s="55"/>
      <c r="R2606" s="55"/>
      <c r="S2606" s="55"/>
      <c r="T2606" s="55"/>
      <c r="U2606" s="55"/>
      <c r="V2606" s="55"/>
      <c r="W2606" s="55"/>
      <c r="X2606" s="55"/>
      <c r="Y2606" s="55"/>
      <c r="Z2606" s="55"/>
      <c r="AA2606" s="55"/>
      <c r="AB2606" s="55"/>
      <c r="AC2606" s="55"/>
      <c r="AD2606" s="55"/>
      <c r="AE2606" s="55"/>
      <c r="AF2606" s="55"/>
      <c r="AG2606" s="55"/>
      <c r="AH2606" s="56"/>
      <c r="AI2606" s="55"/>
      <c r="AJ2606" s="55"/>
      <c r="AK2606" s="56"/>
      <c r="AL2606" s="56"/>
    </row>
    <row r="2607" spans="1:38" ht="15.75" thickBot="1" x14ac:dyDescent="0.3">
      <c r="A2607" s="51"/>
      <c r="B2607" s="51"/>
      <c r="C2607" s="51"/>
      <c r="D2607" s="51"/>
      <c r="E2607" s="51"/>
      <c r="F2607" s="51"/>
      <c r="G2607" s="54"/>
      <c r="H2607" s="53"/>
      <c r="I2607" s="53"/>
      <c r="J2607" s="53"/>
      <c r="K2607" s="53"/>
      <c r="L2607" s="54"/>
      <c r="M2607" s="53"/>
      <c r="N2607" s="53"/>
      <c r="O2607" s="53"/>
      <c r="P2607" s="53"/>
      <c r="Q2607" s="53"/>
      <c r="R2607" s="53"/>
      <c r="S2607" s="53"/>
      <c r="T2607" s="53"/>
      <c r="U2607" s="53"/>
      <c r="V2607" s="53"/>
      <c r="W2607" s="53"/>
      <c r="X2607" s="53"/>
      <c r="Y2607" s="53"/>
      <c r="Z2607" s="53"/>
      <c r="AA2607" s="53"/>
      <c r="AB2607" s="53"/>
      <c r="AC2607" s="53"/>
      <c r="AD2607" s="53"/>
      <c r="AE2607" s="53"/>
      <c r="AF2607" s="53"/>
      <c r="AG2607" s="53"/>
      <c r="AH2607" s="54"/>
      <c r="AI2607" s="53"/>
      <c r="AJ2607" s="53"/>
      <c r="AK2607" s="54"/>
      <c r="AL2607" s="54"/>
    </row>
    <row r="2608" spans="1:38" ht="15.75" thickBot="1" x14ac:dyDescent="0.3">
      <c r="A2608" s="51"/>
      <c r="B2608" s="51"/>
      <c r="C2608" s="51"/>
      <c r="D2608" s="51"/>
      <c r="E2608" s="51"/>
      <c r="F2608" s="51"/>
      <c r="G2608" s="56"/>
      <c r="H2608" s="55"/>
      <c r="I2608" s="55"/>
      <c r="J2608" s="55"/>
      <c r="K2608" s="55"/>
      <c r="L2608" s="56"/>
      <c r="M2608" s="55"/>
      <c r="N2608" s="55"/>
      <c r="O2608" s="55"/>
      <c r="P2608" s="55"/>
      <c r="Q2608" s="55"/>
      <c r="R2608" s="55"/>
      <c r="S2608" s="55"/>
      <c r="T2608" s="55"/>
      <c r="U2608" s="55"/>
      <c r="V2608" s="55"/>
      <c r="W2608" s="55"/>
      <c r="X2608" s="55"/>
      <c r="Y2608" s="55"/>
      <c r="Z2608" s="55"/>
      <c r="AA2608" s="55"/>
      <c r="AB2608" s="55"/>
      <c r="AC2608" s="55"/>
      <c r="AD2608" s="55"/>
      <c r="AE2608" s="55"/>
      <c r="AF2608" s="55"/>
      <c r="AG2608" s="55"/>
      <c r="AH2608" s="56"/>
      <c r="AI2608" s="55"/>
      <c r="AJ2608" s="55"/>
      <c r="AK2608" s="56"/>
      <c r="AL2608" s="56"/>
    </row>
    <row r="2609" spans="1:38" ht="15.75" thickBot="1" x14ac:dyDescent="0.3">
      <c r="A2609" s="51"/>
      <c r="B2609" s="51"/>
      <c r="C2609" s="51"/>
      <c r="D2609" s="51"/>
      <c r="E2609" s="51"/>
      <c r="F2609" s="51"/>
      <c r="G2609" s="54"/>
      <c r="H2609" s="54"/>
      <c r="I2609" s="53"/>
      <c r="J2609" s="53"/>
      <c r="K2609" s="53"/>
      <c r="L2609" s="53"/>
      <c r="M2609" s="54"/>
      <c r="N2609" s="53"/>
      <c r="O2609" s="53"/>
      <c r="P2609" s="53"/>
      <c r="Q2609" s="53"/>
      <c r="R2609" s="53"/>
      <c r="S2609" s="53"/>
      <c r="T2609" s="53"/>
      <c r="U2609" s="53"/>
      <c r="V2609" s="53"/>
      <c r="W2609" s="53"/>
      <c r="X2609" s="53"/>
      <c r="Y2609" s="53"/>
      <c r="Z2609" s="53"/>
      <c r="AA2609" s="53"/>
      <c r="AB2609" s="53"/>
      <c r="AC2609" s="53"/>
      <c r="AD2609" s="53"/>
      <c r="AE2609" s="53"/>
      <c r="AF2609" s="53"/>
      <c r="AG2609" s="53"/>
      <c r="AH2609" s="54"/>
      <c r="AI2609" s="53"/>
      <c r="AJ2609" s="53"/>
      <c r="AK2609" s="54"/>
      <c r="AL2609" s="54"/>
    </row>
    <row r="2610" spans="1:38" ht="15.75" thickBot="1" x14ac:dyDescent="0.3">
      <c r="A2610" s="51"/>
      <c r="B2610" s="51"/>
      <c r="C2610" s="51"/>
      <c r="D2610" s="51"/>
      <c r="E2610" s="51"/>
      <c r="F2610" s="51"/>
      <c r="G2610" s="56"/>
      <c r="H2610" s="148"/>
      <c r="I2610" s="55"/>
      <c r="J2610" s="55"/>
      <c r="K2610" s="55"/>
      <c r="L2610" s="55"/>
      <c r="M2610" s="56"/>
      <c r="N2610" s="55"/>
      <c r="O2610" s="55"/>
      <c r="P2610" s="55"/>
      <c r="Q2610" s="55"/>
      <c r="R2610" s="55"/>
      <c r="S2610" s="55"/>
      <c r="T2610" s="55"/>
      <c r="U2610" s="55"/>
      <c r="V2610" s="55"/>
      <c r="W2610" s="55"/>
      <c r="X2610" s="55"/>
      <c r="Y2610" s="55"/>
      <c r="Z2610" s="55"/>
      <c r="AA2610" s="55"/>
      <c r="AB2610" s="55"/>
      <c r="AC2610" s="55"/>
      <c r="AD2610" s="55"/>
      <c r="AE2610" s="55"/>
      <c r="AF2610" s="55"/>
      <c r="AG2610" s="55"/>
      <c r="AH2610" s="56"/>
      <c r="AI2610" s="55"/>
      <c r="AJ2610" s="55"/>
      <c r="AK2610" s="56"/>
      <c r="AL2610" s="56"/>
    </row>
    <row r="2611" spans="1:38" ht="15.75" thickBot="1" x14ac:dyDescent="0.3">
      <c r="A2611" s="51"/>
      <c r="B2611" s="51"/>
      <c r="C2611" s="51"/>
      <c r="D2611" s="51"/>
      <c r="E2611" s="51"/>
      <c r="F2611" s="51"/>
      <c r="G2611" s="54"/>
      <c r="H2611" s="53"/>
      <c r="I2611" s="53"/>
      <c r="J2611" s="53"/>
      <c r="K2611" s="53"/>
      <c r="L2611" s="53"/>
      <c r="M2611" s="53"/>
      <c r="N2611" s="53"/>
      <c r="O2611" s="53"/>
      <c r="P2611" s="53"/>
      <c r="Q2611" s="53"/>
      <c r="R2611" s="53"/>
      <c r="S2611" s="53"/>
      <c r="T2611" s="53"/>
      <c r="U2611" s="53"/>
      <c r="V2611" s="53"/>
      <c r="W2611" s="53"/>
      <c r="X2611" s="53"/>
      <c r="Y2611" s="53"/>
      <c r="Z2611" s="54"/>
      <c r="AA2611" s="53"/>
      <c r="AB2611" s="53"/>
      <c r="AC2611" s="53"/>
      <c r="AD2611" s="53"/>
      <c r="AE2611" s="53"/>
      <c r="AF2611" s="53"/>
      <c r="AG2611" s="53"/>
      <c r="AH2611" s="54"/>
      <c r="AI2611" s="53"/>
      <c r="AJ2611" s="53"/>
      <c r="AK2611" s="54"/>
      <c r="AL2611" s="54"/>
    </row>
    <row r="2612" spans="1:38" ht="15.75" thickBot="1" x14ac:dyDescent="0.3">
      <c r="A2612" s="51"/>
      <c r="B2612" s="51"/>
      <c r="C2612" s="51"/>
      <c r="D2612" s="51"/>
      <c r="E2612" s="51"/>
      <c r="F2612" s="51"/>
      <c r="G2612" s="56"/>
      <c r="H2612" s="55"/>
      <c r="I2612" s="55"/>
      <c r="J2612" s="55"/>
      <c r="K2612" s="55"/>
      <c r="L2612" s="55"/>
      <c r="M2612" s="55"/>
      <c r="N2612" s="55"/>
      <c r="O2612" s="55"/>
      <c r="P2612" s="55"/>
      <c r="Q2612" s="55"/>
      <c r="R2612" s="55"/>
      <c r="S2612" s="55"/>
      <c r="T2612" s="55"/>
      <c r="U2612" s="55"/>
      <c r="V2612" s="55"/>
      <c r="W2612" s="55"/>
      <c r="X2612" s="55"/>
      <c r="Y2612" s="55"/>
      <c r="Z2612" s="56"/>
      <c r="AA2612" s="55"/>
      <c r="AB2612" s="55"/>
      <c r="AC2612" s="55"/>
      <c r="AD2612" s="55"/>
      <c r="AE2612" s="55"/>
      <c r="AF2612" s="55"/>
      <c r="AG2612" s="55"/>
      <c r="AH2612" s="56"/>
      <c r="AI2612" s="55"/>
      <c r="AJ2612" s="55"/>
      <c r="AK2612" s="56"/>
      <c r="AL2612" s="56"/>
    </row>
    <row r="2613" spans="1:38" ht="15.75" thickBot="1" x14ac:dyDescent="0.3">
      <c r="A2613" s="51"/>
      <c r="B2613" s="51"/>
      <c r="C2613" s="51"/>
      <c r="D2613" s="51"/>
      <c r="E2613" s="51"/>
      <c r="F2613" s="51"/>
      <c r="G2613" s="54"/>
      <c r="H2613" s="53"/>
      <c r="I2613" s="53"/>
      <c r="J2613" s="53"/>
      <c r="K2613" s="53"/>
      <c r="L2613" s="53"/>
      <c r="M2613" s="53"/>
      <c r="N2613" s="53"/>
      <c r="O2613" s="53"/>
      <c r="P2613" s="53"/>
      <c r="Q2613" s="53"/>
      <c r="R2613" s="53"/>
      <c r="S2613" s="53"/>
      <c r="T2613" s="53"/>
      <c r="U2613" s="53"/>
      <c r="V2613" s="53"/>
      <c r="W2613" s="53"/>
      <c r="X2613" s="53"/>
      <c r="Y2613" s="53"/>
      <c r="Z2613" s="53"/>
      <c r="AA2613" s="54"/>
      <c r="AB2613" s="53"/>
      <c r="AC2613" s="53"/>
      <c r="AD2613" s="53"/>
      <c r="AE2613" s="53"/>
      <c r="AF2613" s="53"/>
      <c r="AG2613" s="53"/>
      <c r="AH2613" s="54"/>
      <c r="AI2613" s="53"/>
      <c r="AJ2613" s="53"/>
      <c r="AK2613" s="54"/>
      <c r="AL2613" s="54"/>
    </row>
    <row r="2614" spans="1:38" ht="15.75" thickBot="1" x14ac:dyDescent="0.3">
      <c r="A2614" s="51"/>
      <c r="B2614" s="51"/>
      <c r="C2614" s="51"/>
      <c r="D2614" s="51"/>
      <c r="E2614" s="51"/>
      <c r="F2614" s="51"/>
      <c r="G2614" s="56"/>
      <c r="H2614" s="55"/>
      <c r="I2614" s="55"/>
      <c r="J2614" s="55"/>
      <c r="K2614" s="55"/>
      <c r="L2614" s="55"/>
      <c r="M2614" s="55"/>
      <c r="N2614" s="55"/>
      <c r="O2614" s="55"/>
      <c r="P2614" s="55"/>
      <c r="Q2614" s="55"/>
      <c r="R2614" s="55"/>
      <c r="S2614" s="55"/>
      <c r="T2614" s="55"/>
      <c r="U2614" s="55"/>
      <c r="V2614" s="55"/>
      <c r="W2614" s="55"/>
      <c r="X2614" s="55"/>
      <c r="Y2614" s="55"/>
      <c r="Z2614" s="55"/>
      <c r="AA2614" s="56"/>
      <c r="AB2614" s="55"/>
      <c r="AC2614" s="55"/>
      <c r="AD2614" s="55"/>
      <c r="AE2614" s="55"/>
      <c r="AF2614" s="55"/>
      <c r="AG2614" s="55"/>
      <c r="AH2614" s="56"/>
      <c r="AI2614" s="55"/>
      <c r="AJ2614" s="55"/>
      <c r="AK2614" s="56"/>
      <c r="AL2614" s="56"/>
    </row>
    <row r="2615" spans="1:38" ht="15.75" thickBot="1" x14ac:dyDescent="0.3">
      <c r="A2615" s="51"/>
      <c r="B2615" s="51"/>
      <c r="C2615" s="51"/>
      <c r="D2615" s="51"/>
      <c r="E2615" s="51"/>
      <c r="F2615" s="51"/>
      <c r="G2615" s="54"/>
      <c r="H2615" s="53"/>
      <c r="I2615" s="53"/>
      <c r="J2615" s="53"/>
      <c r="K2615" s="53"/>
      <c r="L2615" s="53"/>
      <c r="M2615" s="53"/>
      <c r="N2615" s="53"/>
      <c r="O2615" s="53"/>
      <c r="P2615" s="53"/>
      <c r="Q2615" s="53"/>
      <c r="R2615" s="54"/>
      <c r="S2615" s="53"/>
      <c r="T2615" s="53"/>
      <c r="U2615" s="53"/>
      <c r="V2615" s="53"/>
      <c r="W2615" s="53"/>
      <c r="X2615" s="53"/>
      <c r="Y2615" s="53"/>
      <c r="Z2615" s="53"/>
      <c r="AA2615" s="53"/>
      <c r="AB2615" s="53"/>
      <c r="AC2615" s="53"/>
      <c r="AD2615" s="53"/>
      <c r="AE2615" s="53"/>
      <c r="AF2615" s="53"/>
      <c r="AG2615" s="53"/>
      <c r="AH2615" s="54"/>
      <c r="AI2615" s="53"/>
      <c r="AJ2615" s="53"/>
      <c r="AK2615" s="54"/>
      <c r="AL2615" s="54"/>
    </row>
    <row r="2616" spans="1:38" ht="15.75" thickBot="1" x14ac:dyDescent="0.3">
      <c r="A2616" s="51"/>
      <c r="B2616" s="51"/>
      <c r="C2616" s="51"/>
      <c r="D2616" s="51"/>
      <c r="E2616" s="51"/>
      <c r="F2616" s="51"/>
      <c r="G2616" s="56"/>
      <c r="H2616" s="55"/>
      <c r="I2616" s="55"/>
      <c r="J2616" s="55"/>
      <c r="K2616" s="55"/>
      <c r="L2616" s="55"/>
      <c r="M2616" s="55"/>
      <c r="N2616" s="55"/>
      <c r="O2616" s="55"/>
      <c r="P2616" s="55"/>
      <c r="Q2616" s="55"/>
      <c r="R2616" s="56"/>
      <c r="S2616" s="55"/>
      <c r="T2616" s="55"/>
      <c r="U2616" s="55"/>
      <c r="V2616" s="55"/>
      <c r="W2616" s="55"/>
      <c r="X2616" s="55"/>
      <c r="Y2616" s="55"/>
      <c r="Z2616" s="55"/>
      <c r="AA2616" s="55"/>
      <c r="AB2616" s="55"/>
      <c r="AC2616" s="55"/>
      <c r="AD2616" s="55"/>
      <c r="AE2616" s="55"/>
      <c r="AF2616" s="55"/>
      <c r="AG2616" s="55"/>
      <c r="AH2616" s="56"/>
      <c r="AI2616" s="55"/>
      <c r="AJ2616" s="55"/>
      <c r="AK2616" s="56"/>
      <c r="AL2616" s="56"/>
    </row>
    <row r="2617" spans="1:38" ht="15.75" thickBot="1" x14ac:dyDescent="0.3">
      <c r="A2617" s="51"/>
      <c r="B2617" s="51"/>
      <c r="C2617" s="51"/>
      <c r="D2617" s="51"/>
      <c r="E2617" s="51"/>
      <c r="F2617" s="51"/>
      <c r="G2617" s="54"/>
      <c r="H2617" s="53"/>
      <c r="I2617" s="53"/>
      <c r="J2617" s="53"/>
      <c r="K2617" s="53"/>
      <c r="L2617" s="53"/>
      <c r="M2617" s="53"/>
      <c r="N2617" s="53"/>
      <c r="O2617" s="53"/>
      <c r="P2617" s="53"/>
      <c r="Q2617" s="53"/>
      <c r="R2617" s="53"/>
      <c r="S2617" s="53"/>
      <c r="T2617" s="53"/>
      <c r="U2617" s="53"/>
      <c r="V2617" s="53"/>
      <c r="W2617" s="53"/>
      <c r="X2617" s="53"/>
      <c r="Y2617" s="53"/>
      <c r="Z2617" s="53"/>
      <c r="AA2617" s="53"/>
      <c r="AB2617" s="53"/>
      <c r="AC2617" s="54"/>
      <c r="AD2617" s="53"/>
      <c r="AE2617" s="53"/>
      <c r="AF2617" s="53"/>
      <c r="AG2617" s="53"/>
      <c r="AH2617" s="54"/>
      <c r="AI2617" s="53"/>
      <c r="AJ2617" s="53"/>
      <c r="AK2617" s="54"/>
      <c r="AL2617" s="54"/>
    </row>
    <row r="2618" spans="1:38" ht="15.75" thickBot="1" x14ac:dyDescent="0.3">
      <c r="A2618" s="51"/>
      <c r="B2618" s="51"/>
      <c r="C2618" s="51"/>
      <c r="D2618" s="51"/>
      <c r="E2618" s="51"/>
      <c r="F2618" s="51"/>
      <c r="G2618" s="56"/>
      <c r="H2618" s="55"/>
      <c r="I2618" s="55"/>
      <c r="J2618" s="55"/>
      <c r="K2618" s="55"/>
      <c r="L2618" s="55"/>
      <c r="M2618" s="55"/>
      <c r="N2618" s="55"/>
      <c r="O2618" s="55"/>
      <c r="P2618" s="55"/>
      <c r="Q2618" s="55"/>
      <c r="R2618" s="55"/>
      <c r="S2618" s="55"/>
      <c r="T2618" s="55"/>
      <c r="U2618" s="55"/>
      <c r="V2618" s="55"/>
      <c r="W2618" s="55"/>
      <c r="X2618" s="55"/>
      <c r="Y2618" s="55"/>
      <c r="Z2618" s="55"/>
      <c r="AA2618" s="55"/>
      <c r="AB2618" s="55"/>
      <c r="AC2618" s="56"/>
      <c r="AD2618" s="55"/>
      <c r="AE2618" s="55"/>
      <c r="AF2618" s="55"/>
      <c r="AG2618" s="55"/>
      <c r="AH2618" s="56"/>
      <c r="AI2618" s="55"/>
      <c r="AJ2618" s="55"/>
      <c r="AK2618" s="56"/>
      <c r="AL2618" s="56"/>
    </row>
    <row r="2619" spans="1:38" ht="15.75" thickBot="1" x14ac:dyDescent="0.3">
      <c r="A2619" s="51"/>
      <c r="B2619" s="51"/>
      <c r="C2619" s="51"/>
      <c r="D2619" s="51"/>
      <c r="E2619" s="51"/>
      <c r="F2619" s="51"/>
      <c r="G2619" s="54"/>
      <c r="H2619" s="53"/>
      <c r="I2619" s="53"/>
      <c r="J2619" s="53"/>
      <c r="K2619" s="54"/>
      <c r="L2619" s="53"/>
      <c r="M2619" s="53"/>
      <c r="N2619" s="53"/>
      <c r="O2619" s="53"/>
      <c r="P2619" s="53"/>
      <c r="Q2619" s="53"/>
      <c r="R2619" s="53"/>
      <c r="S2619" s="53"/>
      <c r="T2619" s="53"/>
      <c r="U2619" s="53"/>
      <c r="V2619" s="53"/>
      <c r="W2619" s="53"/>
      <c r="X2619" s="53"/>
      <c r="Y2619" s="53"/>
      <c r="Z2619" s="53"/>
      <c r="AA2619" s="53"/>
      <c r="AB2619" s="53"/>
      <c r="AC2619" s="53"/>
      <c r="AD2619" s="53"/>
      <c r="AE2619" s="53"/>
      <c r="AF2619" s="53"/>
      <c r="AG2619" s="53"/>
      <c r="AH2619" s="54"/>
      <c r="AI2619" s="53"/>
      <c r="AJ2619" s="53"/>
      <c r="AK2619" s="54"/>
      <c r="AL2619" s="54"/>
    </row>
    <row r="2620" spans="1:38" ht="15.75" thickBot="1" x14ac:dyDescent="0.3">
      <c r="A2620" s="51"/>
      <c r="B2620" s="51"/>
      <c r="C2620" s="51"/>
      <c r="D2620" s="51"/>
      <c r="E2620" s="51"/>
      <c r="F2620" s="51"/>
      <c r="G2620" s="56"/>
      <c r="H2620" s="55"/>
      <c r="I2620" s="55"/>
      <c r="J2620" s="55"/>
      <c r="K2620" s="56"/>
      <c r="L2620" s="55"/>
      <c r="M2620" s="55"/>
      <c r="N2620" s="55"/>
      <c r="O2620" s="55"/>
      <c r="P2620" s="55"/>
      <c r="Q2620" s="55"/>
      <c r="R2620" s="55"/>
      <c r="S2620" s="55"/>
      <c r="T2620" s="55"/>
      <c r="U2620" s="55"/>
      <c r="V2620" s="55"/>
      <c r="W2620" s="55"/>
      <c r="X2620" s="55"/>
      <c r="Y2620" s="55"/>
      <c r="Z2620" s="55"/>
      <c r="AA2620" s="55"/>
      <c r="AB2620" s="55"/>
      <c r="AC2620" s="55"/>
      <c r="AD2620" s="55"/>
      <c r="AE2620" s="55"/>
      <c r="AF2620" s="55"/>
      <c r="AG2620" s="55"/>
      <c r="AH2620" s="56"/>
      <c r="AI2620" s="55"/>
      <c r="AJ2620" s="55"/>
      <c r="AK2620" s="56"/>
      <c r="AL2620" s="56"/>
    </row>
    <row r="2621" spans="1:38" ht="15.75" thickBot="1" x14ac:dyDescent="0.3">
      <c r="A2621" s="51"/>
      <c r="B2621" s="51"/>
      <c r="C2621" s="51"/>
      <c r="D2621" s="51"/>
      <c r="E2621" s="51"/>
      <c r="F2621" s="51"/>
      <c r="G2621" s="54"/>
      <c r="H2621" s="53"/>
      <c r="I2621" s="53"/>
      <c r="J2621" s="53"/>
      <c r="K2621" s="53"/>
      <c r="L2621" s="54"/>
      <c r="M2621" s="53"/>
      <c r="N2621" s="53"/>
      <c r="O2621" s="53"/>
      <c r="P2621" s="53"/>
      <c r="Q2621" s="53"/>
      <c r="R2621" s="53"/>
      <c r="S2621" s="53"/>
      <c r="T2621" s="53"/>
      <c r="U2621" s="53"/>
      <c r="V2621" s="53"/>
      <c r="W2621" s="53"/>
      <c r="X2621" s="53"/>
      <c r="Y2621" s="53"/>
      <c r="Z2621" s="53"/>
      <c r="AA2621" s="53"/>
      <c r="AB2621" s="53"/>
      <c r="AC2621" s="53"/>
      <c r="AD2621" s="53"/>
      <c r="AE2621" s="53"/>
      <c r="AF2621" s="53"/>
      <c r="AG2621" s="53"/>
      <c r="AH2621" s="54"/>
      <c r="AI2621" s="53"/>
      <c r="AJ2621" s="53"/>
      <c r="AK2621" s="54"/>
      <c r="AL2621" s="54"/>
    </row>
    <row r="2622" spans="1:38" ht="15.75" thickBot="1" x14ac:dyDescent="0.3">
      <c r="A2622" s="51"/>
      <c r="B2622" s="51"/>
      <c r="C2622" s="51"/>
      <c r="D2622" s="51"/>
      <c r="E2622" s="51"/>
      <c r="F2622" s="51"/>
      <c r="G2622" s="56"/>
      <c r="H2622" s="55"/>
      <c r="I2622" s="55"/>
      <c r="J2622" s="55"/>
      <c r="K2622" s="55"/>
      <c r="L2622" s="56"/>
      <c r="M2622" s="55"/>
      <c r="N2622" s="55"/>
      <c r="O2622" s="55"/>
      <c r="P2622" s="55"/>
      <c r="Q2622" s="55"/>
      <c r="R2622" s="55"/>
      <c r="S2622" s="55"/>
      <c r="T2622" s="55"/>
      <c r="U2622" s="55"/>
      <c r="V2622" s="55"/>
      <c r="W2622" s="55"/>
      <c r="X2622" s="55"/>
      <c r="Y2622" s="55"/>
      <c r="Z2622" s="55"/>
      <c r="AA2622" s="55"/>
      <c r="AB2622" s="55"/>
      <c r="AC2622" s="55"/>
      <c r="AD2622" s="55"/>
      <c r="AE2622" s="55"/>
      <c r="AF2622" s="55"/>
      <c r="AG2622" s="55"/>
      <c r="AH2622" s="56"/>
      <c r="AI2622" s="55"/>
      <c r="AJ2622" s="55"/>
      <c r="AK2622" s="56"/>
      <c r="AL2622" s="56"/>
    </row>
    <row r="2623" spans="1:38" ht="15.75" thickBot="1" x14ac:dyDescent="0.3">
      <c r="A2623" s="51"/>
      <c r="B2623" s="51"/>
      <c r="C2623" s="51"/>
      <c r="D2623" s="51"/>
      <c r="E2623" s="51"/>
      <c r="F2623" s="51"/>
      <c r="G2623" s="54"/>
      <c r="H2623" s="54"/>
      <c r="I2623" s="53"/>
      <c r="J2623" s="53"/>
      <c r="K2623" s="53"/>
      <c r="L2623" s="53"/>
      <c r="M2623" s="54"/>
      <c r="N2623" s="53"/>
      <c r="O2623" s="53"/>
      <c r="P2623" s="53"/>
      <c r="Q2623" s="53"/>
      <c r="R2623" s="53"/>
      <c r="S2623" s="53"/>
      <c r="T2623" s="53"/>
      <c r="U2623" s="53"/>
      <c r="V2623" s="53"/>
      <c r="W2623" s="53"/>
      <c r="X2623" s="53"/>
      <c r="Y2623" s="53"/>
      <c r="Z2623" s="53"/>
      <c r="AA2623" s="53"/>
      <c r="AB2623" s="53"/>
      <c r="AC2623" s="53"/>
      <c r="AD2623" s="53"/>
      <c r="AE2623" s="53"/>
      <c r="AF2623" s="53"/>
      <c r="AG2623" s="53"/>
      <c r="AH2623" s="54"/>
      <c r="AI2623" s="53"/>
      <c r="AJ2623" s="53"/>
      <c r="AK2623" s="54"/>
      <c r="AL2623" s="54"/>
    </row>
    <row r="2624" spans="1:38" ht="15.75" thickBot="1" x14ac:dyDescent="0.3">
      <c r="A2624" s="51"/>
      <c r="B2624" s="51"/>
      <c r="C2624" s="51"/>
      <c r="D2624" s="51"/>
      <c r="E2624" s="51"/>
      <c r="F2624" s="51"/>
      <c r="G2624" s="56"/>
      <c r="H2624" s="148"/>
      <c r="I2624" s="55"/>
      <c r="J2624" s="55"/>
      <c r="K2624" s="55"/>
      <c r="L2624" s="55"/>
      <c r="M2624" s="56"/>
      <c r="N2624" s="55"/>
      <c r="O2624" s="55"/>
      <c r="P2624" s="55"/>
      <c r="Q2624" s="55"/>
      <c r="R2624" s="55"/>
      <c r="S2624" s="55"/>
      <c r="T2624" s="55"/>
      <c r="U2624" s="55"/>
      <c r="V2624" s="55"/>
      <c r="W2624" s="55"/>
      <c r="X2624" s="55"/>
      <c r="Y2624" s="55"/>
      <c r="Z2624" s="55"/>
      <c r="AA2624" s="55"/>
      <c r="AB2624" s="55"/>
      <c r="AC2624" s="55"/>
      <c r="AD2624" s="55"/>
      <c r="AE2624" s="55"/>
      <c r="AF2624" s="55"/>
      <c r="AG2624" s="55"/>
      <c r="AH2624" s="56"/>
      <c r="AI2624" s="55"/>
      <c r="AJ2624" s="55"/>
      <c r="AK2624" s="56"/>
      <c r="AL2624" s="56"/>
    </row>
    <row r="2625" spans="1:38" ht="15.75" thickBot="1" x14ac:dyDescent="0.3">
      <c r="A2625" s="51"/>
      <c r="B2625" s="51"/>
      <c r="C2625" s="51"/>
      <c r="D2625" s="51"/>
      <c r="E2625" s="51"/>
      <c r="F2625" s="51"/>
      <c r="G2625" s="54"/>
      <c r="H2625" s="53"/>
      <c r="I2625" s="53"/>
      <c r="J2625" s="53"/>
      <c r="K2625" s="53"/>
      <c r="L2625" s="53"/>
      <c r="M2625" s="53"/>
      <c r="N2625" s="53"/>
      <c r="O2625" s="53"/>
      <c r="P2625" s="53"/>
      <c r="Q2625" s="53"/>
      <c r="R2625" s="53"/>
      <c r="S2625" s="53"/>
      <c r="T2625" s="53"/>
      <c r="U2625" s="53"/>
      <c r="V2625" s="53"/>
      <c r="W2625" s="53"/>
      <c r="X2625" s="53"/>
      <c r="Y2625" s="53"/>
      <c r="Z2625" s="54"/>
      <c r="AA2625" s="53"/>
      <c r="AB2625" s="53"/>
      <c r="AC2625" s="53"/>
      <c r="AD2625" s="53"/>
      <c r="AE2625" s="53"/>
      <c r="AF2625" s="53"/>
      <c r="AG2625" s="53"/>
      <c r="AH2625" s="54"/>
      <c r="AI2625" s="53"/>
      <c r="AJ2625" s="53"/>
      <c r="AK2625" s="54"/>
      <c r="AL2625" s="54"/>
    </row>
    <row r="2626" spans="1:38" ht="15.75" thickBot="1" x14ac:dyDescent="0.3">
      <c r="A2626" s="51"/>
      <c r="B2626" s="51"/>
      <c r="C2626" s="51"/>
      <c r="D2626" s="51"/>
      <c r="E2626" s="51"/>
      <c r="F2626" s="51"/>
      <c r="G2626" s="56"/>
      <c r="H2626" s="55"/>
      <c r="I2626" s="55"/>
      <c r="J2626" s="55"/>
      <c r="K2626" s="55"/>
      <c r="L2626" s="55"/>
      <c r="M2626" s="55"/>
      <c r="N2626" s="55"/>
      <c r="O2626" s="55"/>
      <c r="P2626" s="55"/>
      <c r="Q2626" s="55"/>
      <c r="R2626" s="55"/>
      <c r="S2626" s="55"/>
      <c r="T2626" s="55"/>
      <c r="U2626" s="55"/>
      <c r="V2626" s="55"/>
      <c r="W2626" s="55"/>
      <c r="X2626" s="55"/>
      <c r="Y2626" s="55"/>
      <c r="Z2626" s="56"/>
      <c r="AA2626" s="55"/>
      <c r="AB2626" s="55"/>
      <c r="AC2626" s="55"/>
      <c r="AD2626" s="55"/>
      <c r="AE2626" s="55"/>
      <c r="AF2626" s="55"/>
      <c r="AG2626" s="55"/>
      <c r="AH2626" s="56"/>
      <c r="AI2626" s="55"/>
      <c r="AJ2626" s="55"/>
      <c r="AK2626" s="56"/>
      <c r="AL2626" s="56"/>
    </row>
    <row r="2627" spans="1:38" ht="15.75" thickBot="1" x14ac:dyDescent="0.3">
      <c r="A2627" s="51"/>
      <c r="B2627" s="51"/>
      <c r="C2627" s="51"/>
      <c r="D2627" s="51"/>
      <c r="E2627" s="51"/>
      <c r="F2627" s="51"/>
      <c r="G2627" s="54"/>
      <c r="H2627" s="53"/>
      <c r="I2627" s="53"/>
      <c r="J2627" s="53"/>
      <c r="K2627" s="53"/>
      <c r="L2627" s="53"/>
      <c r="M2627" s="53"/>
      <c r="N2627" s="53"/>
      <c r="O2627" s="53"/>
      <c r="P2627" s="53"/>
      <c r="Q2627" s="53"/>
      <c r="R2627" s="53"/>
      <c r="S2627" s="53"/>
      <c r="T2627" s="53"/>
      <c r="U2627" s="53"/>
      <c r="V2627" s="53"/>
      <c r="W2627" s="53"/>
      <c r="X2627" s="53"/>
      <c r="Y2627" s="53"/>
      <c r="Z2627" s="53"/>
      <c r="AA2627" s="54"/>
      <c r="AB2627" s="53"/>
      <c r="AC2627" s="53"/>
      <c r="AD2627" s="53"/>
      <c r="AE2627" s="53"/>
      <c r="AF2627" s="53"/>
      <c r="AG2627" s="53"/>
      <c r="AH2627" s="54"/>
      <c r="AI2627" s="53"/>
      <c r="AJ2627" s="53"/>
      <c r="AK2627" s="54"/>
      <c r="AL2627" s="54"/>
    </row>
    <row r="2628" spans="1:38" ht="15.75" thickBot="1" x14ac:dyDescent="0.3">
      <c r="A2628" s="51"/>
      <c r="B2628" s="51"/>
      <c r="C2628" s="51"/>
      <c r="D2628" s="51"/>
      <c r="E2628" s="51"/>
      <c r="F2628" s="51"/>
      <c r="G2628" s="56"/>
      <c r="H2628" s="55"/>
      <c r="I2628" s="55"/>
      <c r="J2628" s="55"/>
      <c r="K2628" s="55"/>
      <c r="L2628" s="55"/>
      <c r="M2628" s="55"/>
      <c r="N2628" s="55"/>
      <c r="O2628" s="55"/>
      <c r="P2628" s="55"/>
      <c r="Q2628" s="55"/>
      <c r="R2628" s="55"/>
      <c r="S2628" s="55"/>
      <c r="T2628" s="55"/>
      <c r="U2628" s="55"/>
      <c r="V2628" s="55"/>
      <c r="W2628" s="55"/>
      <c r="X2628" s="55"/>
      <c r="Y2628" s="55"/>
      <c r="Z2628" s="55"/>
      <c r="AA2628" s="56"/>
      <c r="AB2628" s="55"/>
      <c r="AC2628" s="55"/>
      <c r="AD2628" s="55"/>
      <c r="AE2628" s="55"/>
      <c r="AF2628" s="55"/>
      <c r="AG2628" s="55"/>
      <c r="AH2628" s="56"/>
      <c r="AI2628" s="55"/>
      <c r="AJ2628" s="55"/>
      <c r="AK2628" s="56"/>
      <c r="AL2628" s="56"/>
    </row>
    <row r="2629" spans="1:38" ht="15.75" thickBot="1" x14ac:dyDescent="0.3">
      <c r="A2629" s="51"/>
      <c r="B2629" s="51"/>
      <c r="C2629" s="51"/>
      <c r="D2629" s="51"/>
      <c r="E2629" s="51"/>
      <c r="F2629" s="51"/>
      <c r="G2629" s="54"/>
      <c r="H2629" s="53"/>
      <c r="I2629" s="53"/>
      <c r="J2629" s="53"/>
      <c r="K2629" s="53"/>
      <c r="L2629" s="53"/>
      <c r="M2629" s="53"/>
      <c r="N2629" s="53"/>
      <c r="O2629" s="53"/>
      <c r="P2629" s="53"/>
      <c r="Q2629" s="53"/>
      <c r="R2629" s="54"/>
      <c r="S2629" s="53"/>
      <c r="T2629" s="53"/>
      <c r="U2629" s="53"/>
      <c r="V2629" s="53"/>
      <c r="W2629" s="53"/>
      <c r="X2629" s="53"/>
      <c r="Y2629" s="53"/>
      <c r="Z2629" s="53"/>
      <c r="AA2629" s="53"/>
      <c r="AB2629" s="53"/>
      <c r="AC2629" s="53"/>
      <c r="AD2629" s="53"/>
      <c r="AE2629" s="53"/>
      <c r="AF2629" s="53"/>
      <c r="AG2629" s="53"/>
      <c r="AH2629" s="54"/>
      <c r="AI2629" s="53"/>
      <c r="AJ2629" s="53"/>
      <c r="AK2629" s="54"/>
      <c r="AL2629" s="54"/>
    </row>
    <row r="2630" spans="1:38" ht="15.75" thickBot="1" x14ac:dyDescent="0.3">
      <c r="A2630" s="51"/>
      <c r="B2630" s="51"/>
      <c r="C2630" s="51"/>
      <c r="D2630" s="51"/>
      <c r="E2630" s="51"/>
      <c r="F2630" s="51"/>
      <c r="G2630" s="56"/>
      <c r="H2630" s="55"/>
      <c r="I2630" s="55"/>
      <c r="J2630" s="55"/>
      <c r="K2630" s="55"/>
      <c r="L2630" s="55"/>
      <c r="M2630" s="55"/>
      <c r="N2630" s="55"/>
      <c r="O2630" s="55"/>
      <c r="P2630" s="55"/>
      <c r="Q2630" s="55"/>
      <c r="R2630" s="56"/>
      <c r="S2630" s="55"/>
      <c r="T2630" s="55"/>
      <c r="U2630" s="55"/>
      <c r="V2630" s="55"/>
      <c r="W2630" s="55"/>
      <c r="X2630" s="55"/>
      <c r="Y2630" s="55"/>
      <c r="Z2630" s="55"/>
      <c r="AA2630" s="55"/>
      <c r="AB2630" s="55"/>
      <c r="AC2630" s="55"/>
      <c r="AD2630" s="55"/>
      <c r="AE2630" s="55"/>
      <c r="AF2630" s="55"/>
      <c r="AG2630" s="55"/>
      <c r="AH2630" s="56"/>
      <c r="AI2630" s="55"/>
      <c r="AJ2630" s="55"/>
      <c r="AK2630" s="56"/>
      <c r="AL2630" s="56"/>
    </row>
    <row r="2631" spans="1:38" ht="15.75" thickBot="1" x14ac:dyDescent="0.3">
      <c r="A2631" s="51"/>
      <c r="B2631" s="51"/>
      <c r="C2631" s="51"/>
      <c r="D2631" s="51"/>
      <c r="E2631" s="51"/>
      <c r="F2631" s="51"/>
      <c r="G2631" s="54"/>
      <c r="H2631" s="53"/>
      <c r="I2631" s="53"/>
      <c r="J2631" s="53"/>
      <c r="K2631" s="53"/>
      <c r="L2631" s="53"/>
      <c r="M2631" s="53"/>
      <c r="N2631" s="53"/>
      <c r="O2631" s="53"/>
      <c r="P2631" s="53"/>
      <c r="Q2631" s="53"/>
      <c r="R2631" s="53"/>
      <c r="S2631" s="53"/>
      <c r="T2631" s="53"/>
      <c r="U2631" s="53"/>
      <c r="V2631" s="53"/>
      <c r="W2631" s="53"/>
      <c r="X2631" s="53"/>
      <c r="Y2631" s="53"/>
      <c r="Z2631" s="53"/>
      <c r="AA2631" s="53"/>
      <c r="AB2631" s="53"/>
      <c r="AC2631" s="54"/>
      <c r="AD2631" s="53"/>
      <c r="AE2631" s="53"/>
      <c r="AF2631" s="53"/>
      <c r="AG2631" s="53"/>
      <c r="AH2631" s="54"/>
      <c r="AI2631" s="53"/>
      <c r="AJ2631" s="53"/>
      <c r="AK2631" s="54"/>
      <c r="AL2631" s="54"/>
    </row>
    <row r="2632" spans="1:38" ht="15.75" thickBot="1" x14ac:dyDescent="0.3">
      <c r="A2632" s="51"/>
      <c r="B2632" s="51"/>
      <c r="C2632" s="51"/>
      <c r="D2632" s="51"/>
      <c r="E2632" s="51"/>
      <c r="F2632" s="51"/>
      <c r="G2632" s="56"/>
      <c r="H2632" s="55"/>
      <c r="I2632" s="55"/>
      <c r="J2632" s="55"/>
      <c r="K2632" s="55"/>
      <c r="L2632" s="55"/>
      <c r="M2632" s="55"/>
      <c r="N2632" s="55"/>
      <c r="O2632" s="55"/>
      <c r="P2632" s="55"/>
      <c r="Q2632" s="55"/>
      <c r="R2632" s="55"/>
      <c r="S2632" s="55"/>
      <c r="T2632" s="55"/>
      <c r="U2632" s="55"/>
      <c r="V2632" s="55"/>
      <c r="W2632" s="55"/>
      <c r="X2632" s="55"/>
      <c r="Y2632" s="55"/>
      <c r="Z2632" s="55"/>
      <c r="AA2632" s="55"/>
      <c r="AB2632" s="55"/>
      <c r="AC2632" s="56"/>
      <c r="AD2632" s="55"/>
      <c r="AE2632" s="55"/>
      <c r="AF2632" s="55"/>
      <c r="AG2632" s="55"/>
      <c r="AH2632" s="56"/>
      <c r="AI2632" s="55"/>
      <c r="AJ2632" s="55"/>
      <c r="AK2632" s="56"/>
      <c r="AL2632" s="56"/>
    </row>
    <row r="2633" spans="1:38" ht="15.75" thickBot="1" x14ac:dyDescent="0.3">
      <c r="A2633" s="51"/>
      <c r="B2633" s="51"/>
      <c r="C2633" s="51"/>
      <c r="D2633" s="51"/>
      <c r="E2633" s="51"/>
      <c r="F2633" s="51"/>
      <c r="G2633" s="54"/>
      <c r="H2633" s="53"/>
      <c r="I2633" s="53"/>
      <c r="J2633" s="53"/>
      <c r="K2633" s="53"/>
      <c r="L2633" s="53"/>
      <c r="M2633" s="53"/>
      <c r="N2633" s="53"/>
      <c r="O2633" s="53"/>
      <c r="P2633" s="53"/>
      <c r="Q2633" s="54"/>
      <c r="R2633" s="53"/>
      <c r="S2633" s="53"/>
      <c r="T2633" s="53"/>
      <c r="U2633" s="53"/>
      <c r="V2633" s="53"/>
      <c r="W2633" s="53"/>
      <c r="X2633" s="53"/>
      <c r="Y2633" s="53"/>
      <c r="Z2633" s="53"/>
      <c r="AA2633" s="53"/>
      <c r="AB2633" s="53"/>
      <c r="AC2633" s="53"/>
      <c r="AD2633" s="53"/>
      <c r="AE2633" s="53"/>
      <c r="AF2633" s="53"/>
      <c r="AG2633" s="53"/>
      <c r="AH2633" s="54"/>
      <c r="AI2633" s="53"/>
      <c r="AJ2633" s="53"/>
      <c r="AK2633" s="54"/>
      <c r="AL2633" s="54"/>
    </row>
    <row r="2634" spans="1:38" ht="15.75" thickBot="1" x14ac:dyDescent="0.3">
      <c r="A2634" s="51"/>
      <c r="B2634" s="51"/>
      <c r="C2634" s="51"/>
      <c r="D2634" s="51"/>
      <c r="E2634" s="51"/>
      <c r="F2634" s="51"/>
      <c r="G2634" s="56"/>
      <c r="H2634" s="55"/>
      <c r="I2634" s="55"/>
      <c r="J2634" s="55"/>
      <c r="K2634" s="55"/>
      <c r="L2634" s="55"/>
      <c r="M2634" s="55"/>
      <c r="N2634" s="55"/>
      <c r="O2634" s="55"/>
      <c r="P2634" s="55"/>
      <c r="Q2634" s="56"/>
      <c r="R2634" s="55"/>
      <c r="S2634" s="55"/>
      <c r="T2634" s="55"/>
      <c r="U2634" s="55"/>
      <c r="V2634" s="55"/>
      <c r="W2634" s="55"/>
      <c r="X2634" s="55"/>
      <c r="Y2634" s="55"/>
      <c r="Z2634" s="55"/>
      <c r="AA2634" s="55"/>
      <c r="AB2634" s="55"/>
      <c r="AC2634" s="55"/>
      <c r="AD2634" s="55"/>
      <c r="AE2634" s="55"/>
      <c r="AF2634" s="55"/>
      <c r="AG2634" s="55"/>
      <c r="AH2634" s="56"/>
      <c r="AI2634" s="55"/>
      <c r="AJ2634" s="55"/>
      <c r="AK2634" s="56"/>
      <c r="AL2634" s="56"/>
    </row>
    <row r="2635" spans="1:38" ht="15.75" thickBot="1" x14ac:dyDescent="0.3">
      <c r="A2635" s="51"/>
      <c r="B2635" s="51"/>
      <c r="C2635" s="51"/>
      <c r="D2635" s="51"/>
      <c r="E2635" s="51"/>
      <c r="F2635" s="51"/>
      <c r="G2635" s="54"/>
      <c r="H2635" s="54"/>
      <c r="I2635" s="53"/>
      <c r="J2635" s="53"/>
      <c r="K2635" s="53"/>
      <c r="L2635" s="53"/>
      <c r="M2635" s="54"/>
      <c r="N2635" s="53"/>
      <c r="O2635" s="53"/>
      <c r="P2635" s="53"/>
      <c r="Q2635" s="53"/>
      <c r="R2635" s="53"/>
      <c r="S2635" s="53"/>
      <c r="T2635" s="53"/>
      <c r="U2635" s="53"/>
      <c r="V2635" s="53"/>
      <c r="W2635" s="53"/>
      <c r="X2635" s="53"/>
      <c r="Y2635" s="53"/>
      <c r="Z2635" s="53"/>
      <c r="AA2635" s="53"/>
      <c r="AB2635" s="53"/>
      <c r="AC2635" s="53"/>
      <c r="AD2635" s="53"/>
      <c r="AE2635" s="53"/>
      <c r="AF2635" s="53"/>
      <c r="AG2635" s="53"/>
      <c r="AH2635" s="54"/>
      <c r="AI2635" s="53"/>
      <c r="AJ2635" s="53"/>
      <c r="AK2635" s="54"/>
      <c r="AL2635" s="54"/>
    </row>
    <row r="2636" spans="1:38" ht="15.75" thickBot="1" x14ac:dyDescent="0.3">
      <c r="A2636" s="51"/>
      <c r="B2636" s="51"/>
      <c r="C2636" s="51"/>
      <c r="D2636" s="51"/>
      <c r="E2636" s="51"/>
      <c r="F2636" s="51"/>
      <c r="G2636" s="56"/>
      <c r="H2636" s="148"/>
      <c r="I2636" s="55"/>
      <c r="J2636" s="55"/>
      <c r="K2636" s="55"/>
      <c r="L2636" s="55"/>
      <c r="M2636" s="56"/>
      <c r="N2636" s="55"/>
      <c r="O2636" s="55"/>
      <c r="P2636" s="55"/>
      <c r="Q2636" s="55"/>
      <c r="R2636" s="55"/>
      <c r="S2636" s="55"/>
      <c r="T2636" s="55"/>
      <c r="U2636" s="55"/>
      <c r="V2636" s="55"/>
      <c r="W2636" s="55"/>
      <c r="X2636" s="55"/>
      <c r="Y2636" s="55"/>
      <c r="Z2636" s="55"/>
      <c r="AA2636" s="55"/>
      <c r="AB2636" s="55"/>
      <c r="AC2636" s="55"/>
      <c r="AD2636" s="55"/>
      <c r="AE2636" s="55"/>
      <c r="AF2636" s="55"/>
      <c r="AG2636" s="55"/>
      <c r="AH2636" s="56"/>
      <c r="AI2636" s="55"/>
      <c r="AJ2636" s="55"/>
      <c r="AK2636" s="56"/>
      <c r="AL2636" s="56"/>
    </row>
    <row r="2637" spans="1:38" ht="15.75" thickBot="1" x14ac:dyDescent="0.3">
      <c r="A2637" s="51"/>
      <c r="B2637" s="51"/>
      <c r="C2637" s="51"/>
      <c r="D2637" s="51"/>
      <c r="E2637" s="51"/>
      <c r="F2637" s="51"/>
      <c r="G2637" s="54"/>
      <c r="H2637" s="53"/>
      <c r="I2637" s="53"/>
      <c r="J2637" s="53"/>
      <c r="K2637" s="53"/>
      <c r="L2637" s="53"/>
      <c r="M2637" s="53"/>
      <c r="N2637" s="53"/>
      <c r="O2637" s="53"/>
      <c r="P2637" s="53"/>
      <c r="Q2637" s="53"/>
      <c r="R2637" s="53"/>
      <c r="S2637" s="53"/>
      <c r="T2637" s="53"/>
      <c r="U2637" s="53"/>
      <c r="V2637" s="53"/>
      <c r="W2637" s="53"/>
      <c r="X2637" s="53"/>
      <c r="Y2637" s="53"/>
      <c r="Z2637" s="53"/>
      <c r="AA2637" s="54"/>
      <c r="AB2637" s="53"/>
      <c r="AC2637" s="53"/>
      <c r="AD2637" s="53"/>
      <c r="AE2637" s="53"/>
      <c r="AF2637" s="53"/>
      <c r="AG2637" s="53"/>
      <c r="AH2637" s="54"/>
      <c r="AI2637" s="53"/>
      <c r="AJ2637" s="53"/>
      <c r="AK2637" s="54"/>
      <c r="AL2637" s="54"/>
    </row>
    <row r="2638" spans="1:38" ht="15.75" thickBot="1" x14ac:dyDescent="0.3">
      <c r="A2638" s="51"/>
      <c r="B2638" s="51"/>
      <c r="C2638" s="51"/>
      <c r="D2638" s="51"/>
      <c r="E2638" s="51"/>
      <c r="F2638" s="51"/>
      <c r="G2638" s="56"/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/>
      <c r="S2638" s="55"/>
      <c r="T2638" s="55"/>
      <c r="U2638" s="55"/>
      <c r="V2638" s="55"/>
      <c r="W2638" s="55"/>
      <c r="X2638" s="55"/>
      <c r="Y2638" s="55"/>
      <c r="Z2638" s="55"/>
      <c r="AA2638" s="56"/>
      <c r="AB2638" s="55"/>
      <c r="AC2638" s="55"/>
      <c r="AD2638" s="55"/>
      <c r="AE2638" s="55"/>
      <c r="AF2638" s="55"/>
      <c r="AG2638" s="55"/>
      <c r="AH2638" s="56"/>
      <c r="AI2638" s="55"/>
      <c r="AJ2638" s="55"/>
      <c r="AK2638" s="56"/>
      <c r="AL2638" s="56"/>
    </row>
    <row r="2639" spans="1:38" ht="15.75" thickBot="1" x14ac:dyDescent="0.3">
      <c r="A2639" s="51"/>
      <c r="B2639" s="51"/>
      <c r="C2639" s="51"/>
      <c r="D2639" s="51"/>
      <c r="E2639" s="51"/>
      <c r="F2639" s="51"/>
      <c r="G2639" s="54"/>
      <c r="H2639" s="53"/>
      <c r="I2639" s="53"/>
      <c r="J2639" s="53"/>
      <c r="K2639" s="54"/>
      <c r="L2639" s="53"/>
      <c r="M2639" s="53"/>
      <c r="N2639" s="53"/>
      <c r="O2639" s="53"/>
      <c r="P2639" s="53"/>
      <c r="Q2639" s="53"/>
      <c r="R2639" s="53"/>
      <c r="S2639" s="53"/>
      <c r="T2639" s="53"/>
      <c r="U2639" s="53"/>
      <c r="V2639" s="53"/>
      <c r="W2639" s="53"/>
      <c r="X2639" s="53"/>
      <c r="Y2639" s="53"/>
      <c r="Z2639" s="53"/>
      <c r="AA2639" s="53"/>
      <c r="AB2639" s="53"/>
      <c r="AC2639" s="53"/>
      <c r="AD2639" s="53"/>
      <c r="AE2639" s="53"/>
      <c r="AF2639" s="53"/>
      <c r="AG2639" s="53"/>
      <c r="AH2639" s="54"/>
      <c r="AI2639" s="53"/>
      <c r="AJ2639" s="53"/>
      <c r="AK2639" s="54"/>
      <c r="AL2639" s="54"/>
    </row>
    <row r="2640" spans="1:38" ht="15.75" thickBot="1" x14ac:dyDescent="0.3">
      <c r="A2640" s="51"/>
      <c r="B2640" s="51"/>
      <c r="C2640" s="51"/>
      <c r="D2640" s="51"/>
      <c r="E2640" s="51"/>
      <c r="F2640" s="51"/>
      <c r="G2640" s="56"/>
      <c r="H2640" s="55"/>
      <c r="I2640" s="55"/>
      <c r="J2640" s="55"/>
      <c r="K2640" s="56"/>
      <c r="L2640" s="55"/>
      <c r="M2640" s="55"/>
      <c r="N2640" s="55"/>
      <c r="O2640" s="55"/>
      <c r="P2640" s="55"/>
      <c r="Q2640" s="55"/>
      <c r="R2640" s="55"/>
      <c r="S2640" s="55"/>
      <c r="T2640" s="55"/>
      <c r="U2640" s="55"/>
      <c r="V2640" s="55"/>
      <c r="W2640" s="55"/>
      <c r="X2640" s="55"/>
      <c r="Y2640" s="55"/>
      <c r="Z2640" s="55"/>
      <c r="AA2640" s="55"/>
      <c r="AB2640" s="55"/>
      <c r="AC2640" s="55"/>
      <c r="AD2640" s="55"/>
      <c r="AE2640" s="55"/>
      <c r="AF2640" s="55"/>
      <c r="AG2640" s="55"/>
      <c r="AH2640" s="56"/>
      <c r="AI2640" s="55"/>
      <c r="AJ2640" s="55"/>
      <c r="AK2640" s="56"/>
      <c r="AL2640" s="56"/>
    </row>
    <row r="2641" spans="1:38" ht="15.75" thickBot="1" x14ac:dyDescent="0.3">
      <c r="A2641" s="51"/>
      <c r="B2641" s="51"/>
      <c r="C2641" s="51"/>
      <c r="D2641" s="51"/>
      <c r="E2641" s="51"/>
      <c r="F2641" s="51"/>
      <c r="G2641" s="54"/>
      <c r="H2641" s="53"/>
      <c r="I2641" s="53"/>
      <c r="J2641" s="53"/>
      <c r="K2641" s="53"/>
      <c r="L2641" s="53"/>
      <c r="M2641" s="53"/>
      <c r="N2641" s="53"/>
      <c r="O2641" s="53"/>
      <c r="P2641" s="53"/>
      <c r="Q2641" s="53"/>
      <c r="R2641" s="53"/>
      <c r="S2641" s="53"/>
      <c r="T2641" s="53"/>
      <c r="U2641" s="53"/>
      <c r="V2641" s="53"/>
      <c r="W2641" s="53"/>
      <c r="X2641" s="53"/>
      <c r="Y2641" s="53"/>
      <c r="Z2641" s="53"/>
      <c r="AA2641" s="53"/>
      <c r="AB2641" s="53"/>
      <c r="AC2641" s="54"/>
      <c r="AD2641" s="53"/>
      <c r="AE2641" s="53"/>
      <c r="AF2641" s="53"/>
      <c r="AG2641" s="53"/>
      <c r="AH2641" s="54"/>
      <c r="AI2641" s="53"/>
      <c r="AJ2641" s="53"/>
      <c r="AK2641" s="54"/>
      <c r="AL2641" s="54"/>
    </row>
    <row r="2642" spans="1:38" ht="15.75" thickBot="1" x14ac:dyDescent="0.3">
      <c r="A2642" s="51"/>
      <c r="B2642" s="51"/>
      <c r="C2642" s="51"/>
      <c r="D2642" s="51"/>
      <c r="E2642" s="51"/>
      <c r="F2642" s="51"/>
      <c r="G2642" s="56"/>
      <c r="H2642" s="55"/>
      <c r="I2642" s="55"/>
      <c r="J2642" s="55"/>
      <c r="K2642" s="55"/>
      <c r="L2642" s="55"/>
      <c r="M2642" s="55"/>
      <c r="N2642" s="55"/>
      <c r="O2642" s="55"/>
      <c r="P2642" s="55"/>
      <c r="Q2642" s="55"/>
      <c r="R2642" s="55"/>
      <c r="S2642" s="55"/>
      <c r="T2642" s="55"/>
      <c r="U2642" s="55"/>
      <c r="V2642" s="55"/>
      <c r="W2642" s="55"/>
      <c r="X2642" s="55"/>
      <c r="Y2642" s="55"/>
      <c r="Z2642" s="55"/>
      <c r="AA2642" s="55"/>
      <c r="AB2642" s="55"/>
      <c r="AC2642" s="56"/>
      <c r="AD2642" s="55"/>
      <c r="AE2642" s="55"/>
      <c r="AF2642" s="55"/>
      <c r="AG2642" s="55"/>
      <c r="AH2642" s="56"/>
      <c r="AI2642" s="55"/>
      <c r="AJ2642" s="55"/>
      <c r="AK2642" s="56"/>
      <c r="AL2642" s="56"/>
    </row>
    <row r="2643" spans="1:38" ht="15.75" thickBot="1" x14ac:dyDescent="0.3">
      <c r="A2643" s="51"/>
      <c r="B2643" s="51"/>
      <c r="C2643" s="51"/>
      <c r="D2643" s="51"/>
      <c r="E2643" s="51"/>
      <c r="F2643" s="51"/>
      <c r="G2643" s="54"/>
      <c r="H2643" s="53"/>
      <c r="I2643" s="53"/>
      <c r="J2643" s="53"/>
      <c r="K2643" s="53"/>
      <c r="L2643" s="53"/>
      <c r="M2643" s="53"/>
      <c r="N2643" s="53"/>
      <c r="O2643" s="53"/>
      <c r="P2643" s="53"/>
      <c r="Q2643" s="54"/>
      <c r="R2643" s="53"/>
      <c r="S2643" s="53"/>
      <c r="T2643" s="53"/>
      <c r="U2643" s="53"/>
      <c r="V2643" s="53"/>
      <c r="W2643" s="53"/>
      <c r="X2643" s="53"/>
      <c r="Y2643" s="53"/>
      <c r="Z2643" s="53"/>
      <c r="AA2643" s="53"/>
      <c r="AB2643" s="53"/>
      <c r="AC2643" s="53"/>
      <c r="AD2643" s="53"/>
      <c r="AE2643" s="53"/>
      <c r="AF2643" s="53"/>
      <c r="AG2643" s="53"/>
      <c r="AH2643" s="54"/>
      <c r="AI2643" s="53"/>
      <c r="AJ2643" s="53"/>
      <c r="AK2643" s="54"/>
      <c r="AL2643" s="54"/>
    </row>
    <row r="2644" spans="1:38" ht="15.75" thickBot="1" x14ac:dyDescent="0.3">
      <c r="A2644" s="51"/>
      <c r="B2644" s="51"/>
      <c r="C2644" s="51"/>
      <c r="D2644" s="51"/>
      <c r="E2644" s="51"/>
      <c r="F2644" s="51"/>
      <c r="G2644" s="56"/>
      <c r="H2644" s="55"/>
      <c r="I2644" s="55"/>
      <c r="J2644" s="55"/>
      <c r="K2644" s="55"/>
      <c r="L2644" s="55"/>
      <c r="M2644" s="55"/>
      <c r="N2644" s="55"/>
      <c r="O2644" s="55"/>
      <c r="P2644" s="55"/>
      <c r="Q2644" s="56"/>
      <c r="R2644" s="55"/>
      <c r="S2644" s="55"/>
      <c r="T2644" s="55"/>
      <c r="U2644" s="55"/>
      <c r="V2644" s="55"/>
      <c r="W2644" s="55"/>
      <c r="X2644" s="55"/>
      <c r="Y2644" s="55"/>
      <c r="Z2644" s="55"/>
      <c r="AA2644" s="55"/>
      <c r="AB2644" s="55"/>
      <c r="AC2644" s="55"/>
      <c r="AD2644" s="55"/>
      <c r="AE2644" s="55"/>
      <c r="AF2644" s="55"/>
      <c r="AG2644" s="55"/>
      <c r="AH2644" s="56"/>
      <c r="AI2644" s="55"/>
      <c r="AJ2644" s="55"/>
      <c r="AK2644" s="56"/>
      <c r="AL2644" s="56"/>
    </row>
    <row r="2645" spans="1:38" ht="15.75" thickBot="1" x14ac:dyDescent="0.3">
      <c r="A2645" s="51"/>
      <c r="B2645" s="51"/>
      <c r="C2645" s="51"/>
      <c r="D2645" s="51"/>
      <c r="E2645" s="51"/>
      <c r="F2645" s="51"/>
      <c r="G2645" s="54"/>
      <c r="H2645" s="53"/>
      <c r="I2645" s="53"/>
      <c r="J2645" s="53"/>
      <c r="K2645" s="53"/>
      <c r="L2645" s="53"/>
      <c r="M2645" s="53"/>
      <c r="N2645" s="53"/>
      <c r="O2645" s="53"/>
      <c r="P2645" s="53"/>
      <c r="Q2645" s="53"/>
      <c r="R2645" s="53"/>
      <c r="S2645" s="53"/>
      <c r="T2645" s="54"/>
      <c r="U2645" s="53"/>
      <c r="V2645" s="53"/>
      <c r="W2645" s="53"/>
      <c r="X2645" s="53"/>
      <c r="Y2645" s="53"/>
      <c r="Z2645" s="53"/>
      <c r="AA2645" s="53"/>
      <c r="AB2645" s="53"/>
      <c r="AC2645" s="53"/>
      <c r="AD2645" s="53"/>
      <c r="AE2645" s="53"/>
      <c r="AF2645" s="53"/>
      <c r="AG2645" s="53"/>
      <c r="AH2645" s="54"/>
      <c r="AI2645" s="53"/>
      <c r="AJ2645" s="53"/>
      <c r="AK2645" s="54"/>
      <c r="AL2645" s="54"/>
    </row>
    <row r="2646" spans="1:38" ht="15.75" thickBot="1" x14ac:dyDescent="0.3">
      <c r="A2646" s="51"/>
      <c r="B2646" s="51"/>
      <c r="C2646" s="51"/>
      <c r="D2646" s="51"/>
      <c r="E2646" s="51"/>
      <c r="F2646" s="51"/>
      <c r="G2646" s="56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/>
      <c r="S2646" s="55"/>
      <c r="T2646" s="56"/>
      <c r="U2646" s="55"/>
      <c r="V2646" s="55"/>
      <c r="W2646" s="55"/>
      <c r="X2646" s="55"/>
      <c r="Y2646" s="55"/>
      <c r="Z2646" s="55"/>
      <c r="AA2646" s="55"/>
      <c r="AB2646" s="55"/>
      <c r="AC2646" s="55"/>
      <c r="AD2646" s="55"/>
      <c r="AE2646" s="55"/>
      <c r="AF2646" s="55"/>
      <c r="AG2646" s="55"/>
      <c r="AH2646" s="56"/>
      <c r="AI2646" s="55"/>
      <c r="AJ2646" s="55"/>
      <c r="AK2646" s="56"/>
      <c r="AL2646" s="56"/>
    </row>
    <row r="2647" spans="1:38" ht="15.75" thickBot="1" x14ac:dyDescent="0.3">
      <c r="A2647" s="51"/>
      <c r="B2647" s="51"/>
      <c r="C2647" s="51"/>
      <c r="D2647" s="51"/>
      <c r="E2647" s="51"/>
      <c r="F2647" s="51"/>
      <c r="G2647" s="54"/>
      <c r="H2647" s="54"/>
      <c r="I2647" s="53"/>
      <c r="J2647" s="53"/>
      <c r="K2647" s="53"/>
      <c r="L2647" s="53"/>
      <c r="M2647" s="54"/>
      <c r="N2647" s="53"/>
      <c r="O2647" s="53"/>
      <c r="P2647" s="53"/>
      <c r="Q2647" s="53"/>
      <c r="R2647" s="53"/>
      <c r="S2647" s="53"/>
      <c r="T2647" s="53"/>
      <c r="U2647" s="53"/>
      <c r="V2647" s="53"/>
      <c r="W2647" s="53"/>
      <c r="X2647" s="53"/>
      <c r="Y2647" s="53"/>
      <c r="Z2647" s="53"/>
      <c r="AA2647" s="53"/>
      <c r="AB2647" s="53"/>
      <c r="AC2647" s="53"/>
      <c r="AD2647" s="53"/>
      <c r="AE2647" s="53"/>
      <c r="AF2647" s="53"/>
      <c r="AG2647" s="53"/>
      <c r="AH2647" s="54"/>
      <c r="AI2647" s="53"/>
      <c r="AJ2647" s="53"/>
      <c r="AK2647" s="54"/>
      <c r="AL2647" s="54"/>
    </row>
    <row r="2648" spans="1:38" ht="15.75" thickBot="1" x14ac:dyDescent="0.3">
      <c r="A2648" s="51"/>
      <c r="B2648" s="51"/>
      <c r="C2648" s="51"/>
      <c r="D2648" s="51"/>
      <c r="E2648" s="51"/>
      <c r="F2648" s="51"/>
      <c r="G2648" s="56"/>
      <c r="H2648" s="56"/>
      <c r="I2648" s="55"/>
      <c r="J2648" s="55"/>
      <c r="K2648" s="55"/>
      <c r="L2648" s="55"/>
      <c r="M2648" s="56"/>
      <c r="N2648" s="55"/>
      <c r="O2648" s="55"/>
      <c r="P2648" s="55"/>
      <c r="Q2648" s="55"/>
      <c r="R2648" s="55"/>
      <c r="S2648" s="55"/>
      <c r="T2648" s="55"/>
      <c r="U2648" s="55"/>
      <c r="V2648" s="55"/>
      <c r="W2648" s="55"/>
      <c r="X2648" s="55"/>
      <c r="Y2648" s="55"/>
      <c r="Z2648" s="55"/>
      <c r="AA2648" s="55"/>
      <c r="AB2648" s="55"/>
      <c r="AC2648" s="55"/>
      <c r="AD2648" s="55"/>
      <c r="AE2648" s="55"/>
      <c r="AF2648" s="55"/>
      <c r="AG2648" s="55"/>
      <c r="AH2648" s="56"/>
      <c r="AI2648" s="55"/>
      <c r="AJ2648" s="55"/>
      <c r="AK2648" s="56"/>
      <c r="AL2648" s="56"/>
    </row>
    <row r="2649" spans="1:38" ht="15.75" thickBot="1" x14ac:dyDescent="0.3">
      <c r="A2649" s="51"/>
      <c r="B2649" s="51"/>
      <c r="C2649" s="51"/>
      <c r="D2649" s="51"/>
      <c r="E2649" s="51"/>
      <c r="F2649" s="51"/>
      <c r="G2649" s="54"/>
      <c r="H2649" s="147"/>
      <c r="I2649" s="53"/>
      <c r="J2649" s="53"/>
      <c r="K2649" s="53"/>
      <c r="L2649" s="53"/>
      <c r="M2649" s="54"/>
      <c r="N2649" s="53"/>
      <c r="O2649" s="53"/>
      <c r="P2649" s="53"/>
      <c r="Q2649" s="53"/>
      <c r="R2649" s="53"/>
      <c r="S2649" s="53"/>
      <c r="T2649" s="53"/>
      <c r="U2649" s="53"/>
      <c r="V2649" s="53"/>
      <c r="W2649" s="53"/>
      <c r="X2649" s="53"/>
      <c r="Y2649" s="53"/>
      <c r="Z2649" s="53"/>
      <c r="AA2649" s="53"/>
      <c r="AB2649" s="53"/>
      <c r="AC2649" s="53"/>
      <c r="AD2649" s="53"/>
      <c r="AE2649" s="53"/>
      <c r="AF2649" s="53"/>
      <c r="AG2649" s="53"/>
      <c r="AH2649" s="54"/>
      <c r="AI2649" s="53"/>
      <c r="AJ2649" s="53"/>
      <c r="AK2649" s="54"/>
      <c r="AL2649" s="54"/>
    </row>
    <row r="2650" spans="1:38" ht="15.75" thickBot="1" x14ac:dyDescent="0.3">
      <c r="A2650" s="51"/>
      <c r="B2650" s="51"/>
      <c r="C2650" s="51"/>
      <c r="D2650" s="51"/>
      <c r="E2650" s="51"/>
      <c r="F2650" s="51"/>
      <c r="G2650" s="56"/>
      <c r="H2650" s="55"/>
      <c r="I2650" s="55"/>
      <c r="J2650" s="55"/>
      <c r="K2650" s="55"/>
      <c r="L2650" s="55"/>
      <c r="M2650" s="55"/>
      <c r="N2650" s="55"/>
      <c r="O2650" s="55"/>
      <c r="P2650" s="55"/>
      <c r="Q2650" s="55"/>
      <c r="R2650" s="55"/>
      <c r="S2650" s="55"/>
      <c r="T2650" s="55"/>
      <c r="U2650" s="55"/>
      <c r="V2650" s="55"/>
      <c r="W2650" s="55"/>
      <c r="X2650" s="55"/>
      <c r="Y2650" s="55"/>
      <c r="Z2650" s="55"/>
      <c r="AA2650" s="56"/>
      <c r="AB2650" s="55"/>
      <c r="AC2650" s="55"/>
      <c r="AD2650" s="55"/>
      <c r="AE2650" s="55"/>
      <c r="AF2650" s="55"/>
      <c r="AG2650" s="55"/>
      <c r="AH2650" s="56"/>
      <c r="AI2650" s="55"/>
      <c r="AJ2650" s="55"/>
      <c r="AK2650" s="56"/>
      <c r="AL2650" s="56"/>
    </row>
    <row r="2651" spans="1:38" ht="15.75" thickBot="1" x14ac:dyDescent="0.3">
      <c r="A2651" s="51"/>
      <c r="B2651" s="51"/>
      <c r="C2651" s="51"/>
      <c r="D2651" s="51"/>
      <c r="E2651" s="51"/>
      <c r="F2651" s="51"/>
      <c r="G2651" s="54"/>
      <c r="H2651" s="53"/>
      <c r="I2651" s="53"/>
      <c r="J2651" s="53"/>
      <c r="K2651" s="53"/>
      <c r="L2651" s="53"/>
      <c r="M2651" s="53"/>
      <c r="N2651" s="53"/>
      <c r="O2651" s="53"/>
      <c r="P2651" s="53"/>
      <c r="Q2651" s="53"/>
      <c r="R2651" s="53"/>
      <c r="S2651" s="53"/>
      <c r="T2651" s="53"/>
      <c r="U2651" s="53"/>
      <c r="V2651" s="53"/>
      <c r="W2651" s="53"/>
      <c r="X2651" s="53"/>
      <c r="Y2651" s="53"/>
      <c r="Z2651" s="53"/>
      <c r="AA2651" s="54"/>
      <c r="AB2651" s="53"/>
      <c r="AC2651" s="53"/>
      <c r="AD2651" s="53"/>
      <c r="AE2651" s="53"/>
      <c r="AF2651" s="53"/>
      <c r="AG2651" s="53"/>
      <c r="AH2651" s="54"/>
      <c r="AI2651" s="53"/>
      <c r="AJ2651" s="53"/>
      <c r="AK2651" s="54"/>
      <c r="AL2651" s="54"/>
    </row>
    <row r="2652" spans="1:38" ht="15.75" thickBot="1" x14ac:dyDescent="0.3">
      <c r="A2652" s="51"/>
      <c r="B2652" s="51"/>
      <c r="C2652" s="51"/>
      <c r="D2652" s="51"/>
      <c r="E2652" s="51"/>
      <c r="F2652" s="51"/>
      <c r="G2652" s="56"/>
      <c r="H2652" s="55"/>
      <c r="I2652" s="55"/>
      <c r="J2652" s="55"/>
      <c r="K2652" s="55"/>
      <c r="L2652" s="55"/>
      <c r="M2652" s="55"/>
      <c r="N2652" s="55"/>
      <c r="O2652" s="55"/>
      <c r="P2652" s="55"/>
      <c r="Q2652" s="55"/>
      <c r="R2652" s="55"/>
      <c r="S2652" s="55"/>
      <c r="T2652" s="55"/>
      <c r="U2652" s="56"/>
      <c r="V2652" s="55"/>
      <c r="W2652" s="55"/>
      <c r="X2652" s="55"/>
      <c r="Y2652" s="55"/>
      <c r="Z2652" s="55"/>
      <c r="AA2652" s="55"/>
      <c r="AB2652" s="55"/>
      <c r="AC2652" s="55"/>
      <c r="AD2652" s="55"/>
      <c r="AE2652" s="55"/>
      <c r="AF2652" s="55"/>
      <c r="AG2652" s="55"/>
      <c r="AH2652" s="56"/>
      <c r="AI2652" s="55"/>
      <c r="AJ2652" s="55"/>
      <c r="AK2652" s="56"/>
      <c r="AL2652" s="56"/>
    </row>
    <row r="2653" spans="1:38" ht="15.75" thickBot="1" x14ac:dyDescent="0.3">
      <c r="A2653" s="51"/>
      <c r="B2653" s="51"/>
      <c r="C2653" s="51"/>
      <c r="D2653" s="51"/>
      <c r="E2653" s="51"/>
      <c r="F2653" s="51"/>
      <c r="G2653" s="54"/>
      <c r="H2653" s="53"/>
      <c r="I2653" s="53"/>
      <c r="J2653" s="53"/>
      <c r="K2653" s="53"/>
      <c r="L2653" s="53"/>
      <c r="M2653" s="53"/>
      <c r="N2653" s="53"/>
      <c r="O2653" s="53"/>
      <c r="P2653" s="53"/>
      <c r="Q2653" s="53"/>
      <c r="R2653" s="53"/>
      <c r="S2653" s="53"/>
      <c r="T2653" s="53"/>
      <c r="U2653" s="54"/>
      <c r="V2653" s="53"/>
      <c r="W2653" s="53"/>
      <c r="X2653" s="53"/>
      <c r="Y2653" s="53"/>
      <c r="Z2653" s="53"/>
      <c r="AA2653" s="53"/>
      <c r="AB2653" s="53"/>
      <c r="AC2653" s="53"/>
      <c r="AD2653" s="53"/>
      <c r="AE2653" s="53"/>
      <c r="AF2653" s="53"/>
      <c r="AG2653" s="53"/>
      <c r="AH2653" s="54"/>
      <c r="AI2653" s="53"/>
      <c r="AJ2653" s="53"/>
      <c r="AK2653" s="54"/>
      <c r="AL2653" s="54"/>
    </row>
    <row r="2654" spans="1:38" ht="15.75" thickBot="1" x14ac:dyDescent="0.3">
      <c r="A2654" s="51"/>
      <c r="B2654" s="51"/>
      <c r="C2654" s="51"/>
      <c r="D2654" s="51"/>
      <c r="E2654" s="51"/>
      <c r="F2654" s="51"/>
      <c r="G2654" s="56"/>
      <c r="H2654" s="55"/>
      <c r="I2654" s="55"/>
      <c r="J2654" s="55"/>
      <c r="K2654" s="55"/>
      <c r="L2654" s="55"/>
      <c r="M2654" s="55"/>
      <c r="N2654" s="56"/>
      <c r="O2654" s="55"/>
      <c r="P2654" s="55"/>
      <c r="Q2654" s="55"/>
      <c r="R2654" s="55"/>
      <c r="S2654" s="55"/>
      <c r="T2654" s="55"/>
      <c r="U2654" s="55"/>
      <c r="V2654" s="55"/>
      <c r="W2654" s="55"/>
      <c r="X2654" s="55"/>
      <c r="Y2654" s="55"/>
      <c r="Z2654" s="55"/>
      <c r="AA2654" s="55"/>
      <c r="AB2654" s="55"/>
      <c r="AC2654" s="55"/>
      <c r="AD2654" s="55"/>
      <c r="AE2654" s="55"/>
      <c r="AF2654" s="55"/>
      <c r="AG2654" s="55"/>
      <c r="AH2654" s="56"/>
      <c r="AI2654" s="55"/>
      <c r="AJ2654" s="55"/>
      <c r="AK2654" s="56"/>
      <c r="AL2654" s="56"/>
    </row>
    <row r="2655" spans="1:38" ht="15.75" thickBot="1" x14ac:dyDescent="0.3">
      <c r="A2655" s="51"/>
      <c r="B2655" s="51"/>
      <c r="C2655" s="51"/>
      <c r="D2655" s="51"/>
      <c r="E2655" s="51"/>
      <c r="F2655" s="51"/>
      <c r="G2655" s="54"/>
      <c r="H2655" s="53"/>
      <c r="I2655" s="53"/>
      <c r="J2655" s="53"/>
      <c r="K2655" s="53"/>
      <c r="L2655" s="53"/>
      <c r="M2655" s="53"/>
      <c r="N2655" s="54"/>
      <c r="O2655" s="53"/>
      <c r="P2655" s="53"/>
      <c r="Q2655" s="53"/>
      <c r="R2655" s="53"/>
      <c r="S2655" s="53"/>
      <c r="T2655" s="53"/>
      <c r="U2655" s="53"/>
      <c r="V2655" s="53"/>
      <c r="W2655" s="53"/>
      <c r="X2655" s="53"/>
      <c r="Y2655" s="53"/>
      <c r="Z2655" s="53"/>
      <c r="AA2655" s="53"/>
      <c r="AB2655" s="53"/>
      <c r="AC2655" s="53"/>
      <c r="AD2655" s="53"/>
      <c r="AE2655" s="53"/>
      <c r="AF2655" s="53"/>
      <c r="AG2655" s="53"/>
      <c r="AH2655" s="54"/>
      <c r="AI2655" s="53"/>
      <c r="AJ2655" s="53"/>
      <c r="AK2655" s="54"/>
      <c r="AL2655" s="54"/>
    </row>
    <row r="2656" spans="1:38" ht="15.75" thickBot="1" x14ac:dyDescent="0.3">
      <c r="A2656" s="51"/>
      <c r="B2656" s="51"/>
      <c r="C2656" s="51"/>
      <c r="D2656" s="51"/>
      <c r="E2656" s="51"/>
      <c r="F2656" s="51"/>
      <c r="G2656" s="56"/>
      <c r="H2656" s="55"/>
      <c r="I2656" s="55"/>
      <c r="J2656" s="55"/>
      <c r="K2656" s="56"/>
      <c r="L2656" s="55"/>
      <c r="M2656" s="55"/>
      <c r="N2656" s="55"/>
      <c r="O2656" s="55"/>
      <c r="P2656" s="55"/>
      <c r="Q2656" s="55"/>
      <c r="R2656" s="55"/>
      <c r="S2656" s="55"/>
      <c r="T2656" s="55"/>
      <c r="U2656" s="55"/>
      <c r="V2656" s="55"/>
      <c r="W2656" s="55"/>
      <c r="X2656" s="55"/>
      <c r="Y2656" s="55"/>
      <c r="Z2656" s="55"/>
      <c r="AA2656" s="55"/>
      <c r="AB2656" s="55"/>
      <c r="AC2656" s="55"/>
      <c r="AD2656" s="55"/>
      <c r="AE2656" s="55"/>
      <c r="AF2656" s="55"/>
      <c r="AG2656" s="55"/>
      <c r="AH2656" s="56"/>
      <c r="AI2656" s="55"/>
      <c r="AJ2656" s="55"/>
      <c r="AK2656" s="56"/>
      <c r="AL2656" s="56"/>
    </row>
    <row r="2657" spans="1:38" ht="15.75" thickBot="1" x14ac:dyDescent="0.3">
      <c r="A2657" s="51"/>
      <c r="B2657" s="51"/>
      <c r="C2657" s="51"/>
      <c r="D2657" s="51"/>
      <c r="E2657" s="51"/>
      <c r="F2657" s="51"/>
      <c r="G2657" s="54"/>
      <c r="H2657" s="53"/>
      <c r="I2657" s="53"/>
      <c r="J2657" s="53"/>
      <c r="K2657" s="54"/>
      <c r="L2657" s="53"/>
      <c r="M2657" s="53"/>
      <c r="N2657" s="53"/>
      <c r="O2657" s="53"/>
      <c r="P2657" s="53"/>
      <c r="Q2657" s="53"/>
      <c r="R2657" s="53"/>
      <c r="S2657" s="53"/>
      <c r="T2657" s="53"/>
      <c r="U2657" s="53"/>
      <c r="V2657" s="53"/>
      <c r="W2657" s="53"/>
      <c r="X2657" s="53"/>
      <c r="Y2657" s="53"/>
      <c r="Z2657" s="53"/>
      <c r="AA2657" s="53"/>
      <c r="AB2657" s="53"/>
      <c r="AC2657" s="53"/>
      <c r="AD2657" s="53"/>
      <c r="AE2657" s="53"/>
      <c r="AF2657" s="53"/>
      <c r="AG2657" s="53"/>
      <c r="AH2657" s="54"/>
      <c r="AI2657" s="53"/>
      <c r="AJ2657" s="53"/>
      <c r="AK2657" s="54"/>
      <c r="AL2657" s="54"/>
    </row>
    <row r="2658" spans="1:38" ht="15.75" thickBot="1" x14ac:dyDescent="0.3">
      <c r="A2658" s="51"/>
      <c r="B2658" s="51"/>
      <c r="C2658" s="51"/>
      <c r="D2658" s="51"/>
      <c r="E2658" s="51"/>
      <c r="F2658" s="51"/>
      <c r="G2658" s="56"/>
      <c r="H2658" s="55"/>
      <c r="I2658" s="55"/>
      <c r="J2658" s="55"/>
      <c r="K2658" s="55"/>
      <c r="L2658" s="55"/>
      <c r="M2658" s="55"/>
      <c r="N2658" s="55"/>
      <c r="O2658" s="55"/>
      <c r="P2658" s="55"/>
      <c r="Q2658" s="55"/>
      <c r="R2658" s="55"/>
      <c r="S2658" s="55"/>
      <c r="T2658" s="55"/>
      <c r="U2658" s="55"/>
      <c r="V2658" s="55"/>
      <c r="W2658" s="55"/>
      <c r="X2658" s="55"/>
      <c r="Y2658" s="55"/>
      <c r="Z2658" s="55"/>
      <c r="AA2658" s="55"/>
      <c r="AB2658" s="55"/>
      <c r="AC2658" s="56"/>
      <c r="AD2658" s="55"/>
      <c r="AE2658" s="55"/>
      <c r="AF2658" s="55"/>
      <c r="AG2658" s="55"/>
      <c r="AH2658" s="56"/>
      <c r="AI2658" s="55"/>
      <c r="AJ2658" s="55"/>
      <c r="AK2658" s="56"/>
      <c r="AL2658" s="56"/>
    </row>
    <row r="2659" spans="1:38" ht="15.75" thickBot="1" x14ac:dyDescent="0.3">
      <c r="A2659" s="51"/>
      <c r="B2659" s="51"/>
      <c r="C2659" s="51"/>
      <c r="D2659" s="51"/>
      <c r="E2659" s="51"/>
      <c r="F2659" s="51"/>
      <c r="G2659" s="54"/>
      <c r="H2659" s="53"/>
      <c r="I2659" s="53"/>
      <c r="J2659" s="53"/>
      <c r="K2659" s="53"/>
      <c r="L2659" s="53"/>
      <c r="M2659" s="53"/>
      <c r="N2659" s="53"/>
      <c r="O2659" s="53"/>
      <c r="P2659" s="53"/>
      <c r="Q2659" s="53"/>
      <c r="R2659" s="53"/>
      <c r="S2659" s="53"/>
      <c r="T2659" s="53"/>
      <c r="U2659" s="53"/>
      <c r="V2659" s="53"/>
      <c r="W2659" s="53"/>
      <c r="X2659" s="53"/>
      <c r="Y2659" s="53"/>
      <c r="Z2659" s="53"/>
      <c r="AA2659" s="53"/>
      <c r="AB2659" s="53"/>
      <c r="AC2659" s="54"/>
      <c r="AD2659" s="53"/>
      <c r="AE2659" s="53"/>
      <c r="AF2659" s="53"/>
      <c r="AG2659" s="53"/>
      <c r="AH2659" s="54"/>
      <c r="AI2659" s="53"/>
      <c r="AJ2659" s="53"/>
      <c r="AK2659" s="54"/>
      <c r="AL2659" s="54"/>
    </row>
    <row r="2660" spans="1:38" ht="15.75" thickBot="1" x14ac:dyDescent="0.3">
      <c r="A2660" s="51"/>
      <c r="B2660" s="51"/>
      <c r="C2660" s="51"/>
      <c r="D2660" s="51"/>
      <c r="E2660" s="51"/>
      <c r="F2660" s="51"/>
      <c r="G2660" s="56"/>
      <c r="H2660" s="55"/>
      <c r="I2660" s="55"/>
      <c r="J2660" s="55"/>
      <c r="K2660" s="55"/>
      <c r="L2660" s="55"/>
      <c r="M2660" s="55"/>
      <c r="N2660" s="55"/>
      <c r="O2660" s="55"/>
      <c r="P2660" s="55"/>
      <c r="Q2660" s="55"/>
      <c r="R2660" s="55"/>
      <c r="S2660" s="55"/>
      <c r="T2660" s="55"/>
      <c r="U2660" s="55"/>
      <c r="V2660" s="55"/>
      <c r="W2660" s="56"/>
      <c r="X2660" s="55"/>
      <c r="Y2660" s="55"/>
      <c r="Z2660" s="55"/>
      <c r="AA2660" s="55"/>
      <c r="AB2660" s="55"/>
      <c r="AC2660" s="55"/>
      <c r="AD2660" s="55"/>
      <c r="AE2660" s="55"/>
      <c r="AF2660" s="55"/>
      <c r="AG2660" s="55"/>
      <c r="AH2660" s="56"/>
      <c r="AI2660" s="55"/>
      <c r="AJ2660" s="55"/>
      <c r="AK2660" s="56"/>
      <c r="AL2660" s="56"/>
    </row>
    <row r="2661" spans="1:38" ht="15.75" thickBot="1" x14ac:dyDescent="0.3">
      <c r="A2661" s="51"/>
      <c r="B2661" s="51"/>
      <c r="C2661" s="51"/>
      <c r="D2661" s="51"/>
      <c r="E2661" s="51"/>
      <c r="F2661" s="51"/>
      <c r="G2661" s="54"/>
      <c r="H2661" s="53"/>
      <c r="I2661" s="53"/>
      <c r="J2661" s="53"/>
      <c r="K2661" s="53"/>
      <c r="L2661" s="53"/>
      <c r="M2661" s="53"/>
      <c r="N2661" s="53"/>
      <c r="O2661" s="53"/>
      <c r="P2661" s="53"/>
      <c r="Q2661" s="53"/>
      <c r="R2661" s="53"/>
      <c r="S2661" s="53"/>
      <c r="T2661" s="53"/>
      <c r="U2661" s="53"/>
      <c r="V2661" s="53"/>
      <c r="W2661" s="54"/>
      <c r="X2661" s="53"/>
      <c r="Y2661" s="53"/>
      <c r="Z2661" s="53"/>
      <c r="AA2661" s="53"/>
      <c r="AB2661" s="53"/>
      <c r="AC2661" s="53"/>
      <c r="AD2661" s="53"/>
      <c r="AE2661" s="53"/>
      <c r="AF2661" s="53"/>
      <c r="AG2661" s="53"/>
      <c r="AH2661" s="54"/>
      <c r="AI2661" s="53"/>
      <c r="AJ2661" s="53"/>
      <c r="AK2661" s="54"/>
      <c r="AL2661" s="54"/>
    </row>
    <row r="2662" spans="1:38" ht="15.75" thickBot="1" x14ac:dyDescent="0.3">
      <c r="A2662" s="51"/>
      <c r="B2662" s="51"/>
      <c r="C2662" s="51"/>
      <c r="D2662" s="51"/>
      <c r="E2662" s="51"/>
      <c r="F2662" s="51"/>
      <c r="G2662" s="56"/>
      <c r="H2662" s="55"/>
      <c r="I2662" s="55"/>
      <c r="J2662" s="55"/>
      <c r="K2662" s="55"/>
      <c r="L2662" s="55"/>
      <c r="M2662" s="55"/>
      <c r="N2662" s="55"/>
      <c r="O2662" s="55"/>
      <c r="P2662" s="55"/>
      <c r="Q2662" s="55"/>
      <c r="R2662" s="55"/>
      <c r="S2662" s="55"/>
      <c r="T2662" s="55"/>
      <c r="U2662" s="55"/>
      <c r="V2662" s="55"/>
      <c r="W2662" s="55"/>
      <c r="X2662" s="56"/>
      <c r="Y2662" s="55"/>
      <c r="Z2662" s="55"/>
      <c r="AA2662" s="55"/>
      <c r="AB2662" s="55"/>
      <c r="AC2662" s="55"/>
      <c r="AD2662" s="55"/>
      <c r="AE2662" s="55"/>
      <c r="AF2662" s="55"/>
      <c r="AG2662" s="55"/>
      <c r="AH2662" s="56"/>
      <c r="AI2662" s="55"/>
      <c r="AJ2662" s="55"/>
      <c r="AK2662" s="56"/>
      <c r="AL2662" s="56"/>
    </row>
    <row r="2663" spans="1:38" ht="15.75" thickBot="1" x14ac:dyDescent="0.3">
      <c r="A2663" s="51"/>
      <c r="B2663" s="51"/>
      <c r="C2663" s="51"/>
      <c r="D2663" s="51"/>
      <c r="E2663" s="51"/>
      <c r="F2663" s="51"/>
      <c r="G2663" s="54"/>
      <c r="H2663" s="53"/>
      <c r="I2663" s="53"/>
      <c r="J2663" s="53"/>
      <c r="K2663" s="53"/>
      <c r="L2663" s="53"/>
      <c r="M2663" s="53"/>
      <c r="N2663" s="53"/>
      <c r="O2663" s="53"/>
      <c r="P2663" s="53"/>
      <c r="Q2663" s="53"/>
      <c r="R2663" s="53"/>
      <c r="S2663" s="53"/>
      <c r="T2663" s="53"/>
      <c r="U2663" s="53"/>
      <c r="V2663" s="53"/>
      <c r="W2663" s="53"/>
      <c r="X2663" s="54"/>
      <c r="Y2663" s="53"/>
      <c r="Z2663" s="53"/>
      <c r="AA2663" s="53"/>
      <c r="AB2663" s="53"/>
      <c r="AC2663" s="53"/>
      <c r="AD2663" s="53"/>
      <c r="AE2663" s="53"/>
      <c r="AF2663" s="53"/>
      <c r="AG2663" s="53"/>
      <c r="AH2663" s="54"/>
      <c r="AI2663" s="53"/>
      <c r="AJ2663" s="53"/>
      <c r="AK2663" s="54"/>
      <c r="AL2663" s="54"/>
    </row>
    <row r="2664" spans="1:38" ht="15.75" thickBot="1" x14ac:dyDescent="0.3">
      <c r="A2664" s="51"/>
      <c r="B2664" s="51"/>
      <c r="C2664" s="51"/>
      <c r="D2664" s="51"/>
      <c r="E2664" s="51"/>
      <c r="F2664" s="51"/>
      <c r="G2664" s="56"/>
      <c r="H2664" s="55"/>
      <c r="I2664" s="55"/>
      <c r="J2664" s="55"/>
      <c r="K2664" s="56"/>
      <c r="L2664" s="55"/>
      <c r="M2664" s="55"/>
      <c r="N2664" s="55"/>
      <c r="O2664" s="55"/>
      <c r="P2664" s="55"/>
      <c r="Q2664" s="55"/>
      <c r="R2664" s="55"/>
      <c r="S2664" s="55"/>
      <c r="T2664" s="55"/>
      <c r="U2664" s="55"/>
      <c r="V2664" s="55"/>
      <c r="W2664" s="55"/>
      <c r="X2664" s="55"/>
      <c r="Y2664" s="55"/>
      <c r="Z2664" s="55"/>
      <c r="AA2664" s="55"/>
      <c r="AB2664" s="55"/>
      <c r="AC2664" s="55"/>
      <c r="AD2664" s="55"/>
      <c r="AE2664" s="55"/>
      <c r="AF2664" s="55"/>
      <c r="AG2664" s="55"/>
      <c r="AH2664" s="56"/>
      <c r="AI2664" s="55"/>
      <c r="AJ2664" s="55"/>
      <c r="AK2664" s="56"/>
      <c r="AL2664" s="56"/>
    </row>
    <row r="2665" spans="1:38" ht="15.75" thickBot="1" x14ac:dyDescent="0.3">
      <c r="A2665" s="51"/>
      <c r="B2665" s="51"/>
      <c r="C2665" s="51"/>
      <c r="D2665" s="51"/>
      <c r="E2665" s="51"/>
      <c r="F2665" s="51"/>
      <c r="G2665" s="54"/>
      <c r="H2665" s="53"/>
      <c r="I2665" s="53"/>
      <c r="J2665" s="53"/>
      <c r="K2665" s="54"/>
      <c r="L2665" s="53"/>
      <c r="M2665" s="53"/>
      <c r="N2665" s="53"/>
      <c r="O2665" s="53"/>
      <c r="P2665" s="53"/>
      <c r="Q2665" s="53"/>
      <c r="R2665" s="53"/>
      <c r="S2665" s="53"/>
      <c r="T2665" s="53"/>
      <c r="U2665" s="53"/>
      <c r="V2665" s="53"/>
      <c r="W2665" s="53"/>
      <c r="X2665" s="53"/>
      <c r="Y2665" s="53"/>
      <c r="Z2665" s="53"/>
      <c r="AA2665" s="53"/>
      <c r="AB2665" s="53"/>
      <c r="AC2665" s="53"/>
      <c r="AD2665" s="53"/>
      <c r="AE2665" s="53"/>
      <c r="AF2665" s="53"/>
      <c r="AG2665" s="53"/>
      <c r="AH2665" s="54"/>
      <c r="AI2665" s="53"/>
      <c r="AJ2665" s="53"/>
      <c r="AK2665" s="54"/>
      <c r="AL2665" s="54"/>
    </row>
    <row r="2666" spans="1:38" ht="15.75" thickBot="1" x14ac:dyDescent="0.3">
      <c r="A2666" s="51"/>
      <c r="B2666" s="51"/>
      <c r="C2666" s="51"/>
      <c r="D2666" s="51"/>
      <c r="E2666" s="51"/>
      <c r="F2666" s="51"/>
      <c r="G2666" s="56"/>
      <c r="H2666" s="56"/>
      <c r="I2666" s="55"/>
      <c r="J2666" s="55"/>
      <c r="K2666" s="55"/>
      <c r="L2666" s="55"/>
      <c r="M2666" s="56"/>
      <c r="N2666" s="55"/>
      <c r="O2666" s="55"/>
      <c r="P2666" s="55"/>
      <c r="Q2666" s="55"/>
      <c r="R2666" s="55"/>
      <c r="S2666" s="55"/>
      <c r="T2666" s="55"/>
      <c r="U2666" s="55"/>
      <c r="V2666" s="55"/>
      <c r="W2666" s="55"/>
      <c r="X2666" s="55"/>
      <c r="Y2666" s="55"/>
      <c r="Z2666" s="55"/>
      <c r="AA2666" s="55"/>
      <c r="AB2666" s="55"/>
      <c r="AC2666" s="55"/>
      <c r="AD2666" s="55"/>
      <c r="AE2666" s="55"/>
      <c r="AF2666" s="55"/>
      <c r="AG2666" s="55"/>
      <c r="AH2666" s="56"/>
      <c r="AI2666" s="55"/>
      <c r="AJ2666" s="55"/>
      <c r="AK2666" s="56"/>
      <c r="AL2666" s="56"/>
    </row>
    <row r="2667" spans="1:38" ht="15.75" thickBot="1" x14ac:dyDescent="0.3">
      <c r="A2667" s="51"/>
      <c r="B2667" s="51"/>
      <c r="C2667" s="51"/>
      <c r="D2667" s="51"/>
      <c r="E2667" s="51"/>
      <c r="F2667" s="51"/>
      <c r="G2667" s="54"/>
      <c r="H2667" s="147"/>
      <c r="I2667" s="53"/>
      <c r="J2667" s="53"/>
      <c r="K2667" s="53"/>
      <c r="L2667" s="53"/>
      <c r="M2667" s="54"/>
      <c r="N2667" s="53"/>
      <c r="O2667" s="53"/>
      <c r="P2667" s="53"/>
      <c r="Q2667" s="53"/>
      <c r="R2667" s="53"/>
      <c r="S2667" s="53"/>
      <c r="T2667" s="53"/>
      <c r="U2667" s="53"/>
      <c r="V2667" s="53"/>
      <c r="W2667" s="53"/>
      <c r="X2667" s="53"/>
      <c r="Y2667" s="53"/>
      <c r="Z2667" s="53"/>
      <c r="AA2667" s="53"/>
      <c r="AB2667" s="53"/>
      <c r="AC2667" s="53"/>
      <c r="AD2667" s="53"/>
      <c r="AE2667" s="53"/>
      <c r="AF2667" s="53"/>
      <c r="AG2667" s="53"/>
      <c r="AH2667" s="54"/>
      <c r="AI2667" s="53"/>
      <c r="AJ2667" s="53"/>
      <c r="AK2667" s="54"/>
      <c r="AL2667" s="54"/>
    </row>
    <row r="2668" spans="1:38" ht="15.75" thickBot="1" x14ac:dyDescent="0.3">
      <c r="A2668" s="51"/>
      <c r="B2668" s="51"/>
      <c r="C2668" s="51"/>
      <c r="D2668" s="51"/>
      <c r="E2668" s="51"/>
      <c r="F2668" s="51"/>
      <c r="G2668" s="56"/>
      <c r="H2668" s="55"/>
      <c r="I2668" s="55"/>
      <c r="J2668" s="55"/>
      <c r="K2668" s="55"/>
      <c r="L2668" s="55"/>
      <c r="M2668" s="55"/>
      <c r="N2668" s="55"/>
      <c r="O2668" s="55"/>
      <c r="P2668" s="55"/>
      <c r="Q2668" s="55"/>
      <c r="R2668" s="55"/>
      <c r="S2668" s="55"/>
      <c r="T2668" s="55"/>
      <c r="U2668" s="55"/>
      <c r="V2668" s="55"/>
      <c r="W2668" s="55"/>
      <c r="X2668" s="55"/>
      <c r="Y2668" s="55"/>
      <c r="Z2668" s="56"/>
      <c r="AA2668" s="55"/>
      <c r="AB2668" s="55"/>
      <c r="AC2668" s="55"/>
      <c r="AD2668" s="55"/>
      <c r="AE2668" s="55"/>
      <c r="AF2668" s="55"/>
      <c r="AG2668" s="55"/>
      <c r="AH2668" s="56"/>
      <c r="AI2668" s="55"/>
      <c r="AJ2668" s="55"/>
      <c r="AK2668" s="56"/>
      <c r="AL2668" s="56"/>
    </row>
    <row r="2669" spans="1:38" ht="15.75" thickBot="1" x14ac:dyDescent="0.3">
      <c r="A2669" s="51"/>
      <c r="B2669" s="51"/>
      <c r="C2669" s="51"/>
      <c r="D2669" s="51"/>
      <c r="E2669" s="51"/>
      <c r="F2669" s="51"/>
      <c r="G2669" s="54"/>
      <c r="H2669" s="53"/>
      <c r="I2669" s="53"/>
      <c r="J2669" s="53"/>
      <c r="K2669" s="53"/>
      <c r="L2669" s="53"/>
      <c r="M2669" s="53"/>
      <c r="N2669" s="53"/>
      <c r="O2669" s="53"/>
      <c r="P2669" s="53"/>
      <c r="Q2669" s="53"/>
      <c r="R2669" s="53"/>
      <c r="S2669" s="53"/>
      <c r="T2669" s="53"/>
      <c r="U2669" s="53"/>
      <c r="V2669" s="53"/>
      <c r="W2669" s="53"/>
      <c r="X2669" s="53"/>
      <c r="Y2669" s="53"/>
      <c r="Z2669" s="54"/>
      <c r="AA2669" s="53"/>
      <c r="AB2669" s="53"/>
      <c r="AC2669" s="53"/>
      <c r="AD2669" s="53"/>
      <c r="AE2669" s="53"/>
      <c r="AF2669" s="53"/>
      <c r="AG2669" s="53"/>
      <c r="AH2669" s="54"/>
      <c r="AI2669" s="53"/>
      <c r="AJ2669" s="53"/>
      <c r="AK2669" s="54"/>
      <c r="AL2669" s="54"/>
    </row>
    <row r="2670" spans="1:38" ht="15.75" thickBot="1" x14ac:dyDescent="0.3">
      <c r="A2670" s="51"/>
      <c r="B2670" s="51"/>
      <c r="C2670" s="51"/>
      <c r="D2670" s="51"/>
      <c r="E2670" s="51"/>
      <c r="F2670" s="51"/>
      <c r="G2670" s="56"/>
      <c r="H2670" s="55"/>
      <c r="I2670" s="55"/>
      <c r="J2670" s="55"/>
      <c r="K2670" s="55"/>
      <c r="L2670" s="55"/>
      <c r="M2670" s="55"/>
      <c r="N2670" s="55"/>
      <c r="O2670" s="55"/>
      <c r="P2670" s="55"/>
      <c r="Q2670" s="55"/>
      <c r="R2670" s="55"/>
      <c r="S2670" s="55"/>
      <c r="T2670" s="55"/>
      <c r="U2670" s="55"/>
      <c r="V2670" s="55"/>
      <c r="W2670" s="55"/>
      <c r="X2670" s="55"/>
      <c r="Y2670" s="55"/>
      <c r="Z2670" s="55"/>
      <c r="AA2670" s="56"/>
      <c r="AB2670" s="55"/>
      <c r="AC2670" s="55"/>
      <c r="AD2670" s="55"/>
      <c r="AE2670" s="55"/>
      <c r="AF2670" s="55"/>
      <c r="AG2670" s="55"/>
      <c r="AH2670" s="56"/>
      <c r="AI2670" s="55"/>
      <c r="AJ2670" s="55"/>
      <c r="AK2670" s="56"/>
      <c r="AL2670" s="56"/>
    </row>
    <row r="2671" spans="1:38" ht="15.75" thickBot="1" x14ac:dyDescent="0.3">
      <c r="A2671" s="51"/>
      <c r="B2671" s="51"/>
      <c r="C2671" s="51"/>
      <c r="D2671" s="51"/>
      <c r="E2671" s="51"/>
      <c r="F2671" s="51"/>
      <c r="G2671" s="54"/>
      <c r="H2671" s="53"/>
      <c r="I2671" s="53"/>
      <c r="J2671" s="53"/>
      <c r="K2671" s="53"/>
      <c r="L2671" s="53"/>
      <c r="M2671" s="53"/>
      <c r="N2671" s="53"/>
      <c r="O2671" s="53"/>
      <c r="P2671" s="53"/>
      <c r="Q2671" s="53"/>
      <c r="R2671" s="53"/>
      <c r="S2671" s="53"/>
      <c r="T2671" s="53"/>
      <c r="U2671" s="53"/>
      <c r="V2671" s="53"/>
      <c r="W2671" s="53"/>
      <c r="X2671" s="53"/>
      <c r="Y2671" s="53"/>
      <c r="Z2671" s="53"/>
      <c r="AA2671" s="54"/>
      <c r="AB2671" s="53"/>
      <c r="AC2671" s="53"/>
      <c r="AD2671" s="53"/>
      <c r="AE2671" s="53"/>
      <c r="AF2671" s="53"/>
      <c r="AG2671" s="53"/>
      <c r="AH2671" s="54"/>
      <c r="AI2671" s="53"/>
      <c r="AJ2671" s="53"/>
      <c r="AK2671" s="54"/>
      <c r="AL2671" s="54"/>
    </row>
    <row r="2672" spans="1:38" ht="15.75" thickBot="1" x14ac:dyDescent="0.3">
      <c r="A2672" s="51"/>
      <c r="B2672" s="51"/>
      <c r="C2672" s="51"/>
      <c r="D2672" s="51"/>
      <c r="E2672" s="51"/>
      <c r="F2672" s="51"/>
      <c r="G2672" s="56"/>
      <c r="H2672" s="55"/>
      <c r="I2672" s="55"/>
      <c r="J2672" s="55"/>
      <c r="K2672" s="55"/>
      <c r="L2672" s="55"/>
      <c r="M2672" s="55"/>
      <c r="N2672" s="55"/>
      <c r="O2672" s="55"/>
      <c r="P2672" s="55"/>
      <c r="Q2672" s="55"/>
      <c r="R2672" s="56"/>
      <c r="S2672" s="55"/>
      <c r="T2672" s="55"/>
      <c r="U2672" s="55"/>
      <c r="V2672" s="55"/>
      <c r="W2672" s="55"/>
      <c r="X2672" s="55"/>
      <c r="Y2672" s="55"/>
      <c r="Z2672" s="55"/>
      <c r="AA2672" s="55"/>
      <c r="AB2672" s="55"/>
      <c r="AC2672" s="55"/>
      <c r="AD2672" s="55"/>
      <c r="AE2672" s="55"/>
      <c r="AF2672" s="55"/>
      <c r="AG2672" s="55"/>
      <c r="AH2672" s="56"/>
      <c r="AI2672" s="55"/>
      <c r="AJ2672" s="55"/>
      <c r="AK2672" s="56"/>
      <c r="AL2672" s="56"/>
    </row>
    <row r="2673" spans="1:38" ht="15.75" thickBot="1" x14ac:dyDescent="0.3">
      <c r="A2673" s="51"/>
      <c r="B2673" s="51"/>
      <c r="C2673" s="51"/>
      <c r="D2673" s="51"/>
      <c r="E2673" s="51"/>
      <c r="F2673" s="51"/>
      <c r="G2673" s="54"/>
      <c r="H2673" s="53"/>
      <c r="I2673" s="53"/>
      <c r="J2673" s="53"/>
      <c r="K2673" s="53"/>
      <c r="L2673" s="53"/>
      <c r="M2673" s="53"/>
      <c r="N2673" s="53"/>
      <c r="O2673" s="53"/>
      <c r="P2673" s="53"/>
      <c r="Q2673" s="53"/>
      <c r="R2673" s="54"/>
      <c r="S2673" s="53"/>
      <c r="T2673" s="53"/>
      <c r="U2673" s="53"/>
      <c r="V2673" s="53"/>
      <c r="W2673" s="53"/>
      <c r="X2673" s="53"/>
      <c r="Y2673" s="53"/>
      <c r="Z2673" s="53"/>
      <c r="AA2673" s="53"/>
      <c r="AB2673" s="53"/>
      <c r="AC2673" s="53"/>
      <c r="AD2673" s="53"/>
      <c r="AE2673" s="53"/>
      <c r="AF2673" s="53"/>
      <c r="AG2673" s="53"/>
      <c r="AH2673" s="54"/>
      <c r="AI2673" s="53"/>
      <c r="AJ2673" s="53"/>
      <c r="AK2673" s="54"/>
      <c r="AL2673" s="54"/>
    </row>
    <row r="2674" spans="1:38" ht="15.75" thickBot="1" x14ac:dyDescent="0.3">
      <c r="A2674" s="51"/>
      <c r="B2674" s="51"/>
      <c r="C2674" s="51"/>
      <c r="D2674" s="51"/>
      <c r="E2674" s="51"/>
      <c r="F2674" s="51"/>
      <c r="G2674" s="56"/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/>
      <c r="S2674" s="55"/>
      <c r="T2674" s="55"/>
      <c r="U2674" s="55"/>
      <c r="V2674" s="55"/>
      <c r="W2674" s="55"/>
      <c r="X2674" s="55"/>
      <c r="Y2674" s="55"/>
      <c r="Z2674" s="55"/>
      <c r="AA2674" s="55"/>
      <c r="AB2674" s="55"/>
      <c r="AC2674" s="56"/>
      <c r="AD2674" s="55"/>
      <c r="AE2674" s="55"/>
      <c r="AF2674" s="55"/>
      <c r="AG2674" s="55"/>
      <c r="AH2674" s="56"/>
      <c r="AI2674" s="55"/>
      <c r="AJ2674" s="55"/>
      <c r="AK2674" s="56"/>
      <c r="AL2674" s="56"/>
    </row>
    <row r="2675" spans="1:38" ht="15.75" thickBot="1" x14ac:dyDescent="0.3">
      <c r="A2675" s="51"/>
      <c r="B2675" s="51"/>
      <c r="C2675" s="51"/>
      <c r="D2675" s="51"/>
      <c r="E2675" s="51"/>
      <c r="F2675" s="51"/>
      <c r="G2675" s="54"/>
      <c r="H2675" s="53"/>
      <c r="I2675" s="53"/>
      <c r="J2675" s="53"/>
      <c r="K2675" s="53"/>
      <c r="L2675" s="53"/>
      <c r="M2675" s="53"/>
      <c r="N2675" s="53"/>
      <c r="O2675" s="53"/>
      <c r="P2675" s="53"/>
      <c r="Q2675" s="53"/>
      <c r="R2675" s="53"/>
      <c r="S2675" s="53"/>
      <c r="T2675" s="53"/>
      <c r="U2675" s="53"/>
      <c r="V2675" s="53"/>
      <c r="W2675" s="53"/>
      <c r="X2675" s="53"/>
      <c r="Y2675" s="53"/>
      <c r="Z2675" s="53"/>
      <c r="AA2675" s="53"/>
      <c r="AB2675" s="53"/>
      <c r="AC2675" s="54"/>
      <c r="AD2675" s="53"/>
      <c r="AE2675" s="53"/>
      <c r="AF2675" s="53"/>
      <c r="AG2675" s="53"/>
      <c r="AH2675" s="54"/>
      <c r="AI2675" s="53"/>
      <c r="AJ2675" s="53"/>
      <c r="AK2675" s="54"/>
      <c r="AL2675" s="54"/>
    </row>
    <row r="2676" spans="1:38" ht="15.75" thickBot="1" x14ac:dyDescent="0.3">
      <c r="A2676" s="51"/>
      <c r="B2676" s="51"/>
      <c r="C2676" s="51"/>
      <c r="D2676" s="51"/>
      <c r="E2676" s="51"/>
      <c r="F2676" s="51"/>
      <c r="G2676" s="55"/>
      <c r="H2676" s="55"/>
      <c r="I2676" s="55"/>
      <c r="J2676" s="55"/>
      <c r="K2676" s="55"/>
      <c r="L2676" s="55"/>
      <c r="M2676" s="55"/>
      <c r="N2676" s="55"/>
      <c r="O2676" s="55"/>
      <c r="P2676" s="55"/>
      <c r="Q2676" s="55"/>
      <c r="R2676" s="55"/>
      <c r="S2676" s="55"/>
      <c r="T2676" s="55"/>
      <c r="U2676" s="55"/>
      <c r="V2676" s="55"/>
      <c r="W2676" s="55"/>
      <c r="X2676" s="55"/>
      <c r="Y2676" s="55"/>
      <c r="Z2676" s="55"/>
      <c r="AA2676" s="55"/>
      <c r="AB2676" s="55"/>
      <c r="AC2676" s="55"/>
      <c r="AD2676" s="55"/>
      <c r="AE2676" s="55"/>
      <c r="AF2676" s="55"/>
      <c r="AG2676" s="56"/>
      <c r="AH2676" s="56"/>
      <c r="AI2676" s="55"/>
      <c r="AJ2676" s="55"/>
      <c r="AK2676" s="56"/>
      <c r="AL2676" s="56"/>
    </row>
    <row r="2677" spans="1:38" ht="15.75" thickBot="1" x14ac:dyDescent="0.3">
      <c r="A2677" s="51"/>
      <c r="B2677" s="51"/>
      <c r="C2677" s="51"/>
      <c r="D2677" s="51"/>
      <c r="E2677" s="51"/>
      <c r="F2677" s="51"/>
      <c r="G2677" s="53"/>
      <c r="H2677" s="53"/>
      <c r="I2677" s="53"/>
      <c r="J2677" s="53"/>
      <c r="K2677" s="53"/>
      <c r="L2677" s="53"/>
      <c r="M2677" s="53"/>
      <c r="N2677" s="53"/>
      <c r="O2677" s="53"/>
      <c r="P2677" s="53"/>
      <c r="Q2677" s="53"/>
      <c r="R2677" s="53"/>
      <c r="S2677" s="53"/>
      <c r="T2677" s="53"/>
      <c r="U2677" s="53"/>
      <c r="V2677" s="53"/>
      <c r="W2677" s="53"/>
      <c r="X2677" s="53"/>
      <c r="Y2677" s="53"/>
      <c r="Z2677" s="53"/>
      <c r="AA2677" s="53"/>
      <c r="AB2677" s="53"/>
      <c r="AC2677" s="53"/>
      <c r="AD2677" s="53"/>
      <c r="AE2677" s="53"/>
      <c r="AF2677" s="53"/>
      <c r="AG2677" s="54"/>
      <c r="AH2677" s="54"/>
      <c r="AI2677" s="53"/>
      <c r="AJ2677" s="53"/>
      <c r="AK2677" s="54"/>
      <c r="AL2677" s="54"/>
    </row>
    <row r="2678" spans="1:38" ht="15.75" thickBot="1" x14ac:dyDescent="0.3">
      <c r="A2678" s="51"/>
      <c r="B2678" s="51"/>
      <c r="C2678" s="51"/>
      <c r="D2678" s="51"/>
      <c r="E2678" s="51"/>
      <c r="F2678" s="51"/>
      <c r="G2678" s="56"/>
      <c r="H2678" s="55"/>
      <c r="I2678" s="55"/>
      <c r="J2678" s="55"/>
      <c r="K2678" s="56"/>
      <c r="L2678" s="55"/>
      <c r="M2678" s="55"/>
      <c r="N2678" s="55"/>
      <c r="O2678" s="55"/>
      <c r="P2678" s="55"/>
      <c r="Q2678" s="55"/>
      <c r="R2678" s="55"/>
      <c r="S2678" s="55"/>
      <c r="T2678" s="55"/>
      <c r="U2678" s="55"/>
      <c r="V2678" s="55"/>
      <c r="W2678" s="55"/>
      <c r="X2678" s="55"/>
      <c r="Y2678" s="55"/>
      <c r="Z2678" s="55"/>
      <c r="AA2678" s="55"/>
      <c r="AB2678" s="55"/>
      <c r="AC2678" s="55"/>
      <c r="AD2678" s="55"/>
      <c r="AE2678" s="55"/>
      <c r="AF2678" s="55"/>
      <c r="AG2678" s="55"/>
      <c r="AH2678" s="56"/>
      <c r="AI2678" s="55"/>
      <c r="AJ2678" s="55"/>
      <c r="AK2678" s="56"/>
      <c r="AL2678" s="56"/>
    </row>
    <row r="2679" spans="1:38" ht="15.75" thickBot="1" x14ac:dyDescent="0.3">
      <c r="A2679" s="51"/>
      <c r="B2679" s="51"/>
      <c r="C2679" s="51"/>
      <c r="D2679" s="51"/>
      <c r="E2679" s="51"/>
      <c r="F2679" s="51"/>
      <c r="G2679" s="54"/>
      <c r="H2679" s="53"/>
      <c r="I2679" s="53"/>
      <c r="J2679" s="53"/>
      <c r="K2679" s="54"/>
      <c r="L2679" s="53"/>
      <c r="M2679" s="53"/>
      <c r="N2679" s="53"/>
      <c r="O2679" s="53"/>
      <c r="P2679" s="53"/>
      <c r="Q2679" s="53"/>
      <c r="R2679" s="53"/>
      <c r="S2679" s="53"/>
      <c r="T2679" s="53"/>
      <c r="U2679" s="53"/>
      <c r="V2679" s="53"/>
      <c r="W2679" s="53"/>
      <c r="X2679" s="53"/>
      <c r="Y2679" s="53"/>
      <c r="Z2679" s="53"/>
      <c r="AA2679" s="53"/>
      <c r="AB2679" s="53"/>
      <c r="AC2679" s="53"/>
      <c r="AD2679" s="53"/>
      <c r="AE2679" s="53"/>
      <c r="AF2679" s="53"/>
      <c r="AG2679" s="53"/>
      <c r="AH2679" s="54"/>
      <c r="AI2679" s="53"/>
      <c r="AJ2679" s="53"/>
      <c r="AK2679" s="54"/>
      <c r="AL2679" s="54"/>
    </row>
    <row r="2680" spans="1:38" ht="15.75" thickBot="1" x14ac:dyDescent="0.3">
      <c r="A2680" s="51"/>
      <c r="B2680" s="51"/>
      <c r="C2680" s="51"/>
      <c r="D2680" s="51"/>
      <c r="E2680" s="51"/>
      <c r="F2680" s="51"/>
      <c r="G2680" s="56"/>
      <c r="H2680" s="56"/>
      <c r="I2680" s="55"/>
      <c r="J2680" s="55"/>
      <c r="K2680" s="55"/>
      <c r="L2680" s="55"/>
      <c r="M2680" s="56"/>
      <c r="N2680" s="55"/>
      <c r="O2680" s="55"/>
      <c r="P2680" s="55"/>
      <c r="Q2680" s="55"/>
      <c r="R2680" s="55"/>
      <c r="S2680" s="55"/>
      <c r="T2680" s="55"/>
      <c r="U2680" s="55"/>
      <c r="V2680" s="55"/>
      <c r="W2680" s="55"/>
      <c r="X2680" s="55"/>
      <c r="Y2680" s="55"/>
      <c r="Z2680" s="55"/>
      <c r="AA2680" s="55"/>
      <c r="AB2680" s="55"/>
      <c r="AC2680" s="55"/>
      <c r="AD2680" s="55"/>
      <c r="AE2680" s="55"/>
      <c r="AF2680" s="55"/>
      <c r="AG2680" s="55"/>
      <c r="AH2680" s="56"/>
      <c r="AI2680" s="55"/>
      <c r="AJ2680" s="55"/>
      <c r="AK2680" s="56"/>
      <c r="AL2680" s="56"/>
    </row>
    <row r="2681" spans="1:38" ht="15.75" thickBot="1" x14ac:dyDescent="0.3">
      <c r="A2681" s="51"/>
      <c r="B2681" s="51"/>
      <c r="C2681" s="51"/>
      <c r="D2681" s="51"/>
      <c r="E2681" s="51"/>
      <c r="F2681" s="51"/>
      <c r="G2681" s="54"/>
      <c r="H2681" s="147"/>
      <c r="I2681" s="53"/>
      <c r="J2681" s="53"/>
      <c r="K2681" s="53"/>
      <c r="L2681" s="53"/>
      <c r="M2681" s="54"/>
      <c r="N2681" s="53"/>
      <c r="O2681" s="53"/>
      <c r="P2681" s="53"/>
      <c r="Q2681" s="53"/>
      <c r="R2681" s="53"/>
      <c r="S2681" s="53"/>
      <c r="T2681" s="53"/>
      <c r="U2681" s="53"/>
      <c r="V2681" s="53"/>
      <c r="W2681" s="53"/>
      <c r="X2681" s="53"/>
      <c r="Y2681" s="53"/>
      <c r="Z2681" s="53"/>
      <c r="AA2681" s="53"/>
      <c r="AB2681" s="53"/>
      <c r="AC2681" s="53"/>
      <c r="AD2681" s="53"/>
      <c r="AE2681" s="53"/>
      <c r="AF2681" s="53"/>
      <c r="AG2681" s="53"/>
      <c r="AH2681" s="54"/>
      <c r="AI2681" s="53"/>
      <c r="AJ2681" s="53"/>
      <c r="AK2681" s="54"/>
      <c r="AL2681" s="54"/>
    </row>
    <row r="2682" spans="1:38" ht="15.75" thickBot="1" x14ac:dyDescent="0.3">
      <c r="A2682" s="51"/>
      <c r="B2682" s="51"/>
      <c r="C2682" s="51"/>
      <c r="D2682" s="51"/>
      <c r="E2682" s="51"/>
      <c r="F2682" s="51"/>
      <c r="G2682" s="56"/>
      <c r="H2682" s="55"/>
      <c r="I2682" s="55"/>
      <c r="J2682" s="55"/>
      <c r="K2682" s="55"/>
      <c r="L2682" s="55"/>
      <c r="M2682" s="55"/>
      <c r="N2682" s="55"/>
      <c r="O2682" s="55"/>
      <c r="P2682" s="55"/>
      <c r="Q2682" s="55"/>
      <c r="R2682" s="55"/>
      <c r="S2682" s="55"/>
      <c r="T2682" s="55"/>
      <c r="U2682" s="55"/>
      <c r="V2682" s="55"/>
      <c r="W2682" s="55"/>
      <c r="X2682" s="55"/>
      <c r="Y2682" s="55"/>
      <c r="Z2682" s="56"/>
      <c r="AA2682" s="55"/>
      <c r="AB2682" s="55"/>
      <c r="AC2682" s="55"/>
      <c r="AD2682" s="55"/>
      <c r="AE2682" s="55"/>
      <c r="AF2682" s="55"/>
      <c r="AG2682" s="55"/>
      <c r="AH2682" s="56"/>
      <c r="AI2682" s="55"/>
      <c r="AJ2682" s="55"/>
      <c r="AK2682" s="56"/>
      <c r="AL2682" s="56"/>
    </row>
    <row r="2683" spans="1:38" ht="15.75" thickBot="1" x14ac:dyDescent="0.3">
      <c r="A2683" s="51"/>
      <c r="B2683" s="51"/>
      <c r="C2683" s="51"/>
      <c r="D2683" s="51"/>
      <c r="E2683" s="51"/>
      <c r="F2683" s="51"/>
      <c r="G2683" s="54"/>
      <c r="H2683" s="53"/>
      <c r="I2683" s="53"/>
      <c r="J2683" s="53"/>
      <c r="K2683" s="53"/>
      <c r="L2683" s="53"/>
      <c r="M2683" s="53"/>
      <c r="N2683" s="53"/>
      <c r="O2683" s="53"/>
      <c r="P2683" s="53"/>
      <c r="Q2683" s="53"/>
      <c r="R2683" s="53"/>
      <c r="S2683" s="53"/>
      <c r="T2683" s="53"/>
      <c r="U2683" s="53"/>
      <c r="V2683" s="53"/>
      <c r="W2683" s="53"/>
      <c r="X2683" s="53"/>
      <c r="Y2683" s="53"/>
      <c r="Z2683" s="54"/>
      <c r="AA2683" s="53"/>
      <c r="AB2683" s="53"/>
      <c r="AC2683" s="53"/>
      <c r="AD2683" s="53"/>
      <c r="AE2683" s="53"/>
      <c r="AF2683" s="53"/>
      <c r="AG2683" s="53"/>
      <c r="AH2683" s="54"/>
      <c r="AI2683" s="53"/>
      <c r="AJ2683" s="53"/>
      <c r="AK2683" s="54"/>
      <c r="AL2683" s="54"/>
    </row>
    <row r="2684" spans="1:38" ht="15.75" thickBot="1" x14ac:dyDescent="0.3">
      <c r="A2684" s="51"/>
      <c r="B2684" s="51"/>
      <c r="C2684" s="51"/>
      <c r="D2684" s="51"/>
      <c r="E2684" s="51"/>
      <c r="F2684" s="51"/>
      <c r="G2684" s="56"/>
      <c r="H2684" s="55"/>
      <c r="I2684" s="55"/>
      <c r="J2684" s="55"/>
      <c r="K2684" s="55"/>
      <c r="L2684" s="55"/>
      <c r="M2684" s="55"/>
      <c r="N2684" s="55"/>
      <c r="O2684" s="55"/>
      <c r="P2684" s="55"/>
      <c r="Q2684" s="55"/>
      <c r="R2684" s="55"/>
      <c r="S2684" s="55"/>
      <c r="T2684" s="55"/>
      <c r="U2684" s="55"/>
      <c r="V2684" s="55"/>
      <c r="W2684" s="55"/>
      <c r="X2684" s="55"/>
      <c r="Y2684" s="55"/>
      <c r="Z2684" s="55"/>
      <c r="AA2684" s="56"/>
      <c r="AB2684" s="55"/>
      <c r="AC2684" s="55"/>
      <c r="AD2684" s="55"/>
      <c r="AE2684" s="55"/>
      <c r="AF2684" s="55"/>
      <c r="AG2684" s="55"/>
      <c r="AH2684" s="56"/>
      <c r="AI2684" s="55"/>
      <c r="AJ2684" s="55"/>
      <c r="AK2684" s="56"/>
      <c r="AL2684" s="56"/>
    </row>
    <row r="2685" spans="1:38" ht="15.75" thickBot="1" x14ac:dyDescent="0.3">
      <c r="A2685" s="51"/>
      <c r="B2685" s="51"/>
      <c r="C2685" s="51"/>
      <c r="D2685" s="51"/>
      <c r="E2685" s="51"/>
      <c r="F2685" s="51"/>
      <c r="G2685" s="54"/>
      <c r="H2685" s="53"/>
      <c r="I2685" s="53"/>
      <c r="J2685" s="53"/>
      <c r="K2685" s="53"/>
      <c r="L2685" s="53"/>
      <c r="M2685" s="53"/>
      <c r="N2685" s="53"/>
      <c r="O2685" s="53"/>
      <c r="P2685" s="53"/>
      <c r="Q2685" s="53"/>
      <c r="R2685" s="53"/>
      <c r="S2685" s="53"/>
      <c r="T2685" s="53"/>
      <c r="U2685" s="53"/>
      <c r="V2685" s="53"/>
      <c r="W2685" s="53"/>
      <c r="X2685" s="53"/>
      <c r="Y2685" s="53"/>
      <c r="Z2685" s="53"/>
      <c r="AA2685" s="54"/>
      <c r="AB2685" s="53"/>
      <c r="AC2685" s="53"/>
      <c r="AD2685" s="53"/>
      <c r="AE2685" s="53"/>
      <c r="AF2685" s="53"/>
      <c r="AG2685" s="53"/>
      <c r="AH2685" s="54"/>
      <c r="AI2685" s="53"/>
      <c r="AJ2685" s="53"/>
      <c r="AK2685" s="54"/>
      <c r="AL2685" s="54"/>
    </row>
    <row r="2686" spans="1:38" ht="15.75" thickBot="1" x14ac:dyDescent="0.3">
      <c r="A2686" s="51"/>
      <c r="B2686" s="51"/>
      <c r="C2686" s="51"/>
      <c r="D2686" s="51"/>
      <c r="E2686" s="51"/>
      <c r="F2686" s="51"/>
      <c r="G2686" s="56"/>
      <c r="H2686" s="55"/>
      <c r="I2686" s="55"/>
      <c r="J2686" s="55"/>
      <c r="K2686" s="55"/>
      <c r="L2686" s="55"/>
      <c r="M2686" s="55"/>
      <c r="N2686" s="55"/>
      <c r="O2686" s="55"/>
      <c r="P2686" s="55"/>
      <c r="Q2686" s="55"/>
      <c r="R2686" s="56"/>
      <c r="S2686" s="55"/>
      <c r="T2686" s="55"/>
      <c r="U2686" s="55"/>
      <c r="V2686" s="55"/>
      <c r="W2686" s="55"/>
      <c r="X2686" s="55"/>
      <c r="Y2686" s="55"/>
      <c r="Z2686" s="55"/>
      <c r="AA2686" s="55"/>
      <c r="AB2686" s="55"/>
      <c r="AC2686" s="55"/>
      <c r="AD2686" s="55"/>
      <c r="AE2686" s="55"/>
      <c r="AF2686" s="55"/>
      <c r="AG2686" s="55"/>
      <c r="AH2686" s="56"/>
      <c r="AI2686" s="55"/>
      <c r="AJ2686" s="55"/>
      <c r="AK2686" s="56"/>
      <c r="AL2686" s="56"/>
    </row>
    <row r="2687" spans="1:38" ht="15.75" thickBot="1" x14ac:dyDescent="0.3">
      <c r="A2687" s="51"/>
      <c r="B2687" s="51"/>
      <c r="C2687" s="51"/>
      <c r="D2687" s="51"/>
      <c r="E2687" s="51"/>
      <c r="F2687" s="51"/>
      <c r="G2687" s="54"/>
      <c r="H2687" s="53"/>
      <c r="I2687" s="53"/>
      <c r="J2687" s="53"/>
      <c r="K2687" s="53"/>
      <c r="L2687" s="53"/>
      <c r="M2687" s="53"/>
      <c r="N2687" s="53"/>
      <c r="O2687" s="53"/>
      <c r="P2687" s="53"/>
      <c r="Q2687" s="53"/>
      <c r="R2687" s="54"/>
      <c r="S2687" s="53"/>
      <c r="T2687" s="53"/>
      <c r="U2687" s="53"/>
      <c r="V2687" s="53"/>
      <c r="W2687" s="53"/>
      <c r="X2687" s="53"/>
      <c r="Y2687" s="53"/>
      <c r="Z2687" s="53"/>
      <c r="AA2687" s="53"/>
      <c r="AB2687" s="53"/>
      <c r="AC2687" s="53"/>
      <c r="AD2687" s="53"/>
      <c r="AE2687" s="53"/>
      <c r="AF2687" s="53"/>
      <c r="AG2687" s="53"/>
      <c r="AH2687" s="54"/>
      <c r="AI2687" s="53"/>
      <c r="AJ2687" s="53"/>
      <c r="AK2687" s="54"/>
      <c r="AL2687" s="54"/>
    </row>
    <row r="2688" spans="1:38" ht="15.75" thickBot="1" x14ac:dyDescent="0.3">
      <c r="A2688" s="51"/>
      <c r="B2688" s="51"/>
      <c r="C2688" s="51"/>
      <c r="D2688" s="51"/>
      <c r="E2688" s="51"/>
      <c r="F2688" s="51"/>
      <c r="G2688" s="56"/>
      <c r="H2688" s="55"/>
      <c r="I2688" s="55"/>
      <c r="J2688" s="55"/>
      <c r="K2688" s="55"/>
      <c r="L2688" s="55"/>
      <c r="M2688" s="55"/>
      <c r="N2688" s="55"/>
      <c r="O2688" s="55"/>
      <c r="P2688" s="55"/>
      <c r="Q2688" s="55"/>
      <c r="R2688" s="55"/>
      <c r="S2688" s="55"/>
      <c r="T2688" s="55"/>
      <c r="U2688" s="55"/>
      <c r="V2688" s="55"/>
      <c r="W2688" s="55"/>
      <c r="X2688" s="55"/>
      <c r="Y2688" s="55"/>
      <c r="Z2688" s="55"/>
      <c r="AA2688" s="55"/>
      <c r="AB2688" s="55"/>
      <c r="AC2688" s="56"/>
      <c r="AD2688" s="55"/>
      <c r="AE2688" s="55"/>
      <c r="AF2688" s="55"/>
      <c r="AG2688" s="55"/>
      <c r="AH2688" s="56"/>
      <c r="AI2688" s="55"/>
      <c r="AJ2688" s="55"/>
      <c r="AK2688" s="56"/>
      <c r="AL2688" s="56"/>
    </row>
    <row r="2689" spans="1:38" ht="15.75" thickBot="1" x14ac:dyDescent="0.3">
      <c r="A2689" s="51"/>
      <c r="B2689" s="51"/>
      <c r="C2689" s="51"/>
      <c r="D2689" s="51"/>
      <c r="E2689" s="51"/>
      <c r="F2689" s="51"/>
      <c r="G2689" s="54"/>
      <c r="H2689" s="53"/>
      <c r="I2689" s="53"/>
      <c r="J2689" s="53"/>
      <c r="K2689" s="53"/>
      <c r="L2689" s="53"/>
      <c r="M2689" s="53"/>
      <c r="N2689" s="53"/>
      <c r="O2689" s="53"/>
      <c r="P2689" s="53"/>
      <c r="Q2689" s="53"/>
      <c r="R2689" s="53"/>
      <c r="S2689" s="53"/>
      <c r="T2689" s="53"/>
      <c r="U2689" s="53"/>
      <c r="V2689" s="53"/>
      <c r="W2689" s="53"/>
      <c r="X2689" s="53"/>
      <c r="Y2689" s="53"/>
      <c r="Z2689" s="53"/>
      <c r="AA2689" s="53"/>
      <c r="AB2689" s="53"/>
      <c r="AC2689" s="54"/>
      <c r="AD2689" s="53"/>
      <c r="AE2689" s="53"/>
      <c r="AF2689" s="53"/>
      <c r="AG2689" s="53"/>
      <c r="AH2689" s="54"/>
      <c r="AI2689" s="53"/>
      <c r="AJ2689" s="53"/>
      <c r="AK2689" s="54"/>
      <c r="AL2689" s="54"/>
    </row>
    <row r="2690" spans="1:38" ht="15.75" thickBot="1" x14ac:dyDescent="0.3">
      <c r="A2690" s="51"/>
      <c r="B2690" s="51"/>
      <c r="C2690" s="51"/>
      <c r="D2690" s="51"/>
      <c r="E2690" s="51"/>
      <c r="F2690" s="51"/>
      <c r="G2690" s="56"/>
      <c r="H2690" s="55"/>
      <c r="I2690" s="55"/>
      <c r="J2690" s="55"/>
      <c r="K2690" s="56"/>
      <c r="L2690" s="55"/>
      <c r="M2690" s="55"/>
      <c r="N2690" s="55"/>
      <c r="O2690" s="55"/>
      <c r="P2690" s="55"/>
      <c r="Q2690" s="55"/>
      <c r="R2690" s="55"/>
      <c r="S2690" s="55"/>
      <c r="T2690" s="55"/>
      <c r="U2690" s="55"/>
      <c r="V2690" s="55"/>
      <c r="W2690" s="55"/>
      <c r="X2690" s="55"/>
      <c r="Y2690" s="55"/>
      <c r="Z2690" s="55"/>
      <c r="AA2690" s="55"/>
      <c r="AB2690" s="55"/>
      <c r="AC2690" s="55"/>
      <c r="AD2690" s="55"/>
      <c r="AE2690" s="55"/>
      <c r="AF2690" s="55"/>
      <c r="AG2690" s="55"/>
      <c r="AH2690" s="56"/>
      <c r="AI2690" s="55"/>
      <c r="AJ2690" s="55"/>
      <c r="AK2690" s="56"/>
      <c r="AL2690" s="56"/>
    </row>
    <row r="2691" spans="1:38" ht="15.75" thickBot="1" x14ac:dyDescent="0.3">
      <c r="A2691" s="51"/>
      <c r="B2691" s="51"/>
      <c r="C2691" s="51"/>
      <c r="D2691" s="51"/>
      <c r="E2691" s="51"/>
      <c r="F2691" s="51"/>
      <c r="G2691" s="54"/>
      <c r="H2691" s="53"/>
      <c r="I2691" s="53"/>
      <c r="J2691" s="53"/>
      <c r="K2691" s="54"/>
      <c r="L2691" s="53"/>
      <c r="M2691" s="53"/>
      <c r="N2691" s="53"/>
      <c r="O2691" s="53"/>
      <c r="P2691" s="53"/>
      <c r="Q2691" s="53"/>
      <c r="R2691" s="53"/>
      <c r="S2691" s="53"/>
      <c r="T2691" s="53"/>
      <c r="U2691" s="53"/>
      <c r="V2691" s="53"/>
      <c r="W2691" s="53"/>
      <c r="X2691" s="53"/>
      <c r="Y2691" s="53"/>
      <c r="Z2691" s="53"/>
      <c r="AA2691" s="53"/>
      <c r="AB2691" s="53"/>
      <c r="AC2691" s="53"/>
      <c r="AD2691" s="53"/>
      <c r="AE2691" s="53"/>
      <c r="AF2691" s="53"/>
      <c r="AG2691" s="53"/>
      <c r="AH2691" s="54"/>
      <c r="AI2691" s="53"/>
      <c r="AJ2691" s="53"/>
      <c r="AK2691" s="54"/>
      <c r="AL2691" s="54"/>
    </row>
    <row r="2692" spans="1:38" ht="15.75" thickBot="1" x14ac:dyDescent="0.3">
      <c r="A2692" s="51"/>
      <c r="B2692" s="51"/>
      <c r="C2692" s="51"/>
      <c r="D2692" s="51"/>
      <c r="E2692" s="51"/>
      <c r="F2692" s="51"/>
      <c r="G2692" s="56"/>
      <c r="H2692" s="56"/>
      <c r="I2692" s="55"/>
      <c r="J2692" s="55"/>
      <c r="K2692" s="55"/>
      <c r="L2692" s="55"/>
      <c r="M2692" s="56"/>
      <c r="N2692" s="55"/>
      <c r="O2692" s="55"/>
      <c r="P2692" s="55"/>
      <c r="Q2692" s="55"/>
      <c r="R2692" s="55"/>
      <c r="S2692" s="55"/>
      <c r="T2692" s="55"/>
      <c r="U2692" s="55"/>
      <c r="V2692" s="55"/>
      <c r="W2692" s="55"/>
      <c r="X2692" s="55"/>
      <c r="Y2692" s="55"/>
      <c r="Z2692" s="55"/>
      <c r="AA2692" s="55"/>
      <c r="AB2692" s="55"/>
      <c r="AC2692" s="55"/>
      <c r="AD2692" s="55"/>
      <c r="AE2692" s="55"/>
      <c r="AF2692" s="55"/>
      <c r="AG2692" s="55"/>
      <c r="AH2692" s="56"/>
      <c r="AI2692" s="55"/>
      <c r="AJ2692" s="55"/>
      <c r="AK2692" s="56"/>
      <c r="AL2692" s="56"/>
    </row>
    <row r="2693" spans="1:38" ht="15.75" thickBot="1" x14ac:dyDescent="0.3">
      <c r="A2693" s="51"/>
      <c r="B2693" s="51"/>
      <c r="C2693" s="51"/>
      <c r="D2693" s="51"/>
      <c r="E2693" s="51"/>
      <c r="F2693" s="51"/>
      <c r="G2693" s="54"/>
      <c r="H2693" s="147"/>
      <c r="I2693" s="53"/>
      <c r="J2693" s="53"/>
      <c r="K2693" s="53"/>
      <c r="L2693" s="53"/>
      <c r="M2693" s="54"/>
      <c r="N2693" s="53"/>
      <c r="O2693" s="53"/>
      <c r="P2693" s="53"/>
      <c r="Q2693" s="53"/>
      <c r="R2693" s="53"/>
      <c r="S2693" s="53"/>
      <c r="T2693" s="53"/>
      <c r="U2693" s="53"/>
      <c r="V2693" s="53"/>
      <c r="W2693" s="53"/>
      <c r="X2693" s="53"/>
      <c r="Y2693" s="53"/>
      <c r="Z2693" s="53"/>
      <c r="AA2693" s="53"/>
      <c r="AB2693" s="53"/>
      <c r="AC2693" s="53"/>
      <c r="AD2693" s="53"/>
      <c r="AE2693" s="53"/>
      <c r="AF2693" s="53"/>
      <c r="AG2693" s="53"/>
      <c r="AH2693" s="54"/>
      <c r="AI2693" s="53"/>
      <c r="AJ2693" s="53"/>
      <c r="AK2693" s="54"/>
      <c r="AL2693" s="54"/>
    </row>
    <row r="2694" spans="1:38" ht="15.75" thickBot="1" x14ac:dyDescent="0.3">
      <c r="A2694" s="51"/>
      <c r="B2694" s="51"/>
      <c r="C2694" s="51"/>
      <c r="D2694" s="51"/>
      <c r="E2694" s="51"/>
      <c r="F2694" s="51"/>
      <c r="G2694" s="56"/>
      <c r="H2694" s="55"/>
      <c r="I2694" s="55"/>
      <c r="J2694" s="55"/>
      <c r="K2694" s="55"/>
      <c r="L2694" s="55"/>
      <c r="M2694" s="55"/>
      <c r="N2694" s="55"/>
      <c r="O2694" s="55"/>
      <c r="P2694" s="55"/>
      <c r="Q2694" s="55"/>
      <c r="R2694" s="55"/>
      <c r="S2694" s="55"/>
      <c r="T2694" s="55"/>
      <c r="U2694" s="55"/>
      <c r="V2694" s="55"/>
      <c r="W2694" s="55"/>
      <c r="X2694" s="55"/>
      <c r="Y2694" s="55"/>
      <c r="Z2694" s="56"/>
      <c r="AA2694" s="55"/>
      <c r="AB2694" s="55"/>
      <c r="AC2694" s="55"/>
      <c r="AD2694" s="55"/>
      <c r="AE2694" s="55"/>
      <c r="AF2694" s="55"/>
      <c r="AG2694" s="55"/>
      <c r="AH2694" s="56"/>
      <c r="AI2694" s="55"/>
      <c r="AJ2694" s="55"/>
      <c r="AK2694" s="56"/>
      <c r="AL2694" s="56"/>
    </row>
    <row r="2695" spans="1:38" ht="15.75" thickBot="1" x14ac:dyDescent="0.3">
      <c r="A2695" s="51"/>
      <c r="B2695" s="51"/>
      <c r="C2695" s="51"/>
      <c r="D2695" s="51"/>
      <c r="E2695" s="51"/>
      <c r="F2695" s="51"/>
      <c r="G2695" s="54"/>
      <c r="H2695" s="53"/>
      <c r="I2695" s="53"/>
      <c r="J2695" s="53"/>
      <c r="K2695" s="53"/>
      <c r="L2695" s="53"/>
      <c r="M2695" s="53"/>
      <c r="N2695" s="53"/>
      <c r="O2695" s="53"/>
      <c r="P2695" s="53"/>
      <c r="Q2695" s="53"/>
      <c r="R2695" s="53"/>
      <c r="S2695" s="53"/>
      <c r="T2695" s="53"/>
      <c r="U2695" s="53"/>
      <c r="V2695" s="53"/>
      <c r="W2695" s="53"/>
      <c r="X2695" s="53"/>
      <c r="Y2695" s="53"/>
      <c r="Z2695" s="54"/>
      <c r="AA2695" s="53"/>
      <c r="AB2695" s="53"/>
      <c r="AC2695" s="53"/>
      <c r="AD2695" s="53"/>
      <c r="AE2695" s="53"/>
      <c r="AF2695" s="53"/>
      <c r="AG2695" s="53"/>
      <c r="AH2695" s="54"/>
      <c r="AI2695" s="53"/>
      <c r="AJ2695" s="53"/>
      <c r="AK2695" s="54"/>
      <c r="AL2695" s="54"/>
    </row>
    <row r="2696" spans="1:38" ht="15.75" thickBot="1" x14ac:dyDescent="0.3">
      <c r="A2696" s="51"/>
      <c r="B2696" s="51"/>
      <c r="C2696" s="51"/>
      <c r="D2696" s="51"/>
      <c r="E2696" s="51"/>
      <c r="F2696" s="51"/>
      <c r="G2696" s="56"/>
      <c r="H2696" s="55"/>
      <c r="I2696" s="55"/>
      <c r="J2696" s="55"/>
      <c r="K2696" s="55"/>
      <c r="L2696" s="55"/>
      <c r="M2696" s="55"/>
      <c r="N2696" s="55"/>
      <c r="O2696" s="55"/>
      <c r="P2696" s="55"/>
      <c r="Q2696" s="55"/>
      <c r="R2696" s="55"/>
      <c r="S2696" s="55"/>
      <c r="T2696" s="55"/>
      <c r="U2696" s="55"/>
      <c r="V2696" s="55"/>
      <c r="W2696" s="55"/>
      <c r="X2696" s="55"/>
      <c r="Y2696" s="55"/>
      <c r="Z2696" s="55"/>
      <c r="AA2696" s="56"/>
      <c r="AB2696" s="55"/>
      <c r="AC2696" s="55"/>
      <c r="AD2696" s="55"/>
      <c r="AE2696" s="55"/>
      <c r="AF2696" s="55"/>
      <c r="AG2696" s="55"/>
      <c r="AH2696" s="56"/>
      <c r="AI2696" s="55"/>
      <c r="AJ2696" s="55"/>
      <c r="AK2696" s="56"/>
      <c r="AL2696" s="56"/>
    </row>
    <row r="2697" spans="1:38" ht="15.75" thickBot="1" x14ac:dyDescent="0.3">
      <c r="A2697" s="51"/>
      <c r="B2697" s="51"/>
      <c r="C2697" s="51"/>
      <c r="D2697" s="51"/>
      <c r="E2697" s="51"/>
      <c r="F2697" s="51"/>
      <c r="G2697" s="54"/>
      <c r="H2697" s="53"/>
      <c r="I2697" s="53"/>
      <c r="J2697" s="53"/>
      <c r="K2697" s="53"/>
      <c r="L2697" s="53"/>
      <c r="M2697" s="53"/>
      <c r="N2697" s="53"/>
      <c r="O2697" s="53"/>
      <c r="P2697" s="53"/>
      <c r="Q2697" s="53"/>
      <c r="R2697" s="53"/>
      <c r="S2697" s="53"/>
      <c r="T2697" s="53"/>
      <c r="U2697" s="53"/>
      <c r="V2697" s="53"/>
      <c r="W2697" s="53"/>
      <c r="X2697" s="53"/>
      <c r="Y2697" s="53"/>
      <c r="Z2697" s="53"/>
      <c r="AA2697" s="54"/>
      <c r="AB2697" s="53"/>
      <c r="AC2697" s="53"/>
      <c r="AD2697" s="53"/>
      <c r="AE2697" s="53"/>
      <c r="AF2697" s="53"/>
      <c r="AG2697" s="53"/>
      <c r="AH2697" s="54"/>
      <c r="AI2697" s="53"/>
      <c r="AJ2697" s="53"/>
      <c r="AK2697" s="54"/>
      <c r="AL2697" s="54"/>
    </row>
    <row r="2698" spans="1:38" ht="15.75" thickBot="1" x14ac:dyDescent="0.3">
      <c r="A2698" s="51"/>
      <c r="B2698" s="51"/>
      <c r="C2698" s="51"/>
      <c r="D2698" s="51"/>
      <c r="E2698" s="51"/>
      <c r="F2698" s="51"/>
      <c r="G2698" s="56"/>
      <c r="H2698" s="55"/>
      <c r="I2698" s="55"/>
      <c r="J2698" s="55"/>
      <c r="K2698" s="55"/>
      <c r="L2698" s="55"/>
      <c r="M2698" s="55"/>
      <c r="N2698" s="55"/>
      <c r="O2698" s="55"/>
      <c r="P2698" s="55"/>
      <c r="Q2698" s="55"/>
      <c r="R2698" s="56"/>
      <c r="S2698" s="55"/>
      <c r="T2698" s="55"/>
      <c r="U2698" s="55"/>
      <c r="V2698" s="55"/>
      <c r="W2698" s="55"/>
      <c r="X2698" s="55"/>
      <c r="Y2698" s="55"/>
      <c r="Z2698" s="55"/>
      <c r="AA2698" s="55"/>
      <c r="AB2698" s="55"/>
      <c r="AC2698" s="55"/>
      <c r="AD2698" s="55"/>
      <c r="AE2698" s="55"/>
      <c r="AF2698" s="55"/>
      <c r="AG2698" s="55"/>
      <c r="AH2698" s="56"/>
      <c r="AI2698" s="55"/>
      <c r="AJ2698" s="55"/>
      <c r="AK2698" s="56"/>
      <c r="AL2698" s="56"/>
    </row>
    <row r="2699" spans="1:38" ht="15.75" thickBot="1" x14ac:dyDescent="0.3">
      <c r="A2699" s="51"/>
      <c r="B2699" s="51"/>
      <c r="C2699" s="51"/>
      <c r="D2699" s="51"/>
      <c r="E2699" s="51"/>
      <c r="F2699" s="51"/>
      <c r="G2699" s="54"/>
      <c r="H2699" s="53"/>
      <c r="I2699" s="53"/>
      <c r="J2699" s="53"/>
      <c r="K2699" s="53"/>
      <c r="L2699" s="53"/>
      <c r="M2699" s="53"/>
      <c r="N2699" s="53"/>
      <c r="O2699" s="53"/>
      <c r="P2699" s="53"/>
      <c r="Q2699" s="53"/>
      <c r="R2699" s="54"/>
      <c r="S2699" s="53"/>
      <c r="T2699" s="53"/>
      <c r="U2699" s="53"/>
      <c r="V2699" s="53"/>
      <c r="W2699" s="53"/>
      <c r="X2699" s="53"/>
      <c r="Y2699" s="53"/>
      <c r="Z2699" s="53"/>
      <c r="AA2699" s="53"/>
      <c r="AB2699" s="53"/>
      <c r="AC2699" s="53"/>
      <c r="AD2699" s="53"/>
      <c r="AE2699" s="53"/>
      <c r="AF2699" s="53"/>
      <c r="AG2699" s="53"/>
      <c r="AH2699" s="54"/>
      <c r="AI2699" s="53"/>
      <c r="AJ2699" s="53"/>
      <c r="AK2699" s="54"/>
      <c r="AL2699" s="54"/>
    </row>
    <row r="2700" spans="1:38" ht="15.75" thickBot="1" x14ac:dyDescent="0.3">
      <c r="A2700" s="51"/>
      <c r="B2700" s="51"/>
      <c r="C2700" s="51"/>
      <c r="D2700" s="51"/>
      <c r="E2700" s="51"/>
      <c r="F2700" s="51"/>
      <c r="G2700" s="56"/>
      <c r="H2700" s="55"/>
      <c r="I2700" s="55"/>
      <c r="J2700" s="55"/>
      <c r="K2700" s="55"/>
      <c r="L2700" s="55"/>
      <c r="M2700" s="55"/>
      <c r="N2700" s="55"/>
      <c r="O2700" s="55"/>
      <c r="P2700" s="55"/>
      <c r="Q2700" s="55"/>
      <c r="R2700" s="55"/>
      <c r="S2700" s="55"/>
      <c r="T2700" s="55"/>
      <c r="U2700" s="55"/>
      <c r="V2700" s="55"/>
      <c r="W2700" s="55"/>
      <c r="X2700" s="55"/>
      <c r="Y2700" s="55"/>
      <c r="Z2700" s="55"/>
      <c r="AA2700" s="55"/>
      <c r="AB2700" s="55"/>
      <c r="AC2700" s="56"/>
      <c r="AD2700" s="55"/>
      <c r="AE2700" s="55"/>
      <c r="AF2700" s="55"/>
      <c r="AG2700" s="55"/>
      <c r="AH2700" s="56"/>
      <c r="AI2700" s="55"/>
      <c r="AJ2700" s="55"/>
      <c r="AK2700" s="56"/>
      <c r="AL2700" s="56"/>
    </row>
    <row r="2701" spans="1:38" ht="15.75" thickBot="1" x14ac:dyDescent="0.3">
      <c r="A2701" s="51"/>
      <c r="B2701" s="51"/>
      <c r="C2701" s="51"/>
      <c r="D2701" s="51"/>
      <c r="E2701" s="51"/>
      <c r="F2701" s="51"/>
      <c r="G2701" s="54"/>
      <c r="H2701" s="53"/>
      <c r="I2701" s="53"/>
      <c r="J2701" s="53"/>
      <c r="K2701" s="53"/>
      <c r="L2701" s="53"/>
      <c r="M2701" s="53"/>
      <c r="N2701" s="53"/>
      <c r="O2701" s="53"/>
      <c r="P2701" s="53"/>
      <c r="Q2701" s="53"/>
      <c r="R2701" s="53"/>
      <c r="S2701" s="53"/>
      <c r="T2701" s="53"/>
      <c r="U2701" s="53"/>
      <c r="V2701" s="53"/>
      <c r="W2701" s="53"/>
      <c r="X2701" s="53"/>
      <c r="Y2701" s="53"/>
      <c r="Z2701" s="53"/>
      <c r="AA2701" s="53"/>
      <c r="AB2701" s="53"/>
      <c r="AC2701" s="54"/>
      <c r="AD2701" s="53"/>
      <c r="AE2701" s="53"/>
      <c r="AF2701" s="53"/>
      <c r="AG2701" s="53"/>
      <c r="AH2701" s="54"/>
      <c r="AI2701" s="53"/>
      <c r="AJ2701" s="53"/>
      <c r="AK2701" s="54"/>
      <c r="AL2701" s="54"/>
    </row>
    <row r="2702" spans="1:38" ht="15.75" thickBot="1" x14ac:dyDescent="0.3">
      <c r="A2702" s="51"/>
      <c r="B2702" s="51"/>
      <c r="C2702" s="51"/>
      <c r="D2702" s="51"/>
      <c r="E2702" s="51"/>
      <c r="F2702" s="51"/>
      <c r="G2702" s="56"/>
      <c r="H2702" s="55"/>
      <c r="I2702" s="55"/>
      <c r="J2702" s="55"/>
      <c r="K2702" s="56"/>
      <c r="L2702" s="55"/>
      <c r="M2702" s="55"/>
      <c r="N2702" s="55"/>
      <c r="O2702" s="55"/>
      <c r="P2702" s="55"/>
      <c r="Q2702" s="55"/>
      <c r="R2702" s="55"/>
      <c r="S2702" s="55"/>
      <c r="T2702" s="55"/>
      <c r="U2702" s="55"/>
      <c r="V2702" s="55"/>
      <c r="W2702" s="55"/>
      <c r="X2702" s="55"/>
      <c r="Y2702" s="55"/>
      <c r="Z2702" s="55"/>
      <c r="AA2702" s="55"/>
      <c r="AB2702" s="55"/>
      <c r="AC2702" s="55"/>
      <c r="AD2702" s="55"/>
      <c r="AE2702" s="55"/>
      <c r="AF2702" s="55"/>
      <c r="AG2702" s="55"/>
      <c r="AH2702" s="56"/>
      <c r="AI2702" s="55"/>
      <c r="AJ2702" s="55"/>
      <c r="AK2702" s="56"/>
      <c r="AL2702" s="56"/>
    </row>
    <row r="2703" spans="1:38" ht="15.75" thickBot="1" x14ac:dyDescent="0.3">
      <c r="A2703" s="51"/>
      <c r="B2703" s="51"/>
      <c r="C2703" s="51"/>
      <c r="D2703" s="51"/>
      <c r="E2703" s="51"/>
      <c r="F2703" s="51"/>
      <c r="G2703" s="54"/>
      <c r="H2703" s="53"/>
      <c r="I2703" s="53"/>
      <c r="J2703" s="53"/>
      <c r="K2703" s="54"/>
      <c r="L2703" s="53"/>
      <c r="M2703" s="53"/>
      <c r="N2703" s="53"/>
      <c r="O2703" s="53"/>
      <c r="P2703" s="53"/>
      <c r="Q2703" s="53"/>
      <c r="R2703" s="53"/>
      <c r="S2703" s="53"/>
      <c r="T2703" s="53"/>
      <c r="U2703" s="53"/>
      <c r="V2703" s="53"/>
      <c r="W2703" s="53"/>
      <c r="X2703" s="53"/>
      <c r="Y2703" s="53"/>
      <c r="Z2703" s="53"/>
      <c r="AA2703" s="53"/>
      <c r="AB2703" s="53"/>
      <c r="AC2703" s="53"/>
      <c r="AD2703" s="53"/>
      <c r="AE2703" s="53"/>
      <c r="AF2703" s="53"/>
      <c r="AG2703" s="53"/>
      <c r="AH2703" s="54"/>
      <c r="AI2703" s="53"/>
      <c r="AJ2703" s="53"/>
      <c r="AK2703" s="54"/>
      <c r="AL2703" s="54"/>
    </row>
    <row r="2704" spans="1:38" ht="15.75" thickBot="1" x14ac:dyDescent="0.3">
      <c r="A2704" s="51"/>
      <c r="B2704" s="51"/>
      <c r="C2704" s="51"/>
      <c r="D2704" s="51"/>
      <c r="E2704" s="51"/>
      <c r="F2704" s="51"/>
      <c r="G2704" s="56"/>
      <c r="H2704" s="56"/>
      <c r="I2704" s="55"/>
      <c r="J2704" s="55"/>
      <c r="K2704" s="55"/>
      <c r="L2704" s="55"/>
      <c r="M2704" s="56"/>
      <c r="N2704" s="55"/>
      <c r="O2704" s="55"/>
      <c r="P2704" s="55"/>
      <c r="Q2704" s="55"/>
      <c r="R2704" s="55"/>
      <c r="S2704" s="55"/>
      <c r="T2704" s="55"/>
      <c r="U2704" s="55"/>
      <c r="V2704" s="55"/>
      <c r="W2704" s="55"/>
      <c r="X2704" s="55"/>
      <c r="Y2704" s="55"/>
      <c r="Z2704" s="55"/>
      <c r="AA2704" s="55"/>
      <c r="AB2704" s="55"/>
      <c r="AC2704" s="55"/>
      <c r="AD2704" s="55"/>
      <c r="AE2704" s="55"/>
      <c r="AF2704" s="55"/>
      <c r="AG2704" s="55"/>
      <c r="AH2704" s="56"/>
      <c r="AI2704" s="55"/>
      <c r="AJ2704" s="55"/>
      <c r="AK2704" s="56"/>
      <c r="AL2704" s="56"/>
    </row>
    <row r="2705" spans="1:38" ht="15.75" thickBot="1" x14ac:dyDescent="0.3">
      <c r="A2705" s="51"/>
      <c r="B2705" s="51"/>
      <c r="C2705" s="51"/>
      <c r="D2705" s="51"/>
      <c r="E2705" s="51"/>
      <c r="F2705" s="51"/>
      <c r="G2705" s="54"/>
      <c r="H2705" s="147"/>
      <c r="I2705" s="53"/>
      <c r="J2705" s="53"/>
      <c r="K2705" s="53"/>
      <c r="L2705" s="53"/>
      <c r="M2705" s="54"/>
      <c r="N2705" s="53"/>
      <c r="O2705" s="53"/>
      <c r="P2705" s="53"/>
      <c r="Q2705" s="53"/>
      <c r="R2705" s="53"/>
      <c r="S2705" s="53"/>
      <c r="T2705" s="53"/>
      <c r="U2705" s="53"/>
      <c r="V2705" s="53"/>
      <c r="W2705" s="53"/>
      <c r="X2705" s="53"/>
      <c r="Y2705" s="53"/>
      <c r="Z2705" s="53"/>
      <c r="AA2705" s="53"/>
      <c r="AB2705" s="53"/>
      <c r="AC2705" s="53"/>
      <c r="AD2705" s="53"/>
      <c r="AE2705" s="53"/>
      <c r="AF2705" s="53"/>
      <c r="AG2705" s="53"/>
      <c r="AH2705" s="54"/>
      <c r="AI2705" s="53"/>
      <c r="AJ2705" s="53"/>
      <c r="AK2705" s="54"/>
      <c r="AL2705" s="54"/>
    </row>
    <row r="2706" spans="1:38" ht="15.75" thickBot="1" x14ac:dyDescent="0.3">
      <c r="A2706" s="51"/>
      <c r="B2706" s="51"/>
      <c r="C2706" s="51"/>
      <c r="D2706" s="51"/>
      <c r="E2706" s="51"/>
      <c r="F2706" s="51"/>
      <c r="G2706" s="56"/>
      <c r="H2706" s="55"/>
      <c r="I2706" s="55"/>
      <c r="J2706" s="55"/>
      <c r="K2706" s="55"/>
      <c r="L2706" s="55"/>
      <c r="M2706" s="55"/>
      <c r="N2706" s="55"/>
      <c r="O2706" s="55"/>
      <c r="P2706" s="55"/>
      <c r="Q2706" s="55"/>
      <c r="R2706" s="55"/>
      <c r="S2706" s="55"/>
      <c r="T2706" s="55"/>
      <c r="U2706" s="55"/>
      <c r="V2706" s="55"/>
      <c r="W2706" s="55"/>
      <c r="X2706" s="55"/>
      <c r="Y2706" s="55"/>
      <c r="Z2706" s="56"/>
      <c r="AA2706" s="55"/>
      <c r="AB2706" s="55"/>
      <c r="AC2706" s="55"/>
      <c r="AD2706" s="55"/>
      <c r="AE2706" s="55"/>
      <c r="AF2706" s="55"/>
      <c r="AG2706" s="55"/>
      <c r="AH2706" s="56"/>
      <c r="AI2706" s="55"/>
      <c r="AJ2706" s="55"/>
      <c r="AK2706" s="56"/>
      <c r="AL2706" s="56"/>
    </row>
    <row r="2707" spans="1:38" ht="15.75" thickBot="1" x14ac:dyDescent="0.3">
      <c r="A2707" s="51"/>
      <c r="B2707" s="51"/>
      <c r="C2707" s="51"/>
      <c r="D2707" s="51"/>
      <c r="E2707" s="51"/>
      <c r="F2707" s="51"/>
      <c r="G2707" s="54"/>
      <c r="H2707" s="53"/>
      <c r="I2707" s="53"/>
      <c r="J2707" s="53"/>
      <c r="K2707" s="53"/>
      <c r="L2707" s="53"/>
      <c r="M2707" s="53"/>
      <c r="N2707" s="53"/>
      <c r="O2707" s="53"/>
      <c r="P2707" s="53"/>
      <c r="Q2707" s="53"/>
      <c r="R2707" s="53"/>
      <c r="S2707" s="53"/>
      <c r="T2707" s="53"/>
      <c r="U2707" s="53"/>
      <c r="V2707" s="53"/>
      <c r="W2707" s="53"/>
      <c r="X2707" s="53"/>
      <c r="Y2707" s="53"/>
      <c r="Z2707" s="54"/>
      <c r="AA2707" s="53"/>
      <c r="AB2707" s="53"/>
      <c r="AC2707" s="53"/>
      <c r="AD2707" s="53"/>
      <c r="AE2707" s="53"/>
      <c r="AF2707" s="53"/>
      <c r="AG2707" s="53"/>
      <c r="AH2707" s="54"/>
      <c r="AI2707" s="53"/>
      <c r="AJ2707" s="53"/>
      <c r="AK2707" s="54"/>
      <c r="AL2707" s="54"/>
    </row>
    <row r="2708" spans="1:38" ht="15.75" thickBot="1" x14ac:dyDescent="0.3">
      <c r="A2708" s="51"/>
      <c r="B2708" s="51"/>
      <c r="C2708" s="51"/>
      <c r="D2708" s="51"/>
      <c r="E2708" s="51"/>
      <c r="F2708" s="51"/>
      <c r="G2708" s="56"/>
      <c r="H2708" s="55"/>
      <c r="I2708" s="55"/>
      <c r="J2708" s="55"/>
      <c r="K2708" s="55"/>
      <c r="L2708" s="55"/>
      <c r="M2708" s="55"/>
      <c r="N2708" s="55"/>
      <c r="O2708" s="55"/>
      <c r="P2708" s="55"/>
      <c r="Q2708" s="55"/>
      <c r="R2708" s="55"/>
      <c r="S2708" s="55"/>
      <c r="T2708" s="55"/>
      <c r="U2708" s="55"/>
      <c r="V2708" s="55"/>
      <c r="W2708" s="55"/>
      <c r="X2708" s="55"/>
      <c r="Y2708" s="55"/>
      <c r="Z2708" s="55"/>
      <c r="AA2708" s="56"/>
      <c r="AB2708" s="55"/>
      <c r="AC2708" s="55"/>
      <c r="AD2708" s="55"/>
      <c r="AE2708" s="55"/>
      <c r="AF2708" s="55"/>
      <c r="AG2708" s="55"/>
      <c r="AH2708" s="56"/>
      <c r="AI2708" s="55"/>
      <c r="AJ2708" s="55"/>
      <c r="AK2708" s="56"/>
      <c r="AL2708" s="56"/>
    </row>
    <row r="2709" spans="1:38" ht="15.75" thickBot="1" x14ac:dyDescent="0.3">
      <c r="A2709" s="51"/>
      <c r="B2709" s="51"/>
      <c r="C2709" s="51"/>
      <c r="D2709" s="51"/>
      <c r="E2709" s="51"/>
      <c r="F2709" s="51"/>
      <c r="G2709" s="54"/>
      <c r="H2709" s="53"/>
      <c r="I2709" s="53"/>
      <c r="J2709" s="53"/>
      <c r="K2709" s="53"/>
      <c r="L2709" s="53"/>
      <c r="M2709" s="53"/>
      <c r="N2709" s="53"/>
      <c r="O2709" s="53"/>
      <c r="P2709" s="53"/>
      <c r="Q2709" s="53"/>
      <c r="R2709" s="53"/>
      <c r="S2709" s="53"/>
      <c r="T2709" s="53"/>
      <c r="U2709" s="53"/>
      <c r="V2709" s="53"/>
      <c r="W2709" s="53"/>
      <c r="X2709" s="53"/>
      <c r="Y2709" s="53"/>
      <c r="Z2709" s="53"/>
      <c r="AA2709" s="54"/>
      <c r="AB2709" s="53"/>
      <c r="AC2709" s="53"/>
      <c r="AD2709" s="53"/>
      <c r="AE2709" s="53"/>
      <c r="AF2709" s="53"/>
      <c r="AG2709" s="53"/>
      <c r="AH2709" s="54"/>
      <c r="AI2709" s="53"/>
      <c r="AJ2709" s="53"/>
      <c r="AK2709" s="54"/>
      <c r="AL2709" s="54"/>
    </row>
    <row r="2710" spans="1:38" ht="15.75" thickBot="1" x14ac:dyDescent="0.3">
      <c r="A2710" s="51"/>
      <c r="B2710" s="51"/>
      <c r="C2710" s="51"/>
      <c r="D2710" s="51"/>
      <c r="E2710" s="51"/>
      <c r="F2710" s="51"/>
      <c r="G2710" s="56"/>
      <c r="H2710" s="55"/>
      <c r="I2710" s="55"/>
      <c r="J2710" s="55"/>
      <c r="K2710" s="55"/>
      <c r="L2710" s="55"/>
      <c r="M2710" s="55"/>
      <c r="N2710" s="55"/>
      <c r="O2710" s="55"/>
      <c r="P2710" s="55"/>
      <c r="Q2710" s="55"/>
      <c r="R2710" s="56"/>
      <c r="S2710" s="55"/>
      <c r="T2710" s="55"/>
      <c r="U2710" s="55"/>
      <c r="V2710" s="55"/>
      <c r="W2710" s="55"/>
      <c r="X2710" s="55"/>
      <c r="Y2710" s="55"/>
      <c r="Z2710" s="55"/>
      <c r="AA2710" s="55"/>
      <c r="AB2710" s="55"/>
      <c r="AC2710" s="55"/>
      <c r="AD2710" s="55"/>
      <c r="AE2710" s="55"/>
      <c r="AF2710" s="55"/>
      <c r="AG2710" s="55"/>
      <c r="AH2710" s="56"/>
      <c r="AI2710" s="55"/>
      <c r="AJ2710" s="55"/>
      <c r="AK2710" s="56"/>
      <c r="AL2710" s="56"/>
    </row>
    <row r="2711" spans="1:38" ht="15.75" thickBot="1" x14ac:dyDescent="0.3">
      <c r="A2711" s="51"/>
      <c r="B2711" s="51"/>
      <c r="C2711" s="51"/>
      <c r="D2711" s="51"/>
      <c r="E2711" s="51"/>
      <c r="F2711" s="51"/>
      <c r="G2711" s="54"/>
      <c r="H2711" s="53"/>
      <c r="I2711" s="53"/>
      <c r="J2711" s="53"/>
      <c r="K2711" s="53"/>
      <c r="L2711" s="53"/>
      <c r="M2711" s="53"/>
      <c r="N2711" s="53"/>
      <c r="O2711" s="53"/>
      <c r="P2711" s="53"/>
      <c r="Q2711" s="53"/>
      <c r="R2711" s="54"/>
      <c r="S2711" s="53"/>
      <c r="T2711" s="53"/>
      <c r="U2711" s="53"/>
      <c r="V2711" s="53"/>
      <c r="W2711" s="53"/>
      <c r="X2711" s="53"/>
      <c r="Y2711" s="53"/>
      <c r="Z2711" s="53"/>
      <c r="AA2711" s="53"/>
      <c r="AB2711" s="53"/>
      <c r="AC2711" s="53"/>
      <c r="AD2711" s="53"/>
      <c r="AE2711" s="53"/>
      <c r="AF2711" s="53"/>
      <c r="AG2711" s="53"/>
      <c r="AH2711" s="54"/>
      <c r="AI2711" s="53"/>
      <c r="AJ2711" s="53"/>
      <c r="AK2711" s="54"/>
      <c r="AL2711" s="54"/>
    </row>
    <row r="2712" spans="1:38" ht="15.75" thickBot="1" x14ac:dyDescent="0.3">
      <c r="A2712" s="51"/>
      <c r="B2712" s="51"/>
      <c r="C2712" s="51"/>
      <c r="D2712" s="51"/>
      <c r="E2712" s="51"/>
      <c r="F2712" s="51"/>
      <c r="G2712" s="56"/>
      <c r="H2712" s="55"/>
      <c r="I2712" s="55"/>
      <c r="J2712" s="55"/>
      <c r="K2712" s="55"/>
      <c r="L2712" s="55"/>
      <c r="M2712" s="55"/>
      <c r="N2712" s="55"/>
      <c r="O2712" s="55"/>
      <c r="P2712" s="55"/>
      <c r="Q2712" s="55"/>
      <c r="R2712" s="55"/>
      <c r="S2712" s="55"/>
      <c r="T2712" s="55"/>
      <c r="U2712" s="55"/>
      <c r="V2712" s="55"/>
      <c r="W2712" s="55"/>
      <c r="X2712" s="55"/>
      <c r="Y2712" s="55"/>
      <c r="Z2712" s="55"/>
      <c r="AA2712" s="55"/>
      <c r="AB2712" s="55"/>
      <c r="AC2712" s="56"/>
      <c r="AD2712" s="55"/>
      <c r="AE2712" s="55"/>
      <c r="AF2712" s="55"/>
      <c r="AG2712" s="55"/>
      <c r="AH2712" s="56"/>
      <c r="AI2712" s="55"/>
      <c r="AJ2712" s="55"/>
      <c r="AK2712" s="56"/>
      <c r="AL2712" s="56"/>
    </row>
    <row r="2713" spans="1:38" ht="15.75" thickBot="1" x14ac:dyDescent="0.3">
      <c r="A2713" s="51"/>
      <c r="B2713" s="51"/>
      <c r="C2713" s="51"/>
      <c r="D2713" s="51"/>
      <c r="E2713" s="51"/>
      <c r="F2713" s="51"/>
      <c r="G2713" s="54"/>
      <c r="H2713" s="53"/>
      <c r="I2713" s="53"/>
      <c r="J2713" s="53"/>
      <c r="K2713" s="53"/>
      <c r="L2713" s="53"/>
      <c r="M2713" s="53"/>
      <c r="N2713" s="53"/>
      <c r="O2713" s="53"/>
      <c r="P2713" s="53"/>
      <c r="Q2713" s="53"/>
      <c r="R2713" s="53"/>
      <c r="S2713" s="53"/>
      <c r="T2713" s="53"/>
      <c r="U2713" s="53"/>
      <c r="V2713" s="53"/>
      <c r="W2713" s="53"/>
      <c r="X2713" s="53"/>
      <c r="Y2713" s="53"/>
      <c r="Z2713" s="53"/>
      <c r="AA2713" s="53"/>
      <c r="AB2713" s="53"/>
      <c r="AC2713" s="54"/>
      <c r="AD2713" s="53"/>
      <c r="AE2713" s="53"/>
      <c r="AF2713" s="53"/>
      <c r="AG2713" s="53"/>
      <c r="AH2713" s="54"/>
      <c r="AI2713" s="53"/>
      <c r="AJ2713" s="53"/>
      <c r="AK2713" s="54"/>
      <c r="AL2713" s="54"/>
    </row>
    <row r="2714" spans="1:38" ht="15.75" thickBot="1" x14ac:dyDescent="0.3">
      <c r="A2714" s="51"/>
      <c r="B2714" s="51"/>
      <c r="C2714" s="51"/>
      <c r="D2714" s="51"/>
      <c r="E2714" s="51"/>
      <c r="F2714" s="51"/>
      <c r="G2714" s="56"/>
      <c r="H2714" s="55"/>
      <c r="I2714" s="55"/>
      <c r="J2714" s="55"/>
      <c r="K2714" s="56"/>
      <c r="L2714" s="55"/>
      <c r="M2714" s="55"/>
      <c r="N2714" s="55"/>
      <c r="O2714" s="55"/>
      <c r="P2714" s="55"/>
      <c r="Q2714" s="55"/>
      <c r="R2714" s="55"/>
      <c r="S2714" s="55"/>
      <c r="T2714" s="55"/>
      <c r="U2714" s="55"/>
      <c r="V2714" s="55"/>
      <c r="W2714" s="55"/>
      <c r="X2714" s="55"/>
      <c r="Y2714" s="55"/>
      <c r="Z2714" s="55"/>
      <c r="AA2714" s="55"/>
      <c r="AB2714" s="55"/>
      <c r="AC2714" s="55"/>
      <c r="AD2714" s="55"/>
      <c r="AE2714" s="55"/>
      <c r="AF2714" s="55"/>
      <c r="AG2714" s="55"/>
      <c r="AH2714" s="56"/>
      <c r="AI2714" s="55"/>
      <c r="AJ2714" s="55"/>
      <c r="AK2714" s="56"/>
      <c r="AL2714" s="56"/>
    </row>
    <row r="2715" spans="1:38" ht="15.75" thickBot="1" x14ac:dyDescent="0.3">
      <c r="A2715" s="51"/>
      <c r="B2715" s="51"/>
      <c r="C2715" s="51"/>
      <c r="D2715" s="51"/>
      <c r="E2715" s="51"/>
      <c r="F2715" s="51"/>
      <c r="G2715" s="54"/>
      <c r="H2715" s="53"/>
      <c r="I2715" s="53"/>
      <c r="J2715" s="53"/>
      <c r="K2715" s="54"/>
      <c r="L2715" s="53"/>
      <c r="M2715" s="53"/>
      <c r="N2715" s="53"/>
      <c r="O2715" s="53"/>
      <c r="P2715" s="53"/>
      <c r="Q2715" s="53"/>
      <c r="R2715" s="53"/>
      <c r="S2715" s="53"/>
      <c r="T2715" s="53"/>
      <c r="U2715" s="53"/>
      <c r="V2715" s="53"/>
      <c r="W2715" s="53"/>
      <c r="X2715" s="53"/>
      <c r="Y2715" s="53"/>
      <c r="Z2715" s="53"/>
      <c r="AA2715" s="53"/>
      <c r="AB2715" s="53"/>
      <c r="AC2715" s="53"/>
      <c r="AD2715" s="53"/>
      <c r="AE2715" s="53"/>
      <c r="AF2715" s="53"/>
      <c r="AG2715" s="53"/>
      <c r="AH2715" s="54"/>
      <c r="AI2715" s="53"/>
      <c r="AJ2715" s="53"/>
      <c r="AK2715" s="54"/>
      <c r="AL2715" s="54"/>
    </row>
    <row r="2716" spans="1:38" ht="15.75" thickBot="1" x14ac:dyDescent="0.3">
      <c r="A2716" s="51"/>
      <c r="B2716" s="51"/>
      <c r="C2716" s="51"/>
      <c r="D2716" s="51"/>
      <c r="E2716" s="51"/>
      <c r="F2716" s="51"/>
      <c r="G2716" s="56"/>
      <c r="H2716" s="56"/>
      <c r="I2716" s="55"/>
      <c r="J2716" s="55"/>
      <c r="K2716" s="55"/>
      <c r="L2716" s="55"/>
      <c r="M2716" s="56"/>
      <c r="N2716" s="55"/>
      <c r="O2716" s="55"/>
      <c r="P2716" s="55"/>
      <c r="Q2716" s="55"/>
      <c r="R2716" s="55"/>
      <c r="S2716" s="55"/>
      <c r="T2716" s="55"/>
      <c r="U2716" s="55"/>
      <c r="V2716" s="55"/>
      <c r="W2716" s="55"/>
      <c r="X2716" s="55"/>
      <c r="Y2716" s="55"/>
      <c r="Z2716" s="55"/>
      <c r="AA2716" s="55"/>
      <c r="AB2716" s="55"/>
      <c r="AC2716" s="55"/>
      <c r="AD2716" s="55"/>
      <c r="AE2716" s="55"/>
      <c r="AF2716" s="55"/>
      <c r="AG2716" s="55"/>
      <c r="AH2716" s="56"/>
      <c r="AI2716" s="55"/>
      <c r="AJ2716" s="55"/>
      <c r="AK2716" s="56"/>
      <c r="AL2716" s="56"/>
    </row>
    <row r="2717" spans="1:38" ht="15.75" thickBot="1" x14ac:dyDescent="0.3">
      <c r="A2717" s="51"/>
      <c r="B2717" s="51"/>
      <c r="C2717" s="51"/>
      <c r="D2717" s="51"/>
      <c r="E2717" s="51"/>
      <c r="F2717" s="51"/>
      <c r="G2717" s="54"/>
      <c r="H2717" s="147"/>
      <c r="I2717" s="53"/>
      <c r="J2717" s="53"/>
      <c r="K2717" s="53"/>
      <c r="L2717" s="53"/>
      <c r="M2717" s="54"/>
      <c r="N2717" s="53"/>
      <c r="O2717" s="53"/>
      <c r="P2717" s="53"/>
      <c r="Q2717" s="53"/>
      <c r="R2717" s="53"/>
      <c r="S2717" s="53"/>
      <c r="T2717" s="53"/>
      <c r="U2717" s="53"/>
      <c r="V2717" s="53"/>
      <c r="W2717" s="53"/>
      <c r="X2717" s="53"/>
      <c r="Y2717" s="53"/>
      <c r="Z2717" s="53"/>
      <c r="AA2717" s="53"/>
      <c r="AB2717" s="53"/>
      <c r="AC2717" s="53"/>
      <c r="AD2717" s="53"/>
      <c r="AE2717" s="53"/>
      <c r="AF2717" s="53"/>
      <c r="AG2717" s="53"/>
      <c r="AH2717" s="54"/>
      <c r="AI2717" s="53"/>
      <c r="AJ2717" s="53"/>
      <c r="AK2717" s="54"/>
      <c r="AL2717" s="54"/>
    </row>
    <row r="2718" spans="1:38" ht="15.75" thickBot="1" x14ac:dyDescent="0.3">
      <c r="A2718" s="51"/>
      <c r="B2718" s="51"/>
      <c r="C2718" s="51"/>
      <c r="D2718" s="51"/>
      <c r="E2718" s="51"/>
      <c r="F2718" s="51"/>
      <c r="G2718" s="56"/>
      <c r="H2718" s="55"/>
      <c r="I2718" s="55"/>
      <c r="J2718" s="55"/>
      <c r="K2718" s="55"/>
      <c r="L2718" s="55"/>
      <c r="M2718" s="55"/>
      <c r="N2718" s="55"/>
      <c r="O2718" s="55"/>
      <c r="P2718" s="55"/>
      <c r="Q2718" s="55"/>
      <c r="R2718" s="55"/>
      <c r="S2718" s="55"/>
      <c r="T2718" s="55"/>
      <c r="U2718" s="55"/>
      <c r="V2718" s="55"/>
      <c r="W2718" s="55"/>
      <c r="X2718" s="55"/>
      <c r="Y2718" s="55"/>
      <c r="Z2718" s="56"/>
      <c r="AA2718" s="55"/>
      <c r="AB2718" s="55"/>
      <c r="AC2718" s="55"/>
      <c r="AD2718" s="55"/>
      <c r="AE2718" s="55"/>
      <c r="AF2718" s="55"/>
      <c r="AG2718" s="55"/>
      <c r="AH2718" s="56"/>
      <c r="AI2718" s="55"/>
      <c r="AJ2718" s="55"/>
      <c r="AK2718" s="56"/>
      <c r="AL2718" s="56"/>
    </row>
    <row r="2719" spans="1:38" ht="15.75" thickBot="1" x14ac:dyDescent="0.3">
      <c r="A2719" s="51"/>
      <c r="B2719" s="51"/>
      <c r="C2719" s="51"/>
      <c r="D2719" s="51"/>
      <c r="E2719" s="51"/>
      <c r="F2719" s="51"/>
      <c r="G2719" s="54"/>
      <c r="H2719" s="53"/>
      <c r="I2719" s="53"/>
      <c r="J2719" s="53"/>
      <c r="K2719" s="53"/>
      <c r="L2719" s="53"/>
      <c r="M2719" s="53"/>
      <c r="N2719" s="53"/>
      <c r="O2719" s="53"/>
      <c r="P2719" s="53"/>
      <c r="Q2719" s="53"/>
      <c r="R2719" s="53"/>
      <c r="S2719" s="53"/>
      <c r="T2719" s="53"/>
      <c r="U2719" s="53"/>
      <c r="V2719" s="53"/>
      <c r="W2719" s="53"/>
      <c r="X2719" s="53"/>
      <c r="Y2719" s="53"/>
      <c r="Z2719" s="54"/>
      <c r="AA2719" s="53"/>
      <c r="AB2719" s="53"/>
      <c r="AC2719" s="53"/>
      <c r="AD2719" s="53"/>
      <c r="AE2719" s="53"/>
      <c r="AF2719" s="53"/>
      <c r="AG2719" s="53"/>
      <c r="AH2719" s="54"/>
      <c r="AI2719" s="53"/>
      <c r="AJ2719" s="53"/>
      <c r="AK2719" s="54"/>
      <c r="AL2719" s="54"/>
    </row>
    <row r="2720" spans="1:38" ht="15.75" thickBot="1" x14ac:dyDescent="0.3">
      <c r="A2720" s="51"/>
      <c r="B2720" s="51"/>
      <c r="C2720" s="51"/>
      <c r="D2720" s="51"/>
      <c r="E2720" s="51"/>
      <c r="F2720" s="51"/>
      <c r="G2720" s="56"/>
      <c r="H2720" s="55"/>
      <c r="I2720" s="55"/>
      <c r="J2720" s="55"/>
      <c r="K2720" s="55"/>
      <c r="L2720" s="55"/>
      <c r="M2720" s="55"/>
      <c r="N2720" s="55"/>
      <c r="O2720" s="55"/>
      <c r="P2720" s="55"/>
      <c r="Q2720" s="55"/>
      <c r="R2720" s="55"/>
      <c r="S2720" s="55"/>
      <c r="T2720" s="55"/>
      <c r="U2720" s="55"/>
      <c r="V2720" s="55"/>
      <c r="W2720" s="55"/>
      <c r="X2720" s="55"/>
      <c r="Y2720" s="55"/>
      <c r="Z2720" s="55"/>
      <c r="AA2720" s="56"/>
      <c r="AB2720" s="55"/>
      <c r="AC2720" s="55"/>
      <c r="AD2720" s="55"/>
      <c r="AE2720" s="55"/>
      <c r="AF2720" s="55"/>
      <c r="AG2720" s="55"/>
      <c r="AH2720" s="56"/>
      <c r="AI2720" s="55"/>
      <c r="AJ2720" s="55"/>
      <c r="AK2720" s="56"/>
      <c r="AL2720" s="56"/>
    </row>
    <row r="2721" spans="1:38" ht="15.75" thickBot="1" x14ac:dyDescent="0.3">
      <c r="A2721" s="51"/>
      <c r="B2721" s="51"/>
      <c r="C2721" s="51"/>
      <c r="D2721" s="51"/>
      <c r="E2721" s="51"/>
      <c r="F2721" s="51"/>
      <c r="G2721" s="54"/>
      <c r="H2721" s="53"/>
      <c r="I2721" s="53"/>
      <c r="J2721" s="53"/>
      <c r="K2721" s="53"/>
      <c r="L2721" s="53"/>
      <c r="M2721" s="53"/>
      <c r="N2721" s="53"/>
      <c r="O2721" s="53"/>
      <c r="P2721" s="53"/>
      <c r="Q2721" s="53"/>
      <c r="R2721" s="53"/>
      <c r="S2721" s="53"/>
      <c r="T2721" s="53"/>
      <c r="U2721" s="53"/>
      <c r="V2721" s="53"/>
      <c r="W2721" s="53"/>
      <c r="X2721" s="53"/>
      <c r="Y2721" s="53"/>
      <c r="Z2721" s="53"/>
      <c r="AA2721" s="54"/>
      <c r="AB2721" s="53"/>
      <c r="AC2721" s="53"/>
      <c r="AD2721" s="53"/>
      <c r="AE2721" s="53"/>
      <c r="AF2721" s="53"/>
      <c r="AG2721" s="53"/>
      <c r="AH2721" s="54"/>
      <c r="AI2721" s="53"/>
      <c r="AJ2721" s="53"/>
      <c r="AK2721" s="54"/>
      <c r="AL2721" s="54"/>
    </row>
    <row r="2722" spans="1:38" ht="15.75" thickBot="1" x14ac:dyDescent="0.3">
      <c r="A2722" s="51"/>
      <c r="B2722" s="51"/>
      <c r="C2722" s="51"/>
      <c r="D2722" s="51"/>
      <c r="E2722" s="51"/>
      <c r="F2722" s="51"/>
      <c r="G2722" s="56"/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/>
      <c r="S2722" s="55"/>
      <c r="T2722" s="55"/>
      <c r="U2722" s="55"/>
      <c r="V2722" s="55"/>
      <c r="W2722" s="55"/>
      <c r="X2722" s="55"/>
      <c r="Y2722" s="56"/>
      <c r="Z2722" s="55"/>
      <c r="AA2722" s="55"/>
      <c r="AB2722" s="55"/>
      <c r="AC2722" s="55"/>
      <c r="AD2722" s="55"/>
      <c r="AE2722" s="55"/>
      <c r="AF2722" s="55"/>
      <c r="AG2722" s="55"/>
      <c r="AH2722" s="56"/>
      <c r="AI2722" s="55"/>
      <c r="AJ2722" s="55"/>
      <c r="AK2722" s="56"/>
      <c r="AL2722" s="56"/>
    </row>
    <row r="2723" spans="1:38" ht="15.75" thickBot="1" x14ac:dyDescent="0.3">
      <c r="A2723" s="51"/>
      <c r="B2723" s="51"/>
      <c r="C2723" s="51"/>
      <c r="D2723" s="51"/>
      <c r="E2723" s="51"/>
      <c r="F2723" s="51"/>
      <c r="G2723" s="54"/>
      <c r="H2723" s="53"/>
      <c r="I2723" s="53"/>
      <c r="J2723" s="53"/>
      <c r="K2723" s="53"/>
      <c r="L2723" s="53"/>
      <c r="M2723" s="53"/>
      <c r="N2723" s="53"/>
      <c r="O2723" s="53"/>
      <c r="P2723" s="53"/>
      <c r="Q2723" s="53"/>
      <c r="R2723" s="53"/>
      <c r="S2723" s="53"/>
      <c r="T2723" s="53"/>
      <c r="U2723" s="53"/>
      <c r="V2723" s="53"/>
      <c r="W2723" s="53"/>
      <c r="X2723" s="53"/>
      <c r="Y2723" s="54"/>
      <c r="Z2723" s="53"/>
      <c r="AA2723" s="53"/>
      <c r="AB2723" s="53"/>
      <c r="AC2723" s="53"/>
      <c r="AD2723" s="53"/>
      <c r="AE2723" s="53"/>
      <c r="AF2723" s="53"/>
      <c r="AG2723" s="53"/>
      <c r="AH2723" s="54"/>
      <c r="AI2723" s="53"/>
      <c r="AJ2723" s="53"/>
      <c r="AK2723" s="54"/>
      <c r="AL2723" s="54"/>
    </row>
    <row r="2724" spans="1:38" ht="15.75" thickBot="1" x14ac:dyDescent="0.3">
      <c r="A2724" s="51"/>
      <c r="B2724" s="51"/>
      <c r="C2724" s="51"/>
      <c r="D2724" s="51"/>
      <c r="E2724" s="51"/>
      <c r="F2724" s="51"/>
      <c r="G2724" s="56"/>
      <c r="H2724" s="55"/>
      <c r="I2724" s="55"/>
      <c r="J2724" s="55"/>
      <c r="K2724" s="56"/>
      <c r="L2724" s="55"/>
      <c r="M2724" s="55"/>
      <c r="N2724" s="55"/>
      <c r="O2724" s="55"/>
      <c r="P2724" s="55"/>
      <c r="Q2724" s="55"/>
      <c r="R2724" s="55"/>
      <c r="S2724" s="55"/>
      <c r="T2724" s="55"/>
      <c r="U2724" s="55"/>
      <c r="V2724" s="55"/>
      <c r="W2724" s="55"/>
      <c r="X2724" s="55"/>
      <c r="Y2724" s="55"/>
      <c r="Z2724" s="55"/>
      <c r="AA2724" s="55"/>
      <c r="AB2724" s="55"/>
      <c r="AC2724" s="55"/>
      <c r="AD2724" s="55"/>
      <c r="AE2724" s="55"/>
      <c r="AF2724" s="55"/>
      <c r="AG2724" s="55"/>
      <c r="AH2724" s="56"/>
      <c r="AI2724" s="55"/>
      <c r="AJ2724" s="55"/>
      <c r="AK2724" s="56"/>
      <c r="AL2724" s="56"/>
    </row>
    <row r="2725" spans="1:38" ht="15.75" thickBot="1" x14ac:dyDescent="0.3">
      <c r="A2725" s="51"/>
      <c r="B2725" s="51"/>
      <c r="C2725" s="51"/>
      <c r="D2725" s="51"/>
      <c r="E2725" s="51"/>
      <c r="F2725" s="51"/>
      <c r="G2725" s="54"/>
      <c r="H2725" s="53"/>
      <c r="I2725" s="53"/>
      <c r="J2725" s="53"/>
      <c r="K2725" s="54"/>
      <c r="L2725" s="53"/>
      <c r="M2725" s="53"/>
      <c r="N2725" s="53"/>
      <c r="O2725" s="53"/>
      <c r="P2725" s="53"/>
      <c r="Q2725" s="53"/>
      <c r="R2725" s="53"/>
      <c r="S2725" s="53"/>
      <c r="T2725" s="53"/>
      <c r="U2725" s="53"/>
      <c r="V2725" s="53"/>
      <c r="W2725" s="53"/>
      <c r="X2725" s="53"/>
      <c r="Y2725" s="53"/>
      <c r="Z2725" s="53"/>
      <c r="AA2725" s="53"/>
      <c r="AB2725" s="53"/>
      <c r="AC2725" s="53"/>
      <c r="AD2725" s="53"/>
      <c r="AE2725" s="53"/>
      <c r="AF2725" s="53"/>
      <c r="AG2725" s="53"/>
      <c r="AH2725" s="54"/>
      <c r="AI2725" s="53"/>
      <c r="AJ2725" s="53"/>
      <c r="AK2725" s="54"/>
      <c r="AL2725" s="54"/>
    </row>
    <row r="2726" spans="1:38" ht="15.75" thickBot="1" x14ac:dyDescent="0.3">
      <c r="A2726" s="51"/>
      <c r="B2726" s="51"/>
      <c r="C2726" s="51"/>
      <c r="D2726" s="51"/>
      <c r="E2726" s="51"/>
      <c r="F2726" s="51"/>
      <c r="G2726" s="56"/>
      <c r="H2726" s="55"/>
      <c r="I2726" s="55"/>
      <c r="J2726" s="55"/>
      <c r="K2726" s="55"/>
      <c r="L2726" s="55"/>
      <c r="M2726" s="55"/>
      <c r="N2726" s="55"/>
      <c r="O2726" s="55"/>
      <c r="P2726" s="55"/>
      <c r="Q2726" s="55"/>
      <c r="R2726" s="55"/>
      <c r="S2726" s="55"/>
      <c r="T2726" s="55"/>
      <c r="U2726" s="55"/>
      <c r="V2726" s="55"/>
      <c r="W2726" s="55"/>
      <c r="X2726" s="55"/>
      <c r="Y2726" s="55"/>
      <c r="Z2726" s="55"/>
      <c r="AA2726" s="55"/>
      <c r="AB2726" s="55"/>
      <c r="AC2726" s="56"/>
      <c r="AD2726" s="55"/>
      <c r="AE2726" s="55"/>
      <c r="AF2726" s="55"/>
      <c r="AG2726" s="55"/>
      <c r="AH2726" s="56"/>
      <c r="AI2726" s="55"/>
      <c r="AJ2726" s="55"/>
      <c r="AK2726" s="56"/>
      <c r="AL2726" s="56"/>
    </row>
    <row r="2727" spans="1:38" ht="15.75" thickBot="1" x14ac:dyDescent="0.3">
      <c r="A2727" s="51"/>
      <c r="B2727" s="51"/>
      <c r="C2727" s="51"/>
      <c r="D2727" s="51"/>
      <c r="E2727" s="51"/>
      <c r="F2727" s="51"/>
      <c r="G2727" s="54"/>
      <c r="H2727" s="53"/>
      <c r="I2727" s="53"/>
      <c r="J2727" s="53"/>
      <c r="K2727" s="53"/>
      <c r="L2727" s="53"/>
      <c r="M2727" s="53"/>
      <c r="N2727" s="53"/>
      <c r="O2727" s="53"/>
      <c r="P2727" s="53"/>
      <c r="Q2727" s="53"/>
      <c r="R2727" s="53"/>
      <c r="S2727" s="53"/>
      <c r="T2727" s="53"/>
      <c r="U2727" s="53"/>
      <c r="V2727" s="53"/>
      <c r="W2727" s="53"/>
      <c r="X2727" s="53"/>
      <c r="Y2727" s="53"/>
      <c r="Z2727" s="53"/>
      <c r="AA2727" s="53"/>
      <c r="AB2727" s="53"/>
      <c r="AC2727" s="54"/>
      <c r="AD2727" s="53"/>
      <c r="AE2727" s="53"/>
      <c r="AF2727" s="53"/>
      <c r="AG2727" s="53"/>
      <c r="AH2727" s="54"/>
      <c r="AI2727" s="53"/>
      <c r="AJ2727" s="53"/>
      <c r="AK2727" s="54"/>
      <c r="AL2727" s="54"/>
    </row>
    <row r="2728" spans="1:38" ht="15.75" thickBot="1" x14ac:dyDescent="0.3">
      <c r="A2728" s="51"/>
      <c r="B2728" s="51"/>
      <c r="C2728" s="51"/>
      <c r="D2728" s="51"/>
      <c r="E2728" s="51"/>
      <c r="F2728" s="51"/>
      <c r="G2728" s="56"/>
      <c r="H2728" s="55"/>
      <c r="I2728" s="55"/>
      <c r="J2728" s="55"/>
      <c r="K2728" s="56"/>
      <c r="L2728" s="55"/>
      <c r="M2728" s="55"/>
      <c r="N2728" s="55"/>
      <c r="O2728" s="55"/>
      <c r="P2728" s="55"/>
      <c r="Q2728" s="55"/>
      <c r="R2728" s="55"/>
      <c r="S2728" s="55"/>
      <c r="T2728" s="55"/>
      <c r="U2728" s="55"/>
      <c r="V2728" s="55"/>
      <c r="W2728" s="55"/>
      <c r="X2728" s="55"/>
      <c r="Y2728" s="55"/>
      <c r="Z2728" s="55"/>
      <c r="AA2728" s="55"/>
      <c r="AB2728" s="55"/>
      <c r="AC2728" s="55"/>
      <c r="AD2728" s="55"/>
      <c r="AE2728" s="55"/>
      <c r="AF2728" s="55"/>
      <c r="AG2728" s="55"/>
      <c r="AH2728" s="56"/>
      <c r="AI2728" s="55"/>
      <c r="AJ2728" s="55"/>
      <c r="AK2728" s="56"/>
      <c r="AL2728" s="56"/>
    </row>
    <row r="2729" spans="1:38" ht="15.75" thickBot="1" x14ac:dyDescent="0.3">
      <c r="A2729" s="51"/>
      <c r="B2729" s="51"/>
      <c r="C2729" s="51"/>
      <c r="D2729" s="51"/>
      <c r="E2729" s="51"/>
      <c r="F2729" s="51"/>
      <c r="G2729" s="54"/>
      <c r="H2729" s="53"/>
      <c r="I2729" s="53"/>
      <c r="J2729" s="53"/>
      <c r="K2729" s="54"/>
      <c r="L2729" s="53"/>
      <c r="M2729" s="53"/>
      <c r="N2729" s="53"/>
      <c r="O2729" s="53"/>
      <c r="P2729" s="53"/>
      <c r="Q2729" s="53"/>
      <c r="R2729" s="53"/>
      <c r="S2729" s="53"/>
      <c r="T2729" s="53"/>
      <c r="U2729" s="53"/>
      <c r="V2729" s="53"/>
      <c r="W2729" s="53"/>
      <c r="X2729" s="53"/>
      <c r="Y2729" s="53"/>
      <c r="Z2729" s="53"/>
      <c r="AA2729" s="53"/>
      <c r="AB2729" s="53"/>
      <c r="AC2729" s="53"/>
      <c r="AD2729" s="53"/>
      <c r="AE2729" s="53"/>
      <c r="AF2729" s="53"/>
      <c r="AG2729" s="53"/>
      <c r="AH2729" s="54"/>
      <c r="AI2729" s="53"/>
      <c r="AJ2729" s="53"/>
      <c r="AK2729" s="54"/>
      <c r="AL2729" s="54"/>
    </row>
    <row r="2730" spans="1:38" ht="15.75" thickBot="1" x14ac:dyDescent="0.3">
      <c r="A2730" s="51"/>
      <c r="B2730" s="51"/>
      <c r="C2730" s="51"/>
      <c r="D2730" s="51"/>
      <c r="E2730" s="51"/>
      <c r="F2730" s="51"/>
      <c r="G2730" s="56"/>
      <c r="H2730" s="56"/>
      <c r="I2730" s="55"/>
      <c r="J2730" s="55"/>
      <c r="K2730" s="55"/>
      <c r="L2730" s="55"/>
      <c r="M2730" s="56"/>
      <c r="N2730" s="55"/>
      <c r="O2730" s="55"/>
      <c r="P2730" s="55"/>
      <c r="Q2730" s="55"/>
      <c r="R2730" s="55"/>
      <c r="S2730" s="55"/>
      <c r="T2730" s="55"/>
      <c r="U2730" s="55"/>
      <c r="V2730" s="55"/>
      <c r="W2730" s="55"/>
      <c r="X2730" s="55"/>
      <c r="Y2730" s="55"/>
      <c r="Z2730" s="55"/>
      <c r="AA2730" s="55"/>
      <c r="AB2730" s="55"/>
      <c r="AC2730" s="55"/>
      <c r="AD2730" s="55"/>
      <c r="AE2730" s="55"/>
      <c r="AF2730" s="55"/>
      <c r="AG2730" s="55"/>
      <c r="AH2730" s="56"/>
      <c r="AI2730" s="55"/>
      <c r="AJ2730" s="55"/>
      <c r="AK2730" s="56"/>
      <c r="AL2730" s="56"/>
    </row>
    <row r="2731" spans="1:38" ht="15.75" thickBot="1" x14ac:dyDescent="0.3">
      <c r="A2731" s="51"/>
      <c r="B2731" s="51"/>
      <c r="C2731" s="51"/>
      <c r="D2731" s="51"/>
      <c r="E2731" s="51"/>
      <c r="F2731" s="51"/>
      <c r="G2731" s="54"/>
      <c r="H2731" s="147"/>
      <c r="I2731" s="53"/>
      <c r="J2731" s="53"/>
      <c r="K2731" s="53"/>
      <c r="L2731" s="53"/>
      <c r="M2731" s="54"/>
      <c r="N2731" s="53"/>
      <c r="O2731" s="53"/>
      <c r="P2731" s="53"/>
      <c r="Q2731" s="53"/>
      <c r="R2731" s="53"/>
      <c r="S2731" s="53"/>
      <c r="T2731" s="53"/>
      <c r="U2731" s="53"/>
      <c r="V2731" s="53"/>
      <c r="W2731" s="53"/>
      <c r="X2731" s="53"/>
      <c r="Y2731" s="53"/>
      <c r="Z2731" s="53"/>
      <c r="AA2731" s="53"/>
      <c r="AB2731" s="53"/>
      <c r="AC2731" s="53"/>
      <c r="AD2731" s="53"/>
      <c r="AE2731" s="53"/>
      <c r="AF2731" s="53"/>
      <c r="AG2731" s="53"/>
      <c r="AH2731" s="54"/>
      <c r="AI2731" s="53"/>
      <c r="AJ2731" s="53"/>
      <c r="AK2731" s="54"/>
      <c r="AL2731" s="54"/>
    </row>
    <row r="2732" spans="1:38" ht="15.75" thickBot="1" x14ac:dyDescent="0.3">
      <c r="A2732" s="51"/>
      <c r="B2732" s="51"/>
      <c r="C2732" s="51"/>
      <c r="D2732" s="51"/>
      <c r="E2732" s="51"/>
      <c r="F2732" s="51"/>
      <c r="G2732" s="56"/>
      <c r="H2732" s="55"/>
      <c r="I2732" s="55"/>
      <c r="J2732" s="55"/>
      <c r="K2732" s="55"/>
      <c r="L2732" s="55"/>
      <c r="M2732" s="55"/>
      <c r="N2732" s="55"/>
      <c r="O2732" s="55"/>
      <c r="P2732" s="55"/>
      <c r="Q2732" s="55"/>
      <c r="R2732" s="55"/>
      <c r="S2732" s="55"/>
      <c r="T2732" s="55"/>
      <c r="U2732" s="55"/>
      <c r="V2732" s="55"/>
      <c r="W2732" s="55"/>
      <c r="X2732" s="55"/>
      <c r="Y2732" s="55"/>
      <c r="Z2732" s="56"/>
      <c r="AA2732" s="55"/>
      <c r="AB2732" s="55"/>
      <c r="AC2732" s="55"/>
      <c r="AD2732" s="55"/>
      <c r="AE2732" s="55"/>
      <c r="AF2732" s="55"/>
      <c r="AG2732" s="55"/>
      <c r="AH2732" s="56"/>
      <c r="AI2732" s="55"/>
      <c r="AJ2732" s="55"/>
      <c r="AK2732" s="56"/>
      <c r="AL2732" s="56"/>
    </row>
    <row r="2733" spans="1:38" ht="15.75" thickBot="1" x14ac:dyDescent="0.3">
      <c r="A2733" s="51"/>
      <c r="B2733" s="51"/>
      <c r="C2733" s="51"/>
      <c r="D2733" s="51"/>
      <c r="E2733" s="51"/>
      <c r="F2733" s="51"/>
      <c r="G2733" s="54"/>
      <c r="H2733" s="53"/>
      <c r="I2733" s="53"/>
      <c r="J2733" s="53"/>
      <c r="K2733" s="53"/>
      <c r="L2733" s="53"/>
      <c r="M2733" s="53"/>
      <c r="N2733" s="53"/>
      <c r="O2733" s="53"/>
      <c r="P2733" s="53"/>
      <c r="Q2733" s="53"/>
      <c r="R2733" s="53"/>
      <c r="S2733" s="53"/>
      <c r="T2733" s="53"/>
      <c r="U2733" s="53"/>
      <c r="V2733" s="53"/>
      <c r="W2733" s="53"/>
      <c r="X2733" s="53"/>
      <c r="Y2733" s="53"/>
      <c r="Z2733" s="54"/>
      <c r="AA2733" s="53"/>
      <c r="AB2733" s="53"/>
      <c r="AC2733" s="53"/>
      <c r="AD2733" s="53"/>
      <c r="AE2733" s="53"/>
      <c r="AF2733" s="53"/>
      <c r="AG2733" s="53"/>
      <c r="AH2733" s="54"/>
      <c r="AI2733" s="53"/>
      <c r="AJ2733" s="53"/>
      <c r="AK2733" s="54"/>
      <c r="AL2733" s="54"/>
    </row>
    <row r="2734" spans="1:38" ht="15.75" thickBot="1" x14ac:dyDescent="0.3">
      <c r="A2734" s="51"/>
      <c r="B2734" s="51"/>
      <c r="C2734" s="51"/>
      <c r="D2734" s="51"/>
      <c r="E2734" s="51"/>
      <c r="F2734" s="51"/>
      <c r="G2734" s="56"/>
      <c r="H2734" s="55"/>
      <c r="I2734" s="55"/>
      <c r="J2734" s="55"/>
      <c r="K2734" s="55"/>
      <c r="L2734" s="55"/>
      <c r="M2734" s="55"/>
      <c r="N2734" s="55"/>
      <c r="O2734" s="55"/>
      <c r="P2734" s="55"/>
      <c r="Q2734" s="55"/>
      <c r="R2734" s="55"/>
      <c r="S2734" s="55"/>
      <c r="T2734" s="55"/>
      <c r="U2734" s="55"/>
      <c r="V2734" s="55"/>
      <c r="W2734" s="55"/>
      <c r="X2734" s="55"/>
      <c r="Y2734" s="55"/>
      <c r="Z2734" s="55"/>
      <c r="AA2734" s="56"/>
      <c r="AB2734" s="55"/>
      <c r="AC2734" s="55"/>
      <c r="AD2734" s="55"/>
      <c r="AE2734" s="55"/>
      <c r="AF2734" s="55"/>
      <c r="AG2734" s="55"/>
      <c r="AH2734" s="56"/>
      <c r="AI2734" s="55"/>
      <c r="AJ2734" s="55"/>
      <c r="AK2734" s="56"/>
      <c r="AL2734" s="56"/>
    </row>
    <row r="2735" spans="1:38" ht="15.75" thickBot="1" x14ac:dyDescent="0.3">
      <c r="A2735" s="51"/>
      <c r="B2735" s="51"/>
      <c r="C2735" s="51"/>
      <c r="D2735" s="51"/>
      <c r="E2735" s="51"/>
      <c r="F2735" s="51"/>
      <c r="G2735" s="54"/>
      <c r="H2735" s="53"/>
      <c r="I2735" s="53"/>
      <c r="J2735" s="53"/>
      <c r="K2735" s="53"/>
      <c r="L2735" s="53"/>
      <c r="M2735" s="53"/>
      <c r="N2735" s="53"/>
      <c r="O2735" s="53"/>
      <c r="P2735" s="53"/>
      <c r="Q2735" s="53"/>
      <c r="R2735" s="53"/>
      <c r="S2735" s="53"/>
      <c r="T2735" s="53"/>
      <c r="U2735" s="53"/>
      <c r="V2735" s="53"/>
      <c r="W2735" s="53"/>
      <c r="X2735" s="53"/>
      <c r="Y2735" s="53"/>
      <c r="Z2735" s="53"/>
      <c r="AA2735" s="54"/>
      <c r="AB2735" s="53"/>
      <c r="AC2735" s="53"/>
      <c r="AD2735" s="53"/>
      <c r="AE2735" s="53"/>
      <c r="AF2735" s="53"/>
      <c r="AG2735" s="53"/>
      <c r="AH2735" s="54"/>
      <c r="AI2735" s="53"/>
      <c r="AJ2735" s="53"/>
      <c r="AK2735" s="54"/>
      <c r="AL2735" s="54"/>
    </row>
    <row r="2736" spans="1:38" ht="15.75" thickBot="1" x14ac:dyDescent="0.3">
      <c r="A2736" s="51"/>
      <c r="B2736" s="51"/>
      <c r="C2736" s="51"/>
      <c r="D2736" s="51"/>
      <c r="E2736" s="51"/>
      <c r="F2736" s="51"/>
      <c r="G2736" s="56"/>
      <c r="H2736" s="55"/>
      <c r="I2736" s="55"/>
      <c r="J2736" s="55"/>
      <c r="K2736" s="55"/>
      <c r="L2736" s="55"/>
      <c r="M2736" s="55"/>
      <c r="N2736" s="55"/>
      <c r="O2736" s="55"/>
      <c r="P2736" s="55"/>
      <c r="Q2736" s="55"/>
      <c r="R2736" s="55"/>
      <c r="S2736" s="55"/>
      <c r="T2736" s="55"/>
      <c r="U2736" s="55"/>
      <c r="V2736" s="55"/>
      <c r="W2736" s="55"/>
      <c r="X2736" s="55"/>
      <c r="Y2736" s="56"/>
      <c r="Z2736" s="55"/>
      <c r="AA2736" s="55"/>
      <c r="AB2736" s="55"/>
      <c r="AC2736" s="55"/>
      <c r="AD2736" s="55"/>
      <c r="AE2736" s="55"/>
      <c r="AF2736" s="55"/>
      <c r="AG2736" s="55"/>
      <c r="AH2736" s="56"/>
      <c r="AI2736" s="55"/>
      <c r="AJ2736" s="55"/>
      <c r="AK2736" s="56"/>
      <c r="AL2736" s="56"/>
    </row>
    <row r="2737" spans="1:38" ht="15.75" thickBot="1" x14ac:dyDescent="0.3">
      <c r="A2737" s="51"/>
      <c r="B2737" s="51"/>
      <c r="C2737" s="51"/>
      <c r="D2737" s="51"/>
      <c r="E2737" s="51"/>
      <c r="F2737" s="51"/>
      <c r="G2737" s="54"/>
      <c r="H2737" s="53"/>
      <c r="I2737" s="53"/>
      <c r="J2737" s="53"/>
      <c r="K2737" s="53"/>
      <c r="L2737" s="53"/>
      <c r="M2737" s="53"/>
      <c r="N2737" s="53"/>
      <c r="O2737" s="53"/>
      <c r="P2737" s="53"/>
      <c r="Q2737" s="53"/>
      <c r="R2737" s="53"/>
      <c r="S2737" s="53"/>
      <c r="T2737" s="53"/>
      <c r="U2737" s="53"/>
      <c r="V2737" s="53"/>
      <c r="W2737" s="53"/>
      <c r="X2737" s="53"/>
      <c r="Y2737" s="54"/>
      <c r="Z2737" s="53"/>
      <c r="AA2737" s="53"/>
      <c r="AB2737" s="53"/>
      <c r="AC2737" s="53"/>
      <c r="AD2737" s="53"/>
      <c r="AE2737" s="53"/>
      <c r="AF2737" s="53"/>
      <c r="AG2737" s="53"/>
      <c r="AH2737" s="54"/>
      <c r="AI2737" s="53"/>
      <c r="AJ2737" s="53"/>
      <c r="AK2737" s="54"/>
      <c r="AL2737" s="54"/>
    </row>
    <row r="2738" spans="1:38" ht="15.75" thickBot="1" x14ac:dyDescent="0.3">
      <c r="A2738" s="51"/>
      <c r="B2738" s="51"/>
      <c r="C2738" s="51"/>
      <c r="D2738" s="51"/>
      <c r="E2738" s="51"/>
      <c r="F2738" s="51"/>
      <c r="G2738" s="56"/>
      <c r="H2738" s="55"/>
      <c r="I2738" s="55"/>
      <c r="J2738" s="55"/>
      <c r="K2738" s="56"/>
      <c r="L2738" s="55"/>
      <c r="M2738" s="55"/>
      <c r="N2738" s="55"/>
      <c r="O2738" s="55"/>
      <c r="P2738" s="55"/>
      <c r="Q2738" s="55"/>
      <c r="R2738" s="55"/>
      <c r="S2738" s="55"/>
      <c r="T2738" s="55"/>
      <c r="U2738" s="55"/>
      <c r="V2738" s="55"/>
      <c r="W2738" s="55"/>
      <c r="X2738" s="55"/>
      <c r="Y2738" s="55"/>
      <c r="Z2738" s="55"/>
      <c r="AA2738" s="55"/>
      <c r="AB2738" s="55"/>
      <c r="AC2738" s="55"/>
      <c r="AD2738" s="55"/>
      <c r="AE2738" s="55"/>
      <c r="AF2738" s="55"/>
      <c r="AG2738" s="55"/>
      <c r="AH2738" s="56"/>
      <c r="AI2738" s="55"/>
      <c r="AJ2738" s="55"/>
      <c r="AK2738" s="56"/>
      <c r="AL2738" s="56"/>
    </row>
    <row r="2739" spans="1:38" ht="15.75" thickBot="1" x14ac:dyDescent="0.3">
      <c r="A2739" s="51"/>
      <c r="B2739" s="51"/>
      <c r="C2739" s="51"/>
      <c r="D2739" s="51"/>
      <c r="E2739" s="51"/>
      <c r="F2739" s="51"/>
      <c r="G2739" s="54"/>
      <c r="H2739" s="53"/>
      <c r="I2739" s="53"/>
      <c r="J2739" s="53"/>
      <c r="K2739" s="54"/>
      <c r="L2739" s="53"/>
      <c r="M2739" s="53"/>
      <c r="N2739" s="53"/>
      <c r="O2739" s="53"/>
      <c r="P2739" s="53"/>
      <c r="Q2739" s="53"/>
      <c r="R2739" s="53"/>
      <c r="S2739" s="53"/>
      <c r="T2739" s="53"/>
      <c r="U2739" s="53"/>
      <c r="V2739" s="53"/>
      <c r="W2739" s="53"/>
      <c r="X2739" s="53"/>
      <c r="Y2739" s="53"/>
      <c r="Z2739" s="53"/>
      <c r="AA2739" s="53"/>
      <c r="AB2739" s="53"/>
      <c r="AC2739" s="53"/>
      <c r="AD2739" s="53"/>
      <c r="AE2739" s="53"/>
      <c r="AF2739" s="53"/>
      <c r="AG2739" s="53"/>
      <c r="AH2739" s="54"/>
      <c r="AI2739" s="53"/>
      <c r="AJ2739" s="53"/>
      <c r="AK2739" s="54"/>
      <c r="AL2739" s="54"/>
    </row>
    <row r="2740" spans="1:38" ht="15.75" thickBot="1" x14ac:dyDescent="0.3">
      <c r="A2740" s="51"/>
      <c r="B2740" s="51"/>
      <c r="C2740" s="51"/>
      <c r="D2740" s="51"/>
      <c r="E2740" s="51"/>
      <c r="F2740" s="51"/>
      <c r="G2740" s="56"/>
      <c r="H2740" s="55"/>
      <c r="I2740" s="55"/>
      <c r="J2740" s="55"/>
      <c r="K2740" s="55"/>
      <c r="L2740" s="55"/>
      <c r="M2740" s="55"/>
      <c r="N2740" s="55"/>
      <c r="O2740" s="55"/>
      <c r="P2740" s="55"/>
      <c r="Q2740" s="55"/>
      <c r="R2740" s="55"/>
      <c r="S2740" s="55"/>
      <c r="T2740" s="55"/>
      <c r="U2740" s="55"/>
      <c r="V2740" s="55"/>
      <c r="W2740" s="55"/>
      <c r="X2740" s="55"/>
      <c r="Y2740" s="55"/>
      <c r="Z2740" s="55"/>
      <c r="AA2740" s="55"/>
      <c r="AB2740" s="55"/>
      <c r="AC2740" s="56"/>
      <c r="AD2740" s="55"/>
      <c r="AE2740" s="55"/>
      <c r="AF2740" s="55"/>
      <c r="AG2740" s="55"/>
      <c r="AH2740" s="56"/>
      <c r="AI2740" s="55"/>
      <c r="AJ2740" s="55"/>
      <c r="AK2740" s="56"/>
      <c r="AL2740" s="56"/>
    </row>
    <row r="2741" spans="1:38" ht="15.75" thickBot="1" x14ac:dyDescent="0.3">
      <c r="A2741" s="51"/>
      <c r="B2741" s="51"/>
      <c r="C2741" s="51"/>
      <c r="D2741" s="51"/>
      <c r="E2741" s="51"/>
      <c r="F2741" s="51"/>
      <c r="G2741" s="54"/>
      <c r="H2741" s="53"/>
      <c r="I2741" s="53"/>
      <c r="J2741" s="53"/>
      <c r="K2741" s="53"/>
      <c r="L2741" s="53"/>
      <c r="M2741" s="53"/>
      <c r="N2741" s="53"/>
      <c r="O2741" s="53"/>
      <c r="P2741" s="53"/>
      <c r="Q2741" s="53"/>
      <c r="R2741" s="53"/>
      <c r="S2741" s="53"/>
      <c r="T2741" s="53"/>
      <c r="U2741" s="53"/>
      <c r="V2741" s="53"/>
      <c r="W2741" s="53"/>
      <c r="X2741" s="53"/>
      <c r="Y2741" s="53"/>
      <c r="Z2741" s="53"/>
      <c r="AA2741" s="53"/>
      <c r="AB2741" s="53"/>
      <c r="AC2741" s="54"/>
      <c r="AD2741" s="53"/>
      <c r="AE2741" s="53"/>
      <c r="AF2741" s="53"/>
      <c r="AG2741" s="53"/>
      <c r="AH2741" s="54"/>
      <c r="AI2741" s="53"/>
      <c r="AJ2741" s="53"/>
      <c r="AK2741" s="54"/>
      <c r="AL2741" s="54"/>
    </row>
    <row r="2742" spans="1:38" ht="15.75" thickBot="1" x14ac:dyDescent="0.3">
      <c r="A2742" s="51"/>
      <c r="B2742" s="51"/>
      <c r="C2742" s="51"/>
      <c r="D2742" s="51"/>
      <c r="E2742" s="51"/>
      <c r="F2742" s="51"/>
      <c r="G2742" s="56"/>
      <c r="H2742" s="55"/>
      <c r="I2742" s="55"/>
      <c r="J2742" s="55"/>
      <c r="K2742" s="55"/>
      <c r="L2742" s="55"/>
      <c r="M2742" s="55"/>
      <c r="N2742" s="55"/>
      <c r="O2742" s="55"/>
      <c r="P2742" s="55"/>
      <c r="Q2742" s="55"/>
      <c r="R2742" s="55"/>
      <c r="S2742" s="55"/>
      <c r="T2742" s="56"/>
      <c r="U2742" s="55"/>
      <c r="V2742" s="55"/>
      <c r="W2742" s="55"/>
      <c r="X2742" s="55"/>
      <c r="Y2742" s="55"/>
      <c r="Z2742" s="55"/>
      <c r="AA2742" s="55"/>
      <c r="AB2742" s="55"/>
      <c r="AC2742" s="55"/>
      <c r="AD2742" s="55"/>
      <c r="AE2742" s="55"/>
      <c r="AF2742" s="55"/>
      <c r="AG2742" s="55"/>
      <c r="AH2742" s="56"/>
      <c r="AI2742" s="55"/>
      <c r="AJ2742" s="55"/>
      <c r="AK2742" s="56"/>
      <c r="AL2742" s="56"/>
    </row>
    <row r="2743" spans="1:38" ht="15.75" thickBot="1" x14ac:dyDescent="0.3">
      <c r="A2743" s="51"/>
      <c r="B2743" s="51"/>
      <c r="C2743" s="51"/>
      <c r="D2743" s="51"/>
      <c r="E2743" s="51"/>
      <c r="F2743" s="51"/>
      <c r="G2743" s="54"/>
      <c r="H2743" s="53"/>
      <c r="I2743" s="53"/>
      <c r="J2743" s="53"/>
      <c r="K2743" s="53"/>
      <c r="L2743" s="53"/>
      <c r="M2743" s="53"/>
      <c r="N2743" s="53"/>
      <c r="O2743" s="53"/>
      <c r="P2743" s="53"/>
      <c r="Q2743" s="53"/>
      <c r="R2743" s="53"/>
      <c r="S2743" s="53"/>
      <c r="T2743" s="54"/>
      <c r="U2743" s="53"/>
      <c r="V2743" s="53"/>
      <c r="W2743" s="53"/>
      <c r="X2743" s="53"/>
      <c r="Y2743" s="53"/>
      <c r="Z2743" s="53"/>
      <c r="AA2743" s="53"/>
      <c r="AB2743" s="53"/>
      <c r="AC2743" s="53"/>
      <c r="AD2743" s="53"/>
      <c r="AE2743" s="53"/>
      <c r="AF2743" s="53"/>
      <c r="AG2743" s="53"/>
      <c r="AH2743" s="54"/>
      <c r="AI2743" s="53"/>
      <c r="AJ2743" s="53"/>
      <c r="AK2743" s="54"/>
      <c r="AL2743" s="54"/>
    </row>
    <row r="2744" spans="1:38" ht="15.75" thickBot="1" x14ac:dyDescent="0.3">
      <c r="A2744" s="51"/>
      <c r="B2744" s="51"/>
      <c r="C2744" s="51"/>
      <c r="D2744" s="51"/>
      <c r="E2744" s="51"/>
      <c r="F2744" s="51"/>
      <c r="G2744" s="56"/>
      <c r="H2744" s="55"/>
      <c r="I2744" s="55"/>
      <c r="J2744" s="55"/>
      <c r="K2744" s="55"/>
      <c r="L2744" s="55"/>
      <c r="M2744" s="55"/>
      <c r="N2744" s="55"/>
      <c r="O2744" s="55"/>
      <c r="P2744" s="55"/>
      <c r="Q2744" s="55"/>
      <c r="R2744" s="55"/>
      <c r="S2744" s="55"/>
      <c r="T2744" s="55"/>
      <c r="U2744" s="56"/>
      <c r="V2744" s="55"/>
      <c r="W2744" s="55"/>
      <c r="X2744" s="55"/>
      <c r="Y2744" s="55"/>
      <c r="Z2744" s="55"/>
      <c r="AA2744" s="55"/>
      <c r="AB2744" s="55"/>
      <c r="AC2744" s="55"/>
      <c r="AD2744" s="55"/>
      <c r="AE2744" s="55"/>
      <c r="AF2744" s="55"/>
      <c r="AG2744" s="55"/>
      <c r="AH2744" s="56"/>
      <c r="AI2744" s="55"/>
      <c r="AJ2744" s="55"/>
      <c r="AK2744" s="56"/>
      <c r="AL2744" s="56"/>
    </row>
    <row r="2745" spans="1:38" ht="15.75" thickBot="1" x14ac:dyDescent="0.3">
      <c r="A2745" s="51"/>
      <c r="B2745" s="51"/>
      <c r="C2745" s="51"/>
      <c r="D2745" s="51"/>
      <c r="E2745" s="51"/>
      <c r="F2745" s="51"/>
      <c r="G2745" s="54"/>
      <c r="H2745" s="53"/>
      <c r="I2745" s="53"/>
      <c r="J2745" s="53"/>
      <c r="K2745" s="53"/>
      <c r="L2745" s="53"/>
      <c r="M2745" s="53"/>
      <c r="N2745" s="53"/>
      <c r="O2745" s="53"/>
      <c r="P2745" s="53"/>
      <c r="Q2745" s="53"/>
      <c r="R2745" s="53"/>
      <c r="S2745" s="53"/>
      <c r="T2745" s="53"/>
      <c r="U2745" s="54"/>
      <c r="V2745" s="53"/>
      <c r="W2745" s="53"/>
      <c r="X2745" s="53"/>
      <c r="Y2745" s="53"/>
      <c r="Z2745" s="53"/>
      <c r="AA2745" s="53"/>
      <c r="AB2745" s="53"/>
      <c r="AC2745" s="53"/>
      <c r="AD2745" s="53"/>
      <c r="AE2745" s="53"/>
      <c r="AF2745" s="53"/>
      <c r="AG2745" s="53"/>
      <c r="AH2745" s="54"/>
      <c r="AI2745" s="53"/>
      <c r="AJ2745" s="53"/>
      <c r="AK2745" s="54"/>
      <c r="AL2745" s="54"/>
    </row>
    <row r="2746" spans="1:38" ht="15.75" thickBot="1" x14ac:dyDescent="0.3">
      <c r="A2746" s="51"/>
      <c r="B2746" s="51"/>
      <c r="C2746" s="51"/>
      <c r="D2746" s="51"/>
      <c r="E2746" s="51"/>
      <c r="F2746" s="51"/>
      <c r="G2746" s="56"/>
      <c r="H2746" s="55"/>
      <c r="I2746" s="55"/>
      <c r="J2746" s="55"/>
      <c r="K2746" s="56"/>
      <c r="L2746" s="55"/>
      <c r="M2746" s="55"/>
      <c r="N2746" s="55"/>
      <c r="O2746" s="55"/>
      <c r="P2746" s="55"/>
      <c r="Q2746" s="55"/>
      <c r="R2746" s="55"/>
      <c r="S2746" s="55"/>
      <c r="T2746" s="55"/>
      <c r="U2746" s="55"/>
      <c r="V2746" s="55"/>
      <c r="W2746" s="55"/>
      <c r="X2746" s="55"/>
      <c r="Y2746" s="55"/>
      <c r="Z2746" s="55"/>
      <c r="AA2746" s="55"/>
      <c r="AB2746" s="55"/>
      <c r="AC2746" s="55"/>
      <c r="AD2746" s="55"/>
      <c r="AE2746" s="55"/>
      <c r="AF2746" s="55"/>
      <c r="AG2746" s="55"/>
      <c r="AH2746" s="56"/>
      <c r="AI2746" s="55"/>
      <c r="AJ2746" s="55"/>
      <c r="AK2746" s="56"/>
      <c r="AL2746" s="56"/>
    </row>
    <row r="2747" spans="1:38" ht="15.75" thickBot="1" x14ac:dyDescent="0.3">
      <c r="A2747" s="51"/>
      <c r="B2747" s="51"/>
      <c r="C2747" s="51"/>
      <c r="D2747" s="51"/>
      <c r="E2747" s="51"/>
      <c r="F2747" s="51"/>
      <c r="G2747" s="54"/>
      <c r="H2747" s="53"/>
      <c r="I2747" s="53"/>
      <c r="J2747" s="53"/>
      <c r="K2747" s="54"/>
      <c r="L2747" s="53"/>
      <c r="M2747" s="53"/>
      <c r="N2747" s="53"/>
      <c r="O2747" s="53"/>
      <c r="P2747" s="53"/>
      <c r="Q2747" s="53"/>
      <c r="R2747" s="53"/>
      <c r="S2747" s="53"/>
      <c r="T2747" s="53"/>
      <c r="U2747" s="53"/>
      <c r="V2747" s="53"/>
      <c r="W2747" s="53"/>
      <c r="X2747" s="53"/>
      <c r="Y2747" s="53"/>
      <c r="Z2747" s="53"/>
      <c r="AA2747" s="53"/>
      <c r="AB2747" s="53"/>
      <c r="AC2747" s="53"/>
      <c r="AD2747" s="53"/>
      <c r="AE2747" s="53"/>
      <c r="AF2747" s="53"/>
      <c r="AG2747" s="53"/>
      <c r="AH2747" s="54"/>
      <c r="AI2747" s="53"/>
      <c r="AJ2747" s="53"/>
      <c r="AK2747" s="54"/>
      <c r="AL2747" s="54"/>
    </row>
    <row r="2748" spans="1:38" ht="15.75" thickBot="1" x14ac:dyDescent="0.3">
      <c r="A2748" s="51"/>
      <c r="B2748" s="51"/>
      <c r="C2748" s="51"/>
      <c r="D2748" s="51"/>
      <c r="E2748" s="51"/>
      <c r="F2748" s="51"/>
      <c r="G2748" s="56"/>
      <c r="H2748" s="55"/>
      <c r="I2748" s="55"/>
      <c r="J2748" s="55"/>
      <c r="K2748" s="56"/>
      <c r="L2748" s="55"/>
      <c r="M2748" s="55"/>
      <c r="N2748" s="55"/>
      <c r="O2748" s="55"/>
      <c r="P2748" s="55"/>
      <c r="Q2748" s="55"/>
      <c r="R2748" s="55"/>
      <c r="S2748" s="55"/>
      <c r="T2748" s="55"/>
      <c r="U2748" s="55"/>
      <c r="V2748" s="55"/>
      <c r="W2748" s="55"/>
      <c r="X2748" s="55"/>
      <c r="Y2748" s="55"/>
      <c r="Z2748" s="55"/>
      <c r="AA2748" s="55"/>
      <c r="AB2748" s="55"/>
      <c r="AC2748" s="55"/>
      <c r="AD2748" s="55"/>
      <c r="AE2748" s="55"/>
      <c r="AF2748" s="55"/>
      <c r="AG2748" s="55"/>
      <c r="AH2748" s="56"/>
      <c r="AI2748" s="55"/>
      <c r="AJ2748" s="55"/>
      <c r="AK2748" s="56"/>
      <c r="AL2748" s="56"/>
    </row>
    <row r="2749" spans="1:38" ht="15.75" thickBot="1" x14ac:dyDescent="0.3">
      <c r="A2749" s="51"/>
      <c r="B2749" s="51"/>
      <c r="C2749" s="51"/>
      <c r="D2749" s="51"/>
      <c r="E2749" s="51"/>
      <c r="F2749" s="51"/>
      <c r="G2749" s="54"/>
      <c r="H2749" s="53"/>
      <c r="I2749" s="53"/>
      <c r="J2749" s="53"/>
      <c r="K2749" s="54"/>
      <c r="L2749" s="53"/>
      <c r="M2749" s="53"/>
      <c r="N2749" s="53"/>
      <c r="O2749" s="53"/>
      <c r="P2749" s="53"/>
      <c r="Q2749" s="53"/>
      <c r="R2749" s="53"/>
      <c r="S2749" s="53"/>
      <c r="T2749" s="53"/>
      <c r="U2749" s="53"/>
      <c r="V2749" s="53"/>
      <c r="W2749" s="53"/>
      <c r="X2749" s="53"/>
      <c r="Y2749" s="53"/>
      <c r="Z2749" s="53"/>
      <c r="AA2749" s="53"/>
      <c r="AB2749" s="53"/>
      <c r="AC2749" s="53"/>
      <c r="AD2749" s="53"/>
      <c r="AE2749" s="53"/>
      <c r="AF2749" s="53"/>
      <c r="AG2749" s="53"/>
      <c r="AH2749" s="54"/>
      <c r="AI2749" s="53"/>
      <c r="AJ2749" s="53"/>
      <c r="AK2749" s="54"/>
      <c r="AL2749" s="54"/>
    </row>
    <row r="2750" spans="1:38" ht="15.75" thickBot="1" x14ac:dyDescent="0.3">
      <c r="A2750" s="51"/>
      <c r="B2750" s="51"/>
      <c r="C2750" s="51"/>
      <c r="D2750" s="51"/>
      <c r="E2750" s="51"/>
      <c r="F2750" s="51"/>
      <c r="G2750" s="56"/>
      <c r="H2750" s="56"/>
      <c r="I2750" s="55"/>
      <c r="J2750" s="55"/>
      <c r="K2750" s="55"/>
      <c r="L2750" s="55"/>
      <c r="M2750" s="56"/>
      <c r="N2750" s="55"/>
      <c r="O2750" s="55"/>
      <c r="P2750" s="55"/>
      <c r="Q2750" s="55"/>
      <c r="R2750" s="55"/>
      <c r="S2750" s="55"/>
      <c r="T2750" s="55"/>
      <c r="U2750" s="55"/>
      <c r="V2750" s="55"/>
      <c r="W2750" s="55"/>
      <c r="X2750" s="55"/>
      <c r="Y2750" s="55"/>
      <c r="Z2750" s="55"/>
      <c r="AA2750" s="55"/>
      <c r="AB2750" s="55"/>
      <c r="AC2750" s="55"/>
      <c r="AD2750" s="55"/>
      <c r="AE2750" s="55"/>
      <c r="AF2750" s="55"/>
      <c r="AG2750" s="55"/>
      <c r="AH2750" s="56"/>
      <c r="AI2750" s="55"/>
      <c r="AJ2750" s="55"/>
      <c r="AK2750" s="56"/>
      <c r="AL2750" s="56"/>
    </row>
    <row r="2751" spans="1:38" ht="15.75" thickBot="1" x14ac:dyDescent="0.3">
      <c r="A2751" s="51"/>
      <c r="B2751" s="51"/>
      <c r="C2751" s="51"/>
      <c r="D2751" s="51"/>
      <c r="E2751" s="51"/>
      <c r="F2751" s="51"/>
      <c r="G2751" s="54"/>
      <c r="H2751" s="147"/>
      <c r="I2751" s="53"/>
      <c r="J2751" s="53"/>
      <c r="K2751" s="53"/>
      <c r="L2751" s="53"/>
      <c r="M2751" s="54"/>
      <c r="N2751" s="53"/>
      <c r="O2751" s="53"/>
      <c r="P2751" s="53"/>
      <c r="Q2751" s="53"/>
      <c r="R2751" s="53"/>
      <c r="S2751" s="53"/>
      <c r="T2751" s="53"/>
      <c r="U2751" s="53"/>
      <c r="V2751" s="53"/>
      <c r="W2751" s="53"/>
      <c r="X2751" s="53"/>
      <c r="Y2751" s="53"/>
      <c r="Z2751" s="53"/>
      <c r="AA2751" s="53"/>
      <c r="AB2751" s="53"/>
      <c r="AC2751" s="53"/>
      <c r="AD2751" s="53"/>
      <c r="AE2751" s="53"/>
      <c r="AF2751" s="53"/>
      <c r="AG2751" s="53"/>
      <c r="AH2751" s="54"/>
      <c r="AI2751" s="53"/>
      <c r="AJ2751" s="53"/>
      <c r="AK2751" s="54"/>
      <c r="AL2751" s="54"/>
    </row>
    <row r="2752" spans="1:38" ht="15.75" thickBot="1" x14ac:dyDescent="0.3">
      <c r="A2752" s="51"/>
      <c r="B2752" s="51"/>
      <c r="C2752" s="51"/>
      <c r="D2752" s="51"/>
      <c r="E2752" s="51"/>
      <c r="F2752" s="51"/>
      <c r="G2752" s="56"/>
      <c r="H2752" s="55"/>
      <c r="I2752" s="55"/>
      <c r="J2752" s="55"/>
      <c r="K2752" s="55"/>
      <c r="L2752" s="55"/>
      <c r="M2752" s="55"/>
      <c r="N2752" s="55"/>
      <c r="O2752" s="55"/>
      <c r="P2752" s="55"/>
      <c r="Q2752" s="55"/>
      <c r="R2752" s="55"/>
      <c r="S2752" s="55"/>
      <c r="T2752" s="55"/>
      <c r="U2752" s="55"/>
      <c r="V2752" s="55"/>
      <c r="W2752" s="55"/>
      <c r="X2752" s="55"/>
      <c r="Y2752" s="55"/>
      <c r="Z2752" s="56"/>
      <c r="AA2752" s="55"/>
      <c r="AB2752" s="55"/>
      <c r="AC2752" s="55"/>
      <c r="AD2752" s="55"/>
      <c r="AE2752" s="55"/>
      <c r="AF2752" s="55"/>
      <c r="AG2752" s="55"/>
      <c r="AH2752" s="56"/>
      <c r="AI2752" s="55"/>
      <c r="AJ2752" s="55"/>
      <c r="AK2752" s="56"/>
      <c r="AL2752" s="56"/>
    </row>
    <row r="2753" spans="1:38" ht="15.75" thickBot="1" x14ac:dyDescent="0.3">
      <c r="A2753" s="51"/>
      <c r="B2753" s="51"/>
      <c r="C2753" s="51"/>
      <c r="D2753" s="51"/>
      <c r="E2753" s="51"/>
      <c r="F2753" s="51"/>
      <c r="G2753" s="54"/>
      <c r="H2753" s="53"/>
      <c r="I2753" s="53"/>
      <c r="J2753" s="53"/>
      <c r="K2753" s="53"/>
      <c r="L2753" s="53"/>
      <c r="M2753" s="53"/>
      <c r="N2753" s="53"/>
      <c r="O2753" s="53"/>
      <c r="P2753" s="53"/>
      <c r="Q2753" s="53"/>
      <c r="R2753" s="53"/>
      <c r="S2753" s="53"/>
      <c r="T2753" s="53"/>
      <c r="U2753" s="53"/>
      <c r="V2753" s="53"/>
      <c r="W2753" s="53"/>
      <c r="X2753" s="53"/>
      <c r="Y2753" s="53"/>
      <c r="Z2753" s="54"/>
      <c r="AA2753" s="53"/>
      <c r="AB2753" s="53"/>
      <c r="AC2753" s="53"/>
      <c r="AD2753" s="53"/>
      <c r="AE2753" s="53"/>
      <c r="AF2753" s="53"/>
      <c r="AG2753" s="53"/>
      <c r="AH2753" s="54"/>
      <c r="AI2753" s="53"/>
      <c r="AJ2753" s="53"/>
      <c r="AK2753" s="54"/>
      <c r="AL2753" s="54"/>
    </row>
    <row r="2754" spans="1:38" ht="15.75" thickBot="1" x14ac:dyDescent="0.3">
      <c r="A2754" s="51"/>
      <c r="B2754" s="51"/>
      <c r="C2754" s="51"/>
      <c r="D2754" s="51"/>
      <c r="E2754" s="51"/>
      <c r="F2754" s="51"/>
      <c r="G2754" s="56"/>
      <c r="H2754" s="55"/>
      <c r="I2754" s="55"/>
      <c r="J2754" s="55"/>
      <c r="K2754" s="55"/>
      <c r="L2754" s="55"/>
      <c r="M2754" s="55"/>
      <c r="N2754" s="55"/>
      <c r="O2754" s="55"/>
      <c r="P2754" s="55"/>
      <c r="Q2754" s="55"/>
      <c r="R2754" s="55"/>
      <c r="S2754" s="55"/>
      <c r="T2754" s="55"/>
      <c r="U2754" s="55"/>
      <c r="V2754" s="55"/>
      <c r="W2754" s="55"/>
      <c r="X2754" s="55"/>
      <c r="Y2754" s="55"/>
      <c r="Z2754" s="55"/>
      <c r="AA2754" s="56"/>
      <c r="AB2754" s="55"/>
      <c r="AC2754" s="55"/>
      <c r="AD2754" s="55"/>
      <c r="AE2754" s="55"/>
      <c r="AF2754" s="55"/>
      <c r="AG2754" s="55"/>
      <c r="AH2754" s="56"/>
      <c r="AI2754" s="55"/>
      <c r="AJ2754" s="55"/>
      <c r="AK2754" s="56"/>
      <c r="AL2754" s="56"/>
    </row>
    <row r="2755" spans="1:38" ht="15.75" thickBot="1" x14ac:dyDescent="0.3">
      <c r="A2755" s="51"/>
      <c r="B2755" s="51"/>
      <c r="C2755" s="51"/>
      <c r="D2755" s="51"/>
      <c r="E2755" s="51"/>
      <c r="F2755" s="51"/>
      <c r="G2755" s="54"/>
      <c r="H2755" s="53"/>
      <c r="I2755" s="53"/>
      <c r="J2755" s="53"/>
      <c r="K2755" s="53"/>
      <c r="L2755" s="53"/>
      <c r="M2755" s="53"/>
      <c r="N2755" s="53"/>
      <c r="O2755" s="53"/>
      <c r="P2755" s="53"/>
      <c r="Q2755" s="53"/>
      <c r="R2755" s="53"/>
      <c r="S2755" s="53"/>
      <c r="T2755" s="53"/>
      <c r="U2755" s="53"/>
      <c r="V2755" s="53"/>
      <c r="W2755" s="53"/>
      <c r="X2755" s="53"/>
      <c r="Y2755" s="53"/>
      <c r="Z2755" s="53"/>
      <c r="AA2755" s="54"/>
      <c r="AB2755" s="53"/>
      <c r="AC2755" s="53"/>
      <c r="AD2755" s="53"/>
      <c r="AE2755" s="53"/>
      <c r="AF2755" s="53"/>
      <c r="AG2755" s="53"/>
      <c r="AH2755" s="54"/>
      <c r="AI2755" s="53"/>
      <c r="AJ2755" s="53"/>
      <c r="AK2755" s="54"/>
      <c r="AL2755" s="54"/>
    </row>
    <row r="2756" spans="1:38" ht="15.75" thickBot="1" x14ac:dyDescent="0.3">
      <c r="A2756" s="51"/>
      <c r="B2756" s="51"/>
      <c r="C2756" s="51"/>
      <c r="D2756" s="51"/>
      <c r="E2756" s="51"/>
      <c r="F2756" s="51"/>
      <c r="G2756" s="56"/>
      <c r="H2756" s="55"/>
      <c r="I2756" s="55"/>
      <c r="J2756" s="55"/>
      <c r="K2756" s="55"/>
      <c r="L2756" s="55"/>
      <c r="M2756" s="55"/>
      <c r="N2756" s="55"/>
      <c r="O2756" s="55"/>
      <c r="P2756" s="55"/>
      <c r="Q2756" s="55"/>
      <c r="R2756" s="55"/>
      <c r="S2756" s="55"/>
      <c r="T2756" s="55"/>
      <c r="U2756" s="55"/>
      <c r="V2756" s="55"/>
      <c r="W2756" s="55"/>
      <c r="X2756" s="55"/>
      <c r="Y2756" s="56"/>
      <c r="Z2756" s="55"/>
      <c r="AA2756" s="55"/>
      <c r="AB2756" s="55"/>
      <c r="AC2756" s="55"/>
      <c r="AD2756" s="55"/>
      <c r="AE2756" s="55"/>
      <c r="AF2756" s="55"/>
      <c r="AG2756" s="55"/>
      <c r="AH2756" s="56"/>
      <c r="AI2756" s="55"/>
      <c r="AJ2756" s="55"/>
      <c r="AK2756" s="56"/>
      <c r="AL2756" s="56"/>
    </row>
    <row r="2757" spans="1:38" ht="15.75" thickBot="1" x14ac:dyDescent="0.3">
      <c r="A2757" s="51"/>
      <c r="B2757" s="51"/>
      <c r="C2757" s="51"/>
      <c r="D2757" s="51"/>
      <c r="E2757" s="51"/>
      <c r="F2757" s="51"/>
      <c r="G2757" s="54"/>
      <c r="H2757" s="53"/>
      <c r="I2757" s="53"/>
      <c r="J2757" s="53"/>
      <c r="K2757" s="53"/>
      <c r="L2757" s="53"/>
      <c r="M2757" s="53"/>
      <c r="N2757" s="53"/>
      <c r="O2757" s="53"/>
      <c r="P2757" s="53"/>
      <c r="Q2757" s="53"/>
      <c r="R2757" s="53"/>
      <c r="S2757" s="53"/>
      <c r="T2757" s="53"/>
      <c r="U2757" s="53"/>
      <c r="V2757" s="53"/>
      <c r="W2757" s="53"/>
      <c r="X2757" s="53"/>
      <c r="Y2757" s="54"/>
      <c r="Z2757" s="53"/>
      <c r="AA2757" s="53"/>
      <c r="AB2757" s="53"/>
      <c r="AC2757" s="53"/>
      <c r="AD2757" s="53"/>
      <c r="AE2757" s="53"/>
      <c r="AF2757" s="53"/>
      <c r="AG2757" s="53"/>
      <c r="AH2757" s="54"/>
      <c r="AI2757" s="53"/>
      <c r="AJ2757" s="53"/>
      <c r="AK2757" s="54"/>
      <c r="AL2757" s="54"/>
    </row>
    <row r="2758" spans="1:38" ht="15.75" thickBot="1" x14ac:dyDescent="0.3">
      <c r="A2758" s="51"/>
      <c r="B2758" s="51"/>
      <c r="C2758" s="51"/>
      <c r="D2758" s="51"/>
      <c r="E2758" s="51"/>
      <c r="F2758" s="51"/>
      <c r="G2758" s="56"/>
      <c r="H2758" s="55"/>
      <c r="I2758" s="55"/>
      <c r="J2758" s="55"/>
      <c r="K2758" s="56"/>
      <c r="L2758" s="55"/>
      <c r="M2758" s="55"/>
      <c r="N2758" s="55"/>
      <c r="O2758" s="55"/>
      <c r="P2758" s="55"/>
      <c r="Q2758" s="55"/>
      <c r="R2758" s="55"/>
      <c r="S2758" s="55"/>
      <c r="T2758" s="55"/>
      <c r="U2758" s="55"/>
      <c r="V2758" s="55"/>
      <c r="W2758" s="55"/>
      <c r="X2758" s="55"/>
      <c r="Y2758" s="55"/>
      <c r="Z2758" s="55"/>
      <c r="AA2758" s="55"/>
      <c r="AB2758" s="55"/>
      <c r="AC2758" s="55"/>
      <c r="AD2758" s="55"/>
      <c r="AE2758" s="55"/>
      <c r="AF2758" s="55"/>
      <c r="AG2758" s="55"/>
      <c r="AH2758" s="56"/>
      <c r="AI2758" s="55"/>
      <c r="AJ2758" s="55"/>
      <c r="AK2758" s="56"/>
      <c r="AL2758" s="56"/>
    </row>
    <row r="2759" spans="1:38" ht="15.75" thickBot="1" x14ac:dyDescent="0.3">
      <c r="A2759" s="51"/>
      <c r="B2759" s="51"/>
      <c r="C2759" s="51"/>
      <c r="D2759" s="51"/>
      <c r="E2759" s="51"/>
      <c r="F2759" s="51"/>
      <c r="G2759" s="54"/>
      <c r="H2759" s="53"/>
      <c r="I2759" s="53"/>
      <c r="J2759" s="53"/>
      <c r="K2759" s="54"/>
      <c r="L2759" s="53"/>
      <c r="M2759" s="53"/>
      <c r="N2759" s="53"/>
      <c r="O2759" s="53"/>
      <c r="P2759" s="53"/>
      <c r="Q2759" s="53"/>
      <c r="R2759" s="53"/>
      <c r="S2759" s="53"/>
      <c r="T2759" s="53"/>
      <c r="U2759" s="53"/>
      <c r="V2759" s="53"/>
      <c r="W2759" s="53"/>
      <c r="X2759" s="53"/>
      <c r="Y2759" s="53"/>
      <c r="Z2759" s="53"/>
      <c r="AA2759" s="53"/>
      <c r="AB2759" s="53"/>
      <c r="AC2759" s="53"/>
      <c r="AD2759" s="53"/>
      <c r="AE2759" s="53"/>
      <c r="AF2759" s="53"/>
      <c r="AG2759" s="53"/>
      <c r="AH2759" s="54"/>
      <c r="AI2759" s="53"/>
      <c r="AJ2759" s="53"/>
      <c r="AK2759" s="54"/>
      <c r="AL2759" s="54"/>
    </row>
    <row r="2760" spans="1:38" ht="15.75" thickBot="1" x14ac:dyDescent="0.3">
      <c r="A2760" s="51"/>
      <c r="B2760" s="51"/>
      <c r="C2760" s="51"/>
      <c r="D2760" s="51"/>
      <c r="E2760" s="51"/>
      <c r="F2760" s="51"/>
      <c r="G2760" s="56"/>
      <c r="H2760" s="55"/>
      <c r="I2760" s="55"/>
      <c r="J2760" s="55"/>
      <c r="K2760" s="55"/>
      <c r="L2760" s="55"/>
      <c r="M2760" s="55"/>
      <c r="N2760" s="55"/>
      <c r="O2760" s="55"/>
      <c r="P2760" s="55"/>
      <c r="Q2760" s="55"/>
      <c r="R2760" s="55"/>
      <c r="S2760" s="55"/>
      <c r="T2760" s="55"/>
      <c r="U2760" s="55"/>
      <c r="V2760" s="55"/>
      <c r="W2760" s="55"/>
      <c r="X2760" s="55"/>
      <c r="Y2760" s="55"/>
      <c r="Z2760" s="55"/>
      <c r="AA2760" s="55"/>
      <c r="AB2760" s="55"/>
      <c r="AC2760" s="56"/>
      <c r="AD2760" s="55"/>
      <c r="AE2760" s="55"/>
      <c r="AF2760" s="55"/>
      <c r="AG2760" s="55"/>
      <c r="AH2760" s="56"/>
      <c r="AI2760" s="55"/>
      <c r="AJ2760" s="55"/>
      <c r="AK2760" s="56"/>
      <c r="AL2760" s="56"/>
    </row>
    <row r="2761" spans="1:38" ht="15.75" thickBot="1" x14ac:dyDescent="0.3">
      <c r="A2761" s="51"/>
      <c r="B2761" s="51"/>
      <c r="C2761" s="51"/>
      <c r="D2761" s="51"/>
      <c r="E2761" s="51"/>
      <c r="F2761" s="51"/>
      <c r="G2761" s="54"/>
      <c r="H2761" s="53"/>
      <c r="I2761" s="53"/>
      <c r="J2761" s="53"/>
      <c r="K2761" s="53"/>
      <c r="L2761" s="53"/>
      <c r="M2761" s="53"/>
      <c r="N2761" s="53"/>
      <c r="O2761" s="53"/>
      <c r="P2761" s="53"/>
      <c r="Q2761" s="53"/>
      <c r="R2761" s="53"/>
      <c r="S2761" s="53"/>
      <c r="T2761" s="53"/>
      <c r="U2761" s="53"/>
      <c r="V2761" s="53"/>
      <c r="W2761" s="53"/>
      <c r="X2761" s="53"/>
      <c r="Y2761" s="53"/>
      <c r="Z2761" s="53"/>
      <c r="AA2761" s="53"/>
      <c r="AB2761" s="53"/>
      <c r="AC2761" s="54"/>
      <c r="AD2761" s="53"/>
      <c r="AE2761" s="53"/>
      <c r="AF2761" s="53"/>
      <c r="AG2761" s="53"/>
      <c r="AH2761" s="54"/>
      <c r="AI2761" s="53"/>
      <c r="AJ2761" s="53"/>
      <c r="AK2761" s="54"/>
      <c r="AL2761" s="54"/>
    </row>
    <row r="2762" spans="1:38" ht="15.75" thickBot="1" x14ac:dyDescent="0.3">
      <c r="A2762" s="51"/>
      <c r="B2762" s="51"/>
      <c r="C2762" s="51"/>
      <c r="D2762" s="51"/>
      <c r="E2762" s="51"/>
      <c r="F2762" s="51"/>
      <c r="G2762" s="56"/>
      <c r="H2762" s="55"/>
      <c r="I2762" s="55"/>
      <c r="J2762" s="55"/>
      <c r="K2762" s="56"/>
      <c r="L2762" s="55"/>
      <c r="M2762" s="55"/>
      <c r="N2762" s="55"/>
      <c r="O2762" s="55"/>
      <c r="P2762" s="55"/>
      <c r="Q2762" s="55"/>
      <c r="R2762" s="55"/>
      <c r="S2762" s="55"/>
      <c r="T2762" s="55"/>
      <c r="U2762" s="55"/>
      <c r="V2762" s="55"/>
      <c r="W2762" s="55"/>
      <c r="X2762" s="55"/>
      <c r="Y2762" s="55"/>
      <c r="Z2762" s="55"/>
      <c r="AA2762" s="55"/>
      <c r="AB2762" s="55"/>
      <c r="AC2762" s="55"/>
      <c r="AD2762" s="55"/>
      <c r="AE2762" s="55"/>
      <c r="AF2762" s="55"/>
      <c r="AG2762" s="55"/>
      <c r="AH2762" s="56"/>
      <c r="AI2762" s="55"/>
      <c r="AJ2762" s="55"/>
      <c r="AK2762" s="56"/>
      <c r="AL2762" s="56"/>
    </row>
    <row r="2763" spans="1:38" ht="15.75" thickBot="1" x14ac:dyDescent="0.3">
      <c r="A2763" s="51"/>
      <c r="B2763" s="51"/>
      <c r="C2763" s="51"/>
      <c r="D2763" s="51"/>
      <c r="E2763" s="51"/>
      <c r="F2763" s="51"/>
      <c r="G2763" s="54"/>
      <c r="H2763" s="53"/>
      <c r="I2763" s="53"/>
      <c r="J2763" s="53"/>
      <c r="K2763" s="54"/>
      <c r="L2763" s="53"/>
      <c r="M2763" s="53"/>
      <c r="N2763" s="53"/>
      <c r="O2763" s="53"/>
      <c r="P2763" s="53"/>
      <c r="Q2763" s="53"/>
      <c r="R2763" s="53"/>
      <c r="S2763" s="53"/>
      <c r="T2763" s="53"/>
      <c r="U2763" s="53"/>
      <c r="V2763" s="53"/>
      <c r="W2763" s="53"/>
      <c r="X2763" s="53"/>
      <c r="Y2763" s="53"/>
      <c r="Z2763" s="53"/>
      <c r="AA2763" s="53"/>
      <c r="AB2763" s="53"/>
      <c r="AC2763" s="53"/>
      <c r="AD2763" s="53"/>
      <c r="AE2763" s="53"/>
      <c r="AF2763" s="53"/>
      <c r="AG2763" s="53"/>
      <c r="AH2763" s="54"/>
      <c r="AI2763" s="53"/>
      <c r="AJ2763" s="53"/>
      <c r="AK2763" s="54"/>
      <c r="AL2763" s="54"/>
    </row>
    <row r="2764" spans="1:38" ht="15.75" thickBot="1" x14ac:dyDescent="0.3">
      <c r="A2764" s="51"/>
      <c r="B2764" s="51"/>
      <c r="C2764" s="51"/>
      <c r="D2764" s="51"/>
      <c r="E2764" s="51"/>
      <c r="F2764" s="51"/>
      <c r="G2764" s="56"/>
      <c r="H2764" s="56"/>
      <c r="I2764" s="55"/>
      <c r="J2764" s="55"/>
      <c r="K2764" s="55"/>
      <c r="L2764" s="55"/>
      <c r="M2764" s="56"/>
      <c r="N2764" s="55"/>
      <c r="O2764" s="55"/>
      <c r="P2764" s="55"/>
      <c r="Q2764" s="55"/>
      <c r="R2764" s="55"/>
      <c r="S2764" s="55"/>
      <c r="T2764" s="55"/>
      <c r="U2764" s="55"/>
      <c r="V2764" s="55"/>
      <c r="W2764" s="55"/>
      <c r="X2764" s="55"/>
      <c r="Y2764" s="55"/>
      <c r="Z2764" s="55"/>
      <c r="AA2764" s="55"/>
      <c r="AB2764" s="55"/>
      <c r="AC2764" s="55"/>
      <c r="AD2764" s="55"/>
      <c r="AE2764" s="55"/>
      <c r="AF2764" s="55"/>
      <c r="AG2764" s="55"/>
      <c r="AH2764" s="56"/>
      <c r="AI2764" s="55"/>
      <c r="AJ2764" s="55"/>
      <c r="AK2764" s="56"/>
      <c r="AL2764" s="56"/>
    </row>
    <row r="2765" spans="1:38" ht="15.75" thickBot="1" x14ac:dyDescent="0.3">
      <c r="A2765" s="51"/>
      <c r="B2765" s="51"/>
      <c r="C2765" s="51"/>
      <c r="D2765" s="51"/>
      <c r="E2765" s="51"/>
      <c r="F2765" s="51"/>
      <c r="G2765" s="54"/>
      <c r="H2765" s="147"/>
      <c r="I2765" s="53"/>
      <c r="J2765" s="53"/>
      <c r="K2765" s="53"/>
      <c r="L2765" s="53"/>
      <c r="M2765" s="54"/>
      <c r="N2765" s="53"/>
      <c r="O2765" s="53"/>
      <c r="P2765" s="53"/>
      <c r="Q2765" s="53"/>
      <c r="R2765" s="53"/>
      <c r="S2765" s="53"/>
      <c r="T2765" s="53"/>
      <c r="U2765" s="53"/>
      <c r="V2765" s="53"/>
      <c r="W2765" s="53"/>
      <c r="X2765" s="53"/>
      <c r="Y2765" s="53"/>
      <c r="Z2765" s="53"/>
      <c r="AA2765" s="53"/>
      <c r="AB2765" s="53"/>
      <c r="AC2765" s="53"/>
      <c r="AD2765" s="53"/>
      <c r="AE2765" s="53"/>
      <c r="AF2765" s="53"/>
      <c r="AG2765" s="53"/>
      <c r="AH2765" s="54"/>
      <c r="AI2765" s="53"/>
      <c r="AJ2765" s="53"/>
      <c r="AK2765" s="54"/>
      <c r="AL2765" s="54"/>
    </row>
    <row r="2766" spans="1:38" ht="15.75" thickBot="1" x14ac:dyDescent="0.3">
      <c r="A2766" s="51"/>
      <c r="B2766" s="51"/>
      <c r="C2766" s="51"/>
      <c r="D2766" s="51"/>
      <c r="E2766" s="51"/>
      <c r="F2766" s="51"/>
      <c r="G2766" s="56"/>
      <c r="H2766" s="55"/>
      <c r="I2766" s="55"/>
      <c r="J2766" s="55"/>
      <c r="K2766" s="55"/>
      <c r="L2766" s="55"/>
      <c r="M2766" s="55"/>
      <c r="N2766" s="55"/>
      <c r="O2766" s="55"/>
      <c r="P2766" s="55"/>
      <c r="Q2766" s="55"/>
      <c r="R2766" s="55"/>
      <c r="S2766" s="55"/>
      <c r="T2766" s="55"/>
      <c r="U2766" s="55"/>
      <c r="V2766" s="55"/>
      <c r="W2766" s="55"/>
      <c r="X2766" s="55"/>
      <c r="Y2766" s="55"/>
      <c r="Z2766" s="56"/>
      <c r="AA2766" s="55"/>
      <c r="AB2766" s="55"/>
      <c r="AC2766" s="55"/>
      <c r="AD2766" s="55"/>
      <c r="AE2766" s="55"/>
      <c r="AF2766" s="55"/>
      <c r="AG2766" s="55"/>
      <c r="AH2766" s="56"/>
      <c r="AI2766" s="55"/>
      <c r="AJ2766" s="55"/>
      <c r="AK2766" s="56"/>
      <c r="AL2766" s="56"/>
    </row>
    <row r="2767" spans="1:38" ht="15.75" thickBot="1" x14ac:dyDescent="0.3">
      <c r="A2767" s="51"/>
      <c r="B2767" s="51"/>
      <c r="C2767" s="51"/>
      <c r="D2767" s="51"/>
      <c r="E2767" s="51"/>
      <c r="F2767" s="51"/>
      <c r="G2767" s="54"/>
      <c r="H2767" s="53"/>
      <c r="I2767" s="53"/>
      <c r="J2767" s="53"/>
      <c r="K2767" s="53"/>
      <c r="L2767" s="53"/>
      <c r="M2767" s="53"/>
      <c r="N2767" s="53"/>
      <c r="O2767" s="53"/>
      <c r="P2767" s="53"/>
      <c r="Q2767" s="53"/>
      <c r="R2767" s="53"/>
      <c r="S2767" s="53"/>
      <c r="T2767" s="53"/>
      <c r="U2767" s="53"/>
      <c r="V2767" s="53"/>
      <c r="W2767" s="53"/>
      <c r="X2767" s="53"/>
      <c r="Y2767" s="53"/>
      <c r="Z2767" s="54"/>
      <c r="AA2767" s="53"/>
      <c r="AB2767" s="53"/>
      <c r="AC2767" s="53"/>
      <c r="AD2767" s="53"/>
      <c r="AE2767" s="53"/>
      <c r="AF2767" s="53"/>
      <c r="AG2767" s="53"/>
      <c r="AH2767" s="54"/>
      <c r="AI2767" s="53"/>
      <c r="AJ2767" s="53"/>
      <c r="AK2767" s="54"/>
      <c r="AL2767" s="54"/>
    </row>
    <row r="2768" spans="1:38" ht="15.75" thickBot="1" x14ac:dyDescent="0.3">
      <c r="A2768" s="51"/>
      <c r="B2768" s="51"/>
      <c r="C2768" s="51"/>
      <c r="D2768" s="51"/>
      <c r="E2768" s="51"/>
      <c r="F2768" s="51"/>
      <c r="G2768" s="56"/>
      <c r="H2768" s="55"/>
      <c r="I2768" s="55"/>
      <c r="J2768" s="55"/>
      <c r="K2768" s="55"/>
      <c r="L2768" s="55"/>
      <c r="M2768" s="55"/>
      <c r="N2768" s="55"/>
      <c r="O2768" s="55"/>
      <c r="P2768" s="55"/>
      <c r="Q2768" s="55"/>
      <c r="R2768" s="55"/>
      <c r="S2768" s="55"/>
      <c r="T2768" s="55"/>
      <c r="U2768" s="55"/>
      <c r="V2768" s="55"/>
      <c r="W2768" s="55"/>
      <c r="X2768" s="55"/>
      <c r="Y2768" s="55"/>
      <c r="Z2768" s="55"/>
      <c r="AA2768" s="56"/>
      <c r="AB2768" s="55"/>
      <c r="AC2768" s="55"/>
      <c r="AD2768" s="55"/>
      <c r="AE2768" s="55"/>
      <c r="AF2768" s="55"/>
      <c r="AG2768" s="55"/>
      <c r="AH2768" s="56"/>
      <c r="AI2768" s="55"/>
      <c r="AJ2768" s="55"/>
      <c r="AK2768" s="56"/>
      <c r="AL2768" s="56"/>
    </row>
    <row r="2769" spans="1:38" ht="15.75" thickBot="1" x14ac:dyDescent="0.3">
      <c r="A2769" s="51"/>
      <c r="B2769" s="51"/>
      <c r="C2769" s="51"/>
      <c r="D2769" s="51"/>
      <c r="E2769" s="51"/>
      <c r="F2769" s="51"/>
      <c r="G2769" s="54"/>
      <c r="H2769" s="53"/>
      <c r="I2769" s="53"/>
      <c r="J2769" s="53"/>
      <c r="K2769" s="53"/>
      <c r="L2769" s="53"/>
      <c r="M2769" s="53"/>
      <c r="N2769" s="53"/>
      <c r="O2769" s="53"/>
      <c r="P2769" s="53"/>
      <c r="Q2769" s="53"/>
      <c r="R2769" s="53"/>
      <c r="S2769" s="53"/>
      <c r="T2769" s="53"/>
      <c r="U2769" s="53"/>
      <c r="V2769" s="53"/>
      <c r="W2769" s="53"/>
      <c r="X2769" s="53"/>
      <c r="Y2769" s="53"/>
      <c r="Z2769" s="53"/>
      <c r="AA2769" s="54"/>
      <c r="AB2769" s="53"/>
      <c r="AC2769" s="53"/>
      <c r="AD2769" s="53"/>
      <c r="AE2769" s="53"/>
      <c r="AF2769" s="53"/>
      <c r="AG2769" s="53"/>
      <c r="AH2769" s="54"/>
      <c r="AI2769" s="53"/>
      <c r="AJ2769" s="53"/>
      <c r="AK2769" s="54"/>
      <c r="AL2769" s="54"/>
    </row>
    <row r="2770" spans="1:38" ht="15.75" thickBot="1" x14ac:dyDescent="0.3">
      <c r="A2770" s="51"/>
      <c r="B2770" s="51"/>
      <c r="C2770" s="51"/>
      <c r="D2770" s="51"/>
      <c r="E2770" s="51"/>
      <c r="F2770" s="51"/>
      <c r="G2770" s="56"/>
      <c r="H2770" s="55"/>
      <c r="I2770" s="55"/>
      <c r="J2770" s="55"/>
      <c r="K2770" s="55"/>
      <c r="L2770" s="55"/>
      <c r="M2770" s="55"/>
      <c r="N2770" s="55"/>
      <c r="O2770" s="55"/>
      <c r="P2770" s="55"/>
      <c r="Q2770" s="55"/>
      <c r="R2770" s="55"/>
      <c r="S2770" s="55"/>
      <c r="T2770" s="55"/>
      <c r="U2770" s="55"/>
      <c r="V2770" s="55"/>
      <c r="W2770" s="55"/>
      <c r="X2770" s="55"/>
      <c r="Y2770" s="56"/>
      <c r="Z2770" s="55"/>
      <c r="AA2770" s="55"/>
      <c r="AB2770" s="55"/>
      <c r="AC2770" s="55"/>
      <c r="AD2770" s="55"/>
      <c r="AE2770" s="55"/>
      <c r="AF2770" s="55"/>
      <c r="AG2770" s="55"/>
      <c r="AH2770" s="56"/>
      <c r="AI2770" s="55"/>
      <c r="AJ2770" s="55"/>
      <c r="AK2770" s="56"/>
      <c r="AL2770" s="56"/>
    </row>
    <row r="2771" spans="1:38" ht="15.75" thickBot="1" x14ac:dyDescent="0.3">
      <c r="A2771" s="51"/>
      <c r="B2771" s="51"/>
      <c r="C2771" s="51"/>
      <c r="D2771" s="51"/>
      <c r="E2771" s="51"/>
      <c r="F2771" s="51"/>
      <c r="G2771" s="54"/>
      <c r="H2771" s="53"/>
      <c r="I2771" s="53"/>
      <c r="J2771" s="53"/>
      <c r="K2771" s="53"/>
      <c r="L2771" s="53"/>
      <c r="M2771" s="53"/>
      <c r="N2771" s="53"/>
      <c r="O2771" s="53"/>
      <c r="P2771" s="53"/>
      <c r="Q2771" s="53"/>
      <c r="R2771" s="53"/>
      <c r="S2771" s="53"/>
      <c r="T2771" s="53"/>
      <c r="U2771" s="53"/>
      <c r="V2771" s="53"/>
      <c r="W2771" s="53"/>
      <c r="X2771" s="53"/>
      <c r="Y2771" s="54"/>
      <c r="Z2771" s="53"/>
      <c r="AA2771" s="53"/>
      <c r="AB2771" s="53"/>
      <c r="AC2771" s="53"/>
      <c r="AD2771" s="53"/>
      <c r="AE2771" s="53"/>
      <c r="AF2771" s="53"/>
      <c r="AG2771" s="53"/>
      <c r="AH2771" s="54"/>
      <c r="AI2771" s="53"/>
      <c r="AJ2771" s="53"/>
      <c r="AK2771" s="54"/>
      <c r="AL2771" s="54"/>
    </row>
    <row r="2772" spans="1:38" ht="15.75" thickBot="1" x14ac:dyDescent="0.3">
      <c r="A2772" s="51"/>
      <c r="B2772" s="51"/>
      <c r="C2772" s="51"/>
      <c r="D2772" s="51"/>
      <c r="E2772" s="51"/>
      <c r="F2772" s="51"/>
      <c r="G2772" s="56"/>
      <c r="H2772" s="55"/>
      <c r="I2772" s="55"/>
      <c r="J2772" s="55"/>
      <c r="K2772" s="56"/>
      <c r="L2772" s="55"/>
      <c r="M2772" s="55"/>
      <c r="N2772" s="55"/>
      <c r="O2772" s="55"/>
      <c r="P2772" s="55"/>
      <c r="Q2772" s="55"/>
      <c r="R2772" s="55"/>
      <c r="S2772" s="55"/>
      <c r="T2772" s="55"/>
      <c r="U2772" s="55"/>
      <c r="V2772" s="55"/>
      <c r="W2772" s="55"/>
      <c r="X2772" s="55"/>
      <c r="Y2772" s="55"/>
      <c r="Z2772" s="55"/>
      <c r="AA2772" s="55"/>
      <c r="AB2772" s="55"/>
      <c r="AC2772" s="55"/>
      <c r="AD2772" s="55"/>
      <c r="AE2772" s="55"/>
      <c r="AF2772" s="55"/>
      <c r="AG2772" s="55"/>
      <c r="AH2772" s="56"/>
      <c r="AI2772" s="55"/>
      <c r="AJ2772" s="55"/>
      <c r="AK2772" s="56"/>
      <c r="AL2772" s="56"/>
    </row>
    <row r="2773" spans="1:38" ht="15.75" thickBot="1" x14ac:dyDescent="0.3">
      <c r="A2773" s="51"/>
      <c r="B2773" s="51"/>
      <c r="C2773" s="51"/>
      <c r="D2773" s="51"/>
      <c r="E2773" s="51"/>
      <c r="F2773" s="51"/>
      <c r="G2773" s="54"/>
      <c r="H2773" s="53"/>
      <c r="I2773" s="53"/>
      <c r="J2773" s="53"/>
      <c r="K2773" s="54"/>
      <c r="L2773" s="53"/>
      <c r="M2773" s="53"/>
      <c r="N2773" s="53"/>
      <c r="O2773" s="53"/>
      <c r="P2773" s="53"/>
      <c r="Q2773" s="53"/>
      <c r="R2773" s="53"/>
      <c r="S2773" s="53"/>
      <c r="T2773" s="53"/>
      <c r="U2773" s="53"/>
      <c r="V2773" s="53"/>
      <c r="W2773" s="53"/>
      <c r="X2773" s="53"/>
      <c r="Y2773" s="53"/>
      <c r="Z2773" s="53"/>
      <c r="AA2773" s="53"/>
      <c r="AB2773" s="53"/>
      <c r="AC2773" s="53"/>
      <c r="AD2773" s="53"/>
      <c r="AE2773" s="53"/>
      <c r="AF2773" s="53"/>
      <c r="AG2773" s="53"/>
      <c r="AH2773" s="54"/>
      <c r="AI2773" s="53"/>
      <c r="AJ2773" s="53"/>
      <c r="AK2773" s="54"/>
      <c r="AL2773" s="54"/>
    </row>
    <row r="2774" spans="1:38" ht="15.75" thickBot="1" x14ac:dyDescent="0.3">
      <c r="A2774" s="51"/>
      <c r="B2774" s="51"/>
      <c r="C2774" s="51"/>
      <c r="D2774" s="51"/>
      <c r="E2774" s="51"/>
      <c r="F2774" s="51"/>
      <c r="G2774" s="56"/>
      <c r="H2774" s="55"/>
      <c r="I2774" s="55"/>
      <c r="J2774" s="55"/>
      <c r="K2774" s="55"/>
      <c r="L2774" s="55"/>
      <c r="M2774" s="55"/>
      <c r="N2774" s="55"/>
      <c r="O2774" s="55"/>
      <c r="P2774" s="55"/>
      <c r="Q2774" s="55"/>
      <c r="R2774" s="55"/>
      <c r="S2774" s="55"/>
      <c r="T2774" s="55"/>
      <c r="U2774" s="55"/>
      <c r="V2774" s="55"/>
      <c r="W2774" s="55"/>
      <c r="X2774" s="55"/>
      <c r="Y2774" s="55"/>
      <c r="Z2774" s="55"/>
      <c r="AA2774" s="55"/>
      <c r="AB2774" s="55"/>
      <c r="AC2774" s="56"/>
      <c r="AD2774" s="55"/>
      <c r="AE2774" s="55"/>
      <c r="AF2774" s="55"/>
      <c r="AG2774" s="55"/>
      <c r="AH2774" s="56"/>
      <c r="AI2774" s="55"/>
      <c r="AJ2774" s="55"/>
      <c r="AK2774" s="56"/>
      <c r="AL2774" s="56"/>
    </row>
    <row r="2775" spans="1:38" ht="15.75" thickBot="1" x14ac:dyDescent="0.3">
      <c r="A2775" s="51"/>
      <c r="B2775" s="51"/>
      <c r="C2775" s="51"/>
      <c r="D2775" s="51"/>
      <c r="E2775" s="51"/>
      <c r="F2775" s="51"/>
      <c r="G2775" s="54"/>
      <c r="H2775" s="53"/>
      <c r="I2775" s="53"/>
      <c r="J2775" s="53"/>
      <c r="K2775" s="53"/>
      <c r="L2775" s="53"/>
      <c r="M2775" s="53"/>
      <c r="N2775" s="53"/>
      <c r="O2775" s="53"/>
      <c r="P2775" s="53"/>
      <c r="Q2775" s="53"/>
      <c r="R2775" s="53"/>
      <c r="S2775" s="53"/>
      <c r="T2775" s="53"/>
      <c r="U2775" s="53"/>
      <c r="V2775" s="53"/>
      <c r="W2775" s="53"/>
      <c r="X2775" s="53"/>
      <c r="Y2775" s="53"/>
      <c r="Z2775" s="53"/>
      <c r="AA2775" s="53"/>
      <c r="AB2775" s="53"/>
      <c r="AC2775" s="54"/>
      <c r="AD2775" s="53"/>
      <c r="AE2775" s="53"/>
      <c r="AF2775" s="53"/>
      <c r="AG2775" s="53"/>
      <c r="AH2775" s="54"/>
      <c r="AI2775" s="53"/>
      <c r="AJ2775" s="53"/>
      <c r="AK2775" s="54"/>
      <c r="AL2775" s="54"/>
    </row>
    <row r="2776" spans="1:38" ht="15.75" thickBot="1" x14ac:dyDescent="0.3">
      <c r="A2776" s="51"/>
      <c r="B2776" s="51"/>
      <c r="C2776" s="51"/>
      <c r="D2776" s="51"/>
      <c r="E2776" s="51"/>
      <c r="F2776" s="51"/>
      <c r="G2776" s="56"/>
      <c r="H2776" s="56"/>
      <c r="I2776" s="55"/>
      <c r="J2776" s="55"/>
      <c r="K2776" s="55"/>
      <c r="L2776" s="55"/>
      <c r="M2776" s="56"/>
      <c r="N2776" s="55"/>
      <c r="O2776" s="55"/>
      <c r="P2776" s="55"/>
      <c r="Q2776" s="55"/>
      <c r="R2776" s="55"/>
      <c r="S2776" s="55"/>
      <c r="T2776" s="55"/>
      <c r="U2776" s="55"/>
      <c r="V2776" s="55"/>
      <c r="W2776" s="55"/>
      <c r="X2776" s="55"/>
      <c r="Y2776" s="55"/>
      <c r="Z2776" s="55"/>
      <c r="AA2776" s="55"/>
      <c r="AB2776" s="55"/>
      <c r="AC2776" s="55"/>
      <c r="AD2776" s="55"/>
      <c r="AE2776" s="55"/>
      <c r="AF2776" s="55"/>
      <c r="AG2776" s="55"/>
      <c r="AH2776" s="56"/>
      <c r="AI2776" s="55"/>
      <c r="AJ2776" s="55"/>
      <c r="AK2776" s="56"/>
      <c r="AL2776" s="56"/>
    </row>
    <row r="2777" spans="1:38" ht="15.75" thickBot="1" x14ac:dyDescent="0.3">
      <c r="A2777" s="51"/>
      <c r="B2777" s="51"/>
      <c r="C2777" s="51"/>
      <c r="D2777" s="51"/>
      <c r="E2777" s="51"/>
      <c r="F2777" s="51"/>
      <c r="G2777" s="54"/>
      <c r="H2777" s="147"/>
      <c r="I2777" s="53"/>
      <c r="J2777" s="53"/>
      <c r="K2777" s="53"/>
      <c r="L2777" s="53"/>
      <c r="M2777" s="54"/>
      <c r="N2777" s="53"/>
      <c r="O2777" s="53"/>
      <c r="P2777" s="53"/>
      <c r="Q2777" s="53"/>
      <c r="R2777" s="53"/>
      <c r="S2777" s="53"/>
      <c r="T2777" s="53"/>
      <c r="U2777" s="53"/>
      <c r="V2777" s="53"/>
      <c r="W2777" s="53"/>
      <c r="X2777" s="53"/>
      <c r="Y2777" s="53"/>
      <c r="Z2777" s="53"/>
      <c r="AA2777" s="53"/>
      <c r="AB2777" s="53"/>
      <c r="AC2777" s="53"/>
      <c r="AD2777" s="53"/>
      <c r="AE2777" s="53"/>
      <c r="AF2777" s="53"/>
      <c r="AG2777" s="53"/>
      <c r="AH2777" s="54"/>
      <c r="AI2777" s="53"/>
      <c r="AJ2777" s="53"/>
      <c r="AK2777" s="54"/>
      <c r="AL2777" s="54"/>
    </row>
    <row r="2778" spans="1:38" ht="15.75" thickBot="1" x14ac:dyDescent="0.3">
      <c r="A2778" s="51"/>
      <c r="B2778" s="51"/>
      <c r="C2778" s="51"/>
      <c r="D2778" s="51"/>
      <c r="E2778" s="51"/>
      <c r="F2778" s="51"/>
      <c r="G2778" s="56"/>
      <c r="H2778" s="55"/>
      <c r="I2778" s="55"/>
      <c r="J2778" s="55"/>
      <c r="K2778" s="55"/>
      <c r="L2778" s="55"/>
      <c r="M2778" s="55"/>
      <c r="N2778" s="55"/>
      <c r="O2778" s="55"/>
      <c r="P2778" s="55"/>
      <c r="Q2778" s="55"/>
      <c r="R2778" s="55"/>
      <c r="S2778" s="55"/>
      <c r="T2778" s="55"/>
      <c r="U2778" s="55"/>
      <c r="V2778" s="55"/>
      <c r="W2778" s="55"/>
      <c r="X2778" s="55"/>
      <c r="Y2778" s="55"/>
      <c r="Z2778" s="55"/>
      <c r="AA2778" s="56"/>
      <c r="AB2778" s="55"/>
      <c r="AC2778" s="55"/>
      <c r="AD2778" s="55"/>
      <c r="AE2778" s="55"/>
      <c r="AF2778" s="55"/>
      <c r="AG2778" s="55"/>
      <c r="AH2778" s="56"/>
      <c r="AI2778" s="55"/>
      <c r="AJ2778" s="55"/>
      <c r="AK2778" s="56"/>
      <c r="AL2778" s="56"/>
    </row>
    <row r="2779" spans="1:38" ht="15.75" thickBot="1" x14ac:dyDescent="0.3">
      <c r="A2779" s="51"/>
      <c r="B2779" s="51"/>
      <c r="C2779" s="51"/>
      <c r="D2779" s="51"/>
      <c r="E2779" s="51"/>
      <c r="F2779" s="51"/>
      <c r="G2779" s="54"/>
      <c r="H2779" s="53"/>
      <c r="I2779" s="53"/>
      <c r="J2779" s="53"/>
      <c r="K2779" s="53"/>
      <c r="L2779" s="53"/>
      <c r="M2779" s="53"/>
      <c r="N2779" s="53"/>
      <c r="O2779" s="53"/>
      <c r="P2779" s="53"/>
      <c r="Q2779" s="53"/>
      <c r="R2779" s="53"/>
      <c r="S2779" s="53"/>
      <c r="T2779" s="53"/>
      <c r="U2779" s="53"/>
      <c r="V2779" s="53"/>
      <c r="W2779" s="53"/>
      <c r="X2779" s="53"/>
      <c r="Y2779" s="53"/>
      <c r="Z2779" s="53"/>
      <c r="AA2779" s="54"/>
      <c r="AB2779" s="53"/>
      <c r="AC2779" s="53"/>
      <c r="AD2779" s="53"/>
      <c r="AE2779" s="53"/>
      <c r="AF2779" s="53"/>
      <c r="AG2779" s="53"/>
      <c r="AH2779" s="54"/>
      <c r="AI2779" s="53"/>
      <c r="AJ2779" s="53"/>
      <c r="AK2779" s="54"/>
      <c r="AL2779" s="54"/>
    </row>
    <row r="2780" spans="1:38" ht="15.75" thickBot="1" x14ac:dyDescent="0.3">
      <c r="A2780" s="51"/>
      <c r="B2780" s="51"/>
      <c r="C2780" s="51"/>
      <c r="D2780" s="51"/>
      <c r="E2780" s="51"/>
      <c r="F2780" s="51"/>
      <c r="G2780" s="56"/>
      <c r="H2780" s="55"/>
      <c r="I2780" s="55"/>
      <c r="J2780" s="55"/>
      <c r="K2780" s="55"/>
      <c r="L2780" s="55"/>
      <c r="M2780" s="55"/>
      <c r="N2780" s="56"/>
      <c r="O2780" s="55"/>
      <c r="P2780" s="55"/>
      <c r="Q2780" s="55"/>
      <c r="R2780" s="55"/>
      <c r="S2780" s="55"/>
      <c r="T2780" s="55"/>
      <c r="U2780" s="55"/>
      <c r="V2780" s="55"/>
      <c r="W2780" s="55"/>
      <c r="X2780" s="55"/>
      <c r="Y2780" s="55"/>
      <c r="Z2780" s="55"/>
      <c r="AA2780" s="55"/>
      <c r="AB2780" s="55"/>
      <c r="AC2780" s="55"/>
      <c r="AD2780" s="55"/>
      <c r="AE2780" s="55"/>
      <c r="AF2780" s="55"/>
      <c r="AG2780" s="55"/>
      <c r="AH2780" s="56"/>
      <c r="AI2780" s="55"/>
      <c r="AJ2780" s="55"/>
      <c r="AK2780" s="56"/>
      <c r="AL2780" s="56"/>
    </row>
    <row r="2781" spans="1:38" ht="15.75" thickBot="1" x14ac:dyDescent="0.3">
      <c r="A2781" s="51"/>
      <c r="B2781" s="51"/>
      <c r="C2781" s="51"/>
      <c r="D2781" s="51"/>
      <c r="E2781" s="51"/>
      <c r="F2781" s="51"/>
      <c r="G2781" s="54"/>
      <c r="H2781" s="53"/>
      <c r="I2781" s="53"/>
      <c r="J2781" s="53"/>
      <c r="K2781" s="53"/>
      <c r="L2781" s="53"/>
      <c r="M2781" s="53"/>
      <c r="N2781" s="54"/>
      <c r="O2781" s="53"/>
      <c r="P2781" s="53"/>
      <c r="Q2781" s="53"/>
      <c r="R2781" s="53"/>
      <c r="S2781" s="53"/>
      <c r="T2781" s="53"/>
      <c r="U2781" s="53"/>
      <c r="V2781" s="53"/>
      <c r="W2781" s="53"/>
      <c r="X2781" s="53"/>
      <c r="Y2781" s="53"/>
      <c r="Z2781" s="53"/>
      <c r="AA2781" s="53"/>
      <c r="AB2781" s="53"/>
      <c r="AC2781" s="53"/>
      <c r="AD2781" s="53"/>
      <c r="AE2781" s="53"/>
      <c r="AF2781" s="53"/>
      <c r="AG2781" s="53"/>
      <c r="AH2781" s="54"/>
      <c r="AI2781" s="53"/>
      <c r="AJ2781" s="53"/>
      <c r="AK2781" s="54"/>
      <c r="AL2781" s="54"/>
    </row>
    <row r="2782" spans="1:38" ht="15.75" thickBot="1" x14ac:dyDescent="0.3">
      <c r="A2782" s="51"/>
      <c r="B2782" s="51"/>
      <c r="C2782" s="51"/>
      <c r="D2782" s="51"/>
      <c r="E2782" s="51"/>
      <c r="F2782" s="51"/>
      <c r="G2782" s="56"/>
      <c r="H2782" s="55"/>
      <c r="I2782" s="55"/>
      <c r="J2782" s="55"/>
      <c r="K2782" s="56"/>
      <c r="L2782" s="55"/>
      <c r="M2782" s="55"/>
      <c r="N2782" s="55"/>
      <c r="O2782" s="55"/>
      <c r="P2782" s="55"/>
      <c r="Q2782" s="55"/>
      <c r="R2782" s="55"/>
      <c r="S2782" s="55"/>
      <c r="T2782" s="55"/>
      <c r="U2782" s="55"/>
      <c r="V2782" s="55"/>
      <c r="W2782" s="55"/>
      <c r="X2782" s="55"/>
      <c r="Y2782" s="55"/>
      <c r="Z2782" s="55"/>
      <c r="AA2782" s="55"/>
      <c r="AB2782" s="55"/>
      <c r="AC2782" s="55"/>
      <c r="AD2782" s="55"/>
      <c r="AE2782" s="55"/>
      <c r="AF2782" s="55"/>
      <c r="AG2782" s="55"/>
      <c r="AH2782" s="56"/>
      <c r="AI2782" s="55"/>
      <c r="AJ2782" s="55"/>
      <c r="AK2782" s="56"/>
      <c r="AL2782" s="56"/>
    </row>
    <row r="2783" spans="1:38" ht="15.75" thickBot="1" x14ac:dyDescent="0.3">
      <c r="A2783" s="51"/>
      <c r="B2783" s="51"/>
      <c r="C2783" s="51"/>
      <c r="D2783" s="51"/>
      <c r="E2783" s="51"/>
      <c r="F2783" s="51"/>
      <c r="G2783" s="54"/>
      <c r="H2783" s="53"/>
      <c r="I2783" s="53"/>
      <c r="J2783" s="53"/>
      <c r="K2783" s="54"/>
      <c r="L2783" s="53"/>
      <c r="M2783" s="53"/>
      <c r="N2783" s="53"/>
      <c r="O2783" s="53"/>
      <c r="P2783" s="53"/>
      <c r="Q2783" s="53"/>
      <c r="R2783" s="53"/>
      <c r="S2783" s="53"/>
      <c r="T2783" s="53"/>
      <c r="U2783" s="53"/>
      <c r="V2783" s="53"/>
      <c r="W2783" s="53"/>
      <c r="X2783" s="53"/>
      <c r="Y2783" s="53"/>
      <c r="Z2783" s="53"/>
      <c r="AA2783" s="53"/>
      <c r="AB2783" s="53"/>
      <c r="AC2783" s="53"/>
      <c r="AD2783" s="53"/>
      <c r="AE2783" s="53"/>
      <c r="AF2783" s="53"/>
      <c r="AG2783" s="53"/>
      <c r="AH2783" s="54"/>
      <c r="AI2783" s="53"/>
      <c r="AJ2783" s="53"/>
      <c r="AK2783" s="54"/>
      <c r="AL2783" s="54"/>
    </row>
    <row r="2784" spans="1:38" ht="15.75" thickBot="1" x14ac:dyDescent="0.3">
      <c r="A2784" s="51"/>
      <c r="B2784" s="51"/>
      <c r="C2784" s="51"/>
      <c r="D2784" s="51"/>
      <c r="E2784" s="51"/>
      <c r="F2784" s="51"/>
      <c r="G2784" s="56"/>
      <c r="H2784" s="55"/>
      <c r="I2784" s="55"/>
      <c r="J2784" s="55"/>
      <c r="K2784" s="55"/>
      <c r="L2784" s="55"/>
      <c r="M2784" s="55"/>
      <c r="N2784" s="55"/>
      <c r="O2784" s="55"/>
      <c r="P2784" s="55"/>
      <c r="Q2784" s="55"/>
      <c r="R2784" s="55"/>
      <c r="S2784" s="55"/>
      <c r="T2784" s="55"/>
      <c r="U2784" s="55"/>
      <c r="V2784" s="55"/>
      <c r="W2784" s="55"/>
      <c r="X2784" s="55"/>
      <c r="Y2784" s="55"/>
      <c r="Z2784" s="55"/>
      <c r="AA2784" s="55"/>
      <c r="AB2784" s="55"/>
      <c r="AC2784" s="56"/>
      <c r="AD2784" s="55"/>
      <c r="AE2784" s="55"/>
      <c r="AF2784" s="55"/>
      <c r="AG2784" s="55"/>
      <c r="AH2784" s="56"/>
      <c r="AI2784" s="55"/>
      <c r="AJ2784" s="55"/>
      <c r="AK2784" s="56"/>
      <c r="AL2784" s="56"/>
    </row>
    <row r="2785" spans="1:38" ht="15.75" thickBot="1" x14ac:dyDescent="0.3">
      <c r="A2785" s="51"/>
      <c r="B2785" s="51"/>
      <c r="C2785" s="51"/>
      <c r="D2785" s="51"/>
      <c r="E2785" s="51"/>
      <c r="F2785" s="51"/>
      <c r="G2785" s="54"/>
      <c r="H2785" s="53"/>
      <c r="I2785" s="53"/>
      <c r="J2785" s="53"/>
      <c r="K2785" s="53"/>
      <c r="L2785" s="53"/>
      <c r="M2785" s="53"/>
      <c r="N2785" s="53"/>
      <c r="O2785" s="53"/>
      <c r="P2785" s="53"/>
      <c r="Q2785" s="53"/>
      <c r="R2785" s="53"/>
      <c r="S2785" s="53"/>
      <c r="T2785" s="53"/>
      <c r="U2785" s="53"/>
      <c r="V2785" s="53"/>
      <c r="W2785" s="53"/>
      <c r="X2785" s="53"/>
      <c r="Y2785" s="53"/>
      <c r="Z2785" s="53"/>
      <c r="AA2785" s="53"/>
      <c r="AB2785" s="53"/>
      <c r="AC2785" s="54"/>
      <c r="AD2785" s="53"/>
      <c r="AE2785" s="53"/>
      <c r="AF2785" s="53"/>
      <c r="AG2785" s="53"/>
      <c r="AH2785" s="54"/>
      <c r="AI2785" s="53"/>
      <c r="AJ2785" s="53"/>
      <c r="AK2785" s="54"/>
      <c r="AL2785" s="54"/>
    </row>
    <row r="2786" spans="1:38" ht="15.75" thickBot="1" x14ac:dyDescent="0.3">
      <c r="A2786" s="51"/>
      <c r="B2786" s="51"/>
      <c r="C2786" s="51"/>
      <c r="D2786" s="51"/>
      <c r="E2786" s="51"/>
      <c r="F2786" s="51"/>
      <c r="G2786" s="56"/>
      <c r="H2786" s="55"/>
      <c r="I2786" s="55"/>
      <c r="J2786" s="55"/>
      <c r="K2786" s="55"/>
      <c r="L2786" s="55"/>
      <c r="M2786" s="55"/>
      <c r="N2786" s="55"/>
      <c r="O2786" s="55"/>
      <c r="P2786" s="55"/>
      <c r="Q2786" s="55"/>
      <c r="R2786" s="55"/>
      <c r="S2786" s="55"/>
      <c r="T2786" s="56"/>
      <c r="U2786" s="55"/>
      <c r="V2786" s="55"/>
      <c r="W2786" s="55"/>
      <c r="X2786" s="55"/>
      <c r="Y2786" s="55"/>
      <c r="Z2786" s="55"/>
      <c r="AA2786" s="55"/>
      <c r="AB2786" s="55"/>
      <c r="AC2786" s="55"/>
      <c r="AD2786" s="55"/>
      <c r="AE2786" s="55"/>
      <c r="AF2786" s="55"/>
      <c r="AG2786" s="55"/>
      <c r="AH2786" s="56"/>
      <c r="AI2786" s="55"/>
      <c r="AJ2786" s="55"/>
      <c r="AK2786" s="56"/>
      <c r="AL2786" s="56"/>
    </row>
    <row r="2787" spans="1:38" ht="15.75" thickBot="1" x14ac:dyDescent="0.3">
      <c r="A2787" s="51"/>
      <c r="B2787" s="51"/>
      <c r="C2787" s="51"/>
      <c r="D2787" s="51"/>
      <c r="E2787" s="51"/>
      <c r="F2787" s="51"/>
      <c r="G2787" s="54"/>
      <c r="H2787" s="53"/>
      <c r="I2787" s="53"/>
      <c r="J2787" s="53"/>
      <c r="K2787" s="53"/>
      <c r="L2787" s="53"/>
      <c r="M2787" s="53"/>
      <c r="N2787" s="53"/>
      <c r="O2787" s="53"/>
      <c r="P2787" s="53"/>
      <c r="Q2787" s="53"/>
      <c r="R2787" s="53"/>
      <c r="S2787" s="53"/>
      <c r="T2787" s="54"/>
      <c r="U2787" s="53"/>
      <c r="V2787" s="53"/>
      <c r="W2787" s="53"/>
      <c r="X2787" s="53"/>
      <c r="Y2787" s="53"/>
      <c r="Z2787" s="53"/>
      <c r="AA2787" s="53"/>
      <c r="AB2787" s="53"/>
      <c r="AC2787" s="53"/>
      <c r="AD2787" s="53"/>
      <c r="AE2787" s="53"/>
      <c r="AF2787" s="53"/>
      <c r="AG2787" s="53"/>
      <c r="AH2787" s="54"/>
      <c r="AI2787" s="53"/>
      <c r="AJ2787" s="53"/>
      <c r="AK2787" s="54"/>
      <c r="AL2787" s="54"/>
    </row>
    <row r="2788" spans="1:38" ht="15.75" thickBot="1" x14ac:dyDescent="0.3">
      <c r="A2788" s="51"/>
      <c r="B2788" s="51"/>
      <c r="C2788" s="51"/>
      <c r="D2788" s="51"/>
      <c r="E2788" s="51"/>
      <c r="F2788" s="51"/>
      <c r="G2788" s="56"/>
      <c r="H2788" s="56"/>
      <c r="I2788" s="55"/>
      <c r="J2788" s="55"/>
      <c r="K2788" s="55"/>
      <c r="L2788" s="55"/>
      <c r="M2788" s="56"/>
      <c r="N2788" s="55"/>
      <c r="O2788" s="55"/>
      <c r="P2788" s="55"/>
      <c r="Q2788" s="55"/>
      <c r="R2788" s="55"/>
      <c r="S2788" s="55"/>
      <c r="T2788" s="55"/>
      <c r="U2788" s="55"/>
      <c r="V2788" s="55"/>
      <c r="W2788" s="55"/>
      <c r="X2788" s="55"/>
      <c r="Y2788" s="55"/>
      <c r="Z2788" s="55"/>
      <c r="AA2788" s="55"/>
      <c r="AB2788" s="55"/>
      <c r="AC2788" s="55"/>
      <c r="AD2788" s="55"/>
      <c r="AE2788" s="55"/>
      <c r="AF2788" s="55"/>
      <c r="AG2788" s="55"/>
      <c r="AH2788" s="56"/>
      <c r="AI2788" s="55"/>
      <c r="AJ2788" s="55"/>
      <c r="AK2788" s="56"/>
      <c r="AL2788" s="56"/>
    </row>
    <row r="2789" spans="1:38" ht="15.75" thickBot="1" x14ac:dyDescent="0.3">
      <c r="A2789" s="51"/>
      <c r="B2789" s="51"/>
      <c r="C2789" s="51"/>
      <c r="D2789" s="51"/>
      <c r="E2789" s="51"/>
      <c r="F2789" s="51"/>
      <c r="G2789" s="54"/>
      <c r="H2789" s="147"/>
      <c r="I2789" s="53"/>
      <c r="J2789" s="53"/>
      <c r="K2789" s="53"/>
      <c r="L2789" s="53"/>
      <c r="M2789" s="54"/>
      <c r="N2789" s="53"/>
      <c r="O2789" s="53"/>
      <c r="P2789" s="53"/>
      <c r="Q2789" s="53"/>
      <c r="R2789" s="53"/>
      <c r="S2789" s="53"/>
      <c r="T2789" s="53"/>
      <c r="U2789" s="53"/>
      <c r="V2789" s="53"/>
      <c r="W2789" s="53"/>
      <c r="X2789" s="53"/>
      <c r="Y2789" s="53"/>
      <c r="Z2789" s="53"/>
      <c r="AA2789" s="53"/>
      <c r="AB2789" s="53"/>
      <c r="AC2789" s="53"/>
      <c r="AD2789" s="53"/>
      <c r="AE2789" s="53"/>
      <c r="AF2789" s="53"/>
      <c r="AG2789" s="53"/>
      <c r="AH2789" s="54"/>
      <c r="AI2789" s="53"/>
      <c r="AJ2789" s="53"/>
      <c r="AK2789" s="54"/>
      <c r="AL2789" s="54"/>
    </row>
    <row r="2790" spans="1:38" ht="15.75" thickBot="1" x14ac:dyDescent="0.3">
      <c r="A2790" s="51"/>
      <c r="B2790" s="51"/>
      <c r="C2790" s="51"/>
      <c r="D2790" s="51"/>
      <c r="E2790" s="51"/>
      <c r="F2790" s="51"/>
      <c r="G2790" s="56"/>
      <c r="H2790" s="55"/>
      <c r="I2790" s="55"/>
      <c r="J2790" s="55"/>
      <c r="K2790" s="55"/>
      <c r="L2790" s="55"/>
      <c r="M2790" s="55"/>
      <c r="N2790" s="55"/>
      <c r="O2790" s="55"/>
      <c r="P2790" s="55"/>
      <c r="Q2790" s="55"/>
      <c r="R2790" s="55"/>
      <c r="S2790" s="55"/>
      <c r="T2790" s="55"/>
      <c r="U2790" s="55"/>
      <c r="V2790" s="55"/>
      <c r="W2790" s="55"/>
      <c r="X2790" s="55"/>
      <c r="Y2790" s="55"/>
      <c r="Z2790" s="55"/>
      <c r="AA2790" s="56"/>
      <c r="AB2790" s="55"/>
      <c r="AC2790" s="55"/>
      <c r="AD2790" s="55"/>
      <c r="AE2790" s="55"/>
      <c r="AF2790" s="55"/>
      <c r="AG2790" s="55"/>
      <c r="AH2790" s="56"/>
      <c r="AI2790" s="55"/>
      <c r="AJ2790" s="55"/>
      <c r="AK2790" s="56"/>
      <c r="AL2790" s="56"/>
    </row>
    <row r="2791" spans="1:38" ht="15.75" thickBot="1" x14ac:dyDescent="0.3">
      <c r="A2791" s="51"/>
      <c r="B2791" s="51"/>
      <c r="C2791" s="51"/>
      <c r="D2791" s="51"/>
      <c r="E2791" s="51"/>
      <c r="F2791" s="51"/>
      <c r="G2791" s="54"/>
      <c r="H2791" s="53"/>
      <c r="I2791" s="53"/>
      <c r="J2791" s="53"/>
      <c r="K2791" s="53"/>
      <c r="L2791" s="53"/>
      <c r="M2791" s="53"/>
      <c r="N2791" s="53"/>
      <c r="O2791" s="53"/>
      <c r="P2791" s="53"/>
      <c r="Q2791" s="53"/>
      <c r="R2791" s="53"/>
      <c r="S2791" s="53"/>
      <c r="T2791" s="53"/>
      <c r="U2791" s="53"/>
      <c r="V2791" s="53"/>
      <c r="W2791" s="53"/>
      <c r="X2791" s="53"/>
      <c r="Y2791" s="53"/>
      <c r="Z2791" s="53"/>
      <c r="AA2791" s="54"/>
      <c r="AB2791" s="53"/>
      <c r="AC2791" s="53"/>
      <c r="AD2791" s="53"/>
      <c r="AE2791" s="53"/>
      <c r="AF2791" s="53"/>
      <c r="AG2791" s="53"/>
      <c r="AH2791" s="54"/>
      <c r="AI2791" s="53"/>
      <c r="AJ2791" s="53"/>
      <c r="AK2791" s="54"/>
      <c r="AL2791" s="54"/>
    </row>
    <row r="2792" spans="1:38" ht="15.75" thickBot="1" x14ac:dyDescent="0.3">
      <c r="A2792" s="51"/>
      <c r="B2792" s="51"/>
      <c r="C2792" s="51"/>
      <c r="D2792" s="51"/>
      <c r="E2792" s="51"/>
      <c r="F2792" s="51"/>
      <c r="G2792" s="56"/>
      <c r="H2792" s="55"/>
      <c r="I2792" s="55"/>
      <c r="J2792" s="55"/>
      <c r="K2792" s="55"/>
      <c r="L2792" s="55"/>
      <c r="M2792" s="55"/>
      <c r="N2792" s="55"/>
      <c r="O2792" s="55"/>
      <c r="P2792" s="55"/>
      <c r="Q2792" s="55"/>
      <c r="R2792" s="55"/>
      <c r="S2792" s="55"/>
      <c r="T2792" s="55"/>
      <c r="U2792" s="56"/>
      <c r="V2792" s="55"/>
      <c r="W2792" s="55"/>
      <c r="X2792" s="55"/>
      <c r="Y2792" s="55"/>
      <c r="Z2792" s="55"/>
      <c r="AA2792" s="55"/>
      <c r="AB2792" s="55"/>
      <c r="AC2792" s="55"/>
      <c r="AD2792" s="55"/>
      <c r="AE2792" s="55"/>
      <c r="AF2792" s="55"/>
      <c r="AG2792" s="55"/>
      <c r="AH2792" s="56"/>
      <c r="AI2792" s="55"/>
      <c r="AJ2792" s="55"/>
      <c r="AK2792" s="56"/>
      <c r="AL2792" s="56"/>
    </row>
    <row r="2793" spans="1:38" ht="15.75" thickBot="1" x14ac:dyDescent="0.3">
      <c r="A2793" s="51"/>
      <c r="B2793" s="51"/>
      <c r="C2793" s="51"/>
      <c r="D2793" s="51"/>
      <c r="E2793" s="51"/>
      <c r="F2793" s="51"/>
      <c r="G2793" s="54"/>
      <c r="H2793" s="53"/>
      <c r="I2793" s="53"/>
      <c r="J2793" s="53"/>
      <c r="K2793" s="53"/>
      <c r="L2793" s="53"/>
      <c r="M2793" s="53"/>
      <c r="N2793" s="53"/>
      <c r="O2793" s="53"/>
      <c r="P2793" s="53"/>
      <c r="Q2793" s="53"/>
      <c r="R2793" s="53"/>
      <c r="S2793" s="53"/>
      <c r="T2793" s="53"/>
      <c r="U2793" s="54"/>
      <c r="V2793" s="53"/>
      <c r="W2793" s="53"/>
      <c r="X2793" s="53"/>
      <c r="Y2793" s="53"/>
      <c r="Z2793" s="53"/>
      <c r="AA2793" s="53"/>
      <c r="AB2793" s="53"/>
      <c r="AC2793" s="53"/>
      <c r="AD2793" s="53"/>
      <c r="AE2793" s="53"/>
      <c r="AF2793" s="53"/>
      <c r="AG2793" s="53"/>
      <c r="AH2793" s="54"/>
      <c r="AI2793" s="53"/>
      <c r="AJ2793" s="53"/>
      <c r="AK2793" s="54"/>
      <c r="AL2793" s="54"/>
    </row>
    <row r="2794" spans="1:38" ht="15.75" thickBot="1" x14ac:dyDescent="0.3">
      <c r="A2794" s="51"/>
      <c r="B2794" s="51"/>
      <c r="C2794" s="51"/>
      <c r="D2794" s="51"/>
      <c r="E2794" s="51"/>
      <c r="F2794" s="51"/>
      <c r="G2794" s="56"/>
      <c r="H2794" s="55"/>
      <c r="I2794" s="55"/>
      <c r="J2794" s="55"/>
      <c r="K2794" s="55"/>
      <c r="L2794" s="55"/>
      <c r="M2794" s="55"/>
      <c r="N2794" s="56"/>
      <c r="O2794" s="55"/>
      <c r="P2794" s="55"/>
      <c r="Q2794" s="55"/>
      <c r="R2794" s="55"/>
      <c r="S2794" s="55"/>
      <c r="T2794" s="55"/>
      <c r="U2794" s="55"/>
      <c r="V2794" s="55"/>
      <c r="W2794" s="55"/>
      <c r="X2794" s="55"/>
      <c r="Y2794" s="55"/>
      <c r="Z2794" s="55"/>
      <c r="AA2794" s="55"/>
      <c r="AB2794" s="55"/>
      <c r="AC2794" s="55"/>
      <c r="AD2794" s="55"/>
      <c r="AE2794" s="55"/>
      <c r="AF2794" s="55"/>
      <c r="AG2794" s="55"/>
      <c r="AH2794" s="56"/>
      <c r="AI2794" s="55"/>
      <c r="AJ2794" s="55"/>
      <c r="AK2794" s="56"/>
      <c r="AL2794" s="56"/>
    </row>
    <row r="2795" spans="1:38" ht="15.75" thickBot="1" x14ac:dyDescent="0.3">
      <c r="A2795" s="51"/>
      <c r="B2795" s="51"/>
      <c r="C2795" s="51"/>
      <c r="D2795" s="51"/>
      <c r="E2795" s="51"/>
      <c r="F2795" s="51"/>
      <c r="G2795" s="54"/>
      <c r="H2795" s="53"/>
      <c r="I2795" s="53"/>
      <c r="J2795" s="53"/>
      <c r="K2795" s="53"/>
      <c r="L2795" s="53"/>
      <c r="M2795" s="53"/>
      <c r="N2795" s="54"/>
      <c r="O2795" s="53"/>
      <c r="P2795" s="53"/>
      <c r="Q2795" s="53"/>
      <c r="R2795" s="53"/>
      <c r="S2795" s="53"/>
      <c r="T2795" s="53"/>
      <c r="U2795" s="53"/>
      <c r="V2795" s="53"/>
      <c r="W2795" s="53"/>
      <c r="X2795" s="53"/>
      <c r="Y2795" s="53"/>
      <c r="Z2795" s="53"/>
      <c r="AA2795" s="53"/>
      <c r="AB2795" s="53"/>
      <c r="AC2795" s="53"/>
      <c r="AD2795" s="53"/>
      <c r="AE2795" s="53"/>
      <c r="AF2795" s="53"/>
      <c r="AG2795" s="53"/>
      <c r="AH2795" s="54"/>
      <c r="AI2795" s="53"/>
      <c r="AJ2795" s="53"/>
      <c r="AK2795" s="54"/>
      <c r="AL2795" s="54"/>
    </row>
    <row r="2796" spans="1:38" ht="15.75" thickBot="1" x14ac:dyDescent="0.3">
      <c r="A2796" s="51"/>
      <c r="B2796" s="51"/>
      <c r="C2796" s="51"/>
      <c r="D2796" s="51"/>
      <c r="E2796" s="51"/>
      <c r="F2796" s="51"/>
      <c r="G2796" s="56"/>
      <c r="H2796" s="55"/>
      <c r="I2796" s="55"/>
      <c r="J2796" s="55"/>
      <c r="K2796" s="56"/>
      <c r="L2796" s="55"/>
      <c r="M2796" s="55"/>
      <c r="N2796" s="55"/>
      <c r="O2796" s="55"/>
      <c r="P2796" s="55"/>
      <c r="Q2796" s="55"/>
      <c r="R2796" s="55"/>
      <c r="S2796" s="55"/>
      <c r="T2796" s="55"/>
      <c r="U2796" s="55"/>
      <c r="V2796" s="55"/>
      <c r="W2796" s="55"/>
      <c r="X2796" s="55"/>
      <c r="Y2796" s="55"/>
      <c r="Z2796" s="55"/>
      <c r="AA2796" s="55"/>
      <c r="AB2796" s="55"/>
      <c r="AC2796" s="55"/>
      <c r="AD2796" s="55"/>
      <c r="AE2796" s="55"/>
      <c r="AF2796" s="55"/>
      <c r="AG2796" s="55"/>
      <c r="AH2796" s="56"/>
      <c r="AI2796" s="55"/>
      <c r="AJ2796" s="55"/>
      <c r="AK2796" s="56"/>
      <c r="AL2796" s="56"/>
    </row>
    <row r="2797" spans="1:38" ht="15.75" thickBot="1" x14ac:dyDescent="0.3">
      <c r="A2797" s="51"/>
      <c r="B2797" s="51"/>
      <c r="C2797" s="51"/>
      <c r="D2797" s="51"/>
      <c r="E2797" s="51"/>
      <c r="F2797" s="51"/>
      <c r="G2797" s="54"/>
      <c r="H2797" s="53"/>
      <c r="I2797" s="53"/>
      <c r="J2797" s="53"/>
      <c r="K2797" s="54"/>
      <c r="L2797" s="53"/>
      <c r="M2797" s="53"/>
      <c r="N2797" s="53"/>
      <c r="O2797" s="53"/>
      <c r="P2797" s="53"/>
      <c r="Q2797" s="53"/>
      <c r="R2797" s="53"/>
      <c r="S2797" s="53"/>
      <c r="T2797" s="53"/>
      <c r="U2797" s="53"/>
      <c r="V2797" s="53"/>
      <c r="W2797" s="53"/>
      <c r="X2797" s="53"/>
      <c r="Y2797" s="53"/>
      <c r="Z2797" s="53"/>
      <c r="AA2797" s="53"/>
      <c r="AB2797" s="53"/>
      <c r="AC2797" s="53"/>
      <c r="AD2797" s="53"/>
      <c r="AE2797" s="53"/>
      <c r="AF2797" s="53"/>
      <c r="AG2797" s="53"/>
      <c r="AH2797" s="54"/>
      <c r="AI2797" s="53"/>
      <c r="AJ2797" s="53"/>
      <c r="AK2797" s="54"/>
      <c r="AL2797" s="54"/>
    </row>
    <row r="2798" spans="1:38" ht="15.75" thickBot="1" x14ac:dyDescent="0.3">
      <c r="A2798" s="51"/>
      <c r="B2798" s="51"/>
      <c r="C2798" s="51"/>
      <c r="D2798" s="51"/>
      <c r="E2798" s="51"/>
      <c r="F2798" s="51"/>
      <c r="G2798" s="56"/>
      <c r="H2798" s="55"/>
      <c r="I2798" s="55"/>
      <c r="J2798" s="55"/>
      <c r="K2798" s="55"/>
      <c r="L2798" s="55"/>
      <c r="M2798" s="55"/>
      <c r="N2798" s="55"/>
      <c r="O2798" s="55"/>
      <c r="P2798" s="55"/>
      <c r="Q2798" s="55"/>
      <c r="R2798" s="55"/>
      <c r="S2798" s="55"/>
      <c r="T2798" s="55"/>
      <c r="U2798" s="55"/>
      <c r="V2798" s="55"/>
      <c r="W2798" s="55"/>
      <c r="X2798" s="55"/>
      <c r="Y2798" s="55"/>
      <c r="Z2798" s="55"/>
      <c r="AA2798" s="55"/>
      <c r="AB2798" s="55"/>
      <c r="AC2798" s="56"/>
      <c r="AD2798" s="55"/>
      <c r="AE2798" s="55"/>
      <c r="AF2798" s="55"/>
      <c r="AG2798" s="55"/>
      <c r="AH2798" s="56"/>
      <c r="AI2798" s="55"/>
      <c r="AJ2798" s="55"/>
      <c r="AK2798" s="56"/>
      <c r="AL2798" s="56"/>
    </row>
    <row r="2799" spans="1:38" ht="15.75" thickBot="1" x14ac:dyDescent="0.3">
      <c r="A2799" s="51"/>
      <c r="B2799" s="51"/>
      <c r="C2799" s="51"/>
      <c r="D2799" s="51"/>
      <c r="E2799" s="51"/>
      <c r="F2799" s="51"/>
      <c r="G2799" s="54"/>
      <c r="H2799" s="53"/>
      <c r="I2799" s="53"/>
      <c r="J2799" s="53"/>
      <c r="K2799" s="53"/>
      <c r="L2799" s="53"/>
      <c r="M2799" s="53"/>
      <c r="N2799" s="53"/>
      <c r="O2799" s="53"/>
      <c r="P2799" s="53"/>
      <c r="Q2799" s="53"/>
      <c r="R2799" s="53"/>
      <c r="S2799" s="53"/>
      <c r="T2799" s="53"/>
      <c r="U2799" s="53"/>
      <c r="V2799" s="53"/>
      <c r="W2799" s="53"/>
      <c r="X2799" s="53"/>
      <c r="Y2799" s="53"/>
      <c r="Z2799" s="53"/>
      <c r="AA2799" s="53"/>
      <c r="AB2799" s="53"/>
      <c r="AC2799" s="54"/>
      <c r="AD2799" s="53"/>
      <c r="AE2799" s="53"/>
      <c r="AF2799" s="53"/>
      <c r="AG2799" s="53"/>
      <c r="AH2799" s="54"/>
      <c r="AI2799" s="53"/>
      <c r="AJ2799" s="53"/>
      <c r="AK2799" s="54"/>
      <c r="AL2799" s="54"/>
    </row>
    <row r="2800" spans="1:38" ht="15.75" thickBot="1" x14ac:dyDescent="0.3">
      <c r="A2800" s="51"/>
      <c r="B2800" s="51"/>
      <c r="C2800" s="51"/>
      <c r="D2800" s="51"/>
      <c r="E2800" s="51"/>
      <c r="F2800" s="51"/>
      <c r="G2800" s="56"/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/>
      <c r="S2800" s="55"/>
      <c r="T2800" s="55"/>
      <c r="U2800" s="55"/>
      <c r="V2800" s="55"/>
      <c r="W2800" s="56"/>
      <c r="X2800" s="55"/>
      <c r="Y2800" s="55"/>
      <c r="Z2800" s="55"/>
      <c r="AA2800" s="55"/>
      <c r="AB2800" s="55"/>
      <c r="AC2800" s="55"/>
      <c r="AD2800" s="55"/>
      <c r="AE2800" s="55"/>
      <c r="AF2800" s="55"/>
      <c r="AG2800" s="55"/>
      <c r="AH2800" s="56"/>
      <c r="AI2800" s="55"/>
      <c r="AJ2800" s="55"/>
      <c r="AK2800" s="56"/>
      <c r="AL2800" s="56"/>
    </row>
    <row r="2801" spans="1:38" ht="15.75" thickBot="1" x14ac:dyDescent="0.3">
      <c r="A2801" s="51"/>
      <c r="B2801" s="51"/>
      <c r="C2801" s="51"/>
      <c r="D2801" s="51"/>
      <c r="E2801" s="51"/>
      <c r="F2801" s="51"/>
      <c r="G2801" s="54"/>
      <c r="H2801" s="53"/>
      <c r="I2801" s="53"/>
      <c r="J2801" s="53"/>
      <c r="K2801" s="53"/>
      <c r="L2801" s="53"/>
      <c r="M2801" s="53"/>
      <c r="N2801" s="53"/>
      <c r="O2801" s="53"/>
      <c r="P2801" s="53"/>
      <c r="Q2801" s="53"/>
      <c r="R2801" s="53"/>
      <c r="S2801" s="53"/>
      <c r="T2801" s="53"/>
      <c r="U2801" s="53"/>
      <c r="V2801" s="53"/>
      <c r="W2801" s="54"/>
      <c r="X2801" s="53"/>
      <c r="Y2801" s="53"/>
      <c r="Z2801" s="53"/>
      <c r="AA2801" s="53"/>
      <c r="AB2801" s="53"/>
      <c r="AC2801" s="53"/>
      <c r="AD2801" s="53"/>
      <c r="AE2801" s="53"/>
      <c r="AF2801" s="53"/>
      <c r="AG2801" s="53"/>
      <c r="AH2801" s="54"/>
      <c r="AI2801" s="53"/>
      <c r="AJ2801" s="53"/>
      <c r="AK2801" s="54"/>
      <c r="AL2801" s="54"/>
    </row>
    <row r="2802" spans="1:38" ht="15.75" thickBot="1" x14ac:dyDescent="0.3">
      <c r="A2802" s="51"/>
      <c r="B2802" s="51"/>
      <c r="C2802" s="51"/>
      <c r="D2802" s="51"/>
      <c r="E2802" s="51"/>
      <c r="F2802" s="51"/>
      <c r="G2802" s="56"/>
      <c r="H2802" s="55"/>
      <c r="I2802" s="55"/>
      <c r="J2802" s="55"/>
      <c r="K2802" s="55"/>
      <c r="L2802" s="55"/>
      <c r="M2802" s="55"/>
      <c r="N2802" s="55"/>
      <c r="O2802" s="55"/>
      <c r="P2802" s="55"/>
      <c r="Q2802" s="55"/>
      <c r="R2802" s="55"/>
      <c r="S2802" s="55"/>
      <c r="T2802" s="55"/>
      <c r="U2802" s="55"/>
      <c r="V2802" s="55"/>
      <c r="W2802" s="55"/>
      <c r="X2802" s="56"/>
      <c r="Y2802" s="55"/>
      <c r="Z2802" s="55"/>
      <c r="AA2802" s="55"/>
      <c r="AB2802" s="55"/>
      <c r="AC2802" s="55"/>
      <c r="AD2802" s="55"/>
      <c r="AE2802" s="55"/>
      <c r="AF2802" s="55"/>
      <c r="AG2802" s="55"/>
      <c r="AH2802" s="56"/>
      <c r="AI2802" s="55"/>
      <c r="AJ2802" s="55"/>
      <c r="AK2802" s="56"/>
      <c r="AL2802" s="56"/>
    </row>
    <row r="2803" spans="1:38" ht="15.75" thickBot="1" x14ac:dyDescent="0.3">
      <c r="A2803" s="51"/>
      <c r="B2803" s="51"/>
      <c r="C2803" s="51"/>
      <c r="D2803" s="51"/>
      <c r="E2803" s="51"/>
      <c r="F2803" s="51"/>
      <c r="G2803" s="54"/>
      <c r="H2803" s="53"/>
      <c r="I2803" s="53"/>
      <c r="J2803" s="53"/>
      <c r="K2803" s="53"/>
      <c r="L2803" s="53"/>
      <c r="M2803" s="53"/>
      <c r="N2803" s="53"/>
      <c r="O2803" s="53"/>
      <c r="P2803" s="53"/>
      <c r="Q2803" s="53"/>
      <c r="R2803" s="53"/>
      <c r="S2803" s="53"/>
      <c r="T2803" s="53"/>
      <c r="U2803" s="53"/>
      <c r="V2803" s="53"/>
      <c r="W2803" s="53"/>
      <c r="X2803" s="54"/>
      <c r="Y2803" s="53"/>
      <c r="Z2803" s="53"/>
      <c r="AA2803" s="53"/>
      <c r="AB2803" s="53"/>
      <c r="AC2803" s="53"/>
      <c r="AD2803" s="53"/>
      <c r="AE2803" s="53"/>
      <c r="AF2803" s="53"/>
      <c r="AG2803" s="53"/>
      <c r="AH2803" s="54"/>
      <c r="AI2803" s="53"/>
      <c r="AJ2803" s="53"/>
      <c r="AK2803" s="54"/>
      <c r="AL2803" s="54"/>
    </row>
    <row r="2804" spans="1:38" ht="15.75" thickBot="1" x14ac:dyDescent="0.3">
      <c r="A2804" s="51"/>
      <c r="B2804" s="51"/>
      <c r="C2804" s="51"/>
      <c r="D2804" s="51"/>
      <c r="E2804" s="51"/>
      <c r="F2804" s="51"/>
      <c r="G2804" s="56"/>
      <c r="H2804" s="56"/>
      <c r="I2804" s="55"/>
      <c r="J2804" s="55"/>
      <c r="K2804" s="55"/>
      <c r="L2804" s="55"/>
      <c r="M2804" s="56"/>
      <c r="N2804" s="55"/>
      <c r="O2804" s="55"/>
      <c r="P2804" s="55"/>
      <c r="Q2804" s="55"/>
      <c r="R2804" s="55"/>
      <c r="S2804" s="55"/>
      <c r="T2804" s="55"/>
      <c r="U2804" s="55"/>
      <c r="V2804" s="55"/>
      <c r="W2804" s="55"/>
      <c r="X2804" s="55"/>
      <c r="Y2804" s="55"/>
      <c r="Z2804" s="55"/>
      <c r="AA2804" s="55"/>
      <c r="AB2804" s="55"/>
      <c r="AC2804" s="55"/>
      <c r="AD2804" s="55"/>
      <c r="AE2804" s="55"/>
      <c r="AF2804" s="55"/>
      <c r="AG2804" s="55"/>
      <c r="AH2804" s="56"/>
      <c r="AI2804" s="55"/>
      <c r="AJ2804" s="55"/>
      <c r="AK2804" s="56"/>
      <c r="AL2804" s="56"/>
    </row>
    <row r="2805" spans="1:38" ht="15.75" thickBot="1" x14ac:dyDescent="0.3">
      <c r="A2805" s="51"/>
      <c r="B2805" s="51"/>
      <c r="C2805" s="51"/>
      <c r="D2805" s="51"/>
      <c r="E2805" s="51"/>
      <c r="F2805" s="51"/>
      <c r="G2805" s="54"/>
      <c r="H2805" s="147"/>
      <c r="I2805" s="53"/>
      <c r="J2805" s="53"/>
      <c r="K2805" s="53"/>
      <c r="L2805" s="53"/>
      <c r="M2805" s="54"/>
      <c r="N2805" s="53"/>
      <c r="O2805" s="53"/>
      <c r="P2805" s="53"/>
      <c r="Q2805" s="53"/>
      <c r="R2805" s="53"/>
      <c r="S2805" s="53"/>
      <c r="T2805" s="53"/>
      <c r="U2805" s="53"/>
      <c r="V2805" s="53"/>
      <c r="W2805" s="53"/>
      <c r="X2805" s="53"/>
      <c r="Y2805" s="53"/>
      <c r="Z2805" s="53"/>
      <c r="AA2805" s="53"/>
      <c r="AB2805" s="53"/>
      <c r="AC2805" s="53"/>
      <c r="AD2805" s="53"/>
      <c r="AE2805" s="53"/>
      <c r="AF2805" s="53"/>
      <c r="AG2805" s="53"/>
      <c r="AH2805" s="54"/>
      <c r="AI2805" s="53"/>
      <c r="AJ2805" s="53"/>
      <c r="AK2805" s="54"/>
      <c r="AL2805" s="54"/>
    </row>
    <row r="2806" spans="1:38" ht="15.75" thickBot="1" x14ac:dyDescent="0.3">
      <c r="A2806" s="51"/>
      <c r="B2806" s="51"/>
      <c r="C2806" s="51"/>
      <c r="D2806" s="51"/>
      <c r="E2806" s="51"/>
      <c r="F2806" s="51"/>
      <c r="G2806" s="56"/>
      <c r="H2806" s="55"/>
      <c r="I2806" s="55"/>
      <c r="J2806" s="55"/>
      <c r="K2806" s="55"/>
      <c r="L2806" s="55"/>
      <c r="M2806" s="55"/>
      <c r="N2806" s="55"/>
      <c r="O2806" s="55"/>
      <c r="P2806" s="55"/>
      <c r="Q2806" s="55"/>
      <c r="R2806" s="55"/>
      <c r="S2806" s="55"/>
      <c r="T2806" s="55"/>
      <c r="U2806" s="55"/>
      <c r="V2806" s="55"/>
      <c r="W2806" s="55"/>
      <c r="X2806" s="55"/>
      <c r="Y2806" s="55"/>
      <c r="Z2806" s="55"/>
      <c r="AA2806" s="56"/>
      <c r="AB2806" s="55"/>
      <c r="AC2806" s="55"/>
      <c r="AD2806" s="55"/>
      <c r="AE2806" s="55"/>
      <c r="AF2806" s="55"/>
      <c r="AG2806" s="55"/>
      <c r="AH2806" s="56"/>
      <c r="AI2806" s="55"/>
      <c r="AJ2806" s="55"/>
      <c r="AK2806" s="56"/>
      <c r="AL2806" s="56"/>
    </row>
    <row r="2807" spans="1:38" ht="15.75" thickBot="1" x14ac:dyDescent="0.3">
      <c r="A2807" s="51"/>
      <c r="B2807" s="51"/>
      <c r="C2807" s="51"/>
      <c r="D2807" s="51"/>
      <c r="E2807" s="51"/>
      <c r="F2807" s="51"/>
      <c r="G2807" s="54"/>
      <c r="H2807" s="53"/>
      <c r="I2807" s="53"/>
      <c r="J2807" s="53"/>
      <c r="K2807" s="53"/>
      <c r="L2807" s="53"/>
      <c r="M2807" s="53"/>
      <c r="N2807" s="53"/>
      <c r="O2807" s="53"/>
      <c r="P2807" s="53"/>
      <c r="Q2807" s="53"/>
      <c r="R2807" s="53"/>
      <c r="S2807" s="53"/>
      <c r="T2807" s="53"/>
      <c r="U2807" s="53"/>
      <c r="V2807" s="53"/>
      <c r="W2807" s="53"/>
      <c r="X2807" s="53"/>
      <c r="Y2807" s="53"/>
      <c r="Z2807" s="53"/>
      <c r="AA2807" s="54"/>
      <c r="AB2807" s="53"/>
      <c r="AC2807" s="53"/>
      <c r="AD2807" s="53"/>
      <c r="AE2807" s="53"/>
      <c r="AF2807" s="53"/>
      <c r="AG2807" s="53"/>
      <c r="AH2807" s="54"/>
      <c r="AI2807" s="53"/>
      <c r="AJ2807" s="53"/>
      <c r="AK2807" s="54"/>
      <c r="AL2807" s="54"/>
    </row>
    <row r="2808" spans="1:38" ht="15.75" thickBot="1" x14ac:dyDescent="0.3">
      <c r="A2808" s="51"/>
      <c r="B2808" s="51"/>
      <c r="C2808" s="51"/>
      <c r="D2808" s="51"/>
      <c r="E2808" s="51"/>
      <c r="F2808" s="51"/>
      <c r="G2808" s="56"/>
      <c r="H2808" s="55"/>
      <c r="I2808" s="55"/>
      <c r="J2808" s="55"/>
      <c r="K2808" s="56"/>
      <c r="L2808" s="55"/>
      <c r="M2808" s="55"/>
      <c r="N2808" s="55"/>
      <c r="O2808" s="55"/>
      <c r="P2808" s="55"/>
      <c r="Q2808" s="55"/>
      <c r="R2808" s="55"/>
      <c r="S2808" s="55"/>
      <c r="T2808" s="55"/>
      <c r="U2808" s="55"/>
      <c r="V2808" s="55"/>
      <c r="W2808" s="55"/>
      <c r="X2808" s="55"/>
      <c r="Y2808" s="55"/>
      <c r="Z2808" s="55"/>
      <c r="AA2808" s="55"/>
      <c r="AB2808" s="55"/>
      <c r="AC2808" s="55"/>
      <c r="AD2808" s="55"/>
      <c r="AE2808" s="55"/>
      <c r="AF2808" s="55"/>
      <c r="AG2808" s="55"/>
      <c r="AH2808" s="56"/>
      <c r="AI2808" s="55"/>
      <c r="AJ2808" s="55"/>
      <c r="AK2808" s="56"/>
      <c r="AL2808" s="56"/>
    </row>
    <row r="2809" spans="1:38" ht="15.75" thickBot="1" x14ac:dyDescent="0.3">
      <c r="A2809" s="51"/>
      <c r="B2809" s="51"/>
      <c r="C2809" s="51"/>
      <c r="D2809" s="51"/>
      <c r="E2809" s="51"/>
      <c r="F2809" s="51"/>
      <c r="G2809" s="54"/>
      <c r="H2809" s="53"/>
      <c r="I2809" s="53"/>
      <c r="J2809" s="53"/>
      <c r="K2809" s="54"/>
      <c r="L2809" s="53"/>
      <c r="M2809" s="53"/>
      <c r="N2809" s="53"/>
      <c r="O2809" s="53"/>
      <c r="P2809" s="53"/>
      <c r="Q2809" s="53"/>
      <c r="R2809" s="53"/>
      <c r="S2809" s="53"/>
      <c r="T2809" s="53"/>
      <c r="U2809" s="53"/>
      <c r="V2809" s="53"/>
      <c r="W2809" s="53"/>
      <c r="X2809" s="53"/>
      <c r="Y2809" s="53"/>
      <c r="Z2809" s="53"/>
      <c r="AA2809" s="53"/>
      <c r="AB2809" s="53"/>
      <c r="AC2809" s="53"/>
      <c r="AD2809" s="53"/>
      <c r="AE2809" s="53"/>
      <c r="AF2809" s="53"/>
      <c r="AG2809" s="53"/>
      <c r="AH2809" s="54"/>
      <c r="AI2809" s="53"/>
      <c r="AJ2809" s="53"/>
      <c r="AK2809" s="54"/>
      <c r="AL2809" s="54"/>
    </row>
    <row r="2810" spans="1:38" ht="15.75" thickBot="1" x14ac:dyDescent="0.3">
      <c r="A2810" s="51"/>
      <c r="B2810" s="51"/>
      <c r="C2810" s="51"/>
      <c r="D2810" s="51"/>
      <c r="E2810" s="51"/>
      <c r="F2810" s="51"/>
      <c r="G2810" s="56"/>
      <c r="H2810" s="55"/>
      <c r="I2810" s="55"/>
      <c r="J2810" s="55"/>
      <c r="K2810" s="55"/>
      <c r="L2810" s="55"/>
      <c r="M2810" s="55"/>
      <c r="N2810" s="55"/>
      <c r="O2810" s="55"/>
      <c r="P2810" s="55"/>
      <c r="Q2810" s="55"/>
      <c r="R2810" s="55"/>
      <c r="S2810" s="55"/>
      <c r="T2810" s="55"/>
      <c r="U2810" s="55"/>
      <c r="V2810" s="55"/>
      <c r="W2810" s="55"/>
      <c r="X2810" s="55"/>
      <c r="Y2810" s="55"/>
      <c r="Z2810" s="55"/>
      <c r="AA2810" s="55"/>
      <c r="AB2810" s="55"/>
      <c r="AC2810" s="56"/>
      <c r="AD2810" s="55"/>
      <c r="AE2810" s="55"/>
      <c r="AF2810" s="55"/>
      <c r="AG2810" s="55"/>
      <c r="AH2810" s="56"/>
      <c r="AI2810" s="55"/>
      <c r="AJ2810" s="55"/>
      <c r="AK2810" s="56"/>
      <c r="AL2810" s="56"/>
    </row>
    <row r="2811" spans="1:38" ht="15.75" thickBot="1" x14ac:dyDescent="0.3">
      <c r="A2811" s="51"/>
      <c r="B2811" s="51"/>
      <c r="C2811" s="51"/>
      <c r="D2811" s="51"/>
      <c r="E2811" s="51"/>
      <c r="F2811" s="51"/>
      <c r="G2811" s="54"/>
      <c r="H2811" s="53"/>
      <c r="I2811" s="53"/>
      <c r="J2811" s="53"/>
      <c r="K2811" s="53"/>
      <c r="L2811" s="53"/>
      <c r="M2811" s="53"/>
      <c r="N2811" s="53"/>
      <c r="O2811" s="53"/>
      <c r="P2811" s="53"/>
      <c r="Q2811" s="53"/>
      <c r="R2811" s="53"/>
      <c r="S2811" s="53"/>
      <c r="T2811" s="53"/>
      <c r="U2811" s="53"/>
      <c r="V2811" s="53"/>
      <c r="W2811" s="53"/>
      <c r="X2811" s="53"/>
      <c r="Y2811" s="53"/>
      <c r="Z2811" s="53"/>
      <c r="AA2811" s="53"/>
      <c r="AB2811" s="53"/>
      <c r="AC2811" s="54"/>
      <c r="AD2811" s="53"/>
      <c r="AE2811" s="53"/>
      <c r="AF2811" s="53"/>
      <c r="AG2811" s="53"/>
      <c r="AH2811" s="54"/>
      <c r="AI2811" s="53"/>
      <c r="AJ2811" s="53"/>
      <c r="AK2811" s="54"/>
      <c r="AL2811" s="54"/>
    </row>
    <row r="2812" spans="1:38" ht="15.75" thickBot="1" x14ac:dyDescent="0.3">
      <c r="A2812" s="51"/>
      <c r="B2812" s="51"/>
      <c r="C2812" s="51"/>
      <c r="D2812" s="51"/>
      <c r="E2812" s="51"/>
      <c r="F2812" s="51"/>
      <c r="G2812" s="56"/>
      <c r="H2812" s="55"/>
      <c r="I2812" s="55"/>
      <c r="J2812" s="55"/>
      <c r="K2812" s="55"/>
      <c r="L2812" s="55"/>
      <c r="M2812" s="55"/>
      <c r="N2812" s="55"/>
      <c r="O2812" s="55"/>
      <c r="P2812" s="55"/>
      <c r="Q2812" s="55"/>
      <c r="R2812" s="55"/>
      <c r="S2812" s="55"/>
      <c r="T2812" s="56"/>
      <c r="U2812" s="55"/>
      <c r="V2812" s="55"/>
      <c r="W2812" s="55"/>
      <c r="X2812" s="55"/>
      <c r="Y2812" s="55"/>
      <c r="Z2812" s="55"/>
      <c r="AA2812" s="55"/>
      <c r="AB2812" s="55"/>
      <c r="AC2812" s="55"/>
      <c r="AD2812" s="55"/>
      <c r="AE2812" s="55"/>
      <c r="AF2812" s="55"/>
      <c r="AG2812" s="55"/>
      <c r="AH2812" s="56"/>
      <c r="AI2812" s="55"/>
      <c r="AJ2812" s="55"/>
      <c r="AK2812" s="56"/>
      <c r="AL2812" s="56"/>
    </row>
    <row r="2813" spans="1:38" ht="15.75" thickBot="1" x14ac:dyDescent="0.3">
      <c r="A2813" s="51"/>
      <c r="B2813" s="51"/>
      <c r="C2813" s="51"/>
      <c r="D2813" s="51"/>
      <c r="E2813" s="51"/>
      <c r="F2813" s="51"/>
      <c r="G2813" s="54"/>
      <c r="H2813" s="53"/>
      <c r="I2813" s="53"/>
      <c r="J2813" s="53"/>
      <c r="K2813" s="53"/>
      <c r="L2813" s="53"/>
      <c r="M2813" s="53"/>
      <c r="N2813" s="53"/>
      <c r="O2813" s="53"/>
      <c r="P2813" s="53"/>
      <c r="Q2813" s="53"/>
      <c r="R2813" s="53"/>
      <c r="S2813" s="53"/>
      <c r="T2813" s="54"/>
      <c r="U2813" s="53"/>
      <c r="V2813" s="53"/>
      <c r="W2813" s="53"/>
      <c r="X2813" s="53"/>
      <c r="Y2813" s="53"/>
      <c r="Z2813" s="53"/>
      <c r="AA2813" s="53"/>
      <c r="AB2813" s="53"/>
      <c r="AC2813" s="53"/>
      <c r="AD2813" s="53"/>
      <c r="AE2813" s="53"/>
      <c r="AF2813" s="53"/>
      <c r="AG2813" s="53"/>
      <c r="AH2813" s="54"/>
      <c r="AI2813" s="53"/>
      <c r="AJ2813" s="53"/>
      <c r="AK2813" s="54"/>
      <c r="AL2813" s="54"/>
    </row>
    <row r="2814" spans="1:38" ht="15.75" thickBot="1" x14ac:dyDescent="0.3">
      <c r="A2814" s="51"/>
      <c r="B2814" s="51"/>
      <c r="C2814" s="51"/>
      <c r="D2814" s="51"/>
      <c r="E2814" s="51"/>
      <c r="F2814" s="51"/>
      <c r="G2814" s="56"/>
      <c r="H2814" s="55"/>
      <c r="I2814" s="55"/>
      <c r="J2814" s="55"/>
      <c r="K2814" s="55"/>
      <c r="L2814" s="55"/>
      <c r="M2814" s="55"/>
      <c r="N2814" s="55"/>
      <c r="O2814" s="55"/>
      <c r="P2814" s="55"/>
      <c r="Q2814" s="55"/>
      <c r="R2814" s="55"/>
      <c r="S2814" s="55"/>
      <c r="T2814" s="55"/>
      <c r="U2814" s="56"/>
      <c r="V2814" s="55"/>
      <c r="W2814" s="55"/>
      <c r="X2814" s="55"/>
      <c r="Y2814" s="55"/>
      <c r="Z2814" s="55"/>
      <c r="AA2814" s="55"/>
      <c r="AB2814" s="55"/>
      <c r="AC2814" s="55"/>
      <c r="AD2814" s="55"/>
      <c r="AE2814" s="55"/>
      <c r="AF2814" s="55"/>
      <c r="AG2814" s="55"/>
      <c r="AH2814" s="56"/>
      <c r="AI2814" s="55"/>
      <c r="AJ2814" s="55"/>
      <c r="AK2814" s="56"/>
      <c r="AL2814" s="56"/>
    </row>
    <row r="2815" spans="1:38" ht="15.75" thickBot="1" x14ac:dyDescent="0.3">
      <c r="A2815" s="51"/>
      <c r="B2815" s="51"/>
      <c r="C2815" s="51"/>
      <c r="D2815" s="51"/>
      <c r="E2815" s="51"/>
      <c r="F2815" s="51"/>
      <c r="G2815" s="54"/>
      <c r="H2815" s="53"/>
      <c r="I2815" s="53"/>
      <c r="J2815" s="53"/>
      <c r="K2815" s="53"/>
      <c r="L2815" s="53"/>
      <c r="M2815" s="53"/>
      <c r="N2815" s="53"/>
      <c r="O2815" s="53"/>
      <c r="P2815" s="53"/>
      <c r="Q2815" s="53"/>
      <c r="R2815" s="53"/>
      <c r="S2815" s="53"/>
      <c r="T2815" s="53"/>
      <c r="U2815" s="54"/>
      <c r="V2815" s="53"/>
      <c r="W2815" s="53"/>
      <c r="X2815" s="53"/>
      <c r="Y2815" s="53"/>
      <c r="Z2815" s="53"/>
      <c r="AA2815" s="53"/>
      <c r="AB2815" s="53"/>
      <c r="AC2815" s="53"/>
      <c r="AD2815" s="53"/>
      <c r="AE2815" s="53"/>
      <c r="AF2815" s="53"/>
      <c r="AG2815" s="53"/>
      <c r="AH2815" s="54"/>
      <c r="AI2815" s="53"/>
      <c r="AJ2815" s="53"/>
      <c r="AK2815" s="54"/>
      <c r="AL2815" s="54"/>
    </row>
    <row r="2816" spans="1:38" ht="15.75" thickBot="1" x14ac:dyDescent="0.3">
      <c r="A2816" s="51"/>
      <c r="B2816" s="51"/>
      <c r="C2816" s="51"/>
      <c r="D2816" s="51"/>
      <c r="E2816" s="51"/>
      <c r="F2816" s="51"/>
      <c r="G2816" s="56"/>
      <c r="H2816" s="55"/>
      <c r="I2816" s="55"/>
      <c r="J2816" s="55"/>
      <c r="K2816" s="56"/>
      <c r="L2816" s="55"/>
      <c r="M2816" s="55"/>
      <c r="N2816" s="55"/>
      <c r="O2816" s="55"/>
      <c r="P2816" s="55"/>
      <c r="Q2816" s="55"/>
      <c r="R2816" s="55"/>
      <c r="S2816" s="55"/>
      <c r="T2816" s="55"/>
      <c r="U2816" s="55"/>
      <c r="V2816" s="55"/>
      <c r="W2816" s="55"/>
      <c r="X2816" s="55"/>
      <c r="Y2816" s="55"/>
      <c r="Z2816" s="55"/>
      <c r="AA2816" s="55"/>
      <c r="AB2816" s="55"/>
      <c r="AC2816" s="55"/>
      <c r="AD2816" s="55"/>
      <c r="AE2816" s="55"/>
      <c r="AF2816" s="55"/>
      <c r="AG2816" s="55"/>
      <c r="AH2816" s="56"/>
      <c r="AI2816" s="55"/>
      <c r="AJ2816" s="55"/>
      <c r="AK2816" s="56"/>
      <c r="AL2816" s="56"/>
    </row>
    <row r="2817" spans="1:38" ht="15.75" thickBot="1" x14ac:dyDescent="0.3">
      <c r="A2817" s="51"/>
      <c r="B2817" s="51"/>
      <c r="C2817" s="51"/>
      <c r="D2817" s="51"/>
      <c r="E2817" s="51"/>
      <c r="F2817" s="51"/>
      <c r="G2817" s="54"/>
      <c r="H2817" s="53"/>
      <c r="I2817" s="53"/>
      <c r="J2817" s="53"/>
      <c r="K2817" s="54"/>
      <c r="L2817" s="53"/>
      <c r="M2817" s="53"/>
      <c r="N2817" s="53"/>
      <c r="O2817" s="53"/>
      <c r="P2817" s="53"/>
      <c r="Q2817" s="53"/>
      <c r="R2817" s="53"/>
      <c r="S2817" s="53"/>
      <c r="T2817" s="53"/>
      <c r="U2817" s="53"/>
      <c r="V2817" s="53"/>
      <c r="W2817" s="53"/>
      <c r="X2817" s="53"/>
      <c r="Y2817" s="53"/>
      <c r="Z2817" s="53"/>
      <c r="AA2817" s="53"/>
      <c r="AB2817" s="53"/>
      <c r="AC2817" s="53"/>
      <c r="AD2817" s="53"/>
      <c r="AE2817" s="53"/>
      <c r="AF2817" s="53"/>
      <c r="AG2817" s="53"/>
      <c r="AH2817" s="54"/>
      <c r="AI2817" s="53"/>
      <c r="AJ2817" s="53"/>
      <c r="AK2817" s="54"/>
      <c r="AL2817" s="54"/>
    </row>
    <row r="2818" spans="1:38" ht="15.75" thickBot="1" x14ac:dyDescent="0.3">
      <c r="A2818" s="51"/>
      <c r="B2818" s="51"/>
      <c r="C2818" s="51"/>
      <c r="D2818" s="51"/>
      <c r="E2818" s="51"/>
      <c r="F2818" s="51"/>
      <c r="G2818" s="56"/>
      <c r="H2818" s="55"/>
      <c r="I2818" s="55"/>
      <c r="J2818" s="55"/>
      <c r="K2818" s="55"/>
      <c r="L2818" s="55"/>
      <c r="M2818" s="55"/>
      <c r="N2818" s="55"/>
      <c r="O2818" s="55"/>
      <c r="P2818" s="55"/>
      <c r="Q2818" s="55"/>
      <c r="R2818" s="55"/>
      <c r="S2818" s="55"/>
      <c r="T2818" s="55"/>
      <c r="U2818" s="55"/>
      <c r="V2818" s="55"/>
      <c r="W2818" s="56"/>
      <c r="X2818" s="55"/>
      <c r="Y2818" s="55"/>
      <c r="Z2818" s="55"/>
      <c r="AA2818" s="55"/>
      <c r="AB2818" s="55"/>
      <c r="AC2818" s="55"/>
      <c r="AD2818" s="55"/>
      <c r="AE2818" s="55"/>
      <c r="AF2818" s="55"/>
      <c r="AG2818" s="55"/>
      <c r="AH2818" s="56"/>
      <c r="AI2818" s="55"/>
      <c r="AJ2818" s="55"/>
      <c r="AK2818" s="56"/>
      <c r="AL2818" s="56"/>
    </row>
    <row r="2819" spans="1:38" ht="15.75" thickBot="1" x14ac:dyDescent="0.3">
      <c r="A2819" s="51"/>
      <c r="B2819" s="51"/>
      <c r="C2819" s="51"/>
      <c r="D2819" s="51"/>
      <c r="E2819" s="51"/>
      <c r="F2819" s="51"/>
      <c r="G2819" s="54"/>
      <c r="H2819" s="53"/>
      <c r="I2819" s="53"/>
      <c r="J2819" s="53"/>
      <c r="K2819" s="53"/>
      <c r="L2819" s="53"/>
      <c r="M2819" s="53"/>
      <c r="N2819" s="53"/>
      <c r="O2819" s="53"/>
      <c r="P2819" s="53"/>
      <c r="Q2819" s="53"/>
      <c r="R2819" s="53"/>
      <c r="S2819" s="53"/>
      <c r="T2819" s="53"/>
      <c r="U2819" s="53"/>
      <c r="V2819" s="53"/>
      <c r="W2819" s="54"/>
      <c r="X2819" s="53"/>
      <c r="Y2819" s="53"/>
      <c r="Z2819" s="53"/>
      <c r="AA2819" s="53"/>
      <c r="AB2819" s="53"/>
      <c r="AC2819" s="53"/>
      <c r="AD2819" s="53"/>
      <c r="AE2819" s="53"/>
      <c r="AF2819" s="53"/>
      <c r="AG2819" s="53"/>
      <c r="AH2819" s="54"/>
      <c r="AI2819" s="53"/>
      <c r="AJ2819" s="53"/>
      <c r="AK2819" s="54"/>
      <c r="AL2819" s="54"/>
    </row>
    <row r="2820" spans="1:38" ht="15.75" thickBot="1" x14ac:dyDescent="0.3">
      <c r="A2820" s="51"/>
      <c r="B2820" s="51"/>
      <c r="C2820" s="51"/>
      <c r="D2820" s="51"/>
      <c r="E2820" s="51"/>
      <c r="F2820" s="51"/>
      <c r="G2820" s="56"/>
      <c r="H2820" s="55"/>
      <c r="I2820" s="55"/>
      <c r="J2820" s="55"/>
      <c r="K2820" s="55"/>
      <c r="L2820" s="55"/>
      <c r="M2820" s="55"/>
      <c r="N2820" s="55"/>
      <c r="O2820" s="55"/>
      <c r="P2820" s="55"/>
      <c r="Q2820" s="55"/>
      <c r="R2820" s="55"/>
      <c r="S2820" s="55"/>
      <c r="T2820" s="55"/>
      <c r="U2820" s="55"/>
      <c r="V2820" s="55"/>
      <c r="W2820" s="55"/>
      <c r="X2820" s="56"/>
      <c r="Y2820" s="55"/>
      <c r="Z2820" s="55"/>
      <c r="AA2820" s="55"/>
      <c r="AB2820" s="55"/>
      <c r="AC2820" s="55"/>
      <c r="AD2820" s="55"/>
      <c r="AE2820" s="55"/>
      <c r="AF2820" s="55"/>
      <c r="AG2820" s="55"/>
      <c r="AH2820" s="56"/>
      <c r="AI2820" s="55"/>
      <c r="AJ2820" s="55"/>
      <c r="AK2820" s="56"/>
      <c r="AL2820" s="56"/>
    </row>
    <row r="2821" spans="1:38" ht="15.75" thickBot="1" x14ac:dyDescent="0.3">
      <c r="A2821" s="51"/>
      <c r="B2821" s="51"/>
      <c r="C2821" s="51"/>
      <c r="D2821" s="51"/>
      <c r="E2821" s="51"/>
      <c r="F2821" s="51"/>
      <c r="G2821" s="54"/>
      <c r="H2821" s="53"/>
      <c r="I2821" s="53"/>
      <c r="J2821" s="53"/>
      <c r="K2821" s="53"/>
      <c r="L2821" s="53"/>
      <c r="M2821" s="53"/>
      <c r="N2821" s="53"/>
      <c r="O2821" s="53"/>
      <c r="P2821" s="53"/>
      <c r="Q2821" s="53"/>
      <c r="R2821" s="53"/>
      <c r="S2821" s="53"/>
      <c r="T2821" s="53"/>
      <c r="U2821" s="53"/>
      <c r="V2821" s="53"/>
      <c r="W2821" s="53"/>
      <c r="X2821" s="54"/>
      <c r="Y2821" s="53"/>
      <c r="Z2821" s="53"/>
      <c r="AA2821" s="53"/>
      <c r="AB2821" s="53"/>
      <c r="AC2821" s="53"/>
      <c r="AD2821" s="53"/>
      <c r="AE2821" s="53"/>
      <c r="AF2821" s="53"/>
      <c r="AG2821" s="53"/>
      <c r="AH2821" s="54"/>
      <c r="AI2821" s="53"/>
      <c r="AJ2821" s="53"/>
      <c r="AK2821" s="54"/>
      <c r="AL2821" s="54"/>
    </row>
    <row r="2822" spans="1:38" ht="15.75" thickBot="1" x14ac:dyDescent="0.3">
      <c r="A2822" s="51"/>
      <c r="B2822" s="51"/>
      <c r="C2822" s="51"/>
      <c r="D2822" s="51"/>
      <c r="E2822" s="51"/>
      <c r="F2822" s="51"/>
      <c r="G2822" s="56"/>
      <c r="H2822" s="55"/>
      <c r="I2822" s="55"/>
      <c r="J2822" s="55"/>
      <c r="K2822" s="56"/>
      <c r="L2822" s="55"/>
      <c r="M2822" s="55"/>
      <c r="N2822" s="55"/>
      <c r="O2822" s="55"/>
      <c r="P2822" s="55"/>
      <c r="Q2822" s="55"/>
      <c r="R2822" s="55"/>
      <c r="S2822" s="55"/>
      <c r="T2822" s="55"/>
      <c r="U2822" s="55"/>
      <c r="V2822" s="55"/>
      <c r="W2822" s="55"/>
      <c r="X2822" s="55"/>
      <c r="Y2822" s="55"/>
      <c r="Z2822" s="55"/>
      <c r="AA2822" s="55"/>
      <c r="AB2822" s="55"/>
      <c r="AC2822" s="55"/>
      <c r="AD2822" s="55"/>
      <c r="AE2822" s="55"/>
      <c r="AF2822" s="55"/>
      <c r="AG2822" s="55"/>
      <c r="AH2822" s="56"/>
      <c r="AI2822" s="55"/>
      <c r="AJ2822" s="55"/>
      <c r="AK2822" s="56"/>
      <c r="AL2822" s="56"/>
    </row>
    <row r="2823" spans="1:38" ht="15.75" thickBot="1" x14ac:dyDescent="0.3">
      <c r="A2823" s="51"/>
      <c r="B2823" s="51"/>
      <c r="C2823" s="51"/>
      <c r="D2823" s="51"/>
      <c r="E2823" s="51"/>
      <c r="F2823" s="51"/>
      <c r="G2823" s="54"/>
      <c r="H2823" s="53"/>
      <c r="I2823" s="53"/>
      <c r="J2823" s="53"/>
      <c r="K2823" s="54"/>
      <c r="L2823" s="53"/>
      <c r="M2823" s="53"/>
      <c r="N2823" s="53"/>
      <c r="O2823" s="53"/>
      <c r="P2823" s="53"/>
      <c r="Q2823" s="53"/>
      <c r="R2823" s="53"/>
      <c r="S2823" s="53"/>
      <c r="T2823" s="53"/>
      <c r="U2823" s="53"/>
      <c r="V2823" s="53"/>
      <c r="W2823" s="53"/>
      <c r="X2823" s="53"/>
      <c r="Y2823" s="53"/>
      <c r="Z2823" s="53"/>
      <c r="AA2823" s="53"/>
      <c r="AB2823" s="53"/>
      <c r="AC2823" s="53"/>
      <c r="AD2823" s="53"/>
      <c r="AE2823" s="53"/>
      <c r="AF2823" s="53"/>
      <c r="AG2823" s="53"/>
      <c r="AH2823" s="54"/>
      <c r="AI2823" s="53"/>
      <c r="AJ2823" s="53"/>
      <c r="AK2823" s="54"/>
      <c r="AL2823" s="54"/>
    </row>
    <row r="2824" spans="1:38" ht="15.75" thickBot="1" x14ac:dyDescent="0.3">
      <c r="A2824" s="51"/>
      <c r="B2824" s="51"/>
      <c r="C2824" s="51"/>
      <c r="D2824" s="51"/>
      <c r="E2824" s="51"/>
      <c r="F2824" s="51"/>
      <c r="G2824" s="56"/>
      <c r="H2824" s="56"/>
      <c r="I2824" s="55"/>
      <c r="J2824" s="55"/>
      <c r="K2824" s="55"/>
      <c r="L2824" s="55"/>
      <c r="M2824" s="56"/>
      <c r="N2824" s="55"/>
      <c r="O2824" s="55"/>
      <c r="P2824" s="55"/>
      <c r="Q2824" s="55"/>
      <c r="R2824" s="55"/>
      <c r="S2824" s="55"/>
      <c r="T2824" s="55"/>
      <c r="U2824" s="55"/>
      <c r="V2824" s="55"/>
      <c r="W2824" s="55"/>
      <c r="X2824" s="55"/>
      <c r="Y2824" s="55"/>
      <c r="Z2824" s="55"/>
      <c r="AA2824" s="55"/>
      <c r="AB2824" s="55"/>
      <c r="AC2824" s="55"/>
      <c r="AD2824" s="55"/>
      <c r="AE2824" s="55"/>
      <c r="AF2824" s="55"/>
      <c r="AG2824" s="55"/>
      <c r="AH2824" s="56"/>
      <c r="AI2824" s="55"/>
      <c r="AJ2824" s="55"/>
      <c r="AK2824" s="56"/>
      <c r="AL2824" s="56"/>
    </row>
    <row r="2825" spans="1:38" ht="15.75" thickBot="1" x14ac:dyDescent="0.3">
      <c r="A2825" s="51"/>
      <c r="B2825" s="51"/>
      <c r="C2825" s="51"/>
      <c r="D2825" s="51"/>
      <c r="E2825" s="51"/>
      <c r="F2825" s="51"/>
      <c r="G2825" s="54"/>
      <c r="H2825" s="147"/>
      <c r="I2825" s="53"/>
      <c r="J2825" s="53"/>
      <c r="K2825" s="53"/>
      <c r="L2825" s="53"/>
      <c r="M2825" s="54"/>
      <c r="N2825" s="53"/>
      <c r="O2825" s="53"/>
      <c r="P2825" s="53"/>
      <c r="Q2825" s="53"/>
      <c r="R2825" s="53"/>
      <c r="S2825" s="53"/>
      <c r="T2825" s="53"/>
      <c r="U2825" s="53"/>
      <c r="V2825" s="53"/>
      <c r="W2825" s="53"/>
      <c r="X2825" s="53"/>
      <c r="Y2825" s="53"/>
      <c r="Z2825" s="53"/>
      <c r="AA2825" s="53"/>
      <c r="AB2825" s="53"/>
      <c r="AC2825" s="53"/>
      <c r="AD2825" s="53"/>
      <c r="AE2825" s="53"/>
      <c r="AF2825" s="53"/>
      <c r="AG2825" s="53"/>
      <c r="AH2825" s="54"/>
      <c r="AI2825" s="53"/>
      <c r="AJ2825" s="53"/>
      <c r="AK2825" s="54"/>
      <c r="AL2825" s="54"/>
    </row>
    <row r="2826" spans="1:38" ht="15.75" thickBot="1" x14ac:dyDescent="0.3">
      <c r="A2826" s="51"/>
      <c r="B2826" s="51"/>
      <c r="C2826" s="51"/>
      <c r="D2826" s="51"/>
      <c r="E2826" s="51"/>
      <c r="F2826" s="51"/>
      <c r="G2826" s="56"/>
      <c r="H2826" s="55"/>
      <c r="I2826" s="55"/>
      <c r="J2826" s="55"/>
      <c r="K2826" s="55"/>
      <c r="L2826" s="55"/>
      <c r="M2826" s="55"/>
      <c r="N2826" s="55"/>
      <c r="O2826" s="55"/>
      <c r="P2826" s="55"/>
      <c r="Q2826" s="56"/>
      <c r="R2826" s="55"/>
      <c r="S2826" s="55"/>
      <c r="T2826" s="55"/>
      <c r="U2826" s="55"/>
      <c r="V2826" s="55"/>
      <c r="W2826" s="55"/>
      <c r="X2826" s="55"/>
      <c r="Y2826" s="55"/>
      <c r="Z2826" s="55"/>
      <c r="AA2826" s="55"/>
      <c r="AB2826" s="55"/>
      <c r="AC2826" s="55"/>
      <c r="AD2826" s="55"/>
      <c r="AE2826" s="55"/>
      <c r="AF2826" s="55"/>
      <c r="AG2826" s="55"/>
      <c r="AH2826" s="56"/>
      <c r="AI2826" s="55"/>
      <c r="AJ2826" s="55"/>
      <c r="AK2826" s="56"/>
      <c r="AL2826" s="56"/>
    </row>
    <row r="2827" spans="1:38" ht="15.75" thickBot="1" x14ac:dyDescent="0.3">
      <c r="A2827" s="51"/>
      <c r="B2827" s="51"/>
      <c r="C2827" s="51"/>
      <c r="D2827" s="51"/>
      <c r="E2827" s="51"/>
      <c r="F2827" s="51"/>
      <c r="G2827" s="54"/>
      <c r="H2827" s="53"/>
      <c r="I2827" s="53"/>
      <c r="J2827" s="53"/>
      <c r="K2827" s="53"/>
      <c r="L2827" s="53"/>
      <c r="M2827" s="53"/>
      <c r="N2827" s="53"/>
      <c r="O2827" s="53"/>
      <c r="P2827" s="53"/>
      <c r="Q2827" s="54"/>
      <c r="R2827" s="53"/>
      <c r="S2827" s="53"/>
      <c r="T2827" s="53"/>
      <c r="U2827" s="53"/>
      <c r="V2827" s="53"/>
      <c r="W2827" s="53"/>
      <c r="X2827" s="53"/>
      <c r="Y2827" s="53"/>
      <c r="Z2827" s="53"/>
      <c r="AA2827" s="53"/>
      <c r="AB2827" s="53"/>
      <c r="AC2827" s="53"/>
      <c r="AD2827" s="53"/>
      <c r="AE2827" s="53"/>
      <c r="AF2827" s="53"/>
      <c r="AG2827" s="53"/>
      <c r="AH2827" s="54"/>
      <c r="AI2827" s="53"/>
      <c r="AJ2827" s="53"/>
      <c r="AK2827" s="54"/>
      <c r="AL2827" s="54"/>
    </row>
    <row r="2828" spans="1:38" ht="15.75" thickBot="1" x14ac:dyDescent="0.3">
      <c r="A2828" s="51"/>
      <c r="B2828" s="51"/>
      <c r="C2828" s="51"/>
      <c r="D2828" s="51"/>
      <c r="E2828" s="51"/>
      <c r="F2828" s="51"/>
      <c r="G2828" s="55"/>
      <c r="H2828" s="55"/>
      <c r="I2828" s="55"/>
      <c r="J2828" s="55"/>
      <c r="K2828" s="55"/>
      <c r="L2828" s="55"/>
      <c r="M2828" s="55"/>
      <c r="N2828" s="55"/>
      <c r="O2828" s="55"/>
      <c r="P2828" s="55"/>
      <c r="Q2828" s="55"/>
      <c r="R2828" s="55"/>
      <c r="S2828" s="55"/>
      <c r="T2828" s="55"/>
      <c r="U2828" s="55"/>
      <c r="V2828" s="55"/>
      <c r="W2828" s="55"/>
      <c r="X2828" s="55"/>
      <c r="Y2828" s="55"/>
      <c r="Z2828" s="55"/>
      <c r="AA2828" s="55"/>
      <c r="AB2828" s="55"/>
      <c r="AC2828" s="55"/>
      <c r="AD2828" s="55"/>
      <c r="AE2828" s="55"/>
      <c r="AF2828" s="56"/>
      <c r="AG2828" s="55"/>
      <c r="AH2828" s="56"/>
      <c r="AI2828" s="55"/>
      <c r="AJ2828" s="55"/>
      <c r="AK2828" s="56"/>
      <c r="AL2828" s="56"/>
    </row>
    <row r="2829" spans="1:38" ht="15.75" thickBot="1" x14ac:dyDescent="0.3">
      <c r="A2829" s="51"/>
      <c r="B2829" s="51"/>
      <c r="C2829" s="51"/>
      <c r="D2829" s="51"/>
      <c r="E2829" s="51"/>
      <c r="F2829" s="51"/>
      <c r="G2829" s="53"/>
      <c r="H2829" s="53"/>
      <c r="I2829" s="53"/>
      <c r="J2829" s="53"/>
      <c r="K2829" s="53"/>
      <c r="L2829" s="53"/>
      <c r="M2829" s="53"/>
      <c r="N2829" s="53"/>
      <c r="O2829" s="53"/>
      <c r="P2829" s="53"/>
      <c r="Q2829" s="53"/>
      <c r="R2829" s="53"/>
      <c r="S2829" s="53"/>
      <c r="T2829" s="53"/>
      <c r="U2829" s="53"/>
      <c r="V2829" s="53"/>
      <c r="W2829" s="53"/>
      <c r="X2829" s="53"/>
      <c r="Y2829" s="53"/>
      <c r="Z2829" s="53"/>
      <c r="AA2829" s="53"/>
      <c r="AB2829" s="53"/>
      <c r="AC2829" s="53"/>
      <c r="AD2829" s="53"/>
      <c r="AE2829" s="53"/>
      <c r="AF2829" s="54"/>
      <c r="AG2829" s="53"/>
      <c r="AH2829" s="54"/>
      <c r="AI2829" s="53"/>
      <c r="AJ2829" s="53"/>
      <c r="AK2829" s="54"/>
      <c r="AL2829" s="54"/>
    </row>
    <row r="2830" spans="1:38" ht="15.75" thickBot="1" x14ac:dyDescent="0.3">
      <c r="A2830" s="51"/>
      <c r="B2830" s="51"/>
      <c r="C2830" s="51"/>
      <c r="D2830" s="51"/>
      <c r="E2830" s="51"/>
      <c r="F2830" s="51"/>
      <c r="G2830" s="56"/>
      <c r="H2830" s="55"/>
      <c r="I2830" s="55"/>
      <c r="J2830" s="55"/>
      <c r="K2830" s="55"/>
      <c r="L2830" s="55"/>
      <c r="M2830" s="55"/>
      <c r="N2830" s="55"/>
      <c r="O2830" s="55"/>
      <c r="P2830" s="55"/>
      <c r="Q2830" s="55"/>
      <c r="R2830" s="55"/>
      <c r="S2830" s="55"/>
      <c r="T2830" s="55"/>
      <c r="U2830" s="55"/>
      <c r="V2830" s="55"/>
      <c r="W2830" s="55"/>
      <c r="X2830" s="55"/>
      <c r="Y2830" s="55"/>
      <c r="Z2830" s="56"/>
      <c r="AA2830" s="55"/>
      <c r="AB2830" s="55"/>
      <c r="AC2830" s="55"/>
      <c r="AD2830" s="55"/>
      <c r="AE2830" s="55"/>
      <c r="AF2830" s="55"/>
      <c r="AG2830" s="55"/>
      <c r="AH2830" s="56"/>
      <c r="AI2830" s="55"/>
      <c r="AJ2830" s="55"/>
      <c r="AK2830" s="56"/>
      <c r="AL2830" s="56"/>
    </row>
    <row r="2831" spans="1:38" ht="15.75" thickBot="1" x14ac:dyDescent="0.3">
      <c r="A2831" s="51"/>
      <c r="B2831" s="51"/>
      <c r="C2831" s="51"/>
      <c r="D2831" s="51"/>
      <c r="E2831" s="51"/>
      <c r="F2831" s="51"/>
      <c r="G2831" s="54"/>
      <c r="H2831" s="53"/>
      <c r="I2831" s="53"/>
      <c r="J2831" s="53"/>
      <c r="K2831" s="53"/>
      <c r="L2831" s="53"/>
      <c r="M2831" s="53"/>
      <c r="N2831" s="53"/>
      <c r="O2831" s="53"/>
      <c r="P2831" s="53"/>
      <c r="Q2831" s="53"/>
      <c r="R2831" s="53"/>
      <c r="S2831" s="53"/>
      <c r="T2831" s="53"/>
      <c r="U2831" s="53"/>
      <c r="V2831" s="53"/>
      <c r="W2831" s="53"/>
      <c r="X2831" s="53"/>
      <c r="Y2831" s="53"/>
      <c r="Z2831" s="54"/>
      <c r="AA2831" s="53"/>
      <c r="AB2831" s="53"/>
      <c r="AC2831" s="53"/>
      <c r="AD2831" s="53"/>
      <c r="AE2831" s="53"/>
      <c r="AF2831" s="53"/>
      <c r="AG2831" s="53"/>
      <c r="AH2831" s="54"/>
      <c r="AI2831" s="53"/>
      <c r="AJ2831" s="53"/>
      <c r="AK2831" s="54"/>
      <c r="AL2831" s="54"/>
    </row>
    <row r="2832" spans="1:38" ht="15.75" thickBot="1" x14ac:dyDescent="0.3">
      <c r="A2832" s="51"/>
      <c r="B2832" s="51"/>
      <c r="C2832" s="51"/>
      <c r="D2832" s="51"/>
      <c r="E2832" s="51"/>
      <c r="F2832" s="51"/>
      <c r="G2832" s="56"/>
      <c r="H2832" s="55"/>
      <c r="I2832" s="55"/>
      <c r="J2832" s="55"/>
      <c r="K2832" s="55"/>
      <c r="L2832" s="55"/>
      <c r="M2832" s="55"/>
      <c r="N2832" s="55"/>
      <c r="O2832" s="55"/>
      <c r="P2832" s="55"/>
      <c r="Q2832" s="55"/>
      <c r="R2832" s="55"/>
      <c r="S2832" s="55"/>
      <c r="T2832" s="55"/>
      <c r="U2832" s="55"/>
      <c r="V2832" s="55"/>
      <c r="W2832" s="55"/>
      <c r="X2832" s="55"/>
      <c r="Y2832" s="55"/>
      <c r="Z2832" s="55"/>
      <c r="AA2832" s="56"/>
      <c r="AB2832" s="55"/>
      <c r="AC2832" s="55"/>
      <c r="AD2832" s="55"/>
      <c r="AE2832" s="55"/>
      <c r="AF2832" s="55"/>
      <c r="AG2832" s="55"/>
      <c r="AH2832" s="56"/>
      <c r="AI2832" s="55"/>
      <c r="AJ2832" s="55"/>
      <c r="AK2832" s="56"/>
      <c r="AL2832" s="56"/>
    </row>
    <row r="2833" spans="1:38" ht="15.75" thickBot="1" x14ac:dyDescent="0.3">
      <c r="A2833" s="51"/>
      <c r="B2833" s="51"/>
      <c r="C2833" s="51"/>
      <c r="D2833" s="51"/>
      <c r="E2833" s="51"/>
      <c r="F2833" s="51"/>
      <c r="G2833" s="54"/>
      <c r="H2833" s="53"/>
      <c r="I2833" s="53"/>
      <c r="J2833" s="53"/>
      <c r="K2833" s="53"/>
      <c r="L2833" s="53"/>
      <c r="M2833" s="53"/>
      <c r="N2833" s="53"/>
      <c r="O2833" s="53"/>
      <c r="P2833" s="53"/>
      <c r="Q2833" s="53"/>
      <c r="R2833" s="53"/>
      <c r="S2833" s="53"/>
      <c r="T2833" s="53"/>
      <c r="U2833" s="53"/>
      <c r="V2833" s="53"/>
      <c r="W2833" s="53"/>
      <c r="X2833" s="53"/>
      <c r="Y2833" s="53"/>
      <c r="Z2833" s="53"/>
      <c r="AA2833" s="54"/>
      <c r="AB2833" s="53"/>
      <c r="AC2833" s="53"/>
      <c r="AD2833" s="53"/>
      <c r="AE2833" s="53"/>
      <c r="AF2833" s="53"/>
      <c r="AG2833" s="53"/>
      <c r="AH2833" s="54"/>
      <c r="AI2833" s="53"/>
      <c r="AJ2833" s="53"/>
      <c r="AK2833" s="54"/>
      <c r="AL2833" s="54"/>
    </row>
    <row r="2834" spans="1:38" ht="15.75" thickBot="1" x14ac:dyDescent="0.3">
      <c r="A2834" s="51"/>
      <c r="B2834" s="51"/>
      <c r="C2834" s="51"/>
      <c r="D2834" s="51"/>
      <c r="E2834" s="51"/>
      <c r="F2834" s="51"/>
      <c r="G2834" s="56"/>
      <c r="H2834" s="55"/>
      <c r="I2834" s="55"/>
      <c r="J2834" s="55"/>
      <c r="K2834" s="55"/>
      <c r="L2834" s="55"/>
      <c r="M2834" s="55"/>
      <c r="N2834" s="55"/>
      <c r="O2834" s="55"/>
      <c r="P2834" s="55"/>
      <c r="Q2834" s="55"/>
      <c r="R2834" s="56"/>
      <c r="S2834" s="55"/>
      <c r="T2834" s="55"/>
      <c r="U2834" s="55"/>
      <c r="V2834" s="55"/>
      <c r="W2834" s="55"/>
      <c r="X2834" s="55"/>
      <c r="Y2834" s="55"/>
      <c r="Z2834" s="55"/>
      <c r="AA2834" s="55"/>
      <c r="AB2834" s="55"/>
      <c r="AC2834" s="55"/>
      <c r="AD2834" s="55"/>
      <c r="AE2834" s="55"/>
      <c r="AF2834" s="55"/>
      <c r="AG2834" s="55"/>
      <c r="AH2834" s="56"/>
      <c r="AI2834" s="55"/>
      <c r="AJ2834" s="55"/>
      <c r="AK2834" s="56"/>
      <c r="AL2834" s="56"/>
    </row>
    <row r="2835" spans="1:38" ht="15.75" thickBot="1" x14ac:dyDescent="0.3">
      <c r="A2835" s="51"/>
      <c r="B2835" s="51"/>
      <c r="C2835" s="51"/>
      <c r="D2835" s="51"/>
      <c r="E2835" s="51"/>
      <c r="F2835" s="51"/>
      <c r="G2835" s="54"/>
      <c r="H2835" s="53"/>
      <c r="I2835" s="53"/>
      <c r="J2835" s="53"/>
      <c r="K2835" s="53"/>
      <c r="L2835" s="53"/>
      <c r="M2835" s="53"/>
      <c r="N2835" s="53"/>
      <c r="O2835" s="53"/>
      <c r="P2835" s="53"/>
      <c r="Q2835" s="53"/>
      <c r="R2835" s="54"/>
      <c r="S2835" s="53"/>
      <c r="T2835" s="53"/>
      <c r="U2835" s="53"/>
      <c r="V2835" s="53"/>
      <c r="W2835" s="53"/>
      <c r="X2835" s="53"/>
      <c r="Y2835" s="53"/>
      <c r="Z2835" s="53"/>
      <c r="AA2835" s="53"/>
      <c r="AB2835" s="53"/>
      <c r="AC2835" s="53"/>
      <c r="AD2835" s="53"/>
      <c r="AE2835" s="53"/>
      <c r="AF2835" s="53"/>
      <c r="AG2835" s="53"/>
      <c r="AH2835" s="54"/>
      <c r="AI2835" s="53"/>
      <c r="AJ2835" s="53"/>
      <c r="AK2835" s="54"/>
      <c r="AL2835" s="54"/>
    </row>
    <row r="2836" spans="1:38" ht="15.75" thickBot="1" x14ac:dyDescent="0.3">
      <c r="A2836" s="51"/>
      <c r="B2836" s="51"/>
      <c r="C2836" s="51"/>
      <c r="D2836" s="51"/>
      <c r="E2836" s="51"/>
      <c r="F2836" s="51"/>
      <c r="G2836" s="56"/>
      <c r="H2836" s="55"/>
      <c r="I2836" s="55"/>
      <c r="J2836" s="55"/>
      <c r="K2836" s="55"/>
      <c r="L2836" s="55"/>
      <c r="M2836" s="55"/>
      <c r="N2836" s="55"/>
      <c r="O2836" s="55"/>
      <c r="P2836" s="55"/>
      <c r="Q2836" s="55"/>
      <c r="R2836" s="55"/>
      <c r="S2836" s="55"/>
      <c r="T2836" s="55"/>
      <c r="U2836" s="55"/>
      <c r="V2836" s="55"/>
      <c r="W2836" s="55"/>
      <c r="X2836" s="55"/>
      <c r="Y2836" s="55"/>
      <c r="Z2836" s="55"/>
      <c r="AA2836" s="55"/>
      <c r="AB2836" s="55"/>
      <c r="AC2836" s="56"/>
      <c r="AD2836" s="55"/>
      <c r="AE2836" s="55"/>
      <c r="AF2836" s="55"/>
      <c r="AG2836" s="55"/>
      <c r="AH2836" s="56"/>
      <c r="AI2836" s="55"/>
      <c r="AJ2836" s="55"/>
      <c r="AK2836" s="56"/>
      <c r="AL2836" s="56"/>
    </row>
    <row r="2837" spans="1:38" ht="15.75" thickBot="1" x14ac:dyDescent="0.3">
      <c r="A2837" s="51"/>
      <c r="B2837" s="51"/>
      <c r="C2837" s="51"/>
      <c r="D2837" s="51"/>
      <c r="E2837" s="51"/>
      <c r="F2837" s="51"/>
      <c r="G2837" s="54"/>
      <c r="H2837" s="53"/>
      <c r="I2837" s="53"/>
      <c r="J2837" s="53"/>
      <c r="K2837" s="53"/>
      <c r="L2837" s="53"/>
      <c r="M2837" s="53"/>
      <c r="N2837" s="53"/>
      <c r="O2837" s="53"/>
      <c r="P2837" s="53"/>
      <c r="Q2837" s="53"/>
      <c r="R2837" s="53"/>
      <c r="S2837" s="53"/>
      <c r="T2837" s="53"/>
      <c r="U2837" s="53"/>
      <c r="V2837" s="53"/>
      <c r="W2837" s="53"/>
      <c r="X2837" s="53"/>
      <c r="Y2837" s="53"/>
      <c r="Z2837" s="53"/>
      <c r="AA2837" s="53"/>
      <c r="AB2837" s="53"/>
      <c r="AC2837" s="54"/>
      <c r="AD2837" s="53"/>
      <c r="AE2837" s="53"/>
      <c r="AF2837" s="53"/>
      <c r="AG2837" s="53"/>
      <c r="AH2837" s="54"/>
      <c r="AI2837" s="53"/>
      <c r="AJ2837" s="53"/>
      <c r="AK2837" s="54"/>
      <c r="AL2837" s="54"/>
    </row>
    <row r="2838" spans="1:38" ht="15.75" thickBot="1" x14ac:dyDescent="0.3">
      <c r="A2838" s="51"/>
      <c r="B2838" s="51"/>
      <c r="C2838" s="51"/>
      <c r="D2838" s="51"/>
      <c r="E2838" s="51"/>
      <c r="F2838" s="51"/>
      <c r="G2838" s="56"/>
      <c r="H2838" s="55"/>
      <c r="I2838" s="55"/>
      <c r="J2838" s="55"/>
      <c r="K2838" s="56"/>
      <c r="L2838" s="55"/>
      <c r="M2838" s="55"/>
      <c r="N2838" s="55"/>
      <c r="O2838" s="55"/>
      <c r="P2838" s="55"/>
      <c r="Q2838" s="55"/>
      <c r="R2838" s="55"/>
      <c r="S2838" s="55"/>
      <c r="T2838" s="55"/>
      <c r="U2838" s="55"/>
      <c r="V2838" s="55"/>
      <c r="W2838" s="55"/>
      <c r="X2838" s="55"/>
      <c r="Y2838" s="55"/>
      <c r="Z2838" s="55"/>
      <c r="AA2838" s="55"/>
      <c r="AB2838" s="55"/>
      <c r="AC2838" s="55"/>
      <c r="AD2838" s="55"/>
      <c r="AE2838" s="55"/>
      <c r="AF2838" s="55"/>
      <c r="AG2838" s="55"/>
      <c r="AH2838" s="56"/>
      <c r="AI2838" s="55"/>
      <c r="AJ2838" s="55"/>
      <c r="AK2838" s="56"/>
      <c r="AL2838" s="56"/>
    </row>
    <row r="2839" spans="1:38" ht="15.75" thickBot="1" x14ac:dyDescent="0.3">
      <c r="A2839" s="51"/>
      <c r="B2839" s="51"/>
      <c r="C2839" s="51"/>
      <c r="D2839" s="51"/>
      <c r="E2839" s="51"/>
      <c r="F2839" s="51"/>
      <c r="G2839" s="54"/>
      <c r="H2839" s="53"/>
      <c r="I2839" s="53"/>
      <c r="J2839" s="53"/>
      <c r="K2839" s="54"/>
      <c r="L2839" s="53"/>
      <c r="M2839" s="53"/>
      <c r="N2839" s="53"/>
      <c r="O2839" s="53"/>
      <c r="P2839" s="53"/>
      <c r="Q2839" s="53"/>
      <c r="R2839" s="53"/>
      <c r="S2839" s="53"/>
      <c r="T2839" s="53"/>
      <c r="U2839" s="53"/>
      <c r="V2839" s="53"/>
      <c r="W2839" s="53"/>
      <c r="X2839" s="53"/>
      <c r="Y2839" s="53"/>
      <c r="Z2839" s="53"/>
      <c r="AA2839" s="53"/>
      <c r="AB2839" s="53"/>
      <c r="AC2839" s="53"/>
      <c r="AD2839" s="53"/>
      <c r="AE2839" s="53"/>
      <c r="AF2839" s="53"/>
      <c r="AG2839" s="53"/>
      <c r="AH2839" s="54"/>
      <c r="AI2839" s="53"/>
      <c r="AJ2839" s="53"/>
      <c r="AK2839" s="54"/>
      <c r="AL2839" s="54"/>
    </row>
    <row r="2840" spans="1:38" ht="15.75" thickBot="1" x14ac:dyDescent="0.3">
      <c r="A2840" s="51"/>
      <c r="B2840" s="51"/>
      <c r="C2840" s="51"/>
      <c r="D2840" s="51"/>
      <c r="E2840" s="51"/>
      <c r="F2840" s="51"/>
      <c r="G2840" s="56"/>
      <c r="H2840" s="56"/>
      <c r="I2840" s="55"/>
      <c r="J2840" s="55"/>
      <c r="K2840" s="55"/>
      <c r="L2840" s="55"/>
      <c r="M2840" s="56"/>
      <c r="N2840" s="55"/>
      <c r="O2840" s="55"/>
      <c r="P2840" s="55"/>
      <c r="Q2840" s="55"/>
      <c r="R2840" s="55"/>
      <c r="S2840" s="55"/>
      <c r="T2840" s="55"/>
      <c r="U2840" s="55"/>
      <c r="V2840" s="55"/>
      <c r="W2840" s="55"/>
      <c r="X2840" s="55"/>
      <c r="Y2840" s="55"/>
      <c r="Z2840" s="55"/>
      <c r="AA2840" s="55"/>
      <c r="AB2840" s="55"/>
      <c r="AC2840" s="55"/>
      <c r="AD2840" s="55"/>
      <c r="AE2840" s="55"/>
      <c r="AF2840" s="55"/>
      <c r="AG2840" s="55"/>
      <c r="AH2840" s="56"/>
      <c r="AI2840" s="55"/>
      <c r="AJ2840" s="55"/>
      <c r="AK2840" s="56"/>
      <c r="AL2840" s="56"/>
    </row>
    <row r="2841" spans="1:38" ht="15.75" thickBot="1" x14ac:dyDescent="0.3">
      <c r="A2841" s="51"/>
      <c r="B2841" s="51"/>
      <c r="C2841" s="51"/>
      <c r="D2841" s="51"/>
      <c r="E2841" s="51"/>
      <c r="F2841" s="51"/>
      <c r="G2841" s="54"/>
      <c r="H2841" s="147"/>
      <c r="I2841" s="53"/>
      <c r="J2841" s="53"/>
      <c r="K2841" s="53"/>
      <c r="L2841" s="53"/>
      <c r="M2841" s="54"/>
      <c r="N2841" s="53"/>
      <c r="O2841" s="53"/>
      <c r="P2841" s="53"/>
      <c r="Q2841" s="53"/>
      <c r="R2841" s="53"/>
      <c r="S2841" s="53"/>
      <c r="T2841" s="53"/>
      <c r="U2841" s="53"/>
      <c r="V2841" s="53"/>
      <c r="W2841" s="53"/>
      <c r="X2841" s="53"/>
      <c r="Y2841" s="53"/>
      <c r="Z2841" s="53"/>
      <c r="AA2841" s="53"/>
      <c r="AB2841" s="53"/>
      <c r="AC2841" s="53"/>
      <c r="AD2841" s="53"/>
      <c r="AE2841" s="53"/>
      <c r="AF2841" s="53"/>
      <c r="AG2841" s="53"/>
      <c r="AH2841" s="54"/>
      <c r="AI2841" s="53"/>
      <c r="AJ2841" s="53"/>
      <c r="AK2841" s="54"/>
      <c r="AL2841" s="54"/>
    </row>
    <row r="2842" spans="1:38" ht="15.75" thickBot="1" x14ac:dyDescent="0.3">
      <c r="A2842" s="51"/>
      <c r="B2842" s="51"/>
      <c r="C2842" s="51"/>
      <c r="D2842" s="51"/>
      <c r="E2842" s="51"/>
      <c r="F2842" s="51"/>
      <c r="G2842" s="56"/>
      <c r="H2842" s="55"/>
      <c r="I2842" s="55"/>
      <c r="J2842" s="55"/>
      <c r="K2842" s="55"/>
      <c r="L2842" s="55"/>
      <c r="M2842" s="55"/>
      <c r="N2842" s="55"/>
      <c r="O2842" s="55"/>
      <c r="P2842" s="55"/>
      <c r="Q2842" s="56"/>
      <c r="R2842" s="55"/>
      <c r="S2842" s="55"/>
      <c r="T2842" s="55"/>
      <c r="U2842" s="55"/>
      <c r="V2842" s="55"/>
      <c r="W2842" s="55"/>
      <c r="X2842" s="55"/>
      <c r="Y2842" s="55"/>
      <c r="Z2842" s="55"/>
      <c r="AA2842" s="55"/>
      <c r="AB2842" s="55"/>
      <c r="AC2842" s="55"/>
      <c r="AD2842" s="55"/>
      <c r="AE2842" s="55"/>
      <c r="AF2842" s="55"/>
      <c r="AG2842" s="55"/>
      <c r="AH2842" s="56"/>
      <c r="AI2842" s="55"/>
      <c r="AJ2842" s="55"/>
      <c r="AK2842" s="56"/>
      <c r="AL2842" s="56"/>
    </row>
    <row r="2843" spans="1:38" ht="15.75" thickBot="1" x14ac:dyDescent="0.3">
      <c r="A2843" s="51"/>
      <c r="B2843" s="51"/>
      <c r="C2843" s="51"/>
      <c r="D2843" s="51"/>
      <c r="E2843" s="51"/>
      <c r="F2843" s="51"/>
      <c r="G2843" s="54"/>
      <c r="H2843" s="53"/>
      <c r="I2843" s="53"/>
      <c r="J2843" s="53"/>
      <c r="K2843" s="53"/>
      <c r="L2843" s="53"/>
      <c r="M2843" s="53"/>
      <c r="N2843" s="53"/>
      <c r="O2843" s="53"/>
      <c r="P2843" s="53"/>
      <c r="Q2843" s="54"/>
      <c r="R2843" s="53"/>
      <c r="S2843" s="53"/>
      <c r="T2843" s="53"/>
      <c r="U2843" s="53"/>
      <c r="V2843" s="53"/>
      <c r="W2843" s="53"/>
      <c r="X2843" s="53"/>
      <c r="Y2843" s="53"/>
      <c r="Z2843" s="53"/>
      <c r="AA2843" s="53"/>
      <c r="AB2843" s="53"/>
      <c r="AC2843" s="53"/>
      <c r="AD2843" s="53"/>
      <c r="AE2843" s="53"/>
      <c r="AF2843" s="53"/>
      <c r="AG2843" s="53"/>
      <c r="AH2843" s="54"/>
      <c r="AI2843" s="53"/>
      <c r="AJ2843" s="53"/>
      <c r="AK2843" s="54"/>
      <c r="AL2843" s="54"/>
    </row>
    <row r="2844" spans="1:38" ht="15.75" thickBot="1" x14ac:dyDescent="0.3">
      <c r="A2844" s="51"/>
      <c r="B2844" s="51"/>
      <c r="C2844" s="51"/>
      <c r="D2844" s="51"/>
      <c r="E2844" s="51"/>
      <c r="F2844" s="51"/>
      <c r="G2844" s="55"/>
      <c r="H2844" s="55"/>
      <c r="I2844" s="55"/>
      <c r="J2844" s="55"/>
      <c r="K2844" s="55"/>
      <c r="L2844" s="55"/>
      <c r="M2844" s="55"/>
      <c r="N2844" s="55"/>
      <c r="O2844" s="55"/>
      <c r="P2844" s="55"/>
      <c r="Q2844" s="55"/>
      <c r="R2844" s="55"/>
      <c r="S2844" s="55"/>
      <c r="T2844" s="55"/>
      <c r="U2844" s="55"/>
      <c r="V2844" s="55"/>
      <c r="W2844" s="55"/>
      <c r="X2844" s="55"/>
      <c r="Y2844" s="55"/>
      <c r="Z2844" s="55"/>
      <c r="AA2844" s="55"/>
      <c r="AB2844" s="55"/>
      <c r="AC2844" s="55"/>
      <c r="AD2844" s="55"/>
      <c r="AE2844" s="55"/>
      <c r="AF2844" s="56"/>
      <c r="AG2844" s="55"/>
      <c r="AH2844" s="56"/>
      <c r="AI2844" s="55"/>
      <c r="AJ2844" s="55"/>
      <c r="AK2844" s="56"/>
      <c r="AL2844" s="56"/>
    </row>
    <row r="2845" spans="1:38" ht="15.75" thickBot="1" x14ac:dyDescent="0.3">
      <c r="A2845" s="51"/>
      <c r="B2845" s="51"/>
      <c r="C2845" s="51"/>
      <c r="D2845" s="51"/>
      <c r="E2845" s="51"/>
      <c r="F2845" s="51"/>
      <c r="G2845" s="53"/>
      <c r="H2845" s="53"/>
      <c r="I2845" s="53"/>
      <c r="J2845" s="53"/>
      <c r="K2845" s="53"/>
      <c r="L2845" s="53"/>
      <c r="M2845" s="53"/>
      <c r="N2845" s="53"/>
      <c r="O2845" s="53"/>
      <c r="P2845" s="53"/>
      <c r="Q2845" s="53"/>
      <c r="R2845" s="53"/>
      <c r="S2845" s="53"/>
      <c r="T2845" s="53"/>
      <c r="U2845" s="53"/>
      <c r="V2845" s="53"/>
      <c r="W2845" s="53"/>
      <c r="X2845" s="53"/>
      <c r="Y2845" s="53"/>
      <c r="Z2845" s="53"/>
      <c r="AA2845" s="53"/>
      <c r="AB2845" s="53"/>
      <c r="AC2845" s="53"/>
      <c r="AD2845" s="53"/>
      <c r="AE2845" s="53"/>
      <c r="AF2845" s="54"/>
      <c r="AG2845" s="53"/>
      <c r="AH2845" s="54"/>
      <c r="AI2845" s="53"/>
      <c r="AJ2845" s="53"/>
      <c r="AK2845" s="54"/>
      <c r="AL2845" s="54"/>
    </row>
    <row r="2846" spans="1:38" ht="15.75" thickBot="1" x14ac:dyDescent="0.3">
      <c r="A2846" s="51"/>
      <c r="B2846" s="51"/>
      <c r="C2846" s="51"/>
      <c r="D2846" s="51"/>
      <c r="E2846" s="51"/>
      <c r="F2846" s="51"/>
      <c r="G2846" s="56"/>
      <c r="H2846" s="55"/>
      <c r="I2846" s="55"/>
      <c r="J2846" s="55"/>
      <c r="K2846" s="55"/>
      <c r="L2846" s="55"/>
      <c r="M2846" s="55"/>
      <c r="N2846" s="55"/>
      <c r="O2846" s="55"/>
      <c r="P2846" s="55"/>
      <c r="Q2846" s="55"/>
      <c r="R2846" s="55"/>
      <c r="S2846" s="55"/>
      <c r="T2846" s="55"/>
      <c r="U2846" s="55"/>
      <c r="V2846" s="55"/>
      <c r="W2846" s="55"/>
      <c r="X2846" s="55"/>
      <c r="Y2846" s="55"/>
      <c r="Z2846" s="56"/>
      <c r="AA2846" s="55"/>
      <c r="AB2846" s="55"/>
      <c r="AC2846" s="55"/>
      <c r="AD2846" s="55"/>
      <c r="AE2846" s="55"/>
      <c r="AF2846" s="55"/>
      <c r="AG2846" s="55"/>
      <c r="AH2846" s="56"/>
      <c r="AI2846" s="55"/>
      <c r="AJ2846" s="55"/>
      <c r="AK2846" s="56"/>
      <c r="AL2846" s="56"/>
    </row>
    <row r="2847" spans="1:38" ht="15.75" thickBot="1" x14ac:dyDescent="0.3">
      <c r="A2847" s="51"/>
      <c r="B2847" s="51"/>
      <c r="C2847" s="51"/>
      <c r="D2847" s="51"/>
      <c r="E2847" s="51"/>
      <c r="F2847" s="51"/>
      <c r="G2847" s="54"/>
      <c r="H2847" s="53"/>
      <c r="I2847" s="53"/>
      <c r="J2847" s="53"/>
      <c r="K2847" s="53"/>
      <c r="L2847" s="53"/>
      <c r="M2847" s="53"/>
      <c r="N2847" s="53"/>
      <c r="O2847" s="53"/>
      <c r="P2847" s="53"/>
      <c r="Q2847" s="53"/>
      <c r="R2847" s="53"/>
      <c r="S2847" s="53"/>
      <c r="T2847" s="53"/>
      <c r="U2847" s="53"/>
      <c r="V2847" s="53"/>
      <c r="W2847" s="53"/>
      <c r="X2847" s="53"/>
      <c r="Y2847" s="53"/>
      <c r="Z2847" s="54"/>
      <c r="AA2847" s="53"/>
      <c r="AB2847" s="53"/>
      <c r="AC2847" s="53"/>
      <c r="AD2847" s="53"/>
      <c r="AE2847" s="53"/>
      <c r="AF2847" s="53"/>
      <c r="AG2847" s="53"/>
      <c r="AH2847" s="54"/>
      <c r="AI2847" s="53"/>
      <c r="AJ2847" s="53"/>
      <c r="AK2847" s="54"/>
      <c r="AL2847" s="54"/>
    </row>
    <row r="2848" spans="1:38" ht="15.75" thickBot="1" x14ac:dyDescent="0.3">
      <c r="A2848" s="51"/>
      <c r="B2848" s="51"/>
      <c r="C2848" s="51"/>
      <c r="D2848" s="51"/>
      <c r="E2848" s="51"/>
      <c r="F2848" s="51"/>
      <c r="G2848" s="56"/>
      <c r="H2848" s="55"/>
      <c r="I2848" s="55"/>
      <c r="J2848" s="55"/>
      <c r="K2848" s="55"/>
      <c r="L2848" s="55"/>
      <c r="M2848" s="55"/>
      <c r="N2848" s="55"/>
      <c r="O2848" s="55"/>
      <c r="P2848" s="55"/>
      <c r="Q2848" s="55"/>
      <c r="R2848" s="55"/>
      <c r="S2848" s="55"/>
      <c r="T2848" s="55"/>
      <c r="U2848" s="55"/>
      <c r="V2848" s="55"/>
      <c r="W2848" s="55"/>
      <c r="X2848" s="55"/>
      <c r="Y2848" s="55"/>
      <c r="Z2848" s="55"/>
      <c r="AA2848" s="56"/>
      <c r="AB2848" s="55"/>
      <c r="AC2848" s="55"/>
      <c r="AD2848" s="55"/>
      <c r="AE2848" s="55"/>
      <c r="AF2848" s="55"/>
      <c r="AG2848" s="55"/>
      <c r="AH2848" s="56"/>
      <c r="AI2848" s="55"/>
      <c r="AJ2848" s="55"/>
      <c r="AK2848" s="56"/>
      <c r="AL2848" s="56"/>
    </row>
    <row r="2849" spans="1:38" ht="15.75" thickBot="1" x14ac:dyDescent="0.3">
      <c r="A2849" s="51"/>
      <c r="B2849" s="51"/>
      <c r="C2849" s="51"/>
      <c r="D2849" s="51"/>
      <c r="E2849" s="51"/>
      <c r="F2849" s="51"/>
      <c r="G2849" s="54"/>
      <c r="H2849" s="53"/>
      <c r="I2849" s="53"/>
      <c r="J2849" s="53"/>
      <c r="K2849" s="53"/>
      <c r="L2849" s="53"/>
      <c r="M2849" s="53"/>
      <c r="N2849" s="53"/>
      <c r="O2849" s="53"/>
      <c r="P2849" s="53"/>
      <c r="Q2849" s="53"/>
      <c r="R2849" s="53"/>
      <c r="S2849" s="53"/>
      <c r="T2849" s="53"/>
      <c r="U2849" s="53"/>
      <c r="V2849" s="53"/>
      <c r="W2849" s="53"/>
      <c r="X2849" s="53"/>
      <c r="Y2849" s="53"/>
      <c r="Z2849" s="53"/>
      <c r="AA2849" s="54"/>
      <c r="AB2849" s="53"/>
      <c r="AC2849" s="53"/>
      <c r="AD2849" s="53"/>
      <c r="AE2849" s="53"/>
      <c r="AF2849" s="53"/>
      <c r="AG2849" s="53"/>
      <c r="AH2849" s="54"/>
      <c r="AI2849" s="53"/>
      <c r="AJ2849" s="53"/>
      <c r="AK2849" s="54"/>
      <c r="AL2849" s="54"/>
    </row>
    <row r="2850" spans="1:38" ht="15.75" thickBot="1" x14ac:dyDescent="0.3">
      <c r="A2850" s="51"/>
      <c r="B2850" s="51"/>
      <c r="C2850" s="51"/>
      <c r="D2850" s="51"/>
      <c r="E2850" s="51"/>
      <c r="F2850" s="51"/>
      <c r="G2850" s="56"/>
      <c r="H2850" s="55"/>
      <c r="I2850" s="55"/>
      <c r="J2850" s="55"/>
      <c r="K2850" s="55"/>
      <c r="L2850" s="55"/>
      <c r="M2850" s="55"/>
      <c r="N2850" s="55"/>
      <c r="O2850" s="55"/>
      <c r="P2850" s="55"/>
      <c r="Q2850" s="55"/>
      <c r="R2850" s="56"/>
      <c r="S2850" s="55"/>
      <c r="T2850" s="55"/>
      <c r="U2850" s="55"/>
      <c r="V2850" s="55"/>
      <c r="W2850" s="55"/>
      <c r="X2850" s="55"/>
      <c r="Y2850" s="55"/>
      <c r="Z2850" s="55"/>
      <c r="AA2850" s="55"/>
      <c r="AB2850" s="55"/>
      <c r="AC2850" s="55"/>
      <c r="AD2850" s="55"/>
      <c r="AE2850" s="55"/>
      <c r="AF2850" s="55"/>
      <c r="AG2850" s="55"/>
      <c r="AH2850" s="56"/>
      <c r="AI2850" s="55"/>
      <c r="AJ2850" s="55"/>
      <c r="AK2850" s="56"/>
      <c r="AL2850" s="56"/>
    </row>
    <row r="2851" spans="1:38" ht="15.75" thickBot="1" x14ac:dyDescent="0.3">
      <c r="A2851" s="51"/>
      <c r="B2851" s="51"/>
      <c r="C2851" s="51"/>
      <c r="D2851" s="51"/>
      <c r="E2851" s="51"/>
      <c r="F2851" s="51"/>
      <c r="G2851" s="54"/>
      <c r="H2851" s="53"/>
      <c r="I2851" s="53"/>
      <c r="J2851" s="53"/>
      <c r="K2851" s="53"/>
      <c r="L2851" s="53"/>
      <c r="M2851" s="53"/>
      <c r="N2851" s="53"/>
      <c r="O2851" s="53"/>
      <c r="P2851" s="53"/>
      <c r="Q2851" s="53"/>
      <c r="R2851" s="54"/>
      <c r="S2851" s="53"/>
      <c r="T2851" s="53"/>
      <c r="U2851" s="53"/>
      <c r="V2851" s="53"/>
      <c r="W2851" s="53"/>
      <c r="X2851" s="53"/>
      <c r="Y2851" s="53"/>
      <c r="Z2851" s="53"/>
      <c r="AA2851" s="53"/>
      <c r="AB2851" s="53"/>
      <c r="AC2851" s="53"/>
      <c r="AD2851" s="53"/>
      <c r="AE2851" s="53"/>
      <c r="AF2851" s="53"/>
      <c r="AG2851" s="53"/>
      <c r="AH2851" s="54"/>
      <c r="AI2851" s="53"/>
      <c r="AJ2851" s="53"/>
      <c r="AK2851" s="54"/>
      <c r="AL2851" s="54"/>
    </row>
    <row r="2852" spans="1:38" ht="15.75" thickBot="1" x14ac:dyDescent="0.3">
      <c r="A2852" s="51"/>
      <c r="B2852" s="51"/>
      <c r="C2852" s="51"/>
      <c r="D2852" s="51"/>
      <c r="E2852" s="51"/>
      <c r="F2852" s="51"/>
      <c r="G2852" s="56"/>
      <c r="H2852" s="55"/>
      <c r="I2852" s="55"/>
      <c r="J2852" s="55"/>
      <c r="K2852" s="55"/>
      <c r="L2852" s="55"/>
      <c r="M2852" s="55"/>
      <c r="N2852" s="55"/>
      <c r="O2852" s="55"/>
      <c r="P2852" s="55"/>
      <c r="Q2852" s="55"/>
      <c r="R2852" s="55"/>
      <c r="S2852" s="55"/>
      <c r="T2852" s="55"/>
      <c r="U2852" s="55"/>
      <c r="V2852" s="55"/>
      <c r="W2852" s="55"/>
      <c r="X2852" s="55"/>
      <c r="Y2852" s="55"/>
      <c r="Z2852" s="55"/>
      <c r="AA2852" s="55"/>
      <c r="AB2852" s="55"/>
      <c r="AC2852" s="56"/>
      <c r="AD2852" s="55"/>
      <c r="AE2852" s="55"/>
      <c r="AF2852" s="55"/>
      <c r="AG2852" s="55"/>
      <c r="AH2852" s="56"/>
      <c r="AI2852" s="55"/>
      <c r="AJ2852" s="55"/>
      <c r="AK2852" s="56"/>
      <c r="AL2852" s="56"/>
    </row>
    <row r="2853" spans="1:38" ht="15.75" thickBot="1" x14ac:dyDescent="0.3">
      <c r="A2853" s="51"/>
      <c r="B2853" s="51"/>
      <c r="C2853" s="51"/>
      <c r="D2853" s="51"/>
      <c r="E2853" s="51"/>
      <c r="F2853" s="51"/>
      <c r="G2853" s="54"/>
      <c r="H2853" s="53"/>
      <c r="I2853" s="53"/>
      <c r="J2853" s="53"/>
      <c r="K2853" s="53"/>
      <c r="L2853" s="53"/>
      <c r="M2853" s="53"/>
      <c r="N2853" s="53"/>
      <c r="O2853" s="53"/>
      <c r="P2853" s="53"/>
      <c r="Q2853" s="53"/>
      <c r="R2853" s="53"/>
      <c r="S2853" s="53"/>
      <c r="T2853" s="53"/>
      <c r="U2853" s="53"/>
      <c r="V2853" s="53"/>
      <c r="W2853" s="53"/>
      <c r="X2853" s="53"/>
      <c r="Y2853" s="53"/>
      <c r="Z2853" s="53"/>
      <c r="AA2853" s="53"/>
      <c r="AB2853" s="53"/>
      <c r="AC2853" s="54"/>
      <c r="AD2853" s="53"/>
      <c r="AE2853" s="53"/>
      <c r="AF2853" s="53"/>
      <c r="AG2853" s="53"/>
      <c r="AH2853" s="54"/>
      <c r="AI2853" s="53"/>
      <c r="AJ2853" s="53"/>
      <c r="AK2853" s="54"/>
      <c r="AL2853" s="54"/>
    </row>
    <row r="2854" spans="1:38" ht="15.75" thickBot="1" x14ac:dyDescent="0.3">
      <c r="A2854" s="51"/>
      <c r="B2854" s="51"/>
      <c r="C2854" s="51"/>
      <c r="D2854" s="51"/>
      <c r="E2854" s="51"/>
      <c r="F2854" s="51"/>
      <c r="G2854" s="56"/>
      <c r="H2854" s="55"/>
      <c r="I2854" s="55"/>
      <c r="J2854" s="55"/>
      <c r="K2854" s="56"/>
      <c r="L2854" s="55"/>
      <c r="M2854" s="55"/>
      <c r="N2854" s="55"/>
      <c r="O2854" s="55"/>
      <c r="P2854" s="55"/>
      <c r="Q2854" s="55"/>
      <c r="R2854" s="55"/>
      <c r="S2854" s="55"/>
      <c r="T2854" s="55"/>
      <c r="U2854" s="55"/>
      <c r="V2854" s="55"/>
      <c r="W2854" s="55"/>
      <c r="X2854" s="55"/>
      <c r="Y2854" s="55"/>
      <c r="Z2854" s="55"/>
      <c r="AA2854" s="55"/>
      <c r="AB2854" s="55"/>
      <c r="AC2854" s="55"/>
      <c r="AD2854" s="55"/>
      <c r="AE2854" s="55"/>
      <c r="AF2854" s="55"/>
      <c r="AG2854" s="55"/>
      <c r="AH2854" s="56"/>
      <c r="AI2854" s="55"/>
      <c r="AJ2854" s="55"/>
      <c r="AK2854" s="56"/>
      <c r="AL2854" s="56"/>
    </row>
    <row r="2855" spans="1:38" ht="15.75" thickBot="1" x14ac:dyDescent="0.3">
      <c r="A2855" s="51"/>
      <c r="B2855" s="51"/>
      <c r="C2855" s="51"/>
      <c r="D2855" s="51"/>
      <c r="E2855" s="51"/>
      <c r="F2855" s="51"/>
      <c r="G2855" s="54"/>
      <c r="H2855" s="53"/>
      <c r="I2855" s="53"/>
      <c r="J2855" s="53"/>
      <c r="K2855" s="54"/>
      <c r="L2855" s="53"/>
      <c r="M2855" s="53"/>
      <c r="N2855" s="53"/>
      <c r="O2855" s="53"/>
      <c r="P2855" s="53"/>
      <c r="Q2855" s="53"/>
      <c r="R2855" s="53"/>
      <c r="S2855" s="53"/>
      <c r="T2855" s="53"/>
      <c r="U2855" s="53"/>
      <c r="V2855" s="53"/>
      <c r="W2855" s="53"/>
      <c r="X2855" s="53"/>
      <c r="Y2855" s="53"/>
      <c r="Z2855" s="53"/>
      <c r="AA2855" s="53"/>
      <c r="AB2855" s="53"/>
      <c r="AC2855" s="53"/>
      <c r="AD2855" s="53"/>
      <c r="AE2855" s="53"/>
      <c r="AF2855" s="53"/>
      <c r="AG2855" s="53"/>
      <c r="AH2855" s="54"/>
      <c r="AI2855" s="53"/>
      <c r="AJ2855" s="53"/>
      <c r="AK2855" s="54"/>
      <c r="AL2855" s="54"/>
    </row>
    <row r="2856" spans="1:38" ht="15.75" thickBot="1" x14ac:dyDescent="0.3">
      <c r="A2856" s="51"/>
      <c r="B2856" s="51"/>
      <c r="C2856" s="51"/>
      <c r="D2856" s="51"/>
      <c r="E2856" s="51"/>
      <c r="F2856" s="51"/>
      <c r="G2856" s="55"/>
      <c r="H2856" s="55"/>
      <c r="I2856" s="55"/>
      <c r="J2856" s="55"/>
      <c r="K2856" s="55"/>
      <c r="L2856" s="55"/>
      <c r="M2856" s="55"/>
      <c r="N2856" s="55"/>
      <c r="O2856" s="55"/>
      <c r="P2856" s="55"/>
      <c r="Q2856" s="55"/>
      <c r="R2856" s="55"/>
      <c r="S2856" s="55"/>
      <c r="T2856" s="55"/>
      <c r="U2856" s="55"/>
      <c r="V2856" s="55"/>
      <c r="W2856" s="55"/>
      <c r="X2856" s="55"/>
      <c r="Y2856" s="55"/>
      <c r="Z2856" s="55"/>
      <c r="AA2856" s="55"/>
      <c r="AB2856" s="55"/>
      <c r="AC2856" s="55"/>
      <c r="AD2856" s="55"/>
      <c r="AE2856" s="55"/>
      <c r="AF2856" s="55"/>
      <c r="AG2856" s="56"/>
      <c r="AH2856" s="56"/>
      <c r="AI2856" s="55"/>
      <c r="AJ2856" s="55"/>
      <c r="AK2856" s="56"/>
      <c r="AL2856" s="56"/>
    </row>
    <row r="2857" spans="1:38" ht="15.75" thickBot="1" x14ac:dyDescent="0.3">
      <c r="A2857" s="51"/>
      <c r="B2857" s="51"/>
      <c r="C2857" s="51"/>
      <c r="D2857" s="51"/>
      <c r="E2857" s="51"/>
      <c r="F2857" s="51"/>
      <c r="G2857" s="53"/>
      <c r="H2857" s="53"/>
      <c r="I2857" s="53"/>
      <c r="J2857" s="53"/>
      <c r="K2857" s="53"/>
      <c r="L2857" s="53"/>
      <c r="M2857" s="53"/>
      <c r="N2857" s="53"/>
      <c r="O2857" s="53"/>
      <c r="P2857" s="53"/>
      <c r="Q2857" s="53"/>
      <c r="R2857" s="53"/>
      <c r="S2857" s="53"/>
      <c r="T2857" s="53"/>
      <c r="U2857" s="53"/>
      <c r="V2857" s="53"/>
      <c r="W2857" s="53"/>
      <c r="X2857" s="53"/>
      <c r="Y2857" s="53"/>
      <c r="Z2857" s="53"/>
      <c r="AA2857" s="53"/>
      <c r="AB2857" s="53"/>
      <c r="AC2857" s="53"/>
      <c r="AD2857" s="53"/>
      <c r="AE2857" s="53"/>
      <c r="AF2857" s="53"/>
      <c r="AG2857" s="54"/>
      <c r="AH2857" s="54"/>
      <c r="AI2857" s="53"/>
      <c r="AJ2857" s="53"/>
      <c r="AK2857" s="54"/>
      <c r="AL2857" s="54"/>
    </row>
    <row r="2858" spans="1:38" ht="15.75" thickBot="1" x14ac:dyDescent="0.3">
      <c r="A2858" s="51"/>
      <c r="B2858" s="51"/>
      <c r="C2858" s="51"/>
      <c r="D2858" s="51"/>
      <c r="E2858" s="51"/>
      <c r="F2858" s="51"/>
      <c r="G2858" s="56"/>
      <c r="H2858" s="55"/>
      <c r="I2858" s="55"/>
      <c r="J2858" s="55"/>
      <c r="K2858" s="56"/>
      <c r="L2858" s="55"/>
      <c r="M2858" s="55"/>
      <c r="N2858" s="55"/>
      <c r="O2858" s="55"/>
      <c r="P2858" s="55"/>
      <c r="Q2858" s="55"/>
      <c r="R2858" s="55"/>
      <c r="S2858" s="55"/>
      <c r="T2858" s="55"/>
      <c r="U2858" s="55"/>
      <c r="V2858" s="55"/>
      <c r="W2858" s="55"/>
      <c r="X2858" s="55"/>
      <c r="Y2858" s="55"/>
      <c r="Z2858" s="55"/>
      <c r="AA2858" s="55"/>
      <c r="AB2858" s="55"/>
      <c r="AC2858" s="55"/>
      <c r="AD2858" s="55"/>
      <c r="AE2858" s="55"/>
      <c r="AF2858" s="55"/>
      <c r="AG2858" s="55"/>
      <c r="AH2858" s="56"/>
      <c r="AI2858" s="55"/>
      <c r="AJ2858" s="55"/>
      <c r="AK2858" s="56"/>
      <c r="AL2858" s="56"/>
    </row>
    <row r="2859" spans="1:38" ht="15.75" thickBot="1" x14ac:dyDescent="0.3">
      <c r="A2859" s="51"/>
      <c r="B2859" s="51"/>
      <c r="C2859" s="51"/>
      <c r="D2859" s="51"/>
      <c r="E2859" s="51"/>
      <c r="F2859" s="51"/>
      <c r="G2859" s="54"/>
      <c r="H2859" s="53"/>
      <c r="I2859" s="53"/>
      <c r="J2859" s="53"/>
      <c r="K2859" s="54"/>
      <c r="L2859" s="53"/>
      <c r="M2859" s="53"/>
      <c r="N2859" s="53"/>
      <c r="O2859" s="53"/>
      <c r="P2859" s="53"/>
      <c r="Q2859" s="53"/>
      <c r="R2859" s="53"/>
      <c r="S2859" s="53"/>
      <c r="T2859" s="53"/>
      <c r="U2859" s="53"/>
      <c r="V2859" s="53"/>
      <c r="W2859" s="53"/>
      <c r="X2859" s="53"/>
      <c r="Y2859" s="53"/>
      <c r="Z2859" s="53"/>
      <c r="AA2859" s="53"/>
      <c r="AB2859" s="53"/>
      <c r="AC2859" s="53"/>
      <c r="AD2859" s="53"/>
      <c r="AE2859" s="53"/>
      <c r="AF2859" s="53"/>
      <c r="AG2859" s="53"/>
      <c r="AH2859" s="54"/>
      <c r="AI2859" s="53"/>
      <c r="AJ2859" s="53"/>
      <c r="AK2859" s="54"/>
      <c r="AL2859" s="54"/>
    </row>
    <row r="2860" spans="1:38" ht="15.75" thickBot="1" x14ac:dyDescent="0.3">
      <c r="A2860" s="51"/>
      <c r="B2860" s="51"/>
      <c r="C2860" s="51"/>
      <c r="D2860" s="51"/>
      <c r="E2860" s="51"/>
      <c r="F2860" s="51"/>
      <c r="G2860" s="56"/>
      <c r="H2860" s="56"/>
      <c r="I2860" s="55"/>
      <c r="J2860" s="55"/>
      <c r="K2860" s="55"/>
      <c r="L2860" s="55"/>
      <c r="M2860" s="56"/>
      <c r="N2860" s="55"/>
      <c r="O2860" s="55"/>
      <c r="P2860" s="55"/>
      <c r="Q2860" s="55"/>
      <c r="R2860" s="55"/>
      <c r="S2860" s="55"/>
      <c r="T2860" s="55"/>
      <c r="U2860" s="55"/>
      <c r="V2860" s="55"/>
      <c r="W2860" s="55"/>
      <c r="X2860" s="55"/>
      <c r="Y2860" s="55"/>
      <c r="Z2860" s="55"/>
      <c r="AA2860" s="55"/>
      <c r="AB2860" s="55"/>
      <c r="AC2860" s="55"/>
      <c r="AD2860" s="55"/>
      <c r="AE2860" s="55"/>
      <c r="AF2860" s="55"/>
      <c r="AG2860" s="55"/>
      <c r="AH2860" s="56"/>
      <c r="AI2860" s="55"/>
      <c r="AJ2860" s="55"/>
      <c r="AK2860" s="56"/>
      <c r="AL2860" s="56"/>
    </row>
    <row r="2861" spans="1:38" ht="15.75" thickBot="1" x14ac:dyDescent="0.3">
      <c r="A2861" s="51"/>
      <c r="B2861" s="51"/>
      <c r="C2861" s="51"/>
      <c r="D2861" s="51"/>
      <c r="E2861" s="51"/>
      <c r="F2861" s="51"/>
      <c r="G2861" s="54"/>
      <c r="H2861" s="147"/>
      <c r="I2861" s="53"/>
      <c r="J2861" s="53"/>
      <c r="K2861" s="53"/>
      <c r="L2861" s="53"/>
      <c r="M2861" s="54"/>
      <c r="N2861" s="53"/>
      <c r="O2861" s="53"/>
      <c r="P2861" s="53"/>
      <c r="Q2861" s="53"/>
      <c r="R2861" s="53"/>
      <c r="S2861" s="53"/>
      <c r="T2861" s="53"/>
      <c r="U2861" s="53"/>
      <c r="V2861" s="53"/>
      <c r="W2861" s="53"/>
      <c r="X2861" s="53"/>
      <c r="Y2861" s="53"/>
      <c r="Z2861" s="53"/>
      <c r="AA2861" s="53"/>
      <c r="AB2861" s="53"/>
      <c r="AC2861" s="53"/>
      <c r="AD2861" s="53"/>
      <c r="AE2861" s="53"/>
      <c r="AF2861" s="53"/>
      <c r="AG2861" s="53"/>
      <c r="AH2861" s="54"/>
      <c r="AI2861" s="53"/>
      <c r="AJ2861" s="53"/>
      <c r="AK2861" s="54"/>
      <c r="AL2861" s="54"/>
    </row>
    <row r="2862" spans="1:38" ht="15.75" thickBot="1" x14ac:dyDescent="0.3">
      <c r="A2862" s="51"/>
      <c r="B2862" s="51"/>
      <c r="C2862" s="51"/>
      <c r="D2862" s="51"/>
      <c r="E2862" s="51"/>
      <c r="F2862" s="51"/>
      <c r="G2862" s="56"/>
      <c r="H2862" s="55"/>
      <c r="I2862" s="55"/>
      <c r="J2862" s="55"/>
      <c r="K2862" s="55"/>
      <c r="L2862" s="55"/>
      <c r="M2862" s="55"/>
      <c r="N2862" s="55"/>
      <c r="O2862" s="55"/>
      <c r="P2862" s="55"/>
      <c r="Q2862" s="56"/>
      <c r="R2862" s="55"/>
      <c r="S2862" s="55"/>
      <c r="T2862" s="55"/>
      <c r="U2862" s="55"/>
      <c r="V2862" s="55"/>
      <c r="W2862" s="55"/>
      <c r="X2862" s="55"/>
      <c r="Y2862" s="55"/>
      <c r="Z2862" s="55"/>
      <c r="AA2862" s="55"/>
      <c r="AB2862" s="55"/>
      <c r="AC2862" s="55"/>
      <c r="AD2862" s="55"/>
      <c r="AE2862" s="55"/>
      <c r="AF2862" s="55"/>
      <c r="AG2862" s="55"/>
      <c r="AH2862" s="56"/>
      <c r="AI2862" s="55"/>
      <c r="AJ2862" s="55"/>
      <c r="AK2862" s="56"/>
      <c r="AL2862" s="56"/>
    </row>
    <row r="2863" spans="1:38" ht="15.75" thickBot="1" x14ac:dyDescent="0.3">
      <c r="A2863" s="51"/>
      <c r="B2863" s="51"/>
      <c r="C2863" s="51"/>
      <c r="D2863" s="51"/>
      <c r="E2863" s="51"/>
      <c r="F2863" s="51"/>
      <c r="G2863" s="54"/>
      <c r="H2863" s="53"/>
      <c r="I2863" s="53"/>
      <c r="J2863" s="53"/>
      <c r="K2863" s="53"/>
      <c r="L2863" s="53"/>
      <c r="M2863" s="53"/>
      <c r="N2863" s="53"/>
      <c r="O2863" s="53"/>
      <c r="P2863" s="53"/>
      <c r="Q2863" s="54"/>
      <c r="R2863" s="53"/>
      <c r="S2863" s="53"/>
      <c r="T2863" s="53"/>
      <c r="U2863" s="53"/>
      <c r="V2863" s="53"/>
      <c r="W2863" s="53"/>
      <c r="X2863" s="53"/>
      <c r="Y2863" s="53"/>
      <c r="Z2863" s="53"/>
      <c r="AA2863" s="53"/>
      <c r="AB2863" s="53"/>
      <c r="AC2863" s="53"/>
      <c r="AD2863" s="53"/>
      <c r="AE2863" s="53"/>
      <c r="AF2863" s="53"/>
      <c r="AG2863" s="53"/>
      <c r="AH2863" s="54"/>
      <c r="AI2863" s="53"/>
      <c r="AJ2863" s="53"/>
      <c r="AK2863" s="54"/>
      <c r="AL2863" s="54"/>
    </row>
    <row r="2864" spans="1:38" ht="15.75" thickBot="1" x14ac:dyDescent="0.3">
      <c r="A2864" s="51"/>
      <c r="B2864" s="51"/>
      <c r="C2864" s="51"/>
      <c r="D2864" s="51"/>
      <c r="E2864" s="51"/>
      <c r="F2864" s="51"/>
      <c r="G2864" s="55"/>
      <c r="H2864" s="55"/>
      <c r="I2864" s="55"/>
      <c r="J2864" s="55"/>
      <c r="K2864" s="55"/>
      <c r="L2864" s="55"/>
      <c r="M2864" s="55"/>
      <c r="N2864" s="55"/>
      <c r="O2864" s="55"/>
      <c r="P2864" s="55"/>
      <c r="Q2864" s="55"/>
      <c r="R2864" s="55"/>
      <c r="S2864" s="55"/>
      <c r="T2864" s="55"/>
      <c r="U2864" s="55"/>
      <c r="V2864" s="55"/>
      <c r="W2864" s="55"/>
      <c r="X2864" s="55"/>
      <c r="Y2864" s="55"/>
      <c r="Z2864" s="55"/>
      <c r="AA2864" s="55"/>
      <c r="AB2864" s="55"/>
      <c r="AC2864" s="55"/>
      <c r="AD2864" s="55"/>
      <c r="AE2864" s="55"/>
      <c r="AF2864" s="56"/>
      <c r="AG2864" s="55"/>
      <c r="AH2864" s="56"/>
      <c r="AI2864" s="55"/>
      <c r="AJ2864" s="55"/>
      <c r="AK2864" s="56"/>
      <c r="AL2864" s="56"/>
    </row>
    <row r="2865" spans="1:38" ht="15.75" thickBot="1" x14ac:dyDescent="0.3">
      <c r="A2865" s="51"/>
      <c r="B2865" s="51"/>
      <c r="C2865" s="51"/>
      <c r="D2865" s="51"/>
      <c r="E2865" s="51"/>
      <c r="F2865" s="51"/>
      <c r="G2865" s="53"/>
      <c r="H2865" s="53"/>
      <c r="I2865" s="53"/>
      <c r="J2865" s="53"/>
      <c r="K2865" s="53"/>
      <c r="L2865" s="53"/>
      <c r="M2865" s="53"/>
      <c r="N2865" s="53"/>
      <c r="O2865" s="53"/>
      <c r="P2865" s="53"/>
      <c r="Q2865" s="53"/>
      <c r="R2865" s="53"/>
      <c r="S2865" s="53"/>
      <c r="T2865" s="53"/>
      <c r="U2865" s="53"/>
      <c r="V2865" s="53"/>
      <c r="W2865" s="53"/>
      <c r="X2865" s="53"/>
      <c r="Y2865" s="53"/>
      <c r="Z2865" s="53"/>
      <c r="AA2865" s="53"/>
      <c r="AB2865" s="53"/>
      <c r="AC2865" s="53"/>
      <c r="AD2865" s="53"/>
      <c r="AE2865" s="53"/>
      <c r="AF2865" s="54"/>
      <c r="AG2865" s="53"/>
      <c r="AH2865" s="54"/>
      <c r="AI2865" s="53"/>
      <c r="AJ2865" s="53"/>
      <c r="AK2865" s="54"/>
      <c r="AL2865" s="54"/>
    </row>
    <row r="2866" spans="1:38" ht="15.75" thickBot="1" x14ac:dyDescent="0.3">
      <c r="A2866" s="51"/>
      <c r="B2866" s="51"/>
      <c r="C2866" s="51"/>
      <c r="D2866" s="51"/>
      <c r="E2866" s="51"/>
      <c r="F2866" s="51"/>
      <c r="G2866" s="56"/>
      <c r="H2866" s="55"/>
      <c r="I2866" s="55"/>
      <c r="J2866" s="55"/>
      <c r="K2866" s="55"/>
      <c r="L2866" s="55"/>
      <c r="M2866" s="55"/>
      <c r="N2866" s="55"/>
      <c r="O2866" s="55"/>
      <c r="P2866" s="55"/>
      <c r="Q2866" s="55"/>
      <c r="R2866" s="55"/>
      <c r="S2866" s="55"/>
      <c r="T2866" s="55"/>
      <c r="U2866" s="55"/>
      <c r="V2866" s="55"/>
      <c r="W2866" s="55"/>
      <c r="X2866" s="55"/>
      <c r="Y2866" s="55"/>
      <c r="Z2866" s="56"/>
      <c r="AA2866" s="55"/>
      <c r="AB2866" s="55"/>
      <c r="AC2866" s="55"/>
      <c r="AD2866" s="55"/>
      <c r="AE2866" s="55"/>
      <c r="AF2866" s="55"/>
      <c r="AG2866" s="55"/>
      <c r="AH2866" s="56"/>
      <c r="AI2866" s="55"/>
      <c r="AJ2866" s="55"/>
      <c r="AK2866" s="56"/>
      <c r="AL2866" s="56"/>
    </row>
    <row r="2867" spans="1:38" ht="15.75" thickBot="1" x14ac:dyDescent="0.3">
      <c r="A2867" s="51"/>
      <c r="B2867" s="51"/>
      <c r="C2867" s="51"/>
      <c r="D2867" s="51"/>
      <c r="E2867" s="51"/>
      <c r="F2867" s="51"/>
      <c r="G2867" s="54"/>
      <c r="H2867" s="53"/>
      <c r="I2867" s="53"/>
      <c r="J2867" s="53"/>
      <c r="K2867" s="53"/>
      <c r="L2867" s="53"/>
      <c r="M2867" s="53"/>
      <c r="N2867" s="53"/>
      <c r="O2867" s="53"/>
      <c r="P2867" s="53"/>
      <c r="Q2867" s="53"/>
      <c r="R2867" s="53"/>
      <c r="S2867" s="53"/>
      <c r="T2867" s="53"/>
      <c r="U2867" s="53"/>
      <c r="V2867" s="53"/>
      <c r="W2867" s="53"/>
      <c r="X2867" s="53"/>
      <c r="Y2867" s="53"/>
      <c r="Z2867" s="54"/>
      <c r="AA2867" s="53"/>
      <c r="AB2867" s="53"/>
      <c r="AC2867" s="53"/>
      <c r="AD2867" s="53"/>
      <c r="AE2867" s="53"/>
      <c r="AF2867" s="53"/>
      <c r="AG2867" s="53"/>
      <c r="AH2867" s="54"/>
      <c r="AI2867" s="53"/>
      <c r="AJ2867" s="53"/>
      <c r="AK2867" s="54"/>
      <c r="AL2867" s="54"/>
    </row>
    <row r="2868" spans="1:38" ht="15.75" thickBot="1" x14ac:dyDescent="0.3">
      <c r="A2868" s="51"/>
      <c r="B2868" s="51"/>
      <c r="C2868" s="51"/>
      <c r="D2868" s="51"/>
      <c r="E2868" s="51"/>
      <c r="F2868" s="51"/>
      <c r="G2868" s="56"/>
      <c r="H2868" s="55"/>
      <c r="I2868" s="55"/>
      <c r="J2868" s="55"/>
      <c r="K2868" s="55"/>
      <c r="L2868" s="55"/>
      <c r="M2868" s="55"/>
      <c r="N2868" s="55"/>
      <c r="O2868" s="55"/>
      <c r="P2868" s="55"/>
      <c r="Q2868" s="55"/>
      <c r="R2868" s="55"/>
      <c r="S2868" s="55"/>
      <c r="T2868" s="55"/>
      <c r="U2868" s="55"/>
      <c r="V2868" s="55"/>
      <c r="W2868" s="55"/>
      <c r="X2868" s="55"/>
      <c r="Y2868" s="55"/>
      <c r="Z2868" s="56"/>
      <c r="AA2868" s="55"/>
      <c r="AB2868" s="55"/>
      <c r="AC2868" s="55"/>
      <c r="AD2868" s="55"/>
      <c r="AE2868" s="55"/>
      <c r="AF2868" s="55"/>
      <c r="AG2868" s="55"/>
      <c r="AH2868" s="56"/>
      <c r="AI2868" s="55"/>
      <c r="AJ2868" s="55"/>
      <c r="AK2868" s="56"/>
      <c r="AL2868" s="56"/>
    </row>
    <row r="2869" spans="1:38" ht="15.75" thickBot="1" x14ac:dyDescent="0.3">
      <c r="A2869" s="51"/>
      <c r="B2869" s="51"/>
      <c r="C2869" s="51"/>
      <c r="D2869" s="51"/>
      <c r="E2869" s="51"/>
      <c r="F2869" s="51"/>
      <c r="G2869" s="54"/>
      <c r="H2869" s="53"/>
      <c r="I2869" s="53"/>
      <c r="J2869" s="53"/>
      <c r="K2869" s="53"/>
      <c r="L2869" s="53"/>
      <c r="M2869" s="53"/>
      <c r="N2869" s="53"/>
      <c r="O2869" s="53"/>
      <c r="P2869" s="53"/>
      <c r="Q2869" s="53"/>
      <c r="R2869" s="53"/>
      <c r="S2869" s="53"/>
      <c r="T2869" s="53"/>
      <c r="U2869" s="53"/>
      <c r="V2869" s="53"/>
      <c r="W2869" s="53"/>
      <c r="X2869" s="53"/>
      <c r="Y2869" s="53"/>
      <c r="Z2869" s="54"/>
      <c r="AA2869" s="53"/>
      <c r="AB2869" s="53"/>
      <c r="AC2869" s="53"/>
      <c r="AD2869" s="53"/>
      <c r="AE2869" s="53"/>
      <c r="AF2869" s="53"/>
      <c r="AG2869" s="53"/>
      <c r="AH2869" s="54"/>
      <c r="AI2869" s="53"/>
      <c r="AJ2869" s="53"/>
      <c r="AK2869" s="54"/>
      <c r="AL2869" s="54"/>
    </row>
    <row r="2870" spans="1:38" ht="15.75" thickBot="1" x14ac:dyDescent="0.3">
      <c r="A2870" s="51"/>
      <c r="B2870" s="51"/>
      <c r="C2870" s="51"/>
      <c r="D2870" s="51"/>
      <c r="E2870" s="51"/>
      <c r="F2870" s="51"/>
      <c r="G2870" s="56"/>
      <c r="H2870" s="55"/>
      <c r="I2870" s="55"/>
      <c r="J2870" s="55"/>
      <c r="K2870" s="55"/>
      <c r="L2870" s="55"/>
      <c r="M2870" s="55"/>
      <c r="N2870" s="55"/>
      <c r="O2870" s="55"/>
      <c r="P2870" s="55"/>
      <c r="Q2870" s="55"/>
      <c r="R2870" s="55"/>
      <c r="S2870" s="55"/>
      <c r="T2870" s="55"/>
      <c r="U2870" s="55"/>
      <c r="V2870" s="55"/>
      <c r="W2870" s="55"/>
      <c r="X2870" s="55"/>
      <c r="Y2870" s="55"/>
      <c r="Z2870" s="55"/>
      <c r="AA2870" s="56"/>
      <c r="AB2870" s="55"/>
      <c r="AC2870" s="55"/>
      <c r="AD2870" s="55"/>
      <c r="AE2870" s="55"/>
      <c r="AF2870" s="55"/>
      <c r="AG2870" s="55"/>
      <c r="AH2870" s="56"/>
      <c r="AI2870" s="55"/>
      <c r="AJ2870" s="55"/>
      <c r="AK2870" s="56"/>
      <c r="AL2870" s="56"/>
    </row>
    <row r="2871" spans="1:38" ht="15.75" thickBot="1" x14ac:dyDescent="0.3">
      <c r="A2871" s="51"/>
      <c r="B2871" s="51"/>
      <c r="C2871" s="51"/>
      <c r="D2871" s="51"/>
      <c r="E2871" s="51"/>
      <c r="F2871" s="51"/>
      <c r="G2871" s="54"/>
      <c r="H2871" s="53"/>
      <c r="I2871" s="53"/>
      <c r="J2871" s="53"/>
      <c r="K2871" s="53"/>
      <c r="L2871" s="53"/>
      <c r="M2871" s="53"/>
      <c r="N2871" s="53"/>
      <c r="O2871" s="53"/>
      <c r="P2871" s="53"/>
      <c r="Q2871" s="53"/>
      <c r="R2871" s="53"/>
      <c r="S2871" s="53"/>
      <c r="T2871" s="53"/>
      <c r="U2871" s="53"/>
      <c r="V2871" s="53"/>
      <c r="W2871" s="53"/>
      <c r="X2871" s="53"/>
      <c r="Y2871" s="53"/>
      <c r="Z2871" s="53"/>
      <c r="AA2871" s="54"/>
      <c r="AB2871" s="53"/>
      <c r="AC2871" s="53"/>
      <c r="AD2871" s="53"/>
      <c r="AE2871" s="53"/>
      <c r="AF2871" s="53"/>
      <c r="AG2871" s="53"/>
      <c r="AH2871" s="54"/>
      <c r="AI2871" s="53"/>
      <c r="AJ2871" s="53"/>
      <c r="AK2871" s="54"/>
      <c r="AL2871" s="54"/>
    </row>
    <row r="2872" spans="1:38" ht="15.75" thickBot="1" x14ac:dyDescent="0.3">
      <c r="A2872" s="51"/>
      <c r="B2872" s="51"/>
      <c r="C2872" s="51"/>
      <c r="D2872" s="51"/>
      <c r="E2872" s="51"/>
      <c r="F2872" s="51"/>
      <c r="G2872" s="56"/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6"/>
      <c r="S2872" s="55"/>
      <c r="T2872" s="55"/>
      <c r="U2872" s="55"/>
      <c r="V2872" s="55"/>
      <c r="W2872" s="55"/>
      <c r="X2872" s="55"/>
      <c r="Y2872" s="55"/>
      <c r="Z2872" s="55"/>
      <c r="AA2872" s="55"/>
      <c r="AB2872" s="55"/>
      <c r="AC2872" s="55"/>
      <c r="AD2872" s="55"/>
      <c r="AE2872" s="55"/>
      <c r="AF2872" s="55"/>
      <c r="AG2872" s="55"/>
      <c r="AH2872" s="56"/>
      <c r="AI2872" s="55"/>
      <c r="AJ2872" s="55"/>
      <c r="AK2872" s="56"/>
      <c r="AL2872" s="56"/>
    </row>
    <row r="2873" spans="1:38" ht="15.75" thickBot="1" x14ac:dyDescent="0.3">
      <c r="A2873" s="51"/>
      <c r="B2873" s="51"/>
      <c r="C2873" s="51"/>
      <c r="D2873" s="51"/>
      <c r="E2873" s="51"/>
      <c r="F2873" s="51"/>
      <c r="G2873" s="54"/>
      <c r="H2873" s="53"/>
      <c r="I2873" s="53"/>
      <c r="J2873" s="53"/>
      <c r="K2873" s="53"/>
      <c r="L2873" s="53"/>
      <c r="M2873" s="53"/>
      <c r="N2873" s="53"/>
      <c r="O2873" s="53"/>
      <c r="P2873" s="53"/>
      <c r="Q2873" s="53"/>
      <c r="R2873" s="54"/>
      <c r="S2873" s="53"/>
      <c r="T2873" s="53"/>
      <c r="U2873" s="53"/>
      <c r="V2873" s="53"/>
      <c r="W2873" s="53"/>
      <c r="X2873" s="53"/>
      <c r="Y2873" s="53"/>
      <c r="Z2873" s="53"/>
      <c r="AA2873" s="53"/>
      <c r="AB2873" s="53"/>
      <c r="AC2873" s="53"/>
      <c r="AD2873" s="53"/>
      <c r="AE2873" s="53"/>
      <c r="AF2873" s="53"/>
      <c r="AG2873" s="53"/>
      <c r="AH2873" s="54"/>
      <c r="AI2873" s="53"/>
      <c r="AJ2873" s="53"/>
      <c r="AK2873" s="54"/>
      <c r="AL2873" s="54"/>
    </row>
    <row r="2874" spans="1:38" ht="15.75" thickBot="1" x14ac:dyDescent="0.3">
      <c r="A2874" s="51"/>
      <c r="B2874" s="51"/>
      <c r="C2874" s="51"/>
      <c r="D2874" s="51"/>
      <c r="E2874" s="51"/>
      <c r="F2874" s="51"/>
      <c r="G2874" s="56"/>
      <c r="H2874" s="55"/>
      <c r="I2874" s="55"/>
      <c r="J2874" s="55"/>
      <c r="K2874" s="55"/>
      <c r="L2874" s="55"/>
      <c r="M2874" s="55"/>
      <c r="N2874" s="55"/>
      <c r="O2874" s="55"/>
      <c r="P2874" s="55"/>
      <c r="Q2874" s="55"/>
      <c r="R2874" s="55"/>
      <c r="S2874" s="55"/>
      <c r="T2874" s="55"/>
      <c r="U2874" s="55"/>
      <c r="V2874" s="55"/>
      <c r="W2874" s="55"/>
      <c r="X2874" s="55"/>
      <c r="Y2874" s="55"/>
      <c r="Z2874" s="55"/>
      <c r="AA2874" s="55"/>
      <c r="AB2874" s="55"/>
      <c r="AC2874" s="56"/>
      <c r="AD2874" s="55"/>
      <c r="AE2874" s="55"/>
      <c r="AF2874" s="55"/>
      <c r="AG2874" s="55"/>
      <c r="AH2874" s="56"/>
      <c r="AI2874" s="55"/>
      <c r="AJ2874" s="55"/>
      <c r="AK2874" s="56"/>
      <c r="AL2874" s="56"/>
    </row>
    <row r="2875" spans="1:38" ht="15.75" thickBot="1" x14ac:dyDescent="0.3">
      <c r="A2875" s="51"/>
      <c r="B2875" s="51"/>
      <c r="C2875" s="51"/>
      <c r="D2875" s="51"/>
      <c r="E2875" s="51"/>
      <c r="F2875" s="51"/>
      <c r="G2875" s="54"/>
      <c r="H2875" s="53"/>
      <c r="I2875" s="53"/>
      <c r="J2875" s="53"/>
      <c r="K2875" s="53"/>
      <c r="L2875" s="53"/>
      <c r="M2875" s="53"/>
      <c r="N2875" s="53"/>
      <c r="O2875" s="53"/>
      <c r="P2875" s="53"/>
      <c r="Q2875" s="53"/>
      <c r="R2875" s="53"/>
      <c r="S2875" s="53"/>
      <c r="T2875" s="53"/>
      <c r="U2875" s="53"/>
      <c r="V2875" s="53"/>
      <c r="W2875" s="53"/>
      <c r="X2875" s="53"/>
      <c r="Y2875" s="53"/>
      <c r="Z2875" s="53"/>
      <c r="AA2875" s="53"/>
      <c r="AB2875" s="53"/>
      <c r="AC2875" s="54"/>
      <c r="AD2875" s="53"/>
      <c r="AE2875" s="53"/>
      <c r="AF2875" s="53"/>
      <c r="AG2875" s="53"/>
      <c r="AH2875" s="54"/>
      <c r="AI2875" s="53"/>
      <c r="AJ2875" s="53"/>
      <c r="AK2875" s="54"/>
      <c r="AL2875" s="54"/>
    </row>
    <row r="2876" spans="1:38" ht="15.75" thickBot="1" x14ac:dyDescent="0.3">
      <c r="A2876" s="51"/>
      <c r="B2876" s="51"/>
      <c r="C2876" s="51"/>
      <c r="D2876" s="51"/>
      <c r="E2876" s="51"/>
      <c r="F2876" s="51"/>
      <c r="G2876" s="56"/>
      <c r="H2876" s="55"/>
      <c r="I2876" s="55"/>
      <c r="J2876" s="55"/>
      <c r="K2876" s="55"/>
      <c r="L2876" s="55"/>
      <c r="M2876" s="55"/>
      <c r="N2876" s="55"/>
      <c r="O2876" s="55"/>
      <c r="P2876" s="55"/>
      <c r="Q2876" s="55"/>
      <c r="R2876" s="55"/>
      <c r="S2876" s="55"/>
      <c r="T2876" s="55"/>
      <c r="U2876" s="55"/>
      <c r="V2876" s="55"/>
      <c r="W2876" s="55"/>
      <c r="X2876" s="55"/>
      <c r="Y2876" s="55"/>
      <c r="Z2876" s="55"/>
      <c r="AA2876" s="55"/>
      <c r="AB2876" s="56"/>
      <c r="AC2876" s="55"/>
      <c r="AD2876" s="55"/>
      <c r="AE2876" s="55"/>
      <c r="AF2876" s="55"/>
      <c r="AG2876" s="55"/>
      <c r="AH2876" s="56"/>
      <c r="AI2876" s="55"/>
      <c r="AJ2876" s="55"/>
      <c r="AK2876" s="56"/>
      <c r="AL2876" s="56"/>
    </row>
    <row r="2877" spans="1:38" ht="15.75" thickBot="1" x14ac:dyDescent="0.3">
      <c r="A2877" s="51"/>
      <c r="B2877" s="51"/>
      <c r="C2877" s="51"/>
      <c r="D2877" s="51"/>
      <c r="E2877" s="51"/>
      <c r="F2877" s="51"/>
      <c r="G2877" s="54"/>
      <c r="H2877" s="53"/>
      <c r="I2877" s="53"/>
      <c r="J2877" s="53"/>
      <c r="K2877" s="53"/>
      <c r="L2877" s="53"/>
      <c r="M2877" s="53"/>
      <c r="N2877" s="53"/>
      <c r="O2877" s="53"/>
      <c r="P2877" s="53"/>
      <c r="Q2877" s="53"/>
      <c r="R2877" s="53"/>
      <c r="S2877" s="53"/>
      <c r="T2877" s="53"/>
      <c r="U2877" s="53"/>
      <c r="V2877" s="53"/>
      <c r="W2877" s="53"/>
      <c r="X2877" s="53"/>
      <c r="Y2877" s="53"/>
      <c r="Z2877" s="53"/>
      <c r="AA2877" s="53"/>
      <c r="AB2877" s="54"/>
      <c r="AC2877" s="53"/>
      <c r="AD2877" s="53"/>
      <c r="AE2877" s="53"/>
      <c r="AF2877" s="53"/>
      <c r="AG2877" s="53"/>
      <c r="AH2877" s="54"/>
      <c r="AI2877" s="53"/>
      <c r="AJ2877" s="53"/>
      <c r="AK2877" s="54"/>
      <c r="AL2877" s="54"/>
    </row>
    <row r="2878" spans="1:38" ht="15.75" thickBot="1" x14ac:dyDescent="0.3">
      <c r="A2878" s="51"/>
      <c r="B2878" s="51"/>
      <c r="C2878" s="51"/>
      <c r="D2878" s="51"/>
      <c r="E2878" s="51"/>
      <c r="F2878" s="51"/>
      <c r="G2878" s="56"/>
      <c r="H2878" s="55"/>
      <c r="I2878" s="55"/>
      <c r="J2878" s="55"/>
      <c r="K2878" s="56"/>
      <c r="L2878" s="55"/>
      <c r="M2878" s="55"/>
      <c r="N2878" s="55"/>
      <c r="O2878" s="55"/>
      <c r="P2878" s="55"/>
      <c r="Q2878" s="55"/>
      <c r="R2878" s="55"/>
      <c r="S2878" s="55"/>
      <c r="T2878" s="55"/>
      <c r="U2878" s="55"/>
      <c r="V2878" s="55"/>
      <c r="W2878" s="55"/>
      <c r="X2878" s="55"/>
      <c r="Y2878" s="55"/>
      <c r="Z2878" s="55"/>
      <c r="AA2878" s="55"/>
      <c r="AB2878" s="55"/>
      <c r="AC2878" s="55"/>
      <c r="AD2878" s="55"/>
      <c r="AE2878" s="55"/>
      <c r="AF2878" s="55"/>
      <c r="AG2878" s="55"/>
      <c r="AH2878" s="56"/>
      <c r="AI2878" s="55"/>
      <c r="AJ2878" s="55"/>
      <c r="AK2878" s="56"/>
      <c r="AL2878" s="56"/>
    </row>
    <row r="2879" spans="1:38" ht="15.75" thickBot="1" x14ac:dyDescent="0.3">
      <c r="A2879" s="51"/>
      <c r="B2879" s="51"/>
      <c r="C2879" s="51"/>
      <c r="D2879" s="51"/>
      <c r="E2879" s="51"/>
      <c r="F2879" s="51"/>
      <c r="G2879" s="54"/>
      <c r="H2879" s="53"/>
      <c r="I2879" s="53"/>
      <c r="J2879" s="53"/>
      <c r="K2879" s="54"/>
      <c r="L2879" s="53"/>
      <c r="M2879" s="53"/>
      <c r="N2879" s="53"/>
      <c r="O2879" s="53"/>
      <c r="P2879" s="53"/>
      <c r="Q2879" s="53"/>
      <c r="R2879" s="53"/>
      <c r="S2879" s="53"/>
      <c r="T2879" s="53"/>
      <c r="U2879" s="53"/>
      <c r="V2879" s="53"/>
      <c r="W2879" s="53"/>
      <c r="X2879" s="53"/>
      <c r="Y2879" s="53"/>
      <c r="Z2879" s="53"/>
      <c r="AA2879" s="53"/>
      <c r="AB2879" s="53"/>
      <c r="AC2879" s="53"/>
      <c r="AD2879" s="53"/>
      <c r="AE2879" s="53"/>
      <c r="AF2879" s="53"/>
      <c r="AG2879" s="53"/>
      <c r="AH2879" s="54"/>
      <c r="AI2879" s="53"/>
      <c r="AJ2879" s="53"/>
      <c r="AK2879" s="54"/>
      <c r="AL2879" s="54"/>
    </row>
    <row r="2880" spans="1:38" ht="15.75" thickBot="1" x14ac:dyDescent="0.3">
      <c r="A2880" s="51"/>
      <c r="B2880" s="51"/>
      <c r="C2880" s="51"/>
      <c r="D2880" s="51"/>
      <c r="E2880" s="51"/>
      <c r="F2880" s="51"/>
      <c r="G2880" s="56"/>
      <c r="H2880" s="56"/>
      <c r="I2880" s="55"/>
      <c r="J2880" s="55"/>
      <c r="K2880" s="55"/>
      <c r="L2880" s="55"/>
      <c r="M2880" s="56"/>
      <c r="N2880" s="55"/>
      <c r="O2880" s="55"/>
      <c r="P2880" s="55"/>
      <c r="Q2880" s="55"/>
      <c r="R2880" s="55"/>
      <c r="S2880" s="55"/>
      <c r="T2880" s="55"/>
      <c r="U2880" s="55"/>
      <c r="V2880" s="55"/>
      <c r="W2880" s="55"/>
      <c r="X2880" s="55"/>
      <c r="Y2880" s="55"/>
      <c r="Z2880" s="55"/>
      <c r="AA2880" s="55"/>
      <c r="AB2880" s="55"/>
      <c r="AC2880" s="55"/>
      <c r="AD2880" s="55"/>
      <c r="AE2880" s="55"/>
      <c r="AF2880" s="55"/>
      <c r="AG2880" s="55"/>
      <c r="AH2880" s="56"/>
      <c r="AI2880" s="55"/>
      <c r="AJ2880" s="55"/>
      <c r="AK2880" s="56"/>
      <c r="AL2880" s="56"/>
    </row>
    <row r="2881" spans="1:38" ht="15.75" thickBot="1" x14ac:dyDescent="0.3">
      <c r="A2881" s="51"/>
      <c r="B2881" s="51"/>
      <c r="C2881" s="51"/>
      <c r="D2881" s="51"/>
      <c r="E2881" s="51"/>
      <c r="F2881" s="51"/>
      <c r="G2881" s="54"/>
      <c r="H2881" s="147"/>
      <c r="I2881" s="53"/>
      <c r="J2881" s="53"/>
      <c r="K2881" s="53"/>
      <c r="L2881" s="53"/>
      <c r="M2881" s="54"/>
      <c r="N2881" s="53"/>
      <c r="O2881" s="53"/>
      <c r="P2881" s="53"/>
      <c r="Q2881" s="53"/>
      <c r="R2881" s="53"/>
      <c r="S2881" s="53"/>
      <c r="T2881" s="53"/>
      <c r="U2881" s="53"/>
      <c r="V2881" s="53"/>
      <c r="W2881" s="53"/>
      <c r="X2881" s="53"/>
      <c r="Y2881" s="53"/>
      <c r="Z2881" s="53"/>
      <c r="AA2881" s="53"/>
      <c r="AB2881" s="53"/>
      <c r="AC2881" s="53"/>
      <c r="AD2881" s="53"/>
      <c r="AE2881" s="53"/>
      <c r="AF2881" s="53"/>
      <c r="AG2881" s="53"/>
      <c r="AH2881" s="54"/>
      <c r="AI2881" s="53"/>
      <c r="AJ2881" s="53"/>
      <c r="AK2881" s="54"/>
      <c r="AL2881" s="54"/>
    </row>
    <row r="2882" spans="1:38" ht="15.75" thickBot="1" x14ac:dyDescent="0.3">
      <c r="A2882" s="51"/>
      <c r="B2882" s="51"/>
      <c r="C2882" s="51"/>
      <c r="D2882" s="51"/>
      <c r="E2882" s="51"/>
      <c r="F2882" s="51"/>
      <c r="G2882" s="56"/>
      <c r="H2882" s="55"/>
      <c r="I2882" s="55"/>
      <c r="J2882" s="55"/>
      <c r="K2882" s="55"/>
      <c r="L2882" s="55"/>
      <c r="M2882" s="55"/>
      <c r="N2882" s="55"/>
      <c r="O2882" s="55"/>
      <c r="P2882" s="55"/>
      <c r="Q2882" s="56"/>
      <c r="R2882" s="55"/>
      <c r="S2882" s="55"/>
      <c r="T2882" s="55"/>
      <c r="U2882" s="55"/>
      <c r="V2882" s="55"/>
      <c r="W2882" s="55"/>
      <c r="X2882" s="55"/>
      <c r="Y2882" s="55"/>
      <c r="Z2882" s="55"/>
      <c r="AA2882" s="55"/>
      <c r="AB2882" s="55"/>
      <c r="AC2882" s="55"/>
      <c r="AD2882" s="55"/>
      <c r="AE2882" s="55"/>
      <c r="AF2882" s="55"/>
      <c r="AG2882" s="55"/>
      <c r="AH2882" s="56"/>
      <c r="AI2882" s="55"/>
      <c r="AJ2882" s="55"/>
      <c r="AK2882" s="56"/>
      <c r="AL2882" s="56"/>
    </row>
    <row r="2883" spans="1:38" ht="15.75" thickBot="1" x14ac:dyDescent="0.3">
      <c r="A2883" s="51"/>
      <c r="B2883" s="51"/>
      <c r="C2883" s="51"/>
      <c r="D2883" s="51"/>
      <c r="E2883" s="51"/>
      <c r="F2883" s="51"/>
      <c r="G2883" s="54"/>
      <c r="H2883" s="53"/>
      <c r="I2883" s="53"/>
      <c r="J2883" s="53"/>
      <c r="K2883" s="53"/>
      <c r="L2883" s="53"/>
      <c r="M2883" s="53"/>
      <c r="N2883" s="53"/>
      <c r="O2883" s="53"/>
      <c r="P2883" s="53"/>
      <c r="Q2883" s="54"/>
      <c r="R2883" s="53"/>
      <c r="S2883" s="53"/>
      <c r="T2883" s="53"/>
      <c r="U2883" s="53"/>
      <c r="V2883" s="53"/>
      <c r="W2883" s="53"/>
      <c r="X2883" s="53"/>
      <c r="Y2883" s="53"/>
      <c r="Z2883" s="53"/>
      <c r="AA2883" s="53"/>
      <c r="AB2883" s="53"/>
      <c r="AC2883" s="53"/>
      <c r="AD2883" s="53"/>
      <c r="AE2883" s="53"/>
      <c r="AF2883" s="53"/>
      <c r="AG2883" s="53"/>
      <c r="AH2883" s="54"/>
      <c r="AI2883" s="53"/>
      <c r="AJ2883" s="53"/>
      <c r="AK2883" s="54"/>
      <c r="AL2883" s="54"/>
    </row>
    <row r="2884" spans="1:38" ht="15.75" thickBot="1" x14ac:dyDescent="0.3">
      <c r="A2884" s="51"/>
      <c r="B2884" s="51"/>
      <c r="C2884" s="51"/>
      <c r="D2884" s="51"/>
      <c r="E2884" s="51"/>
      <c r="F2884" s="51"/>
      <c r="G2884" s="56"/>
      <c r="H2884" s="55"/>
      <c r="I2884" s="55"/>
      <c r="J2884" s="55"/>
      <c r="K2884" s="55"/>
      <c r="L2884" s="55"/>
      <c r="M2884" s="55"/>
      <c r="N2884" s="55"/>
      <c r="O2884" s="55"/>
      <c r="P2884" s="55"/>
      <c r="Q2884" s="55"/>
      <c r="R2884" s="55"/>
      <c r="S2884" s="55"/>
      <c r="T2884" s="55"/>
      <c r="U2884" s="55"/>
      <c r="V2884" s="55"/>
      <c r="W2884" s="55"/>
      <c r="X2884" s="55"/>
      <c r="Y2884" s="55"/>
      <c r="Z2884" s="56"/>
      <c r="AA2884" s="55"/>
      <c r="AB2884" s="55"/>
      <c r="AC2884" s="55"/>
      <c r="AD2884" s="55"/>
      <c r="AE2884" s="55"/>
      <c r="AF2884" s="55"/>
      <c r="AG2884" s="55"/>
      <c r="AH2884" s="56"/>
      <c r="AI2884" s="55"/>
      <c r="AJ2884" s="55"/>
      <c r="AK2884" s="56"/>
      <c r="AL2884" s="56"/>
    </row>
    <row r="2885" spans="1:38" ht="15.75" thickBot="1" x14ac:dyDescent="0.3">
      <c r="A2885" s="51"/>
      <c r="B2885" s="51"/>
      <c r="C2885" s="51"/>
      <c r="D2885" s="51"/>
      <c r="E2885" s="51"/>
      <c r="F2885" s="51"/>
      <c r="G2885" s="54"/>
      <c r="H2885" s="53"/>
      <c r="I2885" s="53"/>
      <c r="J2885" s="53"/>
      <c r="K2885" s="53"/>
      <c r="L2885" s="53"/>
      <c r="M2885" s="53"/>
      <c r="N2885" s="53"/>
      <c r="O2885" s="53"/>
      <c r="P2885" s="53"/>
      <c r="Q2885" s="53"/>
      <c r="R2885" s="53"/>
      <c r="S2885" s="53"/>
      <c r="T2885" s="53"/>
      <c r="U2885" s="53"/>
      <c r="V2885" s="53"/>
      <c r="W2885" s="53"/>
      <c r="X2885" s="53"/>
      <c r="Y2885" s="53"/>
      <c r="Z2885" s="54"/>
      <c r="AA2885" s="53"/>
      <c r="AB2885" s="53"/>
      <c r="AC2885" s="53"/>
      <c r="AD2885" s="53"/>
      <c r="AE2885" s="53"/>
      <c r="AF2885" s="53"/>
      <c r="AG2885" s="53"/>
      <c r="AH2885" s="54"/>
      <c r="AI2885" s="53"/>
      <c r="AJ2885" s="53"/>
      <c r="AK2885" s="54"/>
      <c r="AL2885" s="54"/>
    </row>
    <row r="2886" spans="1:38" ht="15.75" thickBot="1" x14ac:dyDescent="0.3">
      <c r="A2886" s="51"/>
      <c r="B2886" s="51"/>
      <c r="C2886" s="51"/>
      <c r="D2886" s="51"/>
      <c r="E2886" s="51"/>
      <c r="F2886" s="51"/>
      <c r="G2886" s="56"/>
      <c r="H2886" s="55"/>
      <c r="I2886" s="55"/>
      <c r="J2886" s="55"/>
      <c r="K2886" s="55"/>
      <c r="L2886" s="55"/>
      <c r="M2886" s="55"/>
      <c r="N2886" s="55"/>
      <c r="O2886" s="55"/>
      <c r="P2886" s="55"/>
      <c r="Q2886" s="55"/>
      <c r="R2886" s="55"/>
      <c r="S2886" s="55"/>
      <c r="T2886" s="55"/>
      <c r="U2886" s="55"/>
      <c r="V2886" s="55"/>
      <c r="W2886" s="55"/>
      <c r="X2886" s="55"/>
      <c r="Y2886" s="55"/>
      <c r="Z2886" s="55"/>
      <c r="AA2886" s="56"/>
      <c r="AB2886" s="55"/>
      <c r="AC2886" s="55"/>
      <c r="AD2886" s="55"/>
      <c r="AE2886" s="55"/>
      <c r="AF2886" s="55"/>
      <c r="AG2886" s="55"/>
      <c r="AH2886" s="56"/>
      <c r="AI2886" s="55"/>
      <c r="AJ2886" s="55"/>
      <c r="AK2886" s="56"/>
      <c r="AL2886" s="56"/>
    </row>
    <row r="2887" spans="1:38" ht="15.75" thickBot="1" x14ac:dyDescent="0.3">
      <c r="A2887" s="51"/>
      <c r="B2887" s="51"/>
      <c r="C2887" s="51"/>
      <c r="D2887" s="51"/>
      <c r="E2887" s="51"/>
      <c r="F2887" s="51"/>
      <c r="G2887" s="54"/>
      <c r="H2887" s="53"/>
      <c r="I2887" s="53"/>
      <c r="J2887" s="53"/>
      <c r="K2887" s="53"/>
      <c r="L2887" s="53"/>
      <c r="M2887" s="53"/>
      <c r="N2887" s="53"/>
      <c r="O2887" s="53"/>
      <c r="P2887" s="53"/>
      <c r="Q2887" s="53"/>
      <c r="R2887" s="53"/>
      <c r="S2887" s="53"/>
      <c r="T2887" s="53"/>
      <c r="U2887" s="53"/>
      <c r="V2887" s="53"/>
      <c r="W2887" s="53"/>
      <c r="X2887" s="53"/>
      <c r="Y2887" s="53"/>
      <c r="Z2887" s="53"/>
      <c r="AA2887" s="54"/>
      <c r="AB2887" s="53"/>
      <c r="AC2887" s="53"/>
      <c r="AD2887" s="53"/>
      <c r="AE2887" s="53"/>
      <c r="AF2887" s="53"/>
      <c r="AG2887" s="53"/>
      <c r="AH2887" s="54"/>
      <c r="AI2887" s="53"/>
      <c r="AJ2887" s="53"/>
      <c r="AK2887" s="54"/>
      <c r="AL2887" s="54"/>
    </row>
    <row r="2888" spans="1:38" ht="15.75" thickBot="1" x14ac:dyDescent="0.3">
      <c r="A2888" s="51"/>
      <c r="B2888" s="51"/>
      <c r="C2888" s="51"/>
      <c r="D2888" s="51"/>
      <c r="E2888" s="51"/>
      <c r="F2888" s="51"/>
      <c r="G2888" s="56"/>
      <c r="H2888" s="55"/>
      <c r="I2888" s="55"/>
      <c r="J2888" s="55"/>
      <c r="K2888" s="55"/>
      <c r="L2888" s="55"/>
      <c r="M2888" s="55"/>
      <c r="N2888" s="55"/>
      <c r="O2888" s="55"/>
      <c r="P2888" s="55"/>
      <c r="Q2888" s="55"/>
      <c r="R2888" s="56"/>
      <c r="S2888" s="55"/>
      <c r="T2888" s="55"/>
      <c r="U2888" s="55"/>
      <c r="V2888" s="55"/>
      <c r="W2888" s="55"/>
      <c r="X2888" s="55"/>
      <c r="Y2888" s="55"/>
      <c r="Z2888" s="55"/>
      <c r="AA2888" s="55"/>
      <c r="AB2888" s="55"/>
      <c r="AC2888" s="55"/>
      <c r="AD2888" s="55"/>
      <c r="AE2888" s="55"/>
      <c r="AF2888" s="55"/>
      <c r="AG2888" s="55"/>
      <c r="AH2888" s="56"/>
      <c r="AI2888" s="55"/>
      <c r="AJ2888" s="55"/>
      <c r="AK2888" s="56"/>
      <c r="AL2888" s="56"/>
    </row>
    <row r="2889" spans="1:38" ht="15.75" thickBot="1" x14ac:dyDescent="0.3">
      <c r="A2889" s="51"/>
      <c r="B2889" s="51"/>
      <c r="C2889" s="51"/>
      <c r="D2889" s="51"/>
      <c r="E2889" s="51"/>
      <c r="F2889" s="51"/>
      <c r="G2889" s="54"/>
      <c r="H2889" s="53"/>
      <c r="I2889" s="53"/>
      <c r="J2889" s="53"/>
      <c r="K2889" s="53"/>
      <c r="L2889" s="53"/>
      <c r="M2889" s="53"/>
      <c r="N2889" s="53"/>
      <c r="O2889" s="53"/>
      <c r="P2889" s="53"/>
      <c r="Q2889" s="53"/>
      <c r="R2889" s="54"/>
      <c r="S2889" s="53"/>
      <c r="T2889" s="53"/>
      <c r="U2889" s="53"/>
      <c r="V2889" s="53"/>
      <c r="W2889" s="53"/>
      <c r="X2889" s="53"/>
      <c r="Y2889" s="53"/>
      <c r="Z2889" s="53"/>
      <c r="AA2889" s="53"/>
      <c r="AB2889" s="53"/>
      <c r="AC2889" s="53"/>
      <c r="AD2889" s="53"/>
      <c r="AE2889" s="53"/>
      <c r="AF2889" s="53"/>
      <c r="AG2889" s="53"/>
      <c r="AH2889" s="54"/>
      <c r="AI2889" s="53"/>
      <c r="AJ2889" s="53"/>
      <c r="AK2889" s="54"/>
      <c r="AL2889" s="54"/>
    </row>
    <row r="2890" spans="1:38" ht="15.75" thickBot="1" x14ac:dyDescent="0.3">
      <c r="A2890" s="51"/>
      <c r="B2890" s="51"/>
      <c r="C2890" s="51"/>
      <c r="D2890" s="51"/>
      <c r="E2890" s="51"/>
      <c r="F2890" s="51"/>
      <c r="G2890" s="56"/>
      <c r="H2890" s="55"/>
      <c r="I2890" s="55"/>
      <c r="J2890" s="55"/>
      <c r="K2890" s="55"/>
      <c r="L2890" s="55"/>
      <c r="M2890" s="55"/>
      <c r="N2890" s="55"/>
      <c r="O2890" s="55"/>
      <c r="P2890" s="55"/>
      <c r="Q2890" s="55"/>
      <c r="R2890" s="55"/>
      <c r="S2890" s="55"/>
      <c r="T2890" s="55"/>
      <c r="U2890" s="55"/>
      <c r="V2890" s="55"/>
      <c r="W2890" s="55"/>
      <c r="X2890" s="55"/>
      <c r="Y2890" s="55"/>
      <c r="Z2890" s="55"/>
      <c r="AA2890" s="55"/>
      <c r="AB2890" s="55"/>
      <c r="AC2890" s="56"/>
      <c r="AD2890" s="55"/>
      <c r="AE2890" s="55"/>
      <c r="AF2890" s="55"/>
      <c r="AG2890" s="55"/>
      <c r="AH2890" s="56"/>
      <c r="AI2890" s="55"/>
      <c r="AJ2890" s="55"/>
      <c r="AK2890" s="56"/>
      <c r="AL2890" s="56"/>
    </row>
    <row r="2891" spans="1:38" ht="15.75" thickBot="1" x14ac:dyDescent="0.3">
      <c r="A2891" s="51"/>
      <c r="B2891" s="51"/>
      <c r="C2891" s="51"/>
      <c r="D2891" s="51"/>
      <c r="E2891" s="51"/>
      <c r="F2891" s="51"/>
      <c r="G2891" s="54"/>
      <c r="H2891" s="53"/>
      <c r="I2891" s="53"/>
      <c r="J2891" s="53"/>
      <c r="K2891" s="53"/>
      <c r="L2891" s="53"/>
      <c r="M2891" s="53"/>
      <c r="N2891" s="53"/>
      <c r="O2891" s="53"/>
      <c r="P2891" s="53"/>
      <c r="Q2891" s="53"/>
      <c r="R2891" s="53"/>
      <c r="S2891" s="53"/>
      <c r="T2891" s="53"/>
      <c r="U2891" s="53"/>
      <c r="V2891" s="53"/>
      <c r="W2891" s="53"/>
      <c r="X2891" s="53"/>
      <c r="Y2891" s="53"/>
      <c r="Z2891" s="53"/>
      <c r="AA2891" s="53"/>
      <c r="AB2891" s="53"/>
      <c r="AC2891" s="54"/>
      <c r="AD2891" s="53"/>
      <c r="AE2891" s="53"/>
      <c r="AF2891" s="53"/>
      <c r="AG2891" s="53"/>
      <c r="AH2891" s="54"/>
      <c r="AI2891" s="53"/>
      <c r="AJ2891" s="53"/>
      <c r="AK2891" s="54"/>
      <c r="AL2891" s="54"/>
    </row>
    <row r="2892" spans="1:38" ht="15.75" thickBot="1" x14ac:dyDescent="0.3">
      <c r="A2892" s="51"/>
      <c r="B2892" s="51"/>
      <c r="C2892" s="51"/>
      <c r="D2892" s="51"/>
      <c r="E2892" s="51"/>
      <c r="F2892" s="51"/>
      <c r="G2892" s="56"/>
      <c r="H2892" s="55"/>
      <c r="I2892" s="55"/>
      <c r="J2892" s="55"/>
      <c r="K2892" s="56"/>
      <c r="L2892" s="55"/>
      <c r="M2892" s="55"/>
      <c r="N2892" s="55"/>
      <c r="O2892" s="55"/>
      <c r="P2892" s="55"/>
      <c r="Q2892" s="55"/>
      <c r="R2892" s="55"/>
      <c r="S2892" s="55"/>
      <c r="T2892" s="55"/>
      <c r="U2892" s="55"/>
      <c r="V2892" s="55"/>
      <c r="W2892" s="55"/>
      <c r="X2892" s="55"/>
      <c r="Y2892" s="55"/>
      <c r="Z2892" s="55"/>
      <c r="AA2892" s="55"/>
      <c r="AB2892" s="55"/>
      <c r="AC2892" s="55"/>
      <c r="AD2892" s="55"/>
      <c r="AE2892" s="55"/>
      <c r="AF2892" s="55"/>
      <c r="AG2892" s="55"/>
      <c r="AH2892" s="56"/>
      <c r="AI2892" s="55"/>
      <c r="AJ2892" s="55"/>
      <c r="AK2892" s="56"/>
      <c r="AL2892" s="56"/>
    </row>
    <row r="2893" spans="1:38" ht="15.75" thickBot="1" x14ac:dyDescent="0.3">
      <c r="A2893" s="51"/>
      <c r="B2893" s="51"/>
      <c r="C2893" s="51"/>
      <c r="D2893" s="51"/>
      <c r="E2893" s="51"/>
      <c r="F2893" s="51"/>
      <c r="G2893" s="54"/>
      <c r="H2893" s="53"/>
      <c r="I2893" s="53"/>
      <c r="J2893" s="53"/>
      <c r="K2893" s="54"/>
      <c r="L2893" s="53"/>
      <c r="M2893" s="53"/>
      <c r="N2893" s="53"/>
      <c r="O2893" s="53"/>
      <c r="P2893" s="53"/>
      <c r="Q2893" s="53"/>
      <c r="R2893" s="53"/>
      <c r="S2893" s="53"/>
      <c r="T2893" s="53"/>
      <c r="U2893" s="53"/>
      <c r="V2893" s="53"/>
      <c r="W2893" s="53"/>
      <c r="X2893" s="53"/>
      <c r="Y2893" s="53"/>
      <c r="Z2893" s="53"/>
      <c r="AA2893" s="53"/>
      <c r="AB2893" s="53"/>
      <c r="AC2893" s="53"/>
      <c r="AD2893" s="53"/>
      <c r="AE2893" s="53"/>
      <c r="AF2893" s="53"/>
      <c r="AG2893" s="53"/>
      <c r="AH2893" s="54"/>
      <c r="AI2893" s="53"/>
      <c r="AJ2893" s="53"/>
      <c r="AK2893" s="54"/>
      <c r="AL2893" s="54"/>
    </row>
    <row r="2894" spans="1:38" ht="15.75" thickBot="1" x14ac:dyDescent="0.3">
      <c r="A2894" s="51"/>
      <c r="B2894" s="51"/>
      <c r="C2894" s="51"/>
      <c r="D2894" s="51"/>
      <c r="E2894" s="51"/>
      <c r="F2894" s="51"/>
      <c r="G2894" s="56"/>
      <c r="H2894" s="56"/>
      <c r="I2894" s="55"/>
      <c r="J2894" s="55"/>
      <c r="K2894" s="55"/>
      <c r="L2894" s="55"/>
      <c r="M2894" s="56"/>
      <c r="N2894" s="55"/>
      <c r="O2894" s="55"/>
      <c r="P2894" s="55"/>
      <c r="Q2894" s="55"/>
      <c r="R2894" s="55"/>
      <c r="S2894" s="55"/>
      <c r="T2894" s="55"/>
      <c r="U2894" s="55"/>
      <c r="V2894" s="55"/>
      <c r="W2894" s="55"/>
      <c r="X2894" s="55"/>
      <c r="Y2894" s="55"/>
      <c r="Z2894" s="55"/>
      <c r="AA2894" s="55"/>
      <c r="AB2894" s="55"/>
      <c r="AC2894" s="55"/>
      <c r="AD2894" s="55"/>
      <c r="AE2894" s="55"/>
      <c r="AF2894" s="55"/>
      <c r="AG2894" s="55"/>
      <c r="AH2894" s="56"/>
      <c r="AI2894" s="55"/>
      <c r="AJ2894" s="55"/>
      <c r="AK2894" s="56"/>
      <c r="AL2894" s="56"/>
    </row>
    <row r="2895" spans="1:38" ht="15.75" thickBot="1" x14ac:dyDescent="0.3">
      <c r="A2895" s="51"/>
      <c r="B2895" s="51"/>
      <c r="C2895" s="51"/>
      <c r="D2895" s="51"/>
      <c r="E2895" s="51"/>
      <c r="F2895" s="51"/>
      <c r="G2895" s="54"/>
      <c r="H2895" s="147"/>
      <c r="I2895" s="53"/>
      <c r="J2895" s="53"/>
      <c r="K2895" s="53"/>
      <c r="L2895" s="53"/>
      <c r="M2895" s="54"/>
      <c r="N2895" s="53"/>
      <c r="O2895" s="53"/>
      <c r="P2895" s="53"/>
      <c r="Q2895" s="53"/>
      <c r="R2895" s="53"/>
      <c r="S2895" s="53"/>
      <c r="T2895" s="53"/>
      <c r="U2895" s="53"/>
      <c r="V2895" s="53"/>
      <c r="W2895" s="53"/>
      <c r="X2895" s="53"/>
      <c r="Y2895" s="53"/>
      <c r="Z2895" s="53"/>
      <c r="AA2895" s="53"/>
      <c r="AB2895" s="53"/>
      <c r="AC2895" s="53"/>
      <c r="AD2895" s="53"/>
      <c r="AE2895" s="53"/>
      <c r="AF2895" s="53"/>
      <c r="AG2895" s="53"/>
      <c r="AH2895" s="54"/>
      <c r="AI2895" s="53"/>
      <c r="AJ2895" s="53"/>
      <c r="AK2895" s="54"/>
      <c r="AL2895" s="54"/>
    </row>
    <row r="2896" spans="1:38" ht="15.75" thickBot="1" x14ac:dyDescent="0.3">
      <c r="A2896" s="51"/>
      <c r="B2896" s="51"/>
      <c r="C2896" s="51"/>
      <c r="D2896" s="51"/>
      <c r="E2896" s="51"/>
      <c r="F2896" s="51"/>
      <c r="G2896" s="56"/>
      <c r="H2896" s="55"/>
      <c r="I2896" s="55"/>
      <c r="J2896" s="55"/>
      <c r="K2896" s="55"/>
      <c r="L2896" s="55"/>
      <c r="M2896" s="55"/>
      <c r="N2896" s="55"/>
      <c r="O2896" s="55"/>
      <c r="P2896" s="55"/>
      <c r="Q2896" s="56"/>
      <c r="R2896" s="55"/>
      <c r="S2896" s="55"/>
      <c r="T2896" s="55"/>
      <c r="U2896" s="55"/>
      <c r="V2896" s="55"/>
      <c r="W2896" s="55"/>
      <c r="X2896" s="55"/>
      <c r="Y2896" s="55"/>
      <c r="Z2896" s="55"/>
      <c r="AA2896" s="55"/>
      <c r="AB2896" s="55"/>
      <c r="AC2896" s="55"/>
      <c r="AD2896" s="55"/>
      <c r="AE2896" s="55"/>
      <c r="AF2896" s="55"/>
      <c r="AG2896" s="55"/>
      <c r="AH2896" s="56"/>
      <c r="AI2896" s="55"/>
      <c r="AJ2896" s="55"/>
      <c r="AK2896" s="56"/>
      <c r="AL2896" s="56"/>
    </row>
    <row r="2897" spans="1:38" ht="15.75" thickBot="1" x14ac:dyDescent="0.3">
      <c r="A2897" s="51"/>
      <c r="B2897" s="51"/>
      <c r="C2897" s="51"/>
      <c r="D2897" s="51"/>
      <c r="E2897" s="51"/>
      <c r="F2897" s="51"/>
      <c r="G2897" s="54"/>
      <c r="H2897" s="53"/>
      <c r="I2897" s="53"/>
      <c r="J2897" s="53"/>
      <c r="K2897" s="53"/>
      <c r="L2897" s="53"/>
      <c r="M2897" s="53"/>
      <c r="N2897" s="53"/>
      <c r="O2897" s="53"/>
      <c r="P2897" s="53"/>
      <c r="Q2897" s="54"/>
      <c r="R2897" s="53"/>
      <c r="S2897" s="53"/>
      <c r="T2897" s="53"/>
      <c r="U2897" s="53"/>
      <c r="V2897" s="53"/>
      <c r="W2897" s="53"/>
      <c r="X2897" s="53"/>
      <c r="Y2897" s="53"/>
      <c r="Z2897" s="53"/>
      <c r="AA2897" s="53"/>
      <c r="AB2897" s="53"/>
      <c r="AC2897" s="53"/>
      <c r="AD2897" s="53"/>
      <c r="AE2897" s="53"/>
      <c r="AF2897" s="53"/>
      <c r="AG2897" s="53"/>
      <c r="AH2897" s="54"/>
      <c r="AI2897" s="53"/>
      <c r="AJ2897" s="53"/>
      <c r="AK2897" s="54"/>
      <c r="AL2897" s="54"/>
    </row>
    <row r="2898" spans="1:38" ht="15.75" thickBot="1" x14ac:dyDescent="0.3">
      <c r="A2898" s="51"/>
      <c r="B2898" s="51"/>
      <c r="C2898" s="51"/>
      <c r="D2898" s="51"/>
      <c r="E2898" s="51"/>
      <c r="F2898" s="51"/>
      <c r="G2898" s="56"/>
      <c r="H2898" s="55"/>
      <c r="I2898" s="55"/>
      <c r="J2898" s="55"/>
      <c r="K2898" s="55"/>
      <c r="L2898" s="55"/>
      <c r="M2898" s="55"/>
      <c r="N2898" s="55"/>
      <c r="O2898" s="55"/>
      <c r="P2898" s="55"/>
      <c r="Q2898" s="55"/>
      <c r="R2898" s="55"/>
      <c r="S2898" s="55"/>
      <c r="T2898" s="55"/>
      <c r="U2898" s="55"/>
      <c r="V2898" s="55"/>
      <c r="W2898" s="55"/>
      <c r="X2898" s="55"/>
      <c r="Y2898" s="55"/>
      <c r="Z2898" s="56"/>
      <c r="AA2898" s="55"/>
      <c r="AB2898" s="55"/>
      <c r="AC2898" s="55"/>
      <c r="AD2898" s="55"/>
      <c r="AE2898" s="55"/>
      <c r="AF2898" s="55"/>
      <c r="AG2898" s="55"/>
      <c r="AH2898" s="56"/>
      <c r="AI2898" s="55"/>
      <c r="AJ2898" s="55"/>
      <c r="AK2898" s="56"/>
      <c r="AL2898" s="56"/>
    </row>
    <row r="2899" spans="1:38" ht="15.75" thickBot="1" x14ac:dyDescent="0.3">
      <c r="A2899" s="51"/>
      <c r="B2899" s="51"/>
      <c r="C2899" s="51"/>
      <c r="D2899" s="51"/>
      <c r="E2899" s="51"/>
      <c r="F2899" s="51"/>
      <c r="G2899" s="54"/>
      <c r="H2899" s="53"/>
      <c r="I2899" s="53"/>
      <c r="J2899" s="53"/>
      <c r="K2899" s="53"/>
      <c r="L2899" s="53"/>
      <c r="M2899" s="53"/>
      <c r="N2899" s="53"/>
      <c r="O2899" s="53"/>
      <c r="P2899" s="53"/>
      <c r="Q2899" s="53"/>
      <c r="R2899" s="53"/>
      <c r="S2899" s="53"/>
      <c r="T2899" s="53"/>
      <c r="U2899" s="53"/>
      <c r="V2899" s="53"/>
      <c r="W2899" s="53"/>
      <c r="X2899" s="53"/>
      <c r="Y2899" s="53"/>
      <c r="Z2899" s="54"/>
      <c r="AA2899" s="53"/>
      <c r="AB2899" s="53"/>
      <c r="AC2899" s="53"/>
      <c r="AD2899" s="53"/>
      <c r="AE2899" s="53"/>
      <c r="AF2899" s="53"/>
      <c r="AG2899" s="53"/>
      <c r="AH2899" s="54"/>
      <c r="AI2899" s="53"/>
      <c r="AJ2899" s="53"/>
      <c r="AK2899" s="54"/>
      <c r="AL2899" s="54"/>
    </row>
    <row r="2900" spans="1:38" ht="15.75" thickBot="1" x14ac:dyDescent="0.3">
      <c r="A2900" s="51"/>
      <c r="B2900" s="51"/>
      <c r="C2900" s="51"/>
      <c r="D2900" s="51"/>
      <c r="E2900" s="51"/>
      <c r="F2900" s="51"/>
      <c r="G2900" s="56"/>
      <c r="H2900" s="55"/>
      <c r="I2900" s="55"/>
      <c r="J2900" s="55"/>
      <c r="K2900" s="55"/>
      <c r="L2900" s="55"/>
      <c r="M2900" s="55"/>
      <c r="N2900" s="55"/>
      <c r="O2900" s="55"/>
      <c r="P2900" s="55"/>
      <c r="Q2900" s="55"/>
      <c r="R2900" s="55"/>
      <c r="S2900" s="55"/>
      <c r="T2900" s="55"/>
      <c r="U2900" s="55"/>
      <c r="V2900" s="55"/>
      <c r="W2900" s="55"/>
      <c r="X2900" s="55"/>
      <c r="Y2900" s="55"/>
      <c r="Z2900" s="55"/>
      <c r="AA2900" s="56"/>
      <c r="AB2900" s="55"/>
      <c r="AC2900" s="55"/>
      <c r="AD2900" s="55"/>
      <c r="AE2900" s="55"/>
      <c r="AF2900" s="55"/>
      <c r="AG2900" s="55"/>
      <c r="AH2900" s="56"/>
      <c r="AI2900" s="55"/>
      <c r="AJ2900" s="55"/>
      <c r="AK2900" s="56"/>
      <c r="AL2900" s="56"/>
    </row>
    <row r="2901" spans="1:38" ht="15.75" thickBot="1" x14ac:dyDescent="0.3">
      <c r="A2901" s="51"/>
      <c r="B2901" s="51"/>
      <c r="C2901" s="51"/>
      <c r="D2901" s="51"/>
      <c r="E2901" s="51"/>
      <c r="F2901" s="51"/>
      <c r="G2901" s="54"/>
      <c r="H2901" s="53"/>
      <c r="I2901" s="53"/>
      <c r="J2901" s="53"/>
      <c r="K2901" s="53"/>
      <c r="L2901" s="53"/>
      <c r="M2901" s="53"/>
      <c r="N2901" s="53"/>
      <c r="O2901" s="53"/>
      <c r="P2901" s="53"/>
      <c r="Q2901" s="53"/>
      <c r="R2901" s="53"/>
      <c r="S2901" s="53"/>
      <c r="T2901" s="53"/>
      <c r="U2901" s="53"/>
      <c r="V2901" s="53"/>
      <c r="W2901" s="53"/>
      <c r="X2901" s="53"/>
      <c r="Y2901" s="53"/>
      <c r="Z2901" s="53"/>
      <c r="AA2901" s="54"/>
      <c r="AB2901" s="53"/>
      <c r="AC2901" s="53"/>
      <c r="AD2901" s="53"/>
      <c r="AE2901" s="53"/>
      <c r="AF2901" s="53"/>
      <c r="AG2901" s="53"/>
      <c r="AH2901" s="54"/>
      <c r="AI2901" s="53"/>
      <c r="AJ2901" s="53"/>
      <c r="AK2901" s="54"/>
      <c r="AL2901" s="54"/>
    </row>
    <row r="2902" spans="1:38" ht="15.75" thickBot="1" x14ac:dyDescent="0.3">
      <c r="A2902" s="51"/>
      <c r="B2902" s="51"/>
      <c r="C2902" s="51"/>
      <c r="D2902" s="51"/>
      <c r="E2902" s="51"/>
      <c r="F2902" s="51"/>
      <c r="G2902" s="56"/>
      <c r="H2902" s="55"/>
      <c r="I2902" s="55"/>
      <c r="J2902" s="55"/>
      <c r="K2902" s="55"/>
      <c r="L2902" s="55"/>
      <c r="M2902" s="55"/>
      <c r="N2902" s="55"/>
      <c r="O2902" s="55"/>
      <c r="P2902" s="55"/>
      <c r="Q2902" s="55"/>
      <c r="R2902" s="56"/>
      <c r="S2902" s="55"/>
      <c r="T2902" s="55"/>
      <c r="U2902" s="55"/>
      <c r="V2902" s="55"/>
      <c r="W2902" s="55"/>
      <c r="X2902" s="55"/>
      <c r="Y2902" s="55"/>
      <c r="Z2902" s="55"/>
      <c r="AA2902" s="55"/>
      <c r="AB2902" s="55"/>
      <c r="AC2902" s="55"/>
      <c r="AD2902" s="55"/>
      <c r="AE2902" s="55"/>
      <c r="AF2902" s="55"/>
      <c r="AG2902" s="55"/>
      <c r="AH2902" s="56"/>
      <c r="AI2902" s="55"/>
      <c r="AJ2902" s="55"/>
      <c r="AK2902" s="56"/>
      <c r="AL2902" s="56"/>
    </row>
    <row r="2903" spans="1:38" ht="15.75" thickBot="1" x14ac:dyDescent="0.3">
      <c r="A2903" s="51"/>
      <c r="B2903" s="51"/>
      <c r="C2903" s="51"/>
      <c r="D2903" s="51"/>
      <c r="E2903" s="51"/>
      <c r="F2903" s="51"/>
      <c r="G2903" s="54"/>
      <c r="H2903" s="53"/>
      <c r="I2903" s="53"/>
      <c r="J2903" s="53"/>
      <c r="K2903" s="53"/>
      <c r="L2903" s="53"/>
      <c r="M2903" s="53"/>
      <c r="N2903" s="53"/>
      <c r="O2903" s="53"/>
      <c r="P2903" s="53"/>
      <c r="Q2903" s="53"/>
      <c r="R2903" s="54"/>
      <c r="S2903" s="53"/>
      <c r="T2903" s="53"/>
      <c r="U2903" s="53"/>
      <c r="V2903" s="53"/>
      <c r="W2903" s="53"/>
      <c r="X2903" s="53"/>
      <c r="Y2903" s="53"/>
      <c r="Z2903" s="53"/>
      <c r="AA2903" s="53"/>
      <c r="AB2903" s="53"/>
      <c r="AC2903" s="53"/>
      <c r="AD2903" s="53"/>
      <c r="AE2903" s="53"/>
      <c r="AF2903" s="53"/>
      <c r="AG2903" s="53"/>
      <c r="AH2903" s="54"/>
      <c r="AI2903" s="53"/>
      <c r="AJ2903" s="53"/>
      <c r="AK2903" s="54"/>
      <c r="AL2903" s="54"/>
    </row>
    <row r="2904" spans="1:38" ht="15.75" thickBot="1" x14ac:dyDescent="0.3">
      <c r="A2904" s="51"/>
      <c r="B2904" s="51"/>
      <c r="C2904" s="51"/>
      <c r="D2904" s="51"/>
      <c r="E2904" s="51"/>
      <c r="F2904" s="51"/>
      <c r="G2904" s="56"/>
      <c r="H2904" s="55"/>
      <c r="I2904" s="55"/>
      <c r="J2904" s="55"/>
      <c r="K2904" s="55"/>
      <c r="L2904" s="55"/>
      <c r="M2904" s="55"/>
      <c r="N2904" s="55"/>
      <c r="O2904" s="55"/>
      <c r="P2904" s="55"/>
      <c r="Q2904" s="55"/>
      <c r="R2904" s="55"/>
      <c r="S2904" s="55"/>
      <c r="T2904" s="55"/>
      <c r="U2904" s="55"/>
      <c r="V2904" s="55"/>
      <c r="W2904" s="55"/>
      <c r="X2904" s="55"/>
      <c r="Y2904" s="55"/>
      <c r="Z2904" s="55"/>
      <c r="AA2904" s="55"/>
      <c r="AB2904" s="55"/>
      <c r="AC2904" s="56"/>
      <c r="AD2904" s="55"/>
      <c r="AE2904" s="55"/>
      <c r="AF2904" s="55"/>
      <c r="AG2904" s="55"/>
      <c r="AH2904" s="56"/>
      <c r="AI2904" s="55"/>
      <c r="AJ2904" s="55"/>
      <c r="AK2904" s="56"/>
      <c r="AL2904" s="56"/>
    </row>
    <row r="2905" spans="1:38" ht="15.75" thickBot="1" x14ac:dyDescent="0.3">
      <c r="A2905" s="51"/>
      <c r="B2905" s="51"/>
      <c r="C2905" s="51"/>
      <c r="D2905" s="51"/>
      <c r="E2905" s="51"/>
      <c r="F2905" s="51"/>
      <c r="G2905" s="54"/>
      <c r="H2905" s="53"/>
      <c r="I2905" s="53"/>
      <c r="J2905" s="53"/>
      <c r="K2905" s="53"/>
      <c r="L2905" s="53"/>
      <c r="M2905" s="53"/>
      <c r="N2905" s="53"/>
      <c r="O2905" s="53"/>
      <c r="P2905" s="53"/>
      <c r="Q2905" s="53"/>
      <c r="R2905" s="53"/>
      <c r="S2905" s="53"/>
      <c r="T2905" s="53"/>
      <c r="U2905" s="53"/>
      <c r="V2905" s="53"/>
      <c r="W2905" s="53"/>
      <c r="X2905" s="53"/>
      <c r="Y2905" s="53"/>
      <c r="Z2905" s="53"/>
      <c r="AA2905" s="53"/>
      <c r="AB2905" s="53"/>
      <c r="AC2905" s="54"/>
      <c r="AD2905" s="53"/>
      <c r="AE2905" s="53"/>
      <c r="AF2905" s="53"/>
      <c r="AG2905" s="53"/>
      <c r="AH2905" s="54"/>
      <c r="AI2905" s="53"/>
      <c r="AJ2905" s="53"/>
      <c r="AK2905" s="54"/>
      <c r="AL2905" s="54"/>
    </row>
    <row r="2906" spans="1:38" ht="15" x14ac:dyDescent="0.25"/>
    <row r="2907" spans="1:38" ht="15" x14ac:dyDescent="0.25"/>
    <row r="2908" spans="1:38" ht="15" x14ac:dyDescent="0.25"/>
    <row r="2909" spans="1:38" ht="15" x14ac:dyDescent="0.25"/>
    <row r="2910" spans="1:38" ht="15" x14ac:dyDescent="0.25"/>
    <row r="2911" spans="1:38" ht="15" x14ac:dyDescent="0.25"/>
    <row r="2912" spans="1:38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15" x14ac:dyDescent="0.25"/>
    <row r="2926" ht="15" x14ac:dyDescent="0.25"/>
    <row r="2927" ht="15" x14ac:dyDescent="0.25"/>
    <row r="2928" ht="15" x14ac:dyDescent="0.25"/>
    <row r="2929" ht="15" x14ac:dyDescent="0.25"/>
    <row r="2930" ht="15" x14ac:dyDescent="0.25"/>
    <row r="2931" ht="15" x14ac:dyDescent="0.25"/>
    <row r="2932" ht="15" x14ac:dyDescent="0.25"/>
    <row r="2933" ht="15" x14ac:dyDescent="0.25"/>
    <row r="2934" ht="15" x14ac:dyDescent="0.25"/>
    <row r="2935" ht="15" x14ac:dyDescent="0.25"/>
    <row r="2936" ht="15" x14ac:dyDescent="0.25"/>
    <row r="2937" ht="15" x14ac:dyDescent="0.25"/>
    <row r="2938" ht="15" x14ac:dyDescent="0.25"/>
    <row r="2939" ht="15" x14ac:dyDescent="0.25"/>
    <row r="2940" ht="15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15" x14ac:dyDescent="0.25"/>
    <row r="2958" ht="15" x14ac:dyDescent="0.25"/>
    <row r="2959" ht="15" x14ac:dyDescent="0.25"/>
    <row r="2960" ht="15" x14ac:dyDescent="0.25"/>
    <row r="2961" ht="15" x14ac:dyDescent="0.25"/>
    <row r="2962" ht="15" x14ac:dyDescent="0.25"/>
    <row r="2963" ht="15" x14ac:dyDescent="0.25"/>
    <row r="2964" ht="15" x14ac:dyDescent="0.25"/>
    <row r="2965" ht="15" x14ac:dyDescent="0.25"/>
    <row r="2966" ht="15" x14ac:dyDescent="0.25"/>
    <row r="2967" ht="15" x14ac:dyDescent="0.25"/>
    <row r="2968" ht="15" x14ac:dyDescent="0.25"/>
    <row r="2969" ht="15" x14ac:dyDescent="0.25"/>
    <row r="2970" ht="15" x14ac:dyDescent="0.25"/>
    <row r="2971" ht="15" x14ac:dyDescent="0.25"/>
    <row r="2972" ht="15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15" x14ac:dyDescent="0.25"/>
    <row r="3022" ht="15" x14ac:dyDescent="0.25"/>
    <row r="3023" ht="15" x14ac:dyDescent="0.25"/>
    <row r="3024" ht="15" x14ac:dyDescent="0.25"/>
    <row r="3025" ht="15" x14ac:dyDescent="0.25"/>
    <row r="3026" ht="15" x14ac:dyDescent="0.25"/>
    <row r="3027" ht="15" x14ac:dyDescent="0.25"/>
    <row r="3028" ht="15" x14ac:dyDescent="0.25"/>
    <row r="3029" ht="15" x14ac:dyDescent="0.25"/>
    <row r="3030" ht="15" x14ac:dyDescent="0.25"/>
    <row r="3031" ht="15" x14ac:dyDescent="0.25"/>
    <row r="3032" ht="15" x14ac:dyDescent="0.25"/>
    <row r="3033" ht="15" x14ac:dyDescent="0.25"/>
    <row r="3034" ht="15" x14ac:dyDescent="0.25"/>
    <row r="3035" ht="15" x14ac:dyDescent="0.25"/>
    <row r="3036" ht="15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15" x14ac:dyDescent="0.25"/>
    <row r="3070" ht="15" x14ac:dyDescent="0.25"/>
    <row r="3071" ht="15" x14ac:dyDescent="0.25"/>
    <row r="3072" ht="15" x14ac:dyDescent="0.25"/>
    <row r="3073" ht="15" x14ac:dyDescent="0.25"/>
    <row r="3074" ht="15" x14ac:dyDescent="0.25"/>
    <row r="3075" ht="15" x14ac:dyDescent="0.25"/>
    <row r="3076" ht="15" x14ac:dyDescent="0.25"/>
    <row r="3077" ht="15" x14ac:dyDescent="0.25"/>
    <row r="3078" ht="15" x14ac:dyDescent="0.25"/>
    <row r="3079" ht="15" x14ac:dyDescent="0.25"/>
    <row r="3080" ht="15" x14ac:dyDescent="0.25"/>
    <row r="3081" ht="15" x14ac:dyDescent="0.25"/>
    <row r="3082" ht="15" x14ac:dyDescent="0.25"/>
    <row r="3083" ht="15" x14ac:dyDescent="0.25"/>
    <row r="3084" ht="15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15" x14ac:dyDescent="0.25"/>
    <row r="3102" ht="15" x14ac:dyDescent="0.25"/>
    <row r="3103" ht="15" x14ac:dyDescent="0.25"/>
    <row r="3104" ht="15" x14ac:dyDescent="0.25"/>
    <row r="3105" ht="15" x14ac:dyDescent="0.25"/>
    <row r="3106" ht="15" x14ac:dyDescent="0.25"/>
    <row r="3107" ht="15" x14ac:dyDescent="0.25"/>
    <row r="3108" ht="15" x14ac:dyDescent="0.25"/>
    <row r="3109" ht="15" x14ac:dyDescent="0.25"/>
    <row r="3110" ht="15" x14ac:dyDescent="0.25"/>
    <row r="3111" ht="15" x14ac:dyDescent="0.25"/>
    <row r="3112" ht="15" x14ac:dyDescent="0.25"/>
    <row r="3113" ht="15" x14ac:dyDescent="0.25"/>
    <row r="3114" ht="15" x14ac:dyDescent="0.25"/>
    <row r="3115" ht="15" x14ac:dyDescent="0.25"/>
    <row r="3116" ht="15" x14ac:dyDescent="0.25"/>
    <row r="3117" ht="15" x14ac:dyDescent="0.25"/>
    <row r="3118" ht="15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15" x14ac:dyDescent="0.25"/>
    <row r="3136" ht="15" x14ac:dyDescent="0.25"/>
    <row r="3137" ht="15" x14ac:dyDescent="0.25"/>
    <row r="3138" ht="15" x14ac:dyDescent="0.25"/>
    <row r="3139" ht="15" x14ac:dyDescent="0.25"/>
    <row r="3140" ht="15" x14ac:dyDescent="0.25"/>
    <row r="3141" ht="15" x14ac:dyDescent="0.25"/>
    <row r="3142" ht="15" x14ac:dyDescent="0.25"/>
    <row r="3143" ht="15" x14ac:dyDescent="0.25"/>
    <row r="3144" ht="15" x14ac:dyDescent="0.25"/>
    <row r="3145" ht="15" x14ac:dyDescent="0.25"/>
    <row r="3146" ht="15" x14ac:dyDescent="0.25"/>
    <row r="3147" ht="15" x14ac:dyDescent="0.25"/>
    <row r="3148" ht="15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15" x14ac:dyDescent="0.25"/>
    <row r="3198" ht="15" x14ac:dyDescent="0.25"/>
    <row r="3199" ht="15" x14ac:dyDescent="0.25"/>
    <row r="3200" ht="15" x14ac:dyDescent="0.25"/>
    <row r="3201" ht="15" x14ac:dyDescent="0.25"/>
    <row r="3202" ht="15" x14ac:dyDescent="0.25"/>
    <row r="3203" ht="15" x14ac:dyDescent="0.25"/>
    <row r="3204" ht="15" x14ac:dyDescent="0.25"/>
    <row r="3205" ht="15" x14ac:dyDescent="0.25"/>
    <row r="3206" ht="15" x14ac:dyDescent="0.25"/>
    <row r="3207" ht="15" x14ac:dyDescent="0.25"/>
    <row r="3208" ht="15" x14ac:dyDescent="0.25"/>
    <row r="3209" ht="15" x14ac:dyDescent="0.25"/>
    <row r="3210" ht="15" x14ac:dyDescent="0.25"/>
    <row r="3211" ht="15" x14ac:dyDescent="0.25"/>
    <row r="3212" ht="15" x14ac:dyDescent="0.25"/>
    <row r="3213" ht="15" x14ac:dyDescent="0.25"/>
    <row r="3214" ht="15" x14ac:dyDescent="0.25"/>
    <row r="3215" ht="15" x14ac:dyDescent="0.25"/>
    <row r="3216" ht="15" x14ac:dyDescent="0.25"/>
    <row r="3217" ht="15" x14ac:dyDescent="0.25"/>
    <row r="3218" ht="15" x14ac:dyDescent="0.25"/>
    <row r="3219" ht="15" x14ac:dyDescent="0.25"/>
    <row r="3220" ht="15" x14ac:dyDescent="0.25"/>
    <row r="3221" ht="15" x14ac:dyDescent="0.25"/>
    <row r="3222" ht="15" x14ac:dyDescent="0.25"/>
    <row r="3223" ht="15" x14ac:dyDescent="0.25"/>
    <row r="3224" ht="15" x14ac:dyDescent="0.25"/>
    <row r="3225" ht="15" x14ac:dyDescent="0.25"/>
    <row r="3226" ht="15" x14ac:dyDescent="0.25"/>
    <row r="3227" ht="15" x14ac:dyDescent="0.25"/>
    <row r="3228" ht="15" x14ac:dyDescent="0.25"/>
    <row r="3229" ht="15" x14ac:dyDescent="0.25"/>
    <row r="3230" ht="15" x14ac:dyDescent="0.25"/>
    <row r="3231" ht="15" x14ac:dyDescent="0.25"/>
    <row r="3232" ht="15" x14ac:dyDescent="0.25"/>
    <row r="3233" ht="15" x14ac:dyDescent="0.25"/>
    <row r="3234" ht="15" x14ac:dyDescent="0.25"/>
    <row r="3235" ht="15" x14ac:dyDescent="0.25"/>
    <row r="3236" ht="15" x14ac:dyDescent="0.25"/>
    <row r="3237" ht="15" x14ac:dyDescent="0.25"/>
    <row r="3238" ht="15" x14ac:dyDescent="0.25"/>
    <row r="3239" ht="15" x14ac:dyDescent="0.25"/>
    <row r="3240" ht="15" x14ac:dyDescent="0.25"/>
    <row r="3241" ht="15" x14ac:dyDescent="0.25"/>
    <row r="3242" ht="15" x14ac:dyDescent="0.25"/>
    <row r="3243" ht="15" x14ac:dyDescent="0.25"/>
    <row r="3244" ht="15" x14ac:dyDescent="0.25"/>
    <row r="3245" ht="15" x14ac:dyDescent="0.25"/>
    <row r="3246" ht="15" x14ac:dyDescent="0.25"/>
    <row r="3247" ht="15" x14ac:dyDescent="0.25"/>
    <row r="3248" ht="15" x14ac:dyDescent="0.25"/>
    <row r="3249" ht="15" x14ac:dyDescent="0.25"/>
    <row r="3250" ht="15" x14ac:dyDescent="0.25"/>
    <row r="3251" ht="15" x14ac:dyDescent="0.25"/>
    <row r="3252" ht="15" x14ac:dyDescent="0.25"/>
    <row r="3253" ht="15" x14ac:dyDescent="0.25"/>
    <row r="3254" ht="15" x14ac:dyDescent="0.25"/>
    <row r="3255" ht="15" x14ac:dyDescent="0.25"/>
    <row r="3256" ht="15" x14ac:dyDescent="0.25"/>
    <row r="3257" ht="15" x14ac:dyDescent="0.25"/>
    <row r="3258" ht="15" x14ac:dyDescent="0.25"/>
    <row r="3259" ht="15" x14ac:dyDescent="0.25"/>
    <row r="3260" ht="15" x14ac:dyDescent="0.25"/>
    <row r="3261" ht="15" x14ac:dyDescent="0.25"/>
    <row r="3262" ht="15" x14ac:dyDescent="0.25"/>
    <row r="3263" ht="15" x14ac:dyDescent="0.25"/>
    <row r="3264" ht="15" x14ac:dyDescent="0.25"/>
    <row r="3265" ht="15" x14ac:dyDescent="0.25"/>
    <row r="3266" ht="15" x14ac:dyDescent="0.25"/>
    <row r="3267" ht="15" x14ac:dyDescent="0.25"/>
    <row r="3268" ht="15" x14ac:dyDescent="0.25"/>
    <row r="3269" ht="15" x14ac:dyDescent="0.25"/>
    <row r="3270" ht="15" x14ac:dyDescent="0.25"/>
    <row r="3271" ht="15" x14ac:dyDescent="0.25"/>
    <row r="3272" ht="15" x14ac:dyDescent="0.25"/>
    <row r="3273" ht="15" x14ac:dyDescent="0.25"/>
    <row r="3274" ht="15" x14ac:dyDescent="0.25"/>
    <row r="3275" ht="15" x14ac:dyDescent="0.25"/>
    <row r="3276" ht="15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15" x14ac:dyDescent="0.25"/>
    <row r="3294" ht="15" x14ac:dyDescent="0.25"/>
    <row r="3295" ht="15" x14ac:dyDescent="0.25"/>
    <row r="3296" ht="15" x14ac:dyDescent="0.25"/>
    <row r="3297" ht="15" x14ac:dyDescent="0.25"/>
    <row r="3298" ht="15" x14ac:dyDescent="0.25"/>
    <row r="3299" ht="15" x14ac:dyDescent="0.25"/>
    <row r="3300" ht="15" x14ac:dyDescent="0.25"/>
    <row r="3301" ht="15" x14ac:dyDescent="0.25"/>
    <row r="3302" ht="15" x14ac:dyDescent="0.25"/>
    <row r="3303" ht="15" x14ac:dyDescent="0.25"/>
    <row r="3304" ht="15" x14ac:dyDescent="0.25"/>
    <row r="3305" ht="15" x14ac:dyDescent="0.25"/>
    <row r="3306" ht="15" x14ac:dyDescent="0.25"/>
    <row r="3307" ht="15" x14ac:dyDescent="0.25"/>
    <row r="3308" ht="15" x14ac:dyDescent="0.25"/>
    <row r="3309" ht="15" x14ac:dyDescent="0.25"/>
    <row r="3310" ht="15" x14ac:dyDescent="0.25"/>
    <row r="3311" ht="15" x14ac:dyDescent="0.25"/>
    <row r="3312" ht="15" x14ac:dyDescent="0.25"/>
    <row r="3313" ht="15" x14ac:dyDescent="0.25"/>
    <row r="3314" ht="15" x14ac:dyDescent="0.25"/>
    <row r="3315" ht="15" x14ac:dyDescent="0.25"/>
    <row r="3316" ht="15" x14ac:dyDescent="0.25"/>
    <row r="3317" ht="15" x14ac:dyDescent="0.25"/>
    <row r="3318" ht="15" x14ac:dyDescent="0.25"/>
    <row r="3319" ht="15" x14ac:dyDescent="0.25"/>
    <row r="3320" ht="15" x14ac:dyDescent="0.25"/>
    <row r="3321" ht="15" x14ac:dyDescent="0.25"/>
    <row r="3322" ht="15" x14ac:dyDescent="0.25"/>
    <row r="3323" ht="15" x14ac:dyDescent="0.25"/>
    <row r="3324" ht="15" x14ac:dyDescent="0.25"/>
    <row r="3325" ht="15" x14ac:dyDescent="0.25"/>
    <row r="3326" ht="15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15" x14ac:dyDescent="0.25"/>
    <row r="3344" ht="15" x14ac:dyDescent="0.25"/>
    <row r="3345" ht="15" x14ac:dyDescent="0.25"/>
    <row r="3346" ht="15" x14ac:dyDescent="0.25"/>
    <row r="3347" ht="15" x14ac:dyDescent="0.25"/>
    <row r="3348" ht="15" x14ac:dyDescent="0.25"/>
    <row r="3349" ht="15" x14ac:dyDescent="0.25"/>
    <row r="3350" ht="15" x14ac:dyDescent="0.25"/>
    <row r="3351" ht="15" x14ac:dyDescent="0.25"/>
    <row r="3352" ht="15" x14ac:dyDescent="0.25"/>
    <row r="3353" ht="15" x14ac:dyDescent="0.25"/>
    <row r="3354" ht="15" x14ac:dyDescent="0.25"/>
    <row r="3355" ht="15" x14ac:dyDescent="0.25"/>
    <row r="3356" ht="15" x14ac:dyDescent="0.25"/>
    <row r="3357" ht="15" x14ac:dyDescent="0.25"/>
    <row r="3358" ht="15" x14ac:dyDescent="0.25"/>
    <row r="3359" ht="15" x14ac:dyDescent="0.25"/>
    <row r="3360" ht="15" x14ac:dyDescent="0.25"/>
    <row r="3361" ht="15" x14ac:dyDescent="0.25"/>
    <row r="3362" ht="15" x14ac:dyDescent="0.25"/>
    <row r="3363" ht="15" x14ac:dyDescent="0.25"/>
    <row r="3364" ht="15" x14ac:dyDescent="0.25"/>
    <row r="3365" ht="15" x14ac:dyDescent="0.25"/>
    <row r="3366" ht="15" x14ac:dyDescent="0.25"/>
    <row r="3367" ht="15" x14ac:dyDescent="0.25"/>
    <row r="3368" ht="15" x14ac:dyDescent="0.25"/>
    <row r="3369" ht="15" x14ac:dyDescent="0.25"/>
    <row r="3370" ht="15" x14ac:dyDescent="0.25"/>
    <row r="3371" ht="15" x14ac:dyDescent="0.25"/>
    <row r="3372" ht="15" x14ac:dyDescent="0.25"/>
    <row r="3373" ht="15" x14ac:dyDescent="0.25"/>
    <row r="3374" ht="15" x14ac:dyDescent="0.25"/>
    <row r="3375" ht="15" x14ac:dyDescent="0.25"/>
    <row r="3376" ht="15" x14ac:dyDescent="0.25"/>
    <row r="3377" ht="15" x14ac:dyDescent="0.25"/>
    <row r="3378" ht="15" x14ac:dyDescent="0.25"/>
    <row r="3379" ht="15" x14ac:dyDescent="0.25"/>
    <row r="3380" ht="15" x14ac:dyDescent="0.25"/>
    <row r="3381" ht="15" x14ac:dyDescent="0.25"/>
    <row r="3382" ht="15" x14ac:dyDescent="0.25"/>
    <row r="3383" ht="15" x14ac:dyDescent="0.25"/>
    <row r="3384" ht="15" x14ac:dyDescent="0.25"/>
    <row r="3385" ht="15" x14ac:dyDescent="0.25"/>
    <row r="3386" ht="15" x14ac:dyDescent="0.25"/>
    <row r="3387" ht="15" x14ac:dyDescent="0.25"/>
    <row r="3388" ht="15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15" x14ac:dyDescent="0.25"/>
    <row r="3406" ht="15" x14ac:dyDescent="0.25"/>
    <row r="3407" ht="15" x14ac:dyDescent="0.25"/>
    <row r="3408" ht="15" x14ac:dyDescent="0.25"/>
    <row r="3409" ht="15" x14ac:dyDescent="0.25"/>
    <row r="3410" ht="15" x14ac:dyDescent="0.25"/>
    <row r="3411" ht="15" x14ac:dyDescent="0.25"/>
    <row r="3412" ht="15" x14ac:dyDescent="0.25"/>
    <row r="3413" ht="15" x14ac:dyDescent="0.25"/>
    <row r="3414" ht="15" x14ac:dyDescent="0.25"/>
    <row r="3415" ht="15" x14ac:dyDescent="0.25"/>
    <row r="3416" ht="15" x14ac:dyDescent="0.25"/>
    <row r="3417" ht="15" x14ac:dyDescent="0.25"/>
    <row r="3418" ht="15" x14ac:dyDescent="0.25"/>
    <row r="3419" ht="15" x14ac:dyDescent="0.25"/>
    <row r="3420" ht="15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15" x14ac:dyDescent="0.25"/>
    <row r="3438" ht="15" x14ac:dyDescent="0.25"/>
    <row r="3439" ht="15" x14ac:dyDescent="0.25"/>
    <row r="3440" ht="15" x14ac:dyDescent="0.25"/>
    <row r="3441" ht="15" x14ac:dyDescent="0.25"/>
    <row r="3442" ht="15" x14ac:dyDescent="0.25"/>
    <row r="3443" ht="15" x14ac:dyDescent="0.25"/>
    <row r="3444" ht="15" x14ac:dyDescent="0.25"/>
    <row r="3445" ht="15" x14ac:dyDescent="0.25"/>
    <row r="3446" ht="15" x14ac:dyDescent="0.25"/>
    <row r="3447" ht="15" x14ac:dyDescent="0.25"/>
    <row r="3448" ht="15" x14ac:dyDescent="0.25"/>
    <row r="3449" ht="15" x14ac:dyDescent="0.25"/>
    <row r="3450" ht="15" x14ac:dyDescent="0.25"/>
    <row r="3451" ht="15" x14ac:dyDescent="0.25"/>
    <row r="3452" ht="15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15" x14ac:dyDescent="0.25"/>
    <row r="3598" ht="15" x14ac:dyDescent="0.25"/>
    <row r="3599" ht="15" x14ac:dyDescent="0.25"/>
    <row r="3600" ht="15" x14ac:dyDescent="0.25"/>
    <row r="3601" ht="15" x14ac:dyDescent="0.25"/>
    <row r="3602" ht="15" x14ac:dyDescent="0.25"/>
    <row r="3603" ht="15" x14ac:dyDescent="0.25"/>
    <row r="3604" ht="15" x14ac:dyDescent="0.25"/>
    <row r="3605" ht="15" x14ac:dyDescent="0.25"/>
    <row r="3606" ht="15" x14ac:dyDescent="0.25"/>
    <row r="3607" ht="15" x14ac:dyDescent="0.25"/>
    <row r="3608" ht="15" x14ac:dyDescent="0.25"/>
    <row r="3609" ht="15" x14ac:dyDescent="0.25"/>
    <row r="3610" ht="15" x14ac:dyDescent="0.25"/>
    <row r="3611" ht="15" x14ac:dyDescent="0.25"/>
    <row r="3612" ht="15" x14ac:dyDescent="0.25"/>
    <row r="3613" ht="15" x14ac:dyDescent="0.25"/>
    <row r="3614" ht="15" x14ac:dyDescent="0.25"/>
    <row r="3615" ht="15" x14ac:dyDescent="0.25"/>
    <row r="3616" ht="15" x14ac:dyDescent="0.25"/>
    <row r="3617" ht="15" x14ac:dyDescent="0.25"/>
    <row r="3618" ht="15" x14ac:dyDescent="0.25"/>
    <row r="3619" ht="15" x14ac:dyDescent="0.25"/>
    <row r="3620" ht="15" x14ac:dyDescent="0.25"/>
    <row r="3621" ht="15" x14ac:dyDescent="0.25"/>
    <row r="3622" ht="15" x14ac:dyDescent="0.25"/>
    <row r="3623" ht="15" x14ac:dyDescent="0.25"/>
    <row r="3624" ht="15" x14ac:dyDescent="0.25"/>
    <row r="3625" ht="15" x14ac:dyDescent="0.25"/>
    <row r="3626" ht="15" x14ac:dyDescent="0.25"/>
    <row r="3627" ht="15" x14ac:dyDescent="0.25"/>
    <row r="3628" ht="15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15" x14ac:dyDescent="0.25"/>
    <row r="3646" ht="15" x14ac:dyDescent="0.25"/>
    <row r="3647" ht="15" x14ac:dyDescent="0.25"/>
    <row r="3648" ht="15" x14ac:dyDescent="0.25"/>
    <row r="3649" ht="15" x14ac:dyDescent="0.25"/>
    <row r="3650" ht="15" x14ac:dyDescent="0.25"/>
    <row r="3651" ht="15" x14ac:dyDescent="0.25"/>
    <row r="3652" ht="15" x14ac:dyDescent="0.25"/>
    <row r="3653" ht="15" x14ac:dyDescent="0.25"/>
    <row r="3654" ht="15" x14ac:dyDescent="0.25"/>
    <row r="3655" ht="15" x14ac:dyDescent="0.25"/>
    <row r="3656" ht="15" x14ac:dyDescent="0.25"/>
    <row r="3657" ht="15" x14ac:dyDescent="0.25"/>
    <row r="3658" ht="15" x14ac:dyDescent="0.25"/>
    <row r="3659" ht="15" x14ac:dyDescent="0.25"/>
    <row r="3660" ht="15" x14ac:dyDescent="0.25"/>
    <row r="3661" ht="15" x14ac:dyDescent="0.25"/>
    <row r="3662" ht="15" x14ac:dyDescent="0.25"/>
    <row r="3663" ht="15" x14ac:dyDescent="0.25"/>
    <row r="3664" ht="15" x14ac:dyDescent="0.25"/>
    <row r="3665" ht="15" x14ac:dyDescent="0.25"/>
    <row r="3666" ht="15" x14ac:dyDescent="0.25"/>
    <row r="3667" ht="15" x14ac:dyDescent="0.25"/>
    <row r="3668" ht="15" x14ac:dyDescent="0.25"/>
    <row r="3669" ht="15" x14ac:dyDescent="0.25"/>
    <row r="3670" ht="15" x14ac:dyDescent="0.25"/>
    <row r="3671" ht="15" x14ac:dyDescent="0.25"/>
    <row r="3672" ht="15" x14ac:dyDescent="0.25"/>
    <row r="3673" ht="15" x14ac:dyDescent="0.25"/>
    <row r="3674" ht="15" x14ac:dyDescent="0.25"/>
    <row r="3675" ht="15" x14ac:dyDescent="0.25"/>
    <row r="3676" ht="15" x14ac:dyDescent="0.25"/>
    <row r="3677" ht="15" x14ac:dyDescent="0.25"/>
    <row r="3678" ht="15" x14ac:dyDescent="0.25"/>
    <row r="3679" ht="15" x14ac:dyDescent="0.25"/>
    <row r="3680" ht="15" x14ac:dyDescent="0.25"/>
    <row r="3681" ht="15" x14ac:dyDescent="0.25"/>
    <row r="3682" ht="15" x14ac:dyDescent="0.25"/>
    <row r="3683" ht="15" x14ac:dyDescent="0.25"/>
    <row r="3684" ht="15" x14ac:dyDescent="0.25"/>
    <row r="3685" ht="15" x14ac:dyDescent="0.25"/>
    <row r="3686" ht="15" x14ac:dyDescent="0.25"/>
    <row r="3687" ht="15" x14ac:dyDescent="0.25"/>
    <row r="3688" ht="15" x14ac:dyDescent="0.25"/>
    <row r="3689" ht="15" x14ac:dyDescent="0.25"/>
    <row r="3690" ht="15" x14ac:dyDescent="0.25"/>
    <row r="3691" ht="15" x14ac:dyDescent="0.25"/>
    <row r="3692" ht="15" x14ac:dyDescent="0.25"/>
    <row r="3693" ht="15" x14ac:dyDescent="0.25"/>
    <row r="3694" ht="15" x14ac:dyDescent="0.25"/>
    <row r="3695" ht="15" x14ac:dyDescent="0.25"/>
    <row r="3696" ht="15" x14ac:dyDescent="0.25"/>
    <row r="3697" ht="15" x14ac:dyDescent="0.25"/>
    <row r="3698" ht="15" x14ac:dyDescent="0.25"/>
    <row r="3699" ht="15" x14ac:dyDescent="0.25"/>
    <row r="3700" ht="15" x14ac:dyDescent="0.25"/>
    <row r="3701" ht="15" x14ac:dyDescent="0.25"/>
    <row r="3702" ht="15" x14ac:dyDescent="0.25"/>
    <row r="3703" ht="15" x14ac:dyDescent="0.25"/>
    <row r="3704" ht="15" x14ac:dyDescent="0.25"/>
    <row r="3705" ht="15" x14ac:dyDescent="0.25"/>
    <row r="3706" ht="15" x14ac:dyDescent="0.25"/>
    <row r="3707" ht="15" x14ac:dyDescent="0.25"/>
    <row r="3708" ht="15" x14ac:dyDescent="0.25"/>
    <row r="3709" ht="15" x14ac:dyDescent="0.25"/>
    <row r="3710" ht="15" x14ac:dyDescent="0.25"/>
    <row r="3711" ht="15" x14ac:dyDescent="0.25"/>
    <row r="3712" ht="15" x14ac:dyDescent="0.25"/>
    <row r="3713" ht="15" x14ac:dyDescent="0.25"/>
    <row r="3714" ht="15" x14ac:dyDescent="0.25"/>
    <row r="3715" ht="15" x14ac:dyDescent="0.25"/>
    <row r="3716" ht="15" x14ac:dyDescent="0.25"/>
    <row r="3717" ht="15" x14ac:dyDescent="0.25"/>
    <row r="3718" ht="15" x14ac:dyDescent="0.25"/>
    <row r="3719" ht="15" x14ac:dyDescent="0.25"/>
    <row r="3720" ht="15" x14ac:dyDescent="0.25"/>
    <row r="3721" ht="15" x14ac:dyDescent="0.25"/>
    <row r="3722" ht="15" x14ac:dyDescent="0.25"/>
    <row r="3723" ht="15" x14ac:dyDescent="0.25"/>
    <row r="3724" ht="15" x14ac:dyDescent="0.25"/>
    <row r="3725" ht="15" x14ac:dyDescent="0.25"/>
    <row r="3726" ht="15" x14ac:dyDescent="0.25"/>
    <row r="3727" ht="15" x14ac:dyDescent="0.25"/>
    <row r="3728" ht="15" x14ac:dyDescent="0.25"/>
    <row r="3729" ht="15" x14ac:dyDescent="0.25"/>
    <row r="3730" ht="15" x14ac:dyDescent="0.25"/>
    <row r="3731" ht="15" x14ac:dyDescent="0.25"/>
    <row r="3732" ht="15" x14ac:dyDescent="0.25"/>
    <row r="3733" ht="15" x14ac:dyDescent="0.25"/>
    <row r="3734" ht="15" x14ac:dyDescent="0.25"/>
    <row r="3735" ht="15" x14ac:dyDescent="0.25"/>
    <row r="3736" ht="15" x14ac:dyDescent="0.25"/>
    <row r="3737" ht="15" x14ac:dyDescent="0.25"/>
    <row r="3738" ht="15" x14ac:dyDescent="0.25"/>
    <row r="3739" ht="15" x14ac:dyDescent="0.25"/>
    <row r="3740" ht="15" x14ac:dyDescent="0.25"/>
    <row r="3741" ht="15" x14ac:dyDescent="0.25"/>
    <row r="3742" ht="15" x14ac:dyDescent="0.25"/>
    <row r="3743" ht="15" x14ac:dyDescent="0.25"/>
    <row r="3744" ht="15" x14ac:dyDescent="0.25"/>
    <row r="3745" ht="15" x14ac:dyDescent="0.25"/>
    <row r="3746" ht="15" x14ac:dyDescent="0.25"/>
    <row r="3747" ht="15" x14ac:dyDescent="0.25"/>
    <row r="3748" ht="15" x14ac:dyDescent="0.25"/>
    <row r="3749" ht="15" x14ac:dyDescent="0.25"/>
    <row r="3750" ht="15" x14ac:dyDescent="0.25"/>
    <row r="3751" ht="15" x14ac:dyDescent="0.25"/>
    <row r="3752" ht="15" x14ac:dyDescent="0.25"/>
    <row r="3753" ht="15" x14ac:dyDescent="0.25"/>
    <row r="3754" ht="15" x14ac:dyDescent="0.25"/>
    <row r="3755" ht="15" x14ac:dyDescent="0.25"/>
    <row r="3756" ht="15" x14ac:dyDescent="0.25"/>
    <row r="3757" ht="15" x14ac:dyDescent="0.25"/>
    <row r="3758" ht="15" x14ac:dyDescent="0.25"/>
    <row r="3759" ht="15" x14ac:dyDescent="0.25"/>
    <row r="3760" ht="15" x14ac:dyDescent="0.25"/>
    <row r="3761" ht="15" x14ac:dyDescent="0.25"/>
    <row r="3762" ht="15" x14ac:dyDescent="0.25"/>
    <row r="3763" ht="15" x14ac:dyDescent="0.25"/>
    <row r="3764" ht="15" x14ac:dyDescent="0.25"/>
    <row r="3765" ht="15" x14ac:dyDescent="0.25"/>
    <row r="3766" ht="15" x14ac:dyDescent="0.25"/>
    <row r="3767" ht="15" x14ac:dyDescent="0.25"/>
    <row r="3768" ht="15" x14ac:dyDescent="0.25"/>
    <row r="3769" ht="15" x14ac:dyDescent="0.25"/>
    <row r="3770" ht="15" x14ac:dyDescent="0.25"/>
    <row r="3771" ht="15" x14ac:dyDescent="0.25"/>
    <row r="3772" ht="15" x14ac:dyDescent="0.25"/>
    <row r="3773" ht="15" x14ac:dyDescent="0.25"/>
    <row r="3774" ht="15" x14ac:dyDescent="0.25"/>
    <row r="3775" ht="15" x14ac:dyDescent="0.25"/>
    <row r="3776" ht="15" x14ac:dyDescent="0.25"/>
    <row r="3777" ht="15" x14ac:dyDescent="0.25"/>
    <row r="3778" ht="15" x14ac:dyDescent="0.25"/>
    <row r="3779" ht="15" x14ac:dyDescent="0.25"/>
    <row r="3780" ht="15" x14ac:dyDescent="0.25"/>
    <row r="3781" ht="15" x14ac:dyDescent="0.25"/>
    <row r="3782" ht="15" x14ac:dyDescent="0.25"/>
    <row r="3783" ht="15" x14ac:dyDescent="0.25"/>
    <row r="3784" ht="15" x14ac:dyDescent="0.25"/>
    <row r="3785" ht="15" x14ac:dyDescent="0.25"/>
    <row r="3786" ht="15" x14ac:dyDescent="0.25"/>
    <row r="3787" ht="15" x14ac:dyDescent="0.25"/>
    <row r="3788" ht="15" x14ac:dyDescent="0.25"/>
    <row r="3789" ht="15" x14ac:dyDescent="0.25"/>
    <row r="3790" ht="15" x14ac:dyDescent="0.25"/>
    <row r="3791" ht="15" x14ac:dyDescent="0.25"/>
    <row r="3792" ht="15" x14ac:dyDescent="0.25"/>
    <row r="3793" ht="15" x14ac:dyDescent="0.25"/>
    <row r="3794" ht="15" x14ac:dyDescent="0.25"/>
    <row r="3795" ht="15" x14ac:dyDescent="0.25"/>
    <row r="3796" ht="15" x14ac:dyDescent="0.25"/>
    <row r="3797" ht="15" x14ac:dyDescent="0.25"/>
    <row r="3798" ht="15" x14ac:dyDescent="0.25"/>
    <row r="3799" ht="15" x14ac:dyDescent="0.25"/>
    <row r="3800" ht="15" x14ac:dyDescent="0.25"/>
    <row r="3801" ht="15" x14ac:dyDescent="0.25"/>
    <row r="3802" ht="15" x14ac:dyDescent="0.25"/>
    <row r="3803" ht="15" x14ac:dyDescent="0.25"/>
    <row r="3804" ht="15" x14ac:dyDescent="0.25"/>
    <row r="3805" ht="15" x14ac:dyDescent="0.25"/>
    <row r="3806" ht="15" x14ac:dyDescent="0.25"/>
    <row r="3807" ht="15" x14ac:dyDescent="0.25"/>
    <row r="3808" ht="15" x14ac:dyDescent="0.25"/>
    <row r="3809" ht="15" x14ac:dyDescent="0.25"/>
    <row r="3810" ht="15" x14ac:dyDescent="0.25"/>
    <row r="3811" ht="15" x14ac:dyDescent="0.25"/>
    <row r="3812" ht="15" x14ac:dyDescent="0.25"/>
    <row r="3813" ht="15" x14ac:dyDescent="0.25"/>
    <row r="3814" ht="15" x14ac:dyDescent="0.25"/>
    <row r="3815" ht="15" x14ac:dyDescent="0.25"/>
    <row r="3816" ht="15" x14ac:dyDescent="0.25"/>
    <row r="3817" ht="15" x14ac:dyDescent="0.25"/>
    <row r="3818" ht="15" x14ac:dyDescent="0.25"/>
    <row r="3819" ht="15" x14ac:dyDescent="0.25"/>
    <row r="3820" ht="15" x14ac:dyDescent="0.25"/>
    <row r="3821" ht="15" x14ac:dyDescent="0.25"/>
    <row r="3822" ht="15" x14ac:dyDescent="0.25"/>
    <row r="3823" ht="15" x14ac:dyDescent="0.25"/>
    <row r="3824" ht="15" x14ac:dyDescent="0.25"/>
    <row r="3825" ht="15" x14ac:dyDescent="0.25"/>
    <row r="3826" ht="15" x14ac:dyDescent="0.25"/>
    <row r="3827" ht="15" x14ac:dyDescent="0.25"/>
    <row r="3828" ht="15" x14ac:dyDescent="0.25"/>
    <row r="3829" ht="15" x14ac:dyDescent="0.25"/>
    <row r="3830" ht="15" x14ac:dyDescent="0.25"/>
    <row r="3831" ht="15" x14ac:dyDescent="0.25"/>
    <row r="3832" ht="15" x14ac:dyDescent="0.25"/>
    <row r="3833" ht="15" x14ac:dyDescent="0.25"/>
    <row r="3834" ht="15" x14ac:dyDescent="0.25"/>
    <row r="3835" ht="15" x14ac:dyDescent="0.25"/>
    <row r="3836" ht="15" x14ac:dyDescent="0.25"/>
    <row r="3837" ht="15" x14ac:dyDescent="0.25"/>
    <row r="3838" ht="15" x14ac:dyDescent="0.25"/>
    <row r="3839" ht="15" x14ac:dyDescent="0.25"/>
    <row r="3840" ht="15" x14ac:dyDescent="0.25"/>
    <row r="3841" ht="15" x14ac:dyDescent="0.25"/>
    <row r="3842" ht="15" x14ac:dyDescent="0.25"/>
    <row r="3843" ht="15" x14ac:dyDescent="0.25"/>
    <row r="3844" ht="15" x14ac:dyDescent="0.25"/>
    <row r="3845" ht="15" x14ac:dyDescent="0.25"/>
    <row r="3846" ht="15" x14ac:dyDescent="0.25"/>
    <row r="3847" ht="15" x14ac:dyDescent="0.25"/>
    <row r="3848" ht="15" x14ac:dyDescent="0.25"/>
    <row r="3849" ht="15" x14ac:dyDescent="0.25"/>
    <row r="3850" ht="15" x14ac:dyDescent="0.25"/>
    <row r="3851" ht="15" x14ac:dyDescent="0.25"/>
    <row r="3852" ht="15" x14ac:dyDescent="0.25"/>
    <row r="3853" ht="15" x14ac:dyDescent="0.25"/>
    <row r="3854" ht="15" x14ac:dyDescent="0.25"/>
    <row r="3855" ht="15" x14ac:dyDescent="0.25"/>
    <row r="3856" ht="15" x14ac:dyDescent="0.25"/>
    <row r="3857" ht="15" x14ac:dyDescent="0.25"/>
    <row r="3858" ht="15" x14ac:dyDescent="0.25"/>
    <row r="3859" ht="15" x14ac:dyDescent="0.25"/>
    <row r="3860" ht="15" x14ac:dyDescent="0.25"/>
    <row r="3861" ht="15" x14ac:dyDescent="0.25"/>
    <row r="3862" ht="15" x14ac:dyDescent="0.25"/>
    <row r="3863" ht="15" x14ac:dyDescent="0.25"/>
    <row r="3864" ht="15" x14ac:dyDescent="0.25"/>
    <row r="3865" ht="15" x14ac:dyDescent="0.25"/>
    <row r="3866" ht="15" x14ac:dyDescent="0.25"/>
    <row r="3867" ht="15" x14ac:dyDescent="0.25"/>
    <row r="3868" ht="15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15" x14ac:dyDescent="0.25"/>
    <row r="3886" ht="15" x14ac:dyDescent="0.25"/>
    <row r="3887" ht="15" x14ac:dyDescent="0.25"/>
    <row r="3888" ht="15" x14ac:dyDescent="0.25"/>
    <row r="3889" ht="15" x14ac:dyDescent="0.25"/>
    <row r="3890" ht="15" x14ac:dyDescent="0.25"/>
    <row r="3891" ht="15" x14ac:dyDescent="0.25"/>
    <row r="3892" ht="15" x14ac:dyDescent="0.25"/>
    <row r="3893" ht="15" x14ac:dyDescent="0.25"/>
    <row r="3894" ht="15" x14ac:dyDescent="0.25"/>
    <row r="3895" ht="15" x14ac:dyDescent="0.25"/>
    <row r="3896" ht="15" x14ac:dyDescent="0.25"/>
    <row r="3897" ht="15" x14ac:dyDescent="0.25"/>
    <row r="3898" ht="15" x14ac:dyDescent="0.25"/>
    <row r="3899" ht="15" x14ac:dyDescent="0.25"/>
    <row r="3900" ht="15" x14ac:dyDescent="0.25"/>
    <row r="3901" ht="15" x14ac:dyDescent="0.25"/>
    <row r="3902" ht="15" x14ac:dyDescent="0.25"/>
    <row r="3903" ht="15" x14ac:dyDescent="0.25"/>
    <row r="3904" ht="15" x14ac:dyDescent="0.25"/>
    <row r="3905" ht="15" x14ac:dyDescent="0.25"/>
    <row r="3906" ht="15" x14ac:dyDescent="0.25"/>
    <row r="3907" ht="15" x14ac:dyDescent="0.25"/>
    <row r="3908" ht="15" x14ac:dyDescent="0.25"/>
    <row r="3909" ht="15" x14ac:dyDescent="0.25"/>
    <row r="3910" ht="15" x14ac:dyDescent="0.25"/>
    <row r="3911" ht="15" x14ac:dyDescent="0.25"/>
    <row r="3912" ht="15" x14ac:dyDescent="0.25"/>
    <row r="3913" ht="15" x14ac:dyDescent="0.25"/>
    <row r="3914" ht="15" x14ac:dyDescent="0.25"/>
    <row r="3915" ht="15" x14ac:dyDescent="0.25"/>
    <row r="3916" ht="15" x14ac:dyDescent="0.25"/>
    <row r="3917" ht="15" x14ac:dyDescent="0.25"/>
    <row r="3918" ht="15" x14ac:dyDescent="0.25"/>
    <row r="3919" ht="15" x14ac:dyDescent="0.25"/>
    <row r="3920" ht="15" x14ac:dyDescent="0.25"/>
    <row r="3921" ht="15" x14ac:dyDescent="0.25"/>
    <row r="3922" ht="15" x14ac:dyDescent="0.25"/>
    <row r="3923" ht="15" x14ac:dyDescent="0.25"/>
    <row r="3924" ht="15" x14ac:dyDescent="0.25"/>
    <row r="3925" ht="15" x14ac:dyDescent="0.25"/>
    <row r="3926" ht="15" x14ac:dyDescent="0.25"/>
    <row r="3927" ht="15" x14ac:dyDescent="0.25"/>
    <row r="3928" ht="15" x14ac:dyDescent="0.25"/>
    <row r="3929" ht="15" x14ac:dyDescent="0.25"/>
    <row r="3930" ht="15" x14ac:dyDescent="0.25"/>
    <row r="3931" ht="15" x14ac:dyDescent="0.25"/>
    <row r="3932" ht="15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15" x14ac:dyDescent="0.25"/>
    <row r="3966" ht="15" x14ac:dyDescent="0.25"/>
    <row r="3967" ht="15" x14ac:dyDescent="0.25"/>
    <row r="3968" ht="15" x14ac:dyDescent="0.25"/>
    <row r="3969" ht="15" x14ac:dyDescent="0.25"/>
    <row r="3970" ht="15" x14ac:dyDescent="0.25"/>
    <row r="3971" ht="15" x14ac:dyDescent="0.25"/>
    <row r="3972" ht="15" x14ac:dyDescent="0.25"/>
    <row r="3973" ht="15" x14ac:dyDescent="0.25"/>
    <row r="3974" ht="15" x14ac:dyDescent="0.25"/>
    <row r="3975" ht="15" x14ac:dyDescent="0.25"/>
    <row r="3976" ht="15" x14ac:dyDescent="0.25"/>
    <row r="3977" ht="15" x14ac:dyDescent="0.25"/>
    <row r="3978" ht="15" x14ac:dyDescent="0.25"/>
    <row r="3979" ht="15" x14ac:dyDescent="0.25"/>
    <row r="3980" ht="15" x14ac:dyDescent="0.25"/>
    <row r="3981" ht="15" x14ac:dyDescent="0.25"/>
    <row r="3982" ht="15" x14ac:dyDescent="0.25"/>
    <row r="3983" ht="15" x14ac:dyDescent="0.25"/>
    <row r="3984" ht="15" x14ac:dyDescent="0.25"/>
    <row r="3985" ht="15" x14ac:dyDescent="0.25"/>
    <row r="3986" ht="15" x14ac:dyDescent="0.25"/>
    <row r="3987" ht="15" x14ac:dyDescent="0.25"/>
    <row r="3988" ht="15" x14ac:dyDescent="0.25"/>
    <row r="3989" ht="15" x14ac:dyDescent="0.25"/>
    <row r="3990" ht="15" x14ac:dyDescent="0.25"/>
    <row r="3991" ht="15" x14ac:dyDescent="0.25"/>
    <row r="3992" ht="15" x14ac:dyDescent="0.25"/>
    <row r="3993" ht="15" x14ac:dyDescent="0.25"/>
    <row r="3994" ht="15" x14ac:dyDescent="0.25"/>
    <row r="3995" ht="15" x14ac:dyDescent="0.25"/>
    <row r="3996" ht="15" x14ac:dyDescent="0.25"/>
    <row r="3997" ht="15" x14ac:dyDescent="0.25"/>
    <row r="3998" ht="15" x14ac:dyDescent="0.25"/>
    <row r="3999" ht="15" x14ac:dyDescent="0.25"/>
    <row r="4000" ht="15" x14ac:dyDescent="0.25"/>
    <row r="4001" ht="15" x14ac:dyDescent="0.25"/>
    <row r="4002" ht="15" x14ac:dyDescent="0.25"/>
    <row r="4003" ht="15" x14ac:dyDescent="0.25"/>
    <row r="4004" ht="15" x14ac:dyDescent="0.25"/>
    <row r="4005" ht="15" x14ac:dyDescent="0.25"/>
    <row r="4006" ht="15" x14ac:dyDescent="0.25"/>
    <row r="4007" ht="15" x14ac:dyDescent="0.25"/>
    <row r="4008" ht="15" x14ac:dyDescent="0.25"/>
    <row r="4009" ht="15" x14ac:dyDescent="0.25"/>
    <row r="4010" ht="15" x14ac:dyDescent="0.25"/>
    <row r="4011" ht="15" x14ac:dyDescent="0.25"/>
    <row r="4012" ht="15" x14ac:dyDescent="0.25"/>
    <row r="4013" ht="15" x14ac:dyDescent="0.25"/>
    <row r="4014" ht="15" x14ac:dyDescent="0.25"/>
    <row r="4015" ht="15" x14ac:dyDescent="0.25"/>
    <row r="4016" ht="15" x14ac:dyDescent="0.25"/>
    <row r="4017" ht="15" x14ac:dyDescent="0.25"/>
    <row r="4018" ht="15" x14ac:dyDescent="0.25"/>
    <row r="4019" ht="15" x14ac:dyDescent="0.25"/>
    <row r="4020" ht="15" x14ac:dyDescent="0.25"/>
    <row r="4021" ht="15" x14ac:dyDescent="0.25"/>
    <row r="4022" ht="15" x14ac:dyDescent="0.25"/>
    <row r="4023" ht="15" x14ac:dyDescent="0.25"/>
    <row r="4024" ht="15" x14ac:dyDescent="0.25"/>
    <row r="4025" ht="15" x14ac:dyDescent="0.25"/>
    <row r="4026" ht="15" x14ac:dyDescent="0.25"/>
    <row r="4027" ht="15" x14ac:dyDescent="0.25"/>
    <row r="4028" ht="15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15" x14ac:dyDescent="0.25"/>
    <row r="4046" ht="15" x14ac:dyDescent="0.25"/>
    <row r="4047" ht="15" x14ac:dyDescent="0.25"/>
    <row r="4048" ht="15" x14ac:dyDescent="0.25"/>
    <row r="4049" ht="15" x14ac:dyDescent="0.25"/>
    <row r="4050" ht="15" x14ac:dyDescent="0.25"/>
    <row r="4051" ht="15" x14ac:dyDescent="0.25"/>
    <row r="4052" ht="15" x14ac:dyDescent="0.25"/>
    <row r="4053" ht="15" x14ac:dyDescent="0.25"/>
    <row r="4054" ht="15" x14ac:dyDescent="0.25"/>
    <row r="4055" ht="15" x14ac:dyDescent="0.25"/>
    <row r="4056" ht="15" x14ac:dyDescent="0.25"/>
    <row r="4057" ht="15" x14ac:dyDescent="0.25"/>
    <row r="4058" ht="15" x14ac:dyDescent="0.25"/>
    <row r="4059" ht="15" x14ac:dyDescent="0.25"/>
    <row r="4060" ht="15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15" x14ac:dyDescent="0.25"/>
    <row r="4094" ht="15" x14ac:dyDescent="0.25"/>
    <row r="4095" ht="15" x14ac:dyDescent="0.25"/>
    <row r="4096" ht="15" x14ac:dyDescent="0.25"/>
    <row r="4097" ht="15" x14ac:dyDescent="0.25"/>
    <row r="4098" ht="15" x14ac:dyDescent="0.25"/>
    <row r="4099" ht="15" x14ac:dyDescent="0.25"/>
    <row r="4100" ht="15" x14ac:dyDescent="0.25"/>
    <row r="4101" ht="15" x14ac:dyDescent="0.25"/>
    <row r="4102" ht="15" x14ac:dyDescent="0.25"/>
    <row r="4103" ht="15" x14ac:dyDescent="0.25"/>
    <row r="4104" ht="15" x14ac:dyDescent="0.25"/>
    <row r="4105" ht="15" x14ac:dyDescent="0.25"/>
    <row r="4106" ht="15" x14ac:dyDescent="0.25"/>
    <row r="4107" ht="15" x14ac:dyDescent="0.25"/>
    <row r="4108" ht="15" x14ac:dyDescent="0.25"/>
    <row r="4109" ht="15" x14ac:dyDescent="0.25"/>
    <row r="4110" ht="15" x14ac:dyDescent="0.25"/>
    <row r="4111" ht="15" x14ac:dyDescent="0.25"/>
    <row r="4112" ht="15" x14ac:dyDescent="0.25"/>
    <row r="4113" ht="15" x14ac:dyDescent="0.25"/>
    <row r="4114" ht="15" x14ac:dyDescent="0.25"/>
    <row r="4115" ht="15" x14ac:dyDescent="0.25"/>
    <row r="4116" ht="15" x14ac:dyDescent="0.25"/>
    <row r="4117" ht="15" x14ac:dyDescent="0.25"/>
    <row r="4118" ht="15" x14ac:dyDescent="0.25"/>
    <row r="4119" ht="15" x14ac:dyDescent="0.25"/>
    <row r="4120" ht="15" x14ac:dyDescent="0.25"/>
    <row r="4121" ht="15" x14ac:dyDescent="0.25"/>
    <row r="4122" ht="15" x14ac:dyDescent="0.25"/>
    <row r="4123" ht="15" x14ac:dyDescent="0.25"/>
    <row r="4124" ht="15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15" x14ac:dyDescent="0.25"/>
    <row r="4142" ht="15" x14ac:dyDescent="0.25"/>
    <row r="4143" ht="15" x14ac:dyDescent="0.25"/>
    <row r="4144" ht="15" x14ac:dyDescent="0.25"/>
    <row r="4145" ht="15" x14ac:dyDescent="0.25"/>
    <row r="4146" ht="15" x14ac:dyDescent="0.25"/>
    <row r="4147" ht="15" x14ac:dyDescent="0.25"/>
    <row r="4148" ht="15" x14ac:dyDescent="0.25"/>
    <row r="4149" ht="15" x14ac:dyDescent="0.25"/>
    <row r="4150" ht="15" x14ac:dyDescent="0.25"/>
    <row r="4151" ht="15" x14ac:dyDescent="0.25"/>
    <row r="4152" ht="15" x14ac:dyDescent="0.25"/>
    <row r="4153" ht="15" x14ac:dyDescent="0.25"/>
    <row r="4154" ht="15" x14ac:dyDescent="0.25"/>
    <row r="4155" ht="15" x14ac:dyDescent="0.25"/>
    <row r="4156" ht="15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15" x14ac:dyDescent="0.25"/>
    <row r="4190" ht="15" x14ac:dyDescent="0.25"/>
    <row r="4191" ht="15" x14ac:dyDescent="0.25"/>
    <row r="4192" ht="15" x14ac:dyDescent="0.25"/>
    <row r="4193" ht="15" x14ac:dyDescent="0.25"/>
    <row r="4194" ht="15" x14ac:dyDescent="0.25"/>
    <row r="4195" ht="15" x14ac:dyDescent="0.25"/>
    <row r="4196" ht="15" x14ac:dyDescent="0.25"/>
    <row r="4197" ht="15" x14ac:dyDescent="0.25"/>
    <row r="4198" ht="15" x14ac:dyDescent="0.25"/>
    <row r="4199" ht="15" x14ac:dyDescent="0.25"/>
    <row r="4200" ht="15" x14ac:dyDescent="0.25"/>
    <row r="4201" ht="15" x14ac:dyDescent="0.25"/>
    <row r="4202" ht="15" x14ac:dyDescent="0.25"/>
    <row r="4203" ht="15" x14ac:dyDescent="0.25"/>
    <row r="4204" ht="15" x14ac:dyDescent="0.25"/>
    <row r="4205" ht="15" x14ac:dyDescent="0.25"/>
    <row r="4206" ht="15" x14ac:dyDescent="0.25"/>
    <row r="4207" ht="15" x14ac:dyDescent="0.25"/>
    <row r="4208" ht="15" x14ac:dyDescent="0.25"/>
    <row r="4209" ht="15" x14ac:dyDescent="0.25"/>
    <row r="4210" ht="15" x14ac:dyDescent="0.25"/>
    <row r="4211" ht="15" x14ac:dyDescent="0.25"/>
    <row r="4212" ht="15" x14ac:dyDescent="0.25"/>
    <row r="4213" ht="15" x14ac:dyDescent="0.25"/>
    <row r="4214" ht="15" x14ac:dyDescent="0.25"/>
    <row r="4215" ht="15" x14ac:dyDescent="0.25"/>
    <row r="4216" ht="15" x14ac:dyDescent="0.25"/>
    <row r="4217" ht="15" x14ac:dyDescent="0.25"/>
    <row r="4218" ht="15" x14ac:dyDescent="0.25"/>
    <row r="4219" ht="15" x14ac:dyDescent="0.25"/>
    <row r="4220" ht="15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15" x14ac:dyDescent="0.25"/>
    <row r="4238" ht="15" x14ac:dyDescent="0.25"/>
    <row r="4239" ht="15" x14ac:dyDescent="0.25"/>
    <row r="4240" ht="15" x14ac:dyDescent="0.25"/>
    <row r="4241" ht="15" x14ac:dyDescent="0.25"/>
    <row r="4242" ht="15" x14ac:dyDescent="0.25"/>
    <row r="4243" ht="15" x14ac:dyDescent="0.25"/>
    <row r="4244" ht="15" x14ac:dyDescent="0.25"/>
    <row r="4245" ht="15" x14ac:dyDescent="0.25"/>
    <row r="4246" ht="15" x14ac:dyDescent="0.25"/>
    <row r="4247" ht="15" x14ac:dyDescent="0.25"/>
    <row r="4248" ht="15" x14ac:dyDescent="0.25"/>
    <row r="4249" ht="15" x14ac:dyDescent="0.25"/>
    <row r="4250" ht="15" x14ac:dyDescent="0.25"/>
    <row r="4251" ht="15" x14ac:dyDescent="0.25"/>
    <row r="4252" ht="15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15" x14ac:dyDescent="0.25"/>
    <row r="4302" ht="15" x14ac:dyDescent="0.25"/>
    <row r="4303" ht="15" x14ac:dyDescent="0.25"/>
    <row r="4304" ht="15" x14ac:dyDescent="0.25"/>
    <row r="4305" ht="15" x14ac:dyDescent="0.25"/>
    <row r="4306" ht="15" x14ac:dyDescent="0.25"/>
    <row r="4307" ht="15" x14ac:dyDescent="0.25"/>
    <row r="4308" ht="15" x14ac:dyDescent="0.25"/>
    <row r="4309" ht="15" x14ac:dyDescent="0.25"/>
    <row r="4310" ht="15" x14ac:dyDescent="0.25"/>
    <row r="4311" ht="15" x14ac:dyDescent="0.25"/>
    <row r="4312" ht="15" x14ac:dyDescent="0.25"/>
    <row r="4313" ht="15" x14ac:dyDescent="0.25"/>
    <row r="4314" ht="15" x14ac:dyDescent="0.25"/>
    <row r="4315" ht="15" x14ac:dyDescent="0.25"/>
    <row r="4316" ht="15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15" x14ac:dyDescent="0.25"/>
    <row r="4414" ht="15" x14ac:dyDescent="0.25"/>
    <row r="4415" ht="15" x14ac:dyDescent="0.25"/>
    <row r="4416" ht="15" x14ac:dyDescent="0.25"/>
    <row r="4417" ht="15" x14ac:dyDescent="0.25"/>
    <row r="4418" ht="15" x14ac:dyDescent="0.25"/>
    <row r="4419" ht="15" x14ac:dyDescent="0.25"/>
    <row r="4420" ht="15" x14ac:dyDescent="0.25"/>
    <row r="4421" ht="15" x14ac:dyDescent="0.25"/>
    <row r="4422" ht="15" x14ac:dyDescent="0.25"/>
    <row r="4423" ht="15" x14ac:dyDescent="0.25"/>
    <row r="4424" ht="15" x14ac:dyDescent="0.25"/>
    <row r="4425" ht="15" x14ac:dyDescent="0.25"/>
    <row r="4426" ht="15" x14ac:dyDescent="0.25"/>
    <row r="4427" ht="15" x14ac:dyDescent="0.25"/>
    <row r="4428" ht="15" x14ac:dyDescent="0.25"/>
    <row r="4429" ht="15" x14ac:dyDescent="0.25"/>
    <row r="4430" ht="15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15" x14ac:dyDescent="0.25"/>
    <row r="4448" ht="15" x14ac:dyDescent="0.25"/>
    <row r="4449" ht="15" x14ac:dyDescent="0.25"/>
    <row r="4450" ht="15" x14ac:dyDescent="0.25"/>
    <row r="4451" ht="15" x14ac:dyDescent="0.25"/>
    <row r="4452" ht="15" x14ac:dyDescent="0.25"/>
    <row r="4453" ht="15" x14ac:dyDescent="0.25"/>
    <row r="4454" ht="15" x14ac:dyDescent="0.25"/>
    <row r="4455" ht="15" x14ac:dyDescent="0.25"/>
    <row r="4456" ht="15" x14ac:dyDescent="0.25"/>
    <row r="4457" ht="15" x14ac:dyDescent="0.25"/>
    <row r="4458" ht="15" x14ac:dyDescent="0.25"/>
    <row r="4459" ht="15" x14ac:dyDescent="0.25"/>
    <row r="4460" ht="15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15" x14ac:dyDescent="0.25"/>
    <row r="4478" ht="15" x14ac:dyDescent="0.25"/>
    <row r="4479" ht="15" x14ac:dyDescent="0.25"/>
    <row r="4480" ht="15" x14ac:dyDescent="0.25"/>
    <row r="4481" ht="15" x14ac:dyDescent="0.25"/>
    <row r="4482" ht="15" x14ac:dyDescent="0.25"/>
    <row r="4483" ht="15" x14ac:dyDescent="0.25"/>
    <row r="4484" ht="15" x14ac:dyDescent="0.25"/>
    <row r="4485" ht="15" x14ac:dyDescent="0.25"/>
    <row r="4486" ht="15" x14ac:dyDescent="0.25"/>
    <row r="4487" ht="15" x14ac:dyDescent="0.25"/>
    <row r="4488" ht="15" x14ac:dyDescent="0.25"/>
    <row r="4489" ht="15" x14ac:dyDescent="0.25"/>
    <row r="4490" ht="15" x14ac:dyDescent="0.25"/>
    <row r="4491" ht="15" x14ac:dyDescent="0.25"/>
    <row r="4492" ht="15" x14ac:dyDescent="0.25"/>
    <row r="4493" ht="15" x14ac:dyDescent="0.25"/>
    <row r="4494" ht="15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15" x14ac:dyDescent="0.25"/>
    <row r="4512" ht="15" x14ac:dyDescent="0.25"/>
    <row r="4513" ht="15" x14ac:dyDescent="0.25"/>
    <row r="4514" ht="15" x14ac:dyDescent="0.25"/>
    <row r="4515" ht="15" x14ac:dyDescent="0.25"/>
    <row r="4516" ht="15" x14ac:dyDescent="0.25"/>
    <row r="4517" ht="15" x14ac:dyDescent="0.25"/>
    <row r="4518" ht="15" x14ac:dyDescent="0.25"/>
    <row r="4519" ht="15" x14ac:dyDescent="0.25"/>
    <row r="4520" ht="15" x14ac:dyDescent="0.25"/>
    <row r="4521" ht="15" x14ac:dyDescent="0.25"/>
    <row r="4522" ht="15" x14ac:dyDescent="0.25"/>
    <row r="4523" ht="15" x14ac:dyDescent="0.25"/>
    <row r="4524" ht="15" x14ac:dyDescent="0.25"/>
    <row r="4525" ht="15" x14ac:dyDescent="0.25"/>
    <row r="4526" ht="15" x14ac:dyDescent="0.25"/>
    <row r="4527" ht="15" x14ac:dyDescent="0.25"/>
    <row r="4528" ht="15" x14ac:dyDescent="0.25"/>
    <row r="4529" ht="15" x14ac:dyDescent="0.25"/>
    <row r="4530" ht="15" x14ac:dyDescent="0.25"/>
    <row r="4531" ht="15" x14ac:dyDescent="0.25"/>
    <row r="4532" ht="15" x14ac:dyDescent="0.25"/>
    <row r="4533" ht="15" x14ac:dyDescent="0.25"/>
    <row r="4534" ht="15" x14ac:dyDescent="0.25"/>
    <row r="4535" ht="15" x14ac:dyDescent="0.25"/>
    <row r="4536" ht="15" x14ac:dyDescent="0.25"/>
    <row r="4537" ht="15" x14ac:dyDescent="0.25"/>
    <row r="4538" ht="15" x14ac:dyDescent="0.25"/>
    <row r="4539" ht="15" x14ac:dyDescent="0.25"/>
    <row r="4540" ht="15" x14ac:dyDescent="0.25"/>
    <row r="4541" ht="15" x14ac:dyDescent="0.25"/>
    <row r="4542" ht="15" x14ac:dyDescent="0.25"/>
    <row r="4543" ht="15" x14ac:dyDescent="0.25"/>
    <row r="4544" ht="15" x14ac:dyDescent="0.25"/>
    <row r="4545" ht="15" x14ac:dyDescent="0.25"/>
    <row r="4546" ht="15" x14ac:dyDescent="0.25"/>
    <row r="4547" ht="15" x14ac:dyDescent="0.25"/>
    <row r="4548" ht="15" x14ac:dyDescent="0.25"/>
    <row r="4549" ht="15" x14ac:dyDescent="0.25"/>
    <row r="4550" ht="15" x14ac:dyDescent="0.25"/>
    <row r="4551" ht="15" x14ac:dyDescent="0.25"/>
    <row r="4552" ht="15" x14ac:dyDescent="0.25"/>
    <row r="4553" ht="15" x14ac:dyDescent="0.25"/>
    <row r="4554" ht="15" x14ac:dyDescent="0.25"/>
    <row r="4555" ht="15" x14ac:dyDescent="0.25"/>
    <row r="4556" ht="15" x14ac:dyDescent="0.25"/>
    <row r="4557" ht="15" x14ac:dyDescent="0.25"/>
    <row r="4558" ht="15" x14ac:dyDescent="0.25"/>
    <row r="4559" ht="15" x14ac:dyDescent="0.25"/>
    <row r="4560" ht="15" x14ac:dyDescent="0.25"/>
    <row r="4561" ht="15" x14ac:dyDescent="0.25"/>
    <row r="4562" ht="15" x14ac:dyDescent="0.25"/>
    <row r="4563" ht="15" x14ac:dyDescent="0.25"/>
    <row r="4564" ht="15" x14ac:dyDescent="0.25"/>
    <row r="4565" ht="15" x14ac:dyDescent="0.25"/>
    <row r="4566" ht="15" x14ac:dyDescent="0.25"/>
    <row r="4567" ht="15" x14ac:dyDescent="0.25"/>
    <row r="4568" ht="15" x14ac:dyDescent="0.25"/>
    <row r="4569" ht="15" x14ac:dyDescent="0.25"/>
    <row r="4570" ht="15" x14ac:dyDescent="0.25"/>
    <row r="4571" ht="15" x14ac:dyDescent="0.25"/>
    <row r="4572" ht="15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15" x14ac:dyDescent="0.25"/>
    <row r="4590" ht="15" x14ac:dyDescent="0.25"/>
    <row r="4591" ht="15" x14ac:dyDescent="0.25"/>
    <row r="4592" ht="15" x14ac:dyDescent="0.25"/>
    <row r="4593" ht="15" x14ac:dyDescent="0.25"/>
    <row r="4594" ht="15" x14ac:dyDescent="0.25"/>
    <row r="4595" ht="15" x14ac:dyDescent="0.25"/>
    <row r="4596" ht="15" x14ac:dyDescent="0.25"/>
    <row r="4597" ht="15" x14ac:dyDescent="0.25"/>
    <row r="4598" ht="15" x14ac:dyDescent="0.25"/>
    <row r="4599" ht="15" x14ac:dyDescent="0.25"/>
    <row r="4600" ht="15" x14ac:dyDescent="0.25"/>
    <row r="4601" ht="15" x14ac:dyDescent="0.25"/>
    <row r="4602" ht="15" x14ac:dyDescent="0.25"/>
    <row r="4603" ht="15" x14ac:dyDescent="0.25"/>
    <row r="4604" ht="15" x14ac:dyDescent="0.25"/>
    <row r="4605" ht="15" x14ac:dyDescent="0.25"/>
    <row r="4606" ht="15" x14ac:dyDescent="0.25"/>
    <row r="4607" ht="15" x14ac:dyDescent="0.25"/>
    <row r="4608" ht="15" x14ac:dyDescent="0.25"/>
    <row r="4609" ht="15" x14ac:dyDescent="0.25"/>
    <row r="4610" ht="15" x14ac:dyDescent="0.25"/>
    <row r="4611" ht="15" x14ac:dyDescent="0.25"/>
    <row r="4612" ht="15" x14ac:dyDescent="0.25"/>
    <row r="4613" ht="15" x14ac:dyDescent="0.25"/>
    <row r="4614" ht="15" x14ac:dyDescent="0.25"/>
    <row r="4615" ht="15" x14ac:dyDescent="0.25"/>
    <row r="4616" ht="15" x14ac:dyDescent="0.25"/>
    <row r="4617" ht="15" x14ac:dyDescent="0.25"/>
    <row r="4618" ht="15" x14ac:dyDescent="0.25"/>
    <row r="4619" ht="15" x14ac:dyDescent="0.25"/>
    <row r="4620" ht="15" x14ac:dyDescent="0.25"/>
    <row r="4621" ht="15" x14ac:dyDescent="0.25"/>
    <row r="4622" ht="15" x14ac:dyDescent="0.25"/>
    <row r="4623" ht="15" x14ac:dyDescent="0.25"/>
    <row r="4624" ht="15" x14ac:dyDescent="0.25"/>
    <row r="4625" ht="15" x14ac:dyDescent="0.25"/>
    <row r="4626" ht="15" x14ac:dyDescent="0.25"/>
    <row r="4627" ht="15" x14ac:dyDescent="0.25"/>
    <row r="4628" ht="15" x14ac:dyDescent="0.25"/>
    <row r="4629" ht="15" x14ac:dyDescent="0.25"/>
    <row r="4630" ht="15" x14ac:dyDescent="0.25"/>
    <row r="4631" ht="15" x14ac:dyDescent="0.25"/>
    <row r="4632" ht="15" x14ac:dyDescent="0.25"/>
    <row r="4633" ht="15" x14ac:dyDescent="0.25"/>
    <row r="4634" ht="15" x14ac:dyDescent="0.25"/>
    <row r="4635" ht="15" x14ac:dyDescent="0.25"/>
    <row r="4636" ht="15" x14ac:dyDescent="0.25"/>
    <row r="4637" ht="15" x14ac:dyDescent="0.25"/>
    <row r="4638" ht="15" x14ac:dyDescent="0.25"/>
    <row r="4639" ht="15" x14ac:dyDescent="0.25"/>
    <row r="4640" ht="15" x14ac:dyDescent="0.25"/>
    <row r="4641" ht="15" x14ac:dyDescent="0.25"/>
    <row r="4642" ht="15" x14ac:dyDescent="0.25"/>
    <row r="4643" ht="15" x14ac:dyDescent="0.25"/>
    <row r="4644" ht="15" x14ac:dyDescent="0.25"/>
    <row r="4645" ht="15" x14ac:dyDescent="0.25"/>
    <row r="4646" ht="15" x14ac:dyDescent="0.25"/>
    <row r="4647" ht="15" x14ac:dyDescent="0.25"/>
    <row r="4648" ht="15" x14ac:dyDescent="0.25"/>
    <row r="4649" ht="15" x14ac:dyDescent="0.25"/>
    <row r="4650" ht="15" x14ac:dyDescent="0.25"/>
    <row r="4651" ht="15" x14ac:dyDescent="0.25"/>
    <row r="4652" ht="15" x14ac:dyDescent="0.25"/>
    <row r="4653" ht="15" x14ac:dyDescent="0.25"/>
    <row r="4654" ht="15" x14ac:dyDescent="0.25"/>
    <row r="4655" ht="15" x14ac:dyDescent="0.25"/>
  </sheetData>
  <autoFilter ref="A3:AL2905" xr:uid="{00000000-0009-0000-0000-000011000000}">
    <filterColumn colId="1" showButton="0"/>
  </autoFilter>
  <sortState xmlns:xlrd2="http://schemas.microsoft.com/office/spreadsheetml/2017/richdata2" ref="A713:AH1137">
    <sortCondition sortBy="cellColor" ref="E713:E1137" dxfId="0"/>
  </sortState>
  <mergeCells count="1">
    <mergeCell ref="A2:E2"/>
  </mergeCells>
  <pageMargins left="0.75" right="0.75" top="1" bottom="1" header="0.5" footer="0.5"/>
  <pageSetup orientation="landscape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AH571"/>
  <sheetViews>
    <sheetView workbookViewId="0">
      <selection activeCell="AA243" sqref="AA243:AA258"/>
    </sheetView>
  </sheetViews>
  <sheetFormatPr defaultRowHeight="15" x14ac:dyDescent="0.25"/>
  <cols>
    <col min="1" max="1" width="11.85546875" bestFit="1" customWidth="1"/>
    <col min="2" max="2" width="10" bestFit="1" customWidth="1"/>
    <col min="3" max="3" width="31.7109375" bestFit="1" customWidth="1"/>
    <col min="4" max="4" width="21.140625" bestFit="1" customWidth="1"/>
    <col min="5" max="5" width="14.85546875" bestFit="1" customWidth="1"/>
    <col min="6" max="6" width="27" customWidth="1"/>
    <col min="7" max="7" width="12.5703125" customWidth="1"/>
    <col min="8" max="8" width="10.85546875" customWidth="1"/>
    <col min="9" max="9" width="10.28515625" customWidth="1"/>
    <col min="10" max="10" width="18" customWidth="1"/>
    <col min="11" max="12" width="14.85546875" customWidth="1"/>
    <col min="13" max="13" width="13.5703125" customWidth="1"/>
    <col min="14" max="14" width="13.140625" customWidth="1"/>
    <col min="15" max="15" width="12.42578125" customWidth="1"/>
    <col min="16" max="16" width="4.5703125" customWidth="1"/>
    <col min="17" max="17" width="6.28515625" customWidth="1"/>
    <col min="18" max="18" width="15.140625" customWidth="1"/>
    <col min="19" max="19" width="12.85546875" customWidth="1"/>
    <col min="20" max="20" width="18.85546875" customWidth="1"/>
    <col min="21" max="21" width="18.28515625" customWidth="1"/>
    <col min="22" max="22" width="10.7109375" customWidth="1"/>
    <col min="23" max="23" width="15.42578125" customWidth="1"/>
    <col min="24" max="24" width="11.42578125" customWidth="1"/>
    <col min="25" max="25" width="9.7109375" customWidth="1"/>
    <col min="26" max="26" width="11" customWidth="1"/>
    <col min="27" max="27" width="15.42578125" bestFit="1" customWidth="1"/>
    <col min="28" max="28" width="11.28515625" customWidth="1"/>
    <col min="29" max="29" width="16.5703125" customWidth="1"/>
    <col min="30" max="30" width="14.85546875" customWidth="1"/>
    <col min="31" max="31" width="14.42578125" customWidth="1"/>
    <col min="32" max="32" width="7.85546875" customWidth="1"/>
    <col min="33" max="33" width="11.7109375" customWidth="1"/>
    <col min="34" max="34" width="14.42578125" customWidth="1"/>
    <col min="35" max="35" width="9.28515625" bestFit="1" customWidth="1"/>
  </cols>
  <sheetData>
    <row r="1" spans="1:34" ht="34.5" thickBot="1" x14ac:dyDescent="0.3">
      <c r="A1" s="939"/>
      <c r="B1" s="940"/>
      <c r="C1" s="940"/>
      <c r="D1" s="940"/>
      <c r="E1" s="941"/>
      <c r="F1" s="52"/>
      <c r="G1" s="51" t="s">
        <v>807</v>
      </c>
      <c r="H1" s="51" t="s">
        <v>808</v>
      </c>
      <c r="I1" s="51" t="s">
        <v>809</v>
      </c>
      <c r="J1" s="51" t="s">
        <v>810</v>
      </c>
      <c r="K1" s="51" t="s">
        <v>811</v>
      </c>
      <c r="L1" s="51" t="s">
        <v>812</v>
      </c>
      <c r="M1" s="51" t="s">
        <v>942</v>
      </c>
      <c r="N1" s="51" t="s">
        <v>3</v>
      </c>
      <c r="O1" s="51" t="s">
        <v>2</v>
      </c>
      <c r="P1" s="51" t="s">
        <v>4</v>
      </c>
      <c r="Q1" s="51" t="s">
        <v>6</v>
      </c>
      <c r="R1" s="51" t="s">
        <v>813</v>
      </c>
      <c r="S1" s="51" t="s">
        <v>5</v>
      </c>
      <c r="T1" s="51" t="s">
        <v>943</v>
      </c>
      <c r="U1" s="51" t="s">
        <v>814</v>
      </c>
      <c r="V1" s="51" t="s">
        <v>944</v>
      </c>
      <c r="W1" s="51" t="s">
        <v>945</v>
      </c>
      <c r="X1" s="51" t="s">
        <v>815</v>
      </c>
      <c r="Y1" s="51" t="s">
        <v>816</v>
      </c>
      <c r="Z1" s="51" t="s">
        <v>817</v>
      </c>
      <c r="AA1" s="51" t="s">
        <v>818</v>
      </c>
      <c r="AB1" s="51" t="s">
        <v>317</v>
      </c>
      <c r="AC1" s="51" t="s">
        <v>819</v>
      </c>
      <c r="AD1" s="51" t="s">
        <v>820</v>
      </c>
      <c r="AE1" s="51" t="s">
        <v>77</v>
      </c>
      <c r="AF1" s="51" t="s">
        <v>78</v>
      </c>
      <c r="AG1" s="51" t="s">
        <v>946</v>
      </c>
      <c r="AH1" s="51" t="s">
        <v>80</v>
      </c>
    </row>
    <row r="2" spans="1:34" ht="15.75" thickBot="1" x14ac:dyDescent="0.3">
      <c r="A2" s="51" t="s">
        <v>81</v>
      </c>
      <c r="B2" s="942" t="s">
        <v>8</v>
      </c>
      <c r="C2" s="943"/>
      <c r="D2" s="51" t="s">
        <v>7</v>
      </c>
      <c r="E2" s="51" t="s">
        <v>267</v>
      </c>
      <c r="F2" s="51" t="s">
        <v>967</v>
      </c>
      <c r="G2" s="52"/>
      <c r="H2" s="52" t="s">
        <v>10</v>
      </c>
      <c r="I2" s="150"/>
      <c r="J2" s="150"/>
      <c r="K2" s="150"/>
      <c r="L2" s="150"/>
      <c r="M2" s="52" t="s">
        <v>11</v>
      </c>
      <c r="N2" s="150"/>
      <c r="O2" s="150"/>
      <c r="P2" s="150"/>
      <c r="Q2" s="150"/>
      <c r="R2" s="150"/>
      <c r="S2" s="150"/>
      <c r="T2" s="150"/>
      <c r="U2" s="150"/>
      <c r="V2" s="150"/>
      <c r="W2" s="52" t="s">
        <v>11</v>
      </c>
      <c r="X2" s="52" t="s">
        <v>11</v>
      </c>
      <c r="Y2" s="52" t="s">
        <v>11</v>
      </c>
      <c r="Z2" s="52" t="s">
        <v>11</v>
      </c>
      <c r="AA2" s="52" t="s">
        <v>11</v>
      </c>
      <c r="AB2" s="52" t="s">
        <v>11</v>
      </c>
      <c r="AC2" s="52" t="s">
        <v>11</v>
      </c>
      <c r="AD2" s="52" t="s">
        <v>11</v>
      </c>
      <c r="AE2" s="52" t="s">
        <v>11</v>
      </c>
      <c r="AF2" s="150"/>
      <c r="AG2" s="52" t="s">
        <v>11</v>
      </c>
      <c r="AH2" s="52" t="s">
        <v>11</v>
      </c>
    </row>
    <row r="3" spans="1:34" ht="15.75" thickBot="1" x14ac:dyDescent="0.3">
      <c r="A3" s="51" t="s">
        <v>844</v>
      </c>
      <c r="B3" s="51" t="s">
        <v>34</v>
      </c>
      <c r="C3" s="51" t="s">
        <v>437</v>
      </c>
      <c r="D3" s="51" t="s">
        <v>318</v>
      </c>
      <c r="E3" s="51" t="s">
        <v>109</v>
      </c>
      <c r="F3" s="51" t="s">
        <v>968</v>
      </c>
      <c r="G3" s="147">
        <v>7</v>
      </c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822"/>
      <c r="X3" s="822"/>
      <c r="Y3" s="54">
        <v>81.150000000000006</v>
      </c>
      <c r="Z3" s="822"/>
      <c r="AA3" s="822"/>
      <c r="AB3" s="822"/>
      <c r="AC3" s="822"/>
      <c r="AD3" s="822"/>
      <c r="AE3" s="54">
        <v>0.48</v>
      </c>
      <c r="AF3" s="822"/>
      <c r="AG3" s="54">
        <v>81.63</v>
      </c>
      <c r="AH3" s="54">
        <v>0</v>
      </c>
    </row>
    <row r="4" spans="1:34" ht="15.75" thickBot="1" x14ac:dyDescent="0.3">
      <c r="A4" s="51" t="s">
        <v>844</v>
      </c>
      <c r="B4" s="51" t="s">
        <v>34</v>
      </c>
      <c r="C4" s="51" t="s">
        <v>437</v>
      </c>
      <c r="D4" s="51" t="s">
        <v>318</v>
      </c>
      <c r="E4" s="51" t="s">
        <v>272</v>
      </c>
      <c r="F4" s="51" t="s">
        <v>969</v>
      </c>
      <c r="G4" s="147">
        <v>7</v>
      </c>
      <c r="H4" s="822"/>
      <c r="I4" s="822"/>
      <c r="J4" s="822"/>
      <c r="K4" s="822"/>
      <c r="L4" s="822"/>
      <c r="M4" s="822"/>
      <c r="N4" s="822"/>
      <c r="O4" s="822"/>
      <c r="P4" s="822"/>
      <c r="Q4" s="822"/>
      <c r="R4" s="822"/>
      <c r="S4" s="822"/>
      <c r="T4" s="822"/>
      <c r="U4" s="822"/>
      <c r="V4" s="822"/>
      <c r="W4" s="822"/>
      <c r="X4" s="822"/>
      <c r="Y4" s="54">
        <v>5250</v>
      </c>
      <c r="Z4" s="822"/>
      <c r="AA4" s="822"/>
      <c r="AB4" s="822"/>
      <c r="AC4" s="822"/>
      <c r="AD4" s="822"/>
      <c r="AE4" s="54">
        <v>45.01</v>
      </c>
      <c r="AF4" s="822"/>
      <c r="AG4" s="54">
        <v>5295.01</v>
      </c>
      <c r="AH4" s="54">
        <v>0</v>
      </c>
    </row>
    <row r="5" spans="1:34" ht="15.75" thickBot="1" x14ac:dyDescent="0.3">
      <c r="A5" s="51" t="s">
        <v>844</v>
      </c>
      <c r="B5" s="51" t="s">
        <v>34</v>
      </c>
      <c r="C5" s="51" t="s">
        <v>437</v>
      </c>
      <c r="D5" s="51" t="s">
        <v>318</v>
      </c>
      <c r="E5" s="51" t="s">
        <v>265</v>
      </c>
      <c r="F5" s="51" t="s">
        <v>266</v>
      </c>
      <c r="G5" s="147">
        <v>7</v>
      </c>
      <c r="H5" s="54">
        <v>450864</v>
      </c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54">
        <v>1713.3</v>
      </c>
      <c r="Z5" s="822"/>
      <c r="AA5" s="822"/>
      <c r="AB5" s="822"/>
      <c r="AC5" s="822"/>
      <c r="AD5" s="822"/>
      <c r="AE5" s="54">
        <v>10.16</v>
      </c>
      <c r="AF5" s="822"/>
      <c r="AG5" s="54">
        <v>1723.46</v>
      </c>
      <c r="AH5" s="54">
        <v>0</v>
      </c>
    </row>
    <row r="6" spans="1:34" ht="15.75" thickBot="1" x14ac:dyDescent="0.3">
      <c r="A6" s="51" t="s">
        <v>844</v>
      </c>
      <c r="B6" s="51" t="s">
        <v>34</v>
      </c>
      <c r="C6" s="51" t="s">
        <v>437</v>
      </c>
      <c r="D6" s="51" t="s">
        <v>318</v>
      </c>
      <c r="E6" s="51" t="s">
        <v>621</v>
      </c>
      <c r="F6" s="51" t="s">
        <v>970</v>
      </c>
      <c r="G6" s="147">
        <v>7</v>
      </c>
      <c r="H6" s="822"/>
      <c r="I6" s="822"/>
      <c r="J6" s="822"/>
      <c r="K6" s="822"/>
      <c r="L6" s="822"/>
      <c r="M6" s="822"/>
      <c r="N6" s="822"/>
      <c r="O6" s="822"/>
      <c r="P6" s="822"/>
      <c r="Q6" s="822"/>
      <c r="R6" s="822"/>
      <c r="S6" s="822"/>
      <c r="T6" s="822"/>
      <c r="U6" s="822"/>
      <c r="V6" s="822"/>
      <c r="W6" s="822"/>
      <c r="X6" s="822"/>
      <c r="Y6" s="822"/>
      <c r="Z6" s="822"/>
      <c r="AA6" s="822"/>
      <c r="AB6" s="822"/>
      <c r="AC6" s="822"/>
      <c r="AD6" s="822"/>
      <c r="AE6" s="54">
        <v>1.28</v>
      </c>
      <c r="AF6" s="822"/>
      <c r="AG6" s="54">
        <v>217.7</v>
      </c>
      <c r="AH6" s="149">
        <v>216.42</v>
      </c>
    </row>
    <row r="7" spans="1:34" ht="15.75" thickBot="1" x14ac:dyDescent="0.3">
      <c r="A7" s="51" t="s">
        <v>844</v>
      </c>
      <c r="B7" s="51" t="s">
        <v>34</v>
      </c>
      <c r="C7" s="51" t="s">
        <v>437</v>
      </c>
      <c r="D7" s="51" t="s">
        <v>318</v>
      </c>
      <c r="E7" s="51" t="s">
        <v>268</v>
      </c>
      <c r="F7" s="51" t="s">
        <v>971</v>
      </c>
      <c r="G7" s="147">
        <v>7</v>
      </c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822"/>
      <c r="AB7" s="822"/>
      <c r="AC7" s="54">
        <v>3850</v>
      </c>
      <c r="AD7" s="822"/>
      <c r="AE7" s="54">
        <v>33</v>
      </c>
      <c r="AF7" s="822"/>
      <c r="AG7" s="54">
        <v>3883</v>
      </c>
      <c r="AH7" s="54">
        <v>0</v>
      </c>
    </row>
    <row r="8" spans="1:34" ht="15.75" thickBot="1" x14ac:dyDescent="0.3">
      <c r="A8" s="51" t="s">
        <v>844</v>
      </c>
      <c r="B8" s="51" t="s">
        <v>34</v>
      </c>
      <c r="C8" s="51" t="s">
        <v>437</v>
      </c>
      <c r="D8" s="51" t="s">
        <v>318</v>
      </c>
      <c r="E8" s="51" t="s">
        <v>914</v>
      </c>
      <c r="F8" s="51" t="s">
        <v>266</v>
      </c>
      <c r="G8" s="147">
        <v>7</v>
      </c>
      <c r="H8" s="822"/>
      <c r="I8" s="822"/>
      <c r="J8" s="822"/>
      <c r="K8" s="822"/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822"/>
      <c r="W8" s="822"/>
      <c r="X8" s="822"/>
      <c r="Y8" s="54">
        <v>10099.32</v>
      </c>
      <c r="Z8" s="822"/>
      <c r="AA8" s="822"/>
      <c r="AB8" s="822"/>
      <c r="AC8" s="822"/>
      <c r="AD8" s="822"/>
      <c r="AE8" s="54">
        <v>55.39</v>
      </c>
      <c r="AF8" s="822"/>
      <c r="AG8" s="54">
        <v>10154.709999999999</v>
      </c>
      <c r="AH8" s="54">
        <v>0</v>
      </c>
    </row>
    <row r="9" spans="1:34" ht="15.75" thickBot="1" x14ac:dyDescent="0.3">
      <c r="A9" s="51" t="s">
        <v>844</v>
      </c>
      <c r="B9" s="51" t="s">
        <v>34</v>
      </c>
      <c r="C9" s="51" t="s">
        <v>437</v>
      </c>
      <c r="D9" s="51" t="s">
        <v>319</v>
      </c>
      <c r="E9" s="51" t="s">
        <v>109</v>
      </c>
      <c r="F9" s="51" t="s">
        <v>968</v>
      </c>
      <c r="G9" s="148">
        <v>2</v>
      </c>
      <c r="H9" s="823"/>
      <c r="I9" s="823"/>
      <c r="J9" s="823"/>
      <c r="K9" s="823"/>
      <c r="L9" s="823"/>
      <c r="M9" s="823"/>
      <c r="N9" s="823"/>
      <c r="O9" s="823"/>
      <c r="P9" s="823"/>
      <c r="Q9" s="823"/>
      <c r="R9" s="823"/>
      <c r="S9" s="823"/>
      <c r="T9" s="823"/>
      <c r="U9" s="823"/>
      <c r="V9" s="823"/>
      <c r="W9" s="823"/>
      <c r="X9" s="823"/>
      <c r="Y9" s="56">
        <v>29.07</v>
      </c>
      <c r="Z9" s="823"/>
      <c r="AA9" s="823"/>
      <c r="AB9" s="823"/>
      <c r="AC9" s="823"/>
      <c r="AD9" s="823"/>
      <c r="AE9" s="56">
        <v>0.72</v>
      </c>
      <c r="AF9" s="823"/>
      <c r="AG9" s="56">
        <v>29.79</v>
      </c>
      <c r="AH9" s="56">
        <v>0</v>
      </c>
    </row>
    <row r="10" spans="1:34" ht="15.75" thickBot="1" x14ac:dyDescent="0.3">
      <c r="A10" s="51" t="s">
        <v>844</v>
      </c>
      <c r="B10" s="51" t="s">
        <v>34</v>
      </c>
      <c r="C10" s="51" t="s">
        <v>437</v>
      </c>
      <c r="D10" s="51" t="s">
        <v>319</v>
      </c>
      <c r="E10" s="51" t="s">
        <v>269</v>
      </c>
      <c r="F10" s="51" t="s">
        <v>972</v>
      </c>
      <c r="G10" s="148">
        <v>1</v>
      </c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56">
        <v>-423.02</v>
      </c>
      <c r="AA10" s="823"/>
      <c r="AB10" s="823"/>
      <c r="AC10" s="823"/>
      <c r="AD10" s="823"/>
      <c r="AE10" s="56">
        <v>-12.69</v>
      </c>
      <c r="AF10" s="823"/>
      <c r="AG10" s="56">
        <v>-435.71</v>
      </c>
      <c r="AH10" s="56">
        <v>0</v>
      </c>
    </row>
    <row r="11" spans="1:34" ht="15.75" thickBot="1" x14ac:dyDescent="0.3">
      <c r="A11" s="51" t="s">
        <v>844</v>
      </c>
      <c r="B11" s="51" t="s">
        <v>34</v>
      </c>
      <c r="C11" s="51" t="s">
        <v>437</v>
      </c>
      <c r="D11" s="51" t="s">
        <v>319</v>
      </c>
      <c r="E11" s="51" t="s">
        <v>272</v>
      </c>
      <c r="F11" s="51" t="s">
        <v>969</v>
      </c>
      <c r="G11" s="148">
        <v>2</v>
      </c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56">
        <v>1500</v>
      </c>
      <c r="Z11" s="823"/>
      <c r="AA11" s="823"/>
      <c r="AB11" s="823"/>
      <c r="AC11" s="823"/>
      <c r="AD11" s="823"/>
      <c r="AE11" s="56">
        <v>22.51</v>
      </c>
      <c r="AF11" s="823"/>
      <c r="AG11" s="56">
        <v>1522.51</v>
      </c>
      <c r="AH11" s="56">
        <v>0</v>
      </c>
    </row>
    <row r="12" spans="1:34" ht="15.75" thickBot="1" x14ac:dyDescent="0.3">
      <c r="A12" s="51" t="s">
        <v>844</v>
      </c>
      <c r="B12" s="51" t="s">
        <v>34</v>
      </c>
      <c r="C12" s="51" t="s">
        <v>437</v>
      </c>
      <c r="D12" s="51" t="s">
        <v>319</v>
      </c>
      <c r="E12" s="51" t="s">
        <v>265</v>
      </c>
      <c r="F12" s="51" t="s">
        <v>266</v>
      </c>
      <c r="G12" s="148">
        <v>2</v>
      </c>
      <c r="H12" s="56">
        <v>161487</v>
      </c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56">
        <v>613.65</v>
      </c>
      <c r="Z12" s="823"/>
      <c r="AA12" s="823"/>
      <c r="AB12" s="823"/>
      <c r="AC12" s="823"/>
      <c r="AD12" s="823"/>
      <c r="AE12" s="56">
        <v>15.29</v>
      </c>
      <c r="AF12" s="823"/>
      <c r="AG12" s="56">
        <v>628.94000000000005</v>
      </c>
      <c r="AH12" s="56">
        <v>0</v>
      </c>
    </row>
    <row r="13" spans="1:34" ht="15.75" thickBot="1" x14ac:dyDescent="0.3">
      <c r="A13" s="51" t="s">
        <v>844</v>
      </c>
      <c r="B13" s="51" t="s">
        <v>34</v>
      </c>
      <c r="C13" s="51" t="s">
        <v>437</v>
      </c>
      <c r="D13" s="51" t="s">
        <v>319</v>
      </c>
      <c r="E13" s="51" t="s">
        <v>621</v>
      </c>
      <c r="F13" s="51" t="s">
        <v>970</v>
      </c>
      <c r="G13" s="148">
        <v>2</v>
      </c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  <c r="AB13" s="823"/>
      <c r="AC13" s="823"/>
      <c r="AD13" s="823"/>
      <c r="AE13" s="56">
        <v>1.93</v>
      </c>
      <c r="AF13" s="823"/>
      <c r="AG13" s="56">
        <v>79.44</v>
      </c>
      <c r="AH13" s="149">
        <v>77.510000000000005</v>
      </c>
    </row>
    <row r="14" spans="1:34" ht="15.75" thickBot="1" x14ac:dyDescent="0.3">
      <c r="A14" s="51" t="s">
        <v>844</v>
      </c>
      <c r="B14" s="51" t="s">
        <v>34</v>
      </c>
      <c r="C14" s="51" t="s">
        <v>437</v>
      </c>
      <c r="D14" s="51" t="s">
        <v>319</v>
      </c>
      <c r="E14" s="51" t="s">
        <v>271</v>
      </c>
      <c r="F14" s="51" t="s">
        <v>973</v>
      </c>
      <c r="G14" s="148">
        <v>1</v>
      </c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56">
        <v>-22.18</v>
      </c>
      <c r="AB14" s="823"/>
      <c r="AC14" s="823"/>
      <c r="AD14" s="823"/>
      <c r="AE14" s="56">
        <v>-0.67</v>
      </c>
      <c r="AF14" s="823"/>
      <c r="AG14" s="56">
        <v>-22.85</v>
      </c>
      <c r="AH14" s="56">
        <v>0</v>
      </c>
    </row>
    <row r="15" spans="1:34" ht="15.75" thickBot="1" x14ac:dyDescent="0.3">
      <c r="A15" s="51" t="s">
        <v>844</v>
      </c>
      <c r="B15" s="51" t="s">
        <v>34</v>
      </c>
      <c r="C15" s="51" t="s">
        <v>437</v>
      </c>
      <c r="D15" s="51" t="s">
        <v>319</v>
      </c>
      <c r="E15" s="51" t="s">
        <v>325</v>
      </c>
      <c r="F15" s="51" t="s">
        <v>974</v>
      </c>
      <c r="G15" s="148">
        <v>1</v>
      </c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823"/>
      <c r="S15" s="823"/>
      <c r="T15" s="823"/>
      <c r="U15" s="823"/>
      <c r="V15" s="823"/>
      <c r="W15" s="56">
        <v>3.8</v>
      </c>
      <c r="X15" s="823"/>
      <c r="Y15" s="823"/>
      <c r="Z15" s="823"/>
      <c r="AA15" s="823"/>
      <c r="AB15" s="823"/>
      <c r="AC15" s="823"/>
      <c r="AD15" s="823"/>
      <c r="AE15" s="56">
        <v>0</v>
      </c>
      <c r="AF15" s="823"/>
      <c r="AG15" s="56">
        <v>3.8</v>
      </c>
      <c r="AH15" s="56">
        <v>0</v>
      </c>
    </row>
    <row r="16" spans="1:34" ht="15.75" thickBot="1" x14ac:dyDescent="0.3">
      <c r="A16" s="51" t="s">
        <v>844</v>
      </c>
      <c r="B16" s="51" t="s">
        <v>34</v>
      </c>
      <c r="C16" s="51" t="s">
        <v>437</v>
      </c>
      <c r="D16" s="51" t="s">
        <v>319</v>
      </c>
      <c r="E16" s="51" t="s">
        <v>268</v>
      </c>
      <c r="F16" s="51" t="s">
        <v>971</v>
      </c>
      <c r="G16" s="148">
        <v>2</v>
      </c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56">
        <v>1100</v>
      </c>
      <c r="AD16" s="823"/>
      <c r="AE16" s="56">
        <v>16.5</v>
      </c>
      <c r="AF16" s="823"/>
      <c r="AG16" s="56">
        <v>1116.5</v>
      </c>
      <c r="AH16" s="56">
        <v>0</v>
      </c>
    </row>
    <row r="17" spans="1:34" ht="15.75" thickBot="1" x14ac:dyDescent="0.3">
      <c r="A17" s="51" t="s">
        <v>844</v>
      </c>
      <c r="B17" s="51" t="s">
        <v>34</v>
      </c>
      <c r="C17" s="51" t="s">
        <v>437</v>
      </c>
      <c r="D17" s="51" t="s">
        <v>319</v>
      </c>
      <c r="E17" s="51" t="s">
        <v>914</v>
      </c>
      <c r="F17" s="51" t="s">
        <v>266</v>
      </c>
      <c r="G17" s="148">
        <v>2</v>
      </c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56">
        <v>3486.08</v>
      </c>
      <c r="Z17" s="823"/>
      <c r="AA17" s="823"/>
      <c r="AB17" s="823"/>
      <c r="AC17" s="823"/>
      <c r="AD17" s="823"/>
      <c r="AE17" s="56">
        <v>78.91</v>
      </c>
      <c r="AF17" s="823"/>
      <c r="AG17" s="56">
        <v>3564.99</v>
      </c>
      <c r="AH17" s="56">
        <v>0</v>
      </c>
    </row>
    <row r="18" spans="1:34" ht="15.75" thickBot="1" x14ac:dyDescent="0.3">
      <c r="A18" s="51" t="s">
        <v>844</v>
      </c>
      <c r="B18" s="51" t="s">
        <v>34</v>
      </c>
      <c r="C18" s="51" t="s">
        <v>437</v>
      </c>
      <c r="D18" s="51" t="s">
        <v>319</v>
      </c>
      <c r="E18" s="51" t="s">
        <v>329</v>
      </c>
      <c r="F18" s="51" t="s">
        <v>975</v>
      </c>
      <c r="G18" s="148">
        <v>1</v>
      </c>
      <c r="H18" s="823"/>
      <c r="I18" s="823"/>
      <c r="J18" s="823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  <c r="V18" s="823"/>
      <c r="W18" s="823"/>
      <c r="X18" s="823"/>
      <c r="Y18" s="56">
        <v>48.88</v>
      </c>
      <c r="Z18" s="823"/>
      <c r="AA18" s="823"/>
      <c r="AB18" s="823"/>
      <c r="AC18" s="823"/>
      <c r="AD18" s="56">
        <v>48.88</v>
      </c>
      <c r="AE18" s="56">
        <v>1.47</v>
      </c>
      <c r="AF18" s="823"/>
      <c r="AG18" s="56">
        <v>50.35</v>
      </c>
      <c r="AH18" s="149">
        <v>-48.88</v>
      </c>
    </row>
    <row r="19" spans="1:34" ht="15.75" thickBot="1" x14ac:dyDescent="0.3">
      <c r="A19" s="51" t="s">
        <v>844</v>
      </c>
      <c r="B19" s="51" t="s">
        <v>34</v>
      </c>
      <c r="C19" s="51" t="s">
        <v>437</v>
      </c>
      <c r="D19" s="51" t="s">
        <v>319</v>
      </c>
      <c r="E19" s="51" t="s">
        <v>330</v>
      </c>
      <c r="F19" s="51" t="s">
        <v>976</v>
      </c>
      <c r="G19" s="148">
        <v>1</v>
      </c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56">
        <v>114.14</v>
      </c>
      <c r="Z19" s="823"/>
      <c r="AA19" s="823"/>
      <c r="AB19" s="823"/>
      <c r="AC19" s="823"/>
      <c r="AD19" s="823"/>
      <c r="AE19" s="56">
        <v>3.42</v>
      </c>
      <c r="AF19" s="823"/>
      <c r="AG19" s="56">
        <v>117.56</v>
      </c>
      <c r="AH19" s="56">
        <v>0</v>
      </c>
    </row>
    <row r="20" spans="1:34" ht="15.75" thickBot="1" x14ac:dyDescent="0.3">
      <c r="A20" s="51" t="s">
        <v>844</v>
      </c>
      <c r="B20" s="51" t="s">
        <v>31</v>
      </c>
      <c r="C20" s="51" t="s">
        <v>835</v>
      </c>
      <c r="D20" s="51" t="s">
        <v>320</v>
      </c>
      <c r="E20" s="51" t="s">
        <v>357</v>
      </c>
      <c r="F20" s="51" t="s">
        <v>977</v>
      </c>
      <c r="G20" s="148">
        <v>1</v>
      </c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56">
        <v>2.7</v>
      </c>
      <c r="Y20" s="823"/>
      <c r="Z20" s="823"/>
      <c r="AA20" s="823"/>
      <c r="AB20" s="823"/>
      <c r="AC20" s="823"/>
      <c r="AD20" s="823"/>
      <c r="AE20" s="56">
        <v>0.25</v>
      </c>
      <c r="AF20" s="823"/>
      <c r="AG20" s="56">
        <v>2.95</v>
      </c>
      <c r="AH20" s="56">
        <v>0</v>
      </c>
    </row>
    <row r="21" spans="1:34" ht="15.75" thickBot="1" x14ac:dyDescent="0.3">
      <c r="A21" s="51" t="s">
        <v>844</v>
      </c>
      <c r="B21" s="51" t="s">
        <v>31</v>
      </c>
      <c r="C21" s="51" t="s">
        <v>835</v>
      </c>
      <c r="D21" s="51" t="s">
        <v>320</v>
      </c>
      <c r="E21" s="51" t="s">
        <v>272</v>
      </c>
      <c r="F21" s="51" t="s">
        <v>969</v>
      </c>
      <c r="G21" s="148">
        <v>2</v>
      </c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56">
        <v>1429.12</v>
      </c>
      <c r="Z21" s="823"/>
      <c r="AA21" s="823"/>
      <c r="AB21" s="823"/>
      <c r="AC21" s="823"/>
      <c r="AD21" s="823"/>
      <c r="AE21" s="56">
        <v>108.47</v>
      </c>
      <c r="AF21" s="823"/>
      <c r="AG21" s="56">
        <v>1537.59</v>
      </c>
      <c r="AH21" s="56">
        <v>0</v>
      </c>
    </row>
    <row r="22" spans="1:34" ht="15.75" thickBot="1" x14ac:dyDescent="0.3">
      <c r="A22" s="51" t="s">
        <v>844</v>
      </c>
      <c r="B22" s="51" t="s">
        <v>31</v>
      </c>
      <c r="C22" s="51" t="s">
        <v>835</v>
      </c>
      <c r="D22" s="51" t="s">
        <v>320</v>
      </c>
      <c r="E22" s="51" t="s">
        <v>265</v>
      </c>
      <c r="F22" s="51" t="s">
        <v>266</v>
      </c>
      <c r="G22" s="148">
        <v>2</v>
      </c>
      <c r="H22" s="56">
        <v>52940</v>
      </c>
      <c r="I22" s="823"/>
      <c r="J22" s="823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56">
        <v>11609.22</v>
      </c>
      <c r="Z22" s="823"/>
      <c r="AA22" s="823"/>
      <c r="AB22" s="823"/>
      <c r="AC22" s="823"/>
      <c r="AD22" s="823"/>
      <c r="AE22" s="56">
        <v>697.07</v>
      </c>
      <c r="AF22" s="823"/>
      <c r="AG22" s="56">
        <v>12306.29</v>
      </c>
      <c r="AH22" s="56">
        <v>0</v>
      </c>
    </row>
    <row r="23" spans="1:34" ht="15.75" thickBot="1" x14ac:dyDescent="0.3">
      <c r="A23" s="51" t="s">
        <v>844</v>
      </c>
      <c r="B23" s="51" t="s">
        <v>31</v>
      </c>
      <c r="C23" s="51" t="s">
        <v>835</v>
      </c>
      <c r="D23" s="51" t="s">
        <v>320</v>
      </c>
      <c r="E23" s="51" t="s">
        <v>620</v>
      </c>
      <c r="F23" s="51" t="s">
        <v>978</v>
      </c>
      <c r="G23" s="148">
        <v>2</v>
      </c>
      <c r="H23" s="823"/>
      <c r="I23" s="823"/>
      <c r="J23" s="823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56">
        <v>9.77</v>
      </c>
      <c r="AF23" s="823"/>
      <c r="AG23" s="56">
        <v>138.55000000000001</v>
      </c>
      <c r="AH23" s="149">
        <v>128.78</v>
      </c>
    </row>
    <row r="24" spans="1:34" ht="15.75" thickBot="1" x14ac:dyDescent="0.3">
      <c r="A24" s="51" t="s">
        <v>844</v>
      </c>
      <c r="B24" s="51" t="s">
        <v>31</v>
      </c>
      <c r="C24" s="51" t="s">
        <v>835</v>
      </c>
      <c r="D24" s="51" t="s">
        <v>320</v>
      </c>
      <c r="E24" s="51" t="s">
        <v>621</v>
      </c>
      <c r="F24" s="51" t="s">
        <v>970</v>
      </c>
      <c r="G24" s="148">
        <v>2</v>
      </c>
      <c r="H24" s="823"/>
      <c r="I24" s="823"/>
      <c r="J24" s="823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56">
        <v>12.97</v>
      </c>
      <c r="AF24" s="823"/>
      <c r="AG24" s="56">
        <v>228.97</v>
      </c>
      <c r="AH24" s="149">
        <v>216</v>
      </c>
    </row>
    <row r="25" spans="1:34" ht="15.75" thickBot="1" x14ac:dyDescent="0.3">
      <c r="A25" s="51" t="s">
        <v>844</v>
      </c>
      <c r="B25" s="51" t="s">
        <v>31</v>
      </c>
      <c r="C25" s="51" t="s">
        <v>835</v>
      </c>
      <c r="D25" s="51" t="s">
        <v>320</v>
      </c>
      <c r="E25" s="51" t="s">
        <v>273</v>
      </c>
      <c r="F25" s="51" t="s">
        <v>979</v>
      </c>
      <c r="G25" s="148">
        <v>2</v>
      </c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56">
        <v>4533.25</v>
      </c>
      <c r="Z25" s="823"/>
      <c r="AA25" s="823"/>
      <c r="AB25" s="823"/>
      <c r="AC25" s="823"/>
      <c r="AD25" s="823"/>
      <c r="AE25" s="56">
        <v>272.2</v>
      </c>
      <c r="AF25" s="823"/>
      <c r="AG25" s="56">
        <v>4805.45</v>
      </c>
      <c r="AH25" s="56">
        <v>0</v>
      </c>
    </row>
    <row r="26" spans="1:34" ht="15.75" thickBot="1" x14ac:dyDescent="0.3">
      <c r="A26" s="51" t="s">
        <v>844</v>
      </c>
      <c r="B26" s="51" t="s">
        <v>31</v>
      </c>
      <c r="C26" s="51" t="s">
        <v>835</v>
      </c>
      <c r="D26" s="51" t="s">
        <v>320</v>
      </c>
      <c r="E26" s="51" t="s">
        <v>268</v>
      </c>
      <c r="F26" s="51" t="s">
        <v>971</v>
      </c>
      <c r="G26" s="148">
        <v>2</v>
      </c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56">
        <v>1100</v>
      </c>
      <c r="AD26" s="823"/>
      <c r="AE26" s="56">
        <v>83.49</v>
      </c>
      <c r="AF26" s="823"/>
      <c r="AG26" s="56">
        <v>1183.49</v>
      </c>
      <c r="AH26" s="56">
        <v>0</v>
      </c>
    </row>
    <row r="27" spans="1:34" ht="15.75" thickBot="1" x14ac:dyDescent="0.3">
      <c r="A27" s="51" t="s">
        <v>844</v>
      </c>
      <c r="B27" s="51" t="s">
        <v>491</v>
      </c>
      <c r="C27" s="51" t="s">
        <v>492</v>
      </c>
      <c r="D27" s="51" t="s">
        <v>320</v>
      </c>
      <c r="E27" s="51" t="s">
        <v>109</v>
      </c>
      <c r="F27" s="51" t="s">
        <v>968</v>
      </c>
      <c r="G27" s="147">
        <v>5</v>
      </c>
      <c r="H27" s="822"/>
      <c r="I27" s="822"/>
      <c r="J27" s="822"/>
      <c r="K27" s="822"/>
      <c r="L27" s="822"/>
      <c r="M27" s="822"/>
      <c r="N27" s="822"/>
      <c r="O27" s="822"/>
      <c r="P27" s="822"/>
      <c r="Q27" s="822"/>
      <c r="R27" s="822"/>
      <c r="S27" s="822"/>
      <c r="T27" s="822"/>
      <c r="U27" s="822"/>
      <c r="V27" s="822"/>
      <c r="W27" s="822"/>
      <c r="X27" s="822"/>
      <c r="Y27" s="54">
        <v>4.54</v>
      </c>
      <c r="Z27" s="822"/>
      <c r="AA27" s="822"/>
      <c r="AB27" s="822"/>
      <c r="AC27" s="822"/>
      <c r="AD27" s="822"/>
      <c r="AE27" s="54">
        <v>0.23</v>
      </c>
      <c r="AF27" s="822"/>
      <c r="AG27" s="54">
        <v>4.7699999999999996</v>
      </c>
      <c r="AH27" s="54">
        <v>0</v>
      </c>
    </row>
    <row r="28" spans="1:34" ht="15.75" thickBot="1" x14ac:dyDescent="0.3">
      <c r="A28" s="51" t="s">
        <v>844</v>
      </c>
      <c r="B28" s="51" t="s">
        <v>491</v>
      </c>
      <c r="C28" s="51" t="s">
        <v>492</v>
      </c>
      <c r="D28" s="51" t="s">
        <v>320</v>
      </c>
      <c r="E28" s="51" t="s">
        <v>272</v>
      </c>
      <c r="F28" s="51" t="s">
        <v>969</v>
      </c>
      <c r="G28" s="147">
        <v>6</v>
      </c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/>
      <c r="U28" s="822"/>
      <c r="V28" s="822"/>
      <c r="W28" s="822"/>
      <c r="X28" s="822"/>
      <c r="Y28" s="54">
        <v>4287.3599999999997</v>
      </c>
      <c r="Z28" s="822"/>
      <c r="AA28" s="822"/>
      <c r="AB28" s="822"/>
      <c r="AC28" s="822"/>
      <c r="AD28" s="822"/>
      <c r="AE28" s="54">
        <v>129.91</v>
      </c>
      <c r="AF28" s="822"/>
      <c r="AG28" s="54">
        <v>4417.2700000000004</v>
      </c>
      <c r="AH28" s="54">
        <v>0</v>
      </c>
    </row>
    <row r="29" spans="1:34" ht="15.75" thickBot="1" x14ac:dyDescent="0.3">
      <c r="A29" s="51" t="s">
        <v>844</v>
      </c>
      <c r="B29" s="51" t="s">
        <v>491</v>
      </c>
      <c r="C29" s="51" t="s">
        <v>492</v>
      </c>
      <c r="D29" s="51" t="s">
        <v>320</v>
      </c>
      <c r="E29" s="51" t="s">
        <v>265</v>
      </c>
      <c r="F29" s="51" t="s">
        <v>266</v>
      </c>
      <c r="G29" s="147">
        <v>5</v>
      </c>
      <c r="H29" s="54">
        <v>25195</v>
      </c>
      <c r="I29" s="822"/>
      <c r="J29" s="822"/>
      <c r="K29" s="822"/>
      <c r="L29" s="822"/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54">
        <v>5525.02</v>
      </c>
      <c r="Z29" s="822"/>
      <c r="AA29" s="822"/>
      <c r="AB29" s="822"/>
      <c r="AC29" s="822"/>
      <c r="AD29" s="822"/>
      <c r="AE29" s="54">
        <v>284.27</v>
      </c>
      <c r="AF29" s="822"/>
      <c r="AG29" s="54">
        <v>5809.29</v>
      </c>
      <c r="AH29" s="54">
        <v>0</v>
      </c>
    </row>
    <row r="30" spans="1:34" ht="15.75" thickBot="1" x14ac:dyDescent="0.3">
      <c r="A30" s="51" t="s">
        <v>844</v>
      </c>
      <c r="B30" s="51" t="s">
        <v>491</v>
      </c>
      <c r="C30" s="51" t="s">
        <v>492</v>
      </c>
      <c r="D30" s="51" t="s">
        <v>320</v>
      </c>
      <c r="E30" s="51" t="s">
        <v>620</v>
      </c>
      <c r="F30" s="51" t="s">
        <v>978</v>
      </c>
      <c r="G30" s="147">
        <v>6</v>
      </c>
      <c r="H30" s="822"/>
      <c r="I30" s="822"/>
      <c r="J30" s="822"/>
      <c r="K30" s="822"/>
      <c r="L30" s="822"/>
      <c r="M30" s="822"/>
      <c r="N30" s="822"/>
      <c r="O30" s="822"/>
      <c r="P30" s="822"/>
      <c r="Q30" s="822"/>
      <c r="R30" s="822"/>
      <c r="S30" s="822"/>
      <c r="T30" s="822"/>
      <c r="U30" s="822"/>
      <c r="V30" s="822"/>
      <c r="W30" s="822"/>
      <c r="X30" s="822"/>
      <c r="Y30" s="822"/>
      <c r="Z30" s="822"/>
      <c r="AA30" s="822"/>
      <c r="AB30" s="822"/>
      <c r="AC30" s="822"/>
      <c r="AD30" s="822"/>
      <c r="AE30" s="54">
        <v>11.7</v>
      </c>
      <c r="AF30" s="822"/>
      <c r="AG30" s="54">
        <v>398.04</v>
      </c>
      <c r="AH30" s="149">
        <v>386.34</v>
      </c>
    </row>
    <row r="31" spans="1:34" ht="15.75" thickBot="1" x14ac:dyDescent="0.3">
      <c r="A31" s="51" t="s">
        <v>844</v>
      </c>
      <c r="B31" s="51" t="s">
        <v>491</v>
      </c>
      <c r="C31" s="51" t="s">
        <v>492</v>
      </c>
      <c r="D31" s="51" t="s">
        <v>320</v>
      </c>
      <c r="E31" s="51" t="s">
        <v>621</v>
      </c>
      <c r="F31" s="51" t="s">
        <v>970</v>
      </c>
      <c r="G31" s="147">
        <v>5</v>
      </c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822"/>
      <c r="V31" s="822"/>
      <c r="W31" s="822"/>
      <c r="X31" s="822"/>
      <c r="Y31" s="822"/>
      <c r="Z31" s="822"/>
      <c r="AA31" s="822"/>
      <c r="AB31" s="822"/>
      <c r="AC31" s="822"/>
      <c r="AD31" s="822"/>
      <c r="AE31" s="54">
        <v>5.29</v>
      </c>
      <c r="AF31" s="822"/>
      <c r="AG31" s="54">
        <v>108.1</v>
      </c>
      <c r="AH31" s="149">
        <v>102.81</v>
      </c>
    </row>
    <row r="32" spans="1:34" ht="15.75" thickBot="1" x14ac:dyDescent="0.3">
      <c r="A32" s="51" t="s">
        <v>844</v>
      </c>
      <c r="B32" s="51" t="s">
        <v>491</v>
      </c>
      <c r="C32" s="51" t="s">
        <v>492</v>
      </c>
      <c r="D32" s="51" t="s">
        <v>320</v>
      </c>
      <c r="E32" s="51" t="s">
        <v>273</v>
      </c>
      <c r="F32" s="51" t="s">
        <v>979</v>
      </c>
      <c r="G32" s="147">
        <v>5</v>
      </c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54">
        <v>2157.4499999999998</v>
      </c>
      <c r="Z32" s="822"/>
      <c r="AA32" s="822"/>
      <c r="AB32" s="822"/>
      <c r="AC32" s="822"/>
      <c r="AD32" s="822"/>
      <c r="AE32" s="54">
        <v>111.01</v>
      </c>
      <c r="AF32" s="822"/>
      <c r="AG32" s="54">
        <v>2268.46</v>
      </c>
      <c r="AH32" s="54">
        <v>0</v>
      </c>
    </row>
    <row r="33" spans="1:34" ht="15.75" thickBot="1" x14ac:dyDescent="0.3">
      <c r="A33" s="51" t="s">
        <v>844</v>
      </c>
      <c r="B33" s="51" t="s">
        <v>491</v>
      </c>
      <c r="C33" s="51" t="s">
        <v>492</v>
      </c>
      <c r="D33" s="51" t="s">
        <v>320</v>
      </c>
      <c r="E33" s="51" t="s">
        <v>268</v>
      </c>
      <c r="F33" s="51" t="s">
        <v>971</v>
      </c>
      <c r="G33" s="147">
        <v>6</v>
      </c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822"/>
      <c r="V33" s="822"/>
      <c r="W33" s="822"/>
      <c r="X33" s="822"/>
      <c r="Y33" s="822"/>
      <c r="Z33" s="822"/>
      <c r="AA33" s="822"/>
      <c r="AB33" s="822"/>
      <c r="AC33" s="54">
        <v>3300</v>
      </c>
      <c r="AD33" s="822"/>
      <c r="AE33" s="54">
        <v>99.99</v>
      </c>
      <c r="AF33" s="822"/>
      <c r="AG33" s="54">
        <v>3399.99</v>
      </c>
      <c r="AH33" s="54">
        <v>0</v>
      </c>
    </row>
    <row r="34" spans="1:34" ht="15.75" thickBot="1" x14ac:dyDescent="0.3">
      <c r="A34" s="51" t="s">
        <v>844</v>
      </c>
      <c r="B34" s="51" t="s">
        <v>52</v>
      </c>
      <c r="C34" s="51" t="s">
        <v>355</v>
      </c>
      <c r="D34" s="51" t="s">
        <v>320</v>
      </c>
      <c r="E34" s="51" t="s">
        <v>269</v>
      </c>
      <c r="F34" s="51" t="s">
        <v>972</v>
      </c>
      <c r="G34" s="148">
        <v>1</v>
      </c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56">
        <v>-1644.63</v>
      </c>
      <c r="AA34" s="823"/>
      <c r="AB34" s="823"/>
      <c r="AC34" s="823"/>
      <c r="AD34" s="823"/>
      <c r="AE34" s="56">
        <v>0</v>
      </c>
      <c r="AF34" s="823"/>
      <c r="AG34" s="56">
        <v>-1644.63</v>
      </c>
      <c r="AH34" s="56">
        <v>0</v>
      </c>
    </row>
    <row r="35" spans="1:34" ht="15.75" thickBot="1" x14ac:dyDescent="0.3">
      <c r="A35" s="51" t="s">
        <v>844</v>
      </c>
      <c r="B35" s="51" t="s">
        <v>52</v>
      </c>
      <c r="C35" s="51" t="s">
        <v>355</v>
      </c>
      <c r="D35" s="51" t="s">
        <v>320</v>
      </c>
      <c r="E35" s="51" t="s">
        <v>269</v>
      </c>
      <c r="F35" s="51" t="s">
        <v>364</v>
      </c>
      <c r="G35" s="147">
        <v>1</v>
      </c>
      <c r="H35" s="822"/>
      <c r="I35" s="822"/>
      <c r="J35" s="822"/>
      <c r="K35" s="822"/>
      <c r="L35" s="822"/>
      <c r="M35" s="822"/>
      <c r="N35" s="822"/>
      <c r="O35" s="822"/>
      <c r="P35" s="822"/>
      <c r="Q35" s="822"/>
      <c r="R35" s="822"/>
      <c r="S35" s="822"/>
      <c r="T35" s="822"/>
      <c r="U35" s="822"/>
      <c r="V35" s="822"/>
      <c r="W35" s="822"/>
      <c r="X35" s="822"/>
      <c r="Y35" s="822"/>
      <c r="Z35" s="822"/>
      <c r="AA35" s="54">
        <v>107.49</v>
      </c>
      <c r="AB35" s="822"/>
      <c r="AC35" s="822"/>
      <c r="AD35" s="822"/>
      <c r="AE35" s="54">
        <v>0</v>
      </c>
      <c r="AF35" s="822"/>
      <c r="AG35" s="54">
        <v>107.49</v>
      </c>
      <c r="AH35" s="54">
        <v>0</v>
      </c>
    </row>
    <row r="36" spans="1:34" ht="15.75" thickBot="1" x14ac:dyDescent="0.3">
      <c r="A36" s="51" t="s">
        <v>844</v>
      </c>
      <c r="B36" s="51" t="s">
        <v>52</v>
      </c>
      <c r="C36" s="51" t="s">
        <v>355</v>
      </c>
      <c r="D36" s="51" t="s">
        <v>320</v>
      </c>
      <c r="E36" s="51" t="s">
        <v>271</v>
      </c>
      <c r="F36" s="51" t="s">
        <v>980</v>
      </c>
      <c r="G36" s="147">
        <v>1</v>
      </c>
      <c r="H36" s="822"/>
      <c r="I36" s="822"/>
      <c r="J36" s="822"/>
      <c r="K36" s="822"/>
      <c r="L36" s="822"/>
      <c r="M36" s="822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54">
        <v>122.86</v>
      </c>
      <c r="AB36" s="822"/>
      <c r="AC36" s="822"/>
      <c r="AD36" s="822"/>
      <c r="AE36" s="54">
        <v>0</v>
      </c>
      <c r="AF36" s="822"/>
      <c r="AG36" s="54">
        <v>122.86</v>
      </c>
      <c r="AH36" s="54">
        <v>0</v>
      </c>
    </row>
    <row r="37" spans="1:34" ht="15.75" thickBot="1" x14ac:dyDescent="0.3">
      <c r="A37" s="51" t="s">
        <v>844</v>
      </c>
      <c r="B37" s="51" t="s">
        <v>52</v>
      </c>
      <c r="C37" s="51" t="s">
        <v>355</v>
      </c>
      <c r="D37" s="51" t="s">
        <v>320</v>
      </c>
      <c r="E37" s="51" t="s">
        <v>271</v>
      </c>
      <c r="F37" s="51" t="s">
        <v>981</v>
      </c>
      <c r="G37" s="148">
        <v>1</v>
      </c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56">
        <v>-3.98</v>
      </c>
      <c r="AA37" s="823"/>
      <c r="AB37" s="823"/>
      <c r="AC37" s="823"/>
      <c r="AD37" s="823"/>
      <c r="AE37" s="56">
        <v>0</v>
      </c>
      <c r="AF37" s="823"/>
      <c r="AG37" s="56">
        <v>-3.98</v>
      </c>
      <c r="AH37" s="56">
        <v>0</v>
      </c>
    </row>
    <row r="38" spans="1:34" ht="15.75" thickBot="1" x14ac:dyDescent="0.3">
      <c r="A38" s="51" t="s">
        <v>844</v>
      </c>
      <c r="B38" s="51" t="s">
        <v>52</v>
      </c>
      <c r="C38" s="51" t="s">
        <v>355</v>
      </c>
      <c r="D38" s="51" t="s">
        <v>320</v>
      </c>
      <c r="E38" s="51" t="s">
        <v>268</v>
      </c>
      <c r="F38" s="51" t="s">
        <v>971</v>
      </c>
      <c r="G38" s="148">
        <v>2</v>
      </c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56">
        <v>675</v>
      </c>
      <c r="AD38" s="823"/>
      <c r="AE38" s="56">
        <v>0</v>
      </c>
      <c r="AF38" s="823"/>
      <c r="AG38" s="56">
        <v>675</v>
      </c>
      <c r="AH38" s="56">
        <v>0</v>
      </c>
    </row>
    <row r="39" spans="1:34" ht="15.75" thickBot="1" x14ac:dyDescent="0.3">
      <c r="A39" s="51" t="s">
        <v>844</v>
      </c>
      <c r="B39" s="51" t="s">
        <v>53</v>
      </c>
      <c r="C39" s="51" t="s">
        <v>836</v>
      </c>
      <c r="D39" s="51" t="s">
        <v>320</v>
      </c>
      <c r="E39" s="51" t="s">
        <v>356</v>
      </c>
      <c r="F39" s="51" t="s">
        <v>337</v>
      </c>
      <c r="G39" s="147">
        <v>1</v>
      </c>
      <c r="H39" s="822"/>
      <c r="I39" s="822"/>
      <c r="J39" s="822"/>
      <c r="K39" s="822"/>
      <c r="L39" s="822"/>
      <c r="M39" s="54">
        <v>1037.5999999999999</v>
      </c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22"/>
      <c r="AB39" s="822"/>
      <c r="AC39" s="822"/>
      <c r="AD39" s="822"/>
      <c r="AE39" s="54">
        <v>0</v>
      </c>
      <c r="AF39" s="822"/>
      <c r="AG39" s="54">
        <v>1037.5999999999999</v>
      </c>
      <c r="AH39" s="54">
        <v>0</v>
      </c>
    </row>
    <row r="40" spans="1:34" ht="15.75" thickBot="1" x14ac:dyDescent="0.3">
      <c r="A40" s="51" t="s">
        <v>844</v>
      </c>
      <c r="B40" s="51" t="s">
        <v>53</v>
      </c>
      <c r="C40" s="51" t="s">
        <v>836</v>
      </c>
      <c r="D40" s="51" t="s">
        <v>320</v>
      </c>
      <c r="E40" s="51" t="s">
        <v>272</v>
      </c>
      <c r="F40" s="51" t="s">
        <v>969</v>
      </c>
      <c r="G40" s="147">
        <v>1</v>
      </c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822"/>
      <c r="V40" s="822"/>
      <c r="W40" s="822"/>
      <c r="X40" s="822"/>
      <c r="Y40" s="54">
        <v>500</v>
      </c>
      <c r="Z40" s="822"/>
      <c r="AA40" s="822"/>
      <c r="AB40" s="822"/>
      <c r="AC40" s="822"/>
      <c r="AD40" s="822"/>
      <c r="AE40" s="54">
        <v>0</v>
      </c>
      <c r="AF40" s="822"/>
      <c r="AG40" s="54">
        <v>500</v>
      </c>
      <c r="AH40" s="54">
        <v>0</v>
      </c>
    </row>
    <row r="41" spans="1:34" ht="15.75" thickBot="1" x14ac:dyDescent="0.3">
      <c r="A41" s="51" t="s">
        <v>844</v>
      </c>
      <c r="B41" s="51" t="s">
        <v>53</v>
      </c>
      <c r="C41" s="51" t="s">
        <v>836</v>
      </c>
      <c r="D41" s="51" t="s">
        <v>320</v>
      </c>
      <c r="E41" s="51" t="s">
        <v>265</v>
      </c>
      <c r="F41" s="51" t="s">
        <v>266</v>
      </c>
      <c r="G41" s="147">
        <v>1</v>
      </c>
      <c r="H41" s="54">
        <v>170647</v>
      </c>
      <c r="I41" s="822"/>
      <c r="J41" s="822"/>
      <c r="K41" s="822"/>
      <c r="L41" s="822"/>
      <c r="M41" s="822"/>
      <c r="N41" s="822"/>
      <c r="O41" s="822"/>
      <c r="P41" s="822"/>
      <c r="Q41" s="822"/>
      <c r="R41" s="822"/>
      <c r="S41" s="822"/>
      <c r="T41" s="822"/>
      <c r="U41" s="822"/>
      <c r="V41" s="822"/>
      <c r="W41" s="822"/>
      <c r="X41" s="822"/>
      <c r="Y41" s="54">
        <v>18163.669999999998</v>
      </c>
      <c r="Z41" s="822"/>
      <c r="AA41" s="822"/>
      <c r="AB41" s="822"/>
      <c r="AC41" s="822"/>
      <c r="AD41" s="822"/>
      <c r="AE41" s="54">
        <v>0</v>
      </c>
      <c r="AF41" s="822"/>
      <c r="AG41" s="54">
        <v>18163.669999999998</v>
      </c>
      <c r="AH41" s="54">
        <v>0</v>
      </c>
    </row>
    <row r="42" spans="1:34" ht="15.75" thickBot="1" x14ac:dyDescent="0.3">
      <c r="A42" s="51" t="s">
        <v>844</v>
      </c>
      <c r="B42" s="51" t="s">
        <v>53</v>
      </c>
      <c r="C42" s="51" t="s">
        <v>836</v>
      </c>
      <c r="D42" s="51" t="s">
        <v>320</v>
      </c>
      <c r="E42" s="51" t="s">
        <v>620</v>
      </c>
      <c r="F42" s="51" t="s">
        <v>978</v>
      </c>
      <c r="G42" s="147">
        <v>1</v>
      </c>
      <c r="H42" s="822"/>
      <c r="I42" s="822"/>
      <c r="J42" s="822"/>
      <c r="K42" s="822"/>
      <c r="L42" s="822"/>
      <c r="M42" s="822"/>
      <c r="N42" s="822"/>
      <c r="O42" s="822"/>
      <c r="P42" s="822"/>
      <c r="Q42" s="822"/>
      <c r="R42" s="822"/>
      <c r="S42" s="822"/>
      <c r="T42" s="822"/>
      <c r="U42" s="822"/>
      <c r="V42" s="822"/>
      <c r="W42" s="822"/>
      <c r="X42" s="822"/>
      <c r="Y42" s="822"/>
      <c r="Z42" s="822"/>
      <c r="AA42" s="822"/>
      <c r="AB42" s="822"/>
      <c r="AC42" s="822"/>
      <c r="AD42" s="822"/>
      <c r="AE42" s="54">
        <v>0</v>
      </c>
      <c r="AF42" s="822"/>
      <c r="AG42" s="54">
        <v>64.39</v>
      </c>
      <c r="AH42" s="149">
        <v>64.39</v>
      </c>
    </row>
    <row r="43" spans="1:34" ht="15.75" thickBot="1" x14ac:dyDescent="0.3">
      <c r="A43" s="51" t="s">
        <v>844</v>
      </c>
      <c r="B43" s="51" t="s">
        <v>53</v>
      </c>
      <c r="C43" s="51" t="s">
        <v>836</v>
      </c>
      <c r="D43" s="51" t="s">
        <v>320</v>
      </c>
      <c r="E43" s="51" t="s">
        <v>621</v>
      </c>
      <c r="F43" s="51" t="s">
        <v>970</v>
      </c>
      <c r="G43" s="147">
        <v>1</v>
      </c>
      <c r="H43" s="822"/>
      <c r="I43" s="822"/>
      <c r="J43" s="822"/>
      <c r="K43" s="822"/>
      <c r="L43" s="822"/>
      <c r="M43" s="822"/>
      <c r="N43" s="822"/>
      <c r="O43" s="822"/>
      <c r="P43" s="822"/>
      <c r="Q43" s="822"/>
      <c r="R43" s="822"/>
      <c r="S43" s="822"/>
      <c r="T43" s="822"/>
      <c r="U43" s="822"/>
      <c r="V43" s="822"/>
      <c r="W43" s="822"/>
      <c r="X43" s="822"/>
      <c r="Y43" s="822"/>
      <c r="Z43" s="822"/>
      <c r="AA43" s="822"/>
      <c r="AB43" s="822"/>
      <c r="AC43" s="822"/>
      <c r="AD43" s="822"/>
      <c r="AE43" s="54">
        <v>0</v>
      </c>
      <c r="AF43" s="822"/>
      <c r="AG43" s="54">
        <v>696.24</v>
      </c>
      <c r="AH43" s="149">
        <v>696.24</v>
      </c>
    </row>
    <row r="44" spans="1:34" ht="15.75" thickBot="1" x14ac:dyDescent="0.3">
      <c r="A44" s="51" t="s">
        <v>844</v>
      </c>
      <c r="B44" s="51" t="s">
        <v>53</v>
      </c>
      <c r="C44" s="51" t="s">
        <v>836</v>
      </c>
      <c r="D44" s="51" t="s">
        <v>320</v>
      </c>
      <c r="E44" s="51" t="s">
        <v>273</v>
      </c>
      <c r="F44" s="51" t="s">
        <v>979</v>
      </c>
      <c r="G44" s="147">
        <v>1</v>
      </c>
      <c r="H44" s="822"/>
      <c r="I44" s="822"/>
      <c r="J44" s="822"/>
      <c r="K44" s="822"/>
      <c r="L44" s="822"/>
      <c r="M44" s="822"/>
      <c r="N44" s="822"/>
      <c r="O44" s="822"/>
      <c r="P44" s="822"/>
      <c r="Q44" s="822"/>
      <c r="R44" s="822"/>
      <c r="S44" s="822"/>
      <c r="T44" s="822"/>
      <c r="U44" s="822"/>
      <c r="V44" s="822"/>
      <c r="W44" s="822"/>
      <c r="X44" s="822"/>
      <c r="Y44" s="54">
        <v>14612.5</v>
      </c>
      <c r="Z44" s="822"/>
      <c r="AA44" s="822"/>
      <c r="AB44" s="822"/>
      <c r="AC44" s="822"/>
      <c r="AD44" s="822"/>
      <c r="AE44" s="54">
        <v>0</v>
      </c>
      <c r="AF44" s="822"/>
      <c r="AG44" s="54">
        <v>14612.5</v>
      </c>
      <c r="AH44" s="54">
        <v>0</v>
      </c>
    </row>
    <row r="45" spans="1:34" ht="15.75" thickBot="1" x14ac:dyDescent="0.3">
      <c r="A45" s="51" t="s">
        <v>844</v>
      </c>
      <c r="B45" s="51" t="s">
        <v>53</v>
      </c>
      <c r="C45" s="51" t="s">
        <v>836</v>
      </c>
      <c r="D45" s="51" t="s">
        <v>320</v>
      </c>
      <c r="E45" s="51" t="s">
        <v>268</v>
      </c>
      <c r="F45" s="51" t="s">
        <v>971</v>
      </c>
      <c r="G45" s="147">
        <v>1</v>
      </c>
      <c r="H45" s="822"/>
      <c r="I45" s="822"/>
      <c r="J45" s="822"/>
      <c r="K45" s="822"/>
      <c r="L45" s="822"/>
      <c r="M45" s="822"/>
      <c r="N45" s="822"/>
      <c r="O45" s="822"/>
      <c r="P45" s="822"/>
      <c r="Q45" s="822"/>
      <c r="R45" s="822"/>
      <c r="S45" s="822"/>
      <c r="T45" s="822"/>
      <c r="U45" s="822"/>
      <c r="V45" s="822"/>
      <c r="W45" s="822"/>
      <c r="X45" s="822"/>
      <c r="Y45" s="822"/>
      <c r="Z45" s="822"/>
      <c r="AA45" s="822"/>
      <c r="AB45" s="822"/>
      <c r="AC45" s="54">
        <v>550</v>
      </c>
      <c r="AD45" s="822"/>
      <c r="AE45" s="54">
        <v>0</v>
      </c>
      <c r="AF45" s="822"/>
      <c r="AG45" s="54">
        <v>550</v>
      </c>
      <c r="AH45" s="54">
        <v>0</v>
      </c>
    </row>
    <row r="46" spans="1:34" ht="15.75" thickBot="1" x14ac:dyDescent="0.3">
      <c r="A46" s="51" t="s">
        <v>844</v>
      </c>
      <c r="B46" s="51" t="s">
        <v>36</v>
      </c>
      <c r="C46" s="51" t="s">
        <v>438</v>
      </c>
      <c r="D46" s="51" t="s">
        <v>320</v>
      </c>
      <c r="E46" s="51" t="s">
        <v>269</v>
      </c>
      <c r="F46" s="51" t="s">
        <v>972</v>
      </c>
      <c r="G46" s="148">
        <v>1</v>
      </c>
      <c r="H46" s="823"/>
      <c r="I46" s="823"/>
      <c r="J46" s="823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56">
        <v>-600.99</v>
      </c>
      <c r="AA46" s="823"/>
      <c r="AB46" s="823"/>
      <c r="AC46" s="823"/>
      <c r="AD46" s="823"/>
      <c r="AE46" s="56">
        <v>-36.06</v>
      </c>
      <c r="AF46" s="823"/>
      <c r="AG46" s="56">
        <v>-637.04999999999995</v>
      </c>
      <c r="AH46" s="56">
        <v>0</v>
      </c>
    </row>
    <row r="47" spans="1:34" ht="15.75" thickBot="1" x14ac:dyDescent="0.3">
      <c r="A47" s="51" t="s">
        <v>844</v>
      </c>
      <c r="B47" s="51" t="s">
        <v>36</v>
      </c>
      <c r="C47" s="51" t="s">
        <v>438</v>
      </c>
      <c r="D47" s="51" t="s">
        <v>320</v>
      </c>
      <c r="E47" s="51" t="s">
        <v>269</v>
      </c>
      <c r="F47" s="51" t="s">
        <v>364</v>
      </c>
      <c r="G47" s="147">
        <v>1</v>
      </c>
      <c r="H47" s="822"/>
      <c r="I47" s="822"/>
      <c r="J47" s="822"/>
      <c r="K47" s="822"/>
      <c r="L47" s="822"/>
      <c r="M47" s="822"/>
      <c r="N47" s="822"/>
      <c r="O47" s="822"/>
      <c r="P47" s="822"/>
      <c r="Q47" s="822"/>
      <c r="R47" s="822"/>
      <c r="S47" s="822"/>
      <c r="T47" s="822"/>
      <c r="U47" s="822"/>
      <c r="V47" s="822"/>
      <c r="W47" s="822"/>
      <c r="X47" s="822"/>
      <c r="Y47" s="822"/>
      <c r="Z47" s="822"/>
      <c r="AA47" s="54">
        <v>57.92</v>
      </c>
      <c r="AB47" s="822"/>
      <c r="AC47" s="822"/>
      <c r="AD47" s="822"/>
      <c r="AE47" s="54">
        <v>3.48</v>
      </c>
      <c r="AF47" s="822"/>
      <c r="AG47" s="54">
        <v>61.4</v>
      </c>
      <c r="AH47" s="54">
        <v>0</v>
      </c>
    </row>
    <row r="48" spans="1:34" ht="15.75" thickBot="1" x14ac:dyDescent="0.3">
      <c r="A48" s="51" t="s">
        <v>844</v>
      </c>
      <c r="B48" s="51" t="s">
        <v>36</v>
      </c>
      <c r="C48" s="51" t="s">
        <v>438</v>
      </c>
      <c r="D48" s="51" t="s">
        <v>320</v>
      </c>
      <c r="E48" s="51" t="s">
        <v>272</v>
      </c>
      <c r="F48" s="51" t="s">
        <v>969</v>
      </c>
      <c r="G48" s="147">
        <v>47</v>
      </c>
      <c r="H48" s="822"/>
      <c r="I48" s="822"/>
      <c r="J48" s="822"/>
      <c r="K48" s="822"/>
      <c r="L48" s="822"/>
      <c r="M48" s="822"/>
      <c r="N48" s="822"/>
      <c r="O48" s="822"/>
      <c r="P48" s="822"/>
      <c r="Q48" s="822"/>
      <c r="R48" s="822"/>
      <c r="S48" s="822"/>
      <c r="T48" s="822"/>
      <c r="U48" s="822"/>
      <c r="V48" s="822"/>
      <c r="W48" s="822"/>
      <c r="X48" s="822"/>
      <c r="Y48" s="54">
        <v>35250</v>
      </c>
      <c r="Z48" s="822"/>
      <c r="AA48" s="822"/>
      <c r="AB48" s="822"/>
      <c r="AC48" s="822"/>
      <c r="AD48" s="822"/>
      <c r="AE48" s="54">
        <v>1559.25</v>
      </c>
      <c r="AF48" s="822"/>
      <c r="AG48" s="54">
        <v>36809.25</v>
      </c>
      <c r="AH48" s="54">
        <v>0</v>
      </c>
    </row>
    <row r="49" spans="1:34" ht="15.75" thickBot="1" x14ac:dyDescent="0.3">
      <c r="A49" s="51" t="s">
        <v>844</v>
      </c>
      <c r="B49" s="51" t="s">
        <v>36</v>
      </c>
      <c r="C49" s="51" t="s">
        <v>438</v>
      </c>
      <c r="D49" s="51" t="s">
        <v>320</v>
      </c>
      <c r="E49" s="51" t="s">
        <v>272</v>
      </c>
      <c r="F49" s="51" t="s">
        <v>969</v>
      </c>
      <c r="G49" s="148">
        <v>1</v>
      </c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  <c r="V49" s="823"/>
      <c r="W49" s="823"/>
      <c r="X49" s="823"/>
      <c r="Y49" s="56">
        <v>750</v>
      </c>
      <c r="Z49" s="823"/>
      <c r="AA49" s="823"/>
      <c r="AB49" s="823"/>
      <c r="AC49" s="823"/>
      <c r="AD49" s="823"/>
      <c r="AE49" s="56">
        <v>45</v>
      </c>
      <c r="AF49" s="823"/>
      <c r="AG49" s="56">
        <v>795</v>
      </c>
      <c r="AH49" s="56">
        <v>0</v>
      </c>
    </row>
    <row r="50" spans="1:34" ht="15.75" thickBot="1" x14ac:dyDescent="0.3">
      <c r="A50" s="51" t="s">
        <v>844</v>
      </c>
      <c r="B50" s="51" t="s">
        <v>36</v>
      </c>
      <c r="C50" s="51" t="s">
        <v>438</v>
      </c>
      <c r="D50" s="51" t="s">
        <v>320</v>
      </c>
      <c r="E50" s="51" t="s">
        <v>265</v>
      </c>
      <c r="F50" s="51" t="s">
        <v>270</v>
      </c>
      <c r="G50" s="148">
        <v>1</v>
      </c>
      <c r="H50" s="56">
        <v>291</v>
      </c>
      <c r="I50" s="823"/>
      <c r="J50" s="823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823"/>
      <c r="V50" s="823"/>
      <c r="W50" s="823"/>
      <c r="X50" s="823"/>
      <c r="Y50" s="823"/>
      <c r="Z50" s="56">
        <v>1.1100000000000001</v>
      </c>
      <c r="AA50" s="823"/>
      <c r="AB50" s="823"/>
      <c r="AC50" s="823"/>
      <c r="AD50" s="823"/>
      <c r="AE50" s="56">
        <v>7.0000000000000007E-2</v>
      </c>
      <c r="AF50" s="823"/>
      <c r="AG50" s="56">
        <v>1.18</v>
      </c>
      <c r="AH50" s="56">
        <v>0</v>
      </c>
    </row>
    <row r="51" spans="1:34" ht="15.75" thickBot="1" x14ac:dyDescent="0.3">
      <c r="A51" s="51" t="s">
        <v>844</v>
      </c>
      <c r="B51" s="51" t="s">
        <v>36</v>
      </c>
      <c r="C51" s="51" t="s">
        <v>438</v>
      </c>
      <c r="D51" s="51" t="s">
        <v>320</v>
      </c>
      <c r="E51" s="51" t="s">
        <v>265</v>
      </c>
      <c r="F51" s="51" t="s">
        <v>266</v>
      </c>
      <c r="G51" s="147">
        <v>47</v>
      </c>
      <c r="H51" s="54">
        <v>12422981</v>
      </c>
      <c r="I51" s="822"/>
      <c r="J51" s="822"/>
      <c r="K51" s="822"/>
      <c r="L51" s="822"/>
      <c r="M51" s="822"/>
      <c r="N51" s="822"/>
      <c r="O51" s="822"/>
      <c r="P51" s="822"/>
      <c r="Q51" s="822"/>
      <c r="R51" s="822"/>
      <c r="S51" s="822"/>
      <c r="T51" s="822"/>
      <c r="U51" s="822"/>
      <c r="V51" s="822"/>
      <c r="W51" s="822"/>
      <c r="X51" s="822"/>
      <c r="Y51" s="54">
        <v>47207.33</v>
      </c>
      <c r="Z51" s="822"/>
      <c r="AA51" s="822"/>
      <c r="AB51" s="822"/>
      <c r="AC51" s="822"/>
      <c r="AD51" s="822"/>
      <c r="AE51" s="54">
        <v>2085.02</v>
      </c>
      <c r="AF51" s="822"/>
      <c r="AG51" s="54">
        <v>49292.35</v>
      </c>
      <c r="AH51" s="54">
        <v>0</v>
      </c>
    </row>
    <row r="52" spans="1:34" ht="15.75" thickBot="1" x14ac:dyDescent="0.3">
      <c r="A52" s="51" t="s">
        <v>844</v>
      </c>
      <c r="B52" s="51" t="s">
        <v>36</v>
      </c>
      <c r="C52" s="51" t="s">
        <v>438</v>
      </c>
      <c r="D52" s="51" t="s">
        <v>320</v>
      </c>
      <c r="E52" s="51" t="s">
        <v>265</v>
      </c>
      <c r="F52" s="51" t="s">
        <v>266</v>
      </c>
      <c r="G52" s="148">
        <v>1</v>
      </c>
      <c r="H52" s="56">
        <v>62004</v>
      </c>
      <c r="I52" s="823"/>
      <c r="J52" s="823"/>
      <c r="K52" s="823"/>
      <c r="L52" s="823"/>
      <c r="M52" s="823"/>
      <c r="N52" s="823"/>
      <c r="O52" s="823"/>
      <c r="P52" s="823"/>
      <c r="Q52" s="823"/>
      <c r="R52" s="823"/>
      <c r="S52" s="823"/>
      <c r="T52" s="823"/>
      <c r="U52" s="823"/>
      <c r="V52" s="823"/>
      <c r="W52" s="823"/>
      <c r="X52" s="823"/>
      <c r="Y52" s="56">
        <v>235.62</v>
      </c>
      <c r="Z52" s="823"/>
      <c r="AA52" s="823"/>
      <c r="AB52" s="823"/>
      <c r="AC52" s="823"/>
      <c r="AD52" s="823"/>
      <c r="AE52" s="56">
        <v>14.14</v>
      </c>
      <c r="AF52" s="823"/>
      <c r="AG52" s="56">
        <v>249.76</v>
      </c>
      <c r="AH52" s="56">
        <v>0</v>
      </c>
    </row>
    <row r="53" spans="1:34" ht="15.75" thickBot="1" x14ac:dyDescent="0.3">
      <c r="A53" s="51" t="s">
        <v>844</v>
      </c>
      <c r="B53" s="51" t="s">
        <v>36</v>
      </c>
      <c r="C53" s="51" t="s">
        <v>438</v>
      </c>
      <c r="D53" s="51" t="s">
        <v>320</v>
      </c>
      <c r="E53" s="51" t="s">
        <v>621</v>
      </c>
      <c r="F53" s="51" t="s">
        <v>970</v>
      </c>
      <c r="G53" s="148">
        <v>47</v>
      </c>
      <c r="H53" s="823"/>
      <c r="I53" s="823"/>
      <c r="J53" s="823"/>
      <c r="K53" s="823"/>
      <c r="L53" s="823"/>
      <c r="M53" s="823"/>
      <c r="N53" s="823"/>
      <c r="O53" s="823"/>
      <c r="P53" s="823"/>
      <c r="Q53" s="823"/>
      <c r="R53" s="823"/>
      <c r="S53" s="823"/>
      <c r="T53" s="823"/>
      <c r="U53" s="823"/>
      <c r="V53" s="823"/>
      <c r="W53" s="823"/>
      <c r="X53" s="823"/>
      <c r="Y53" s="823"/>
      <c r="Z53" s="823"/>
      <c r="AA53" s="823"/>
      <c r="AB53" s="823"/>
      <c r="AC53" s="823"/>
      <c r="AD53" s="823"/>
      <c r="AE53" s="56">
        <v>263.38</v>
      </c>
      <c r="AF53" s="823"/>
      <c r="AG53" s="56">
        <v>6226.41</v>
      </c>
      <c r="AH53" s="149">
        <v>5963.03</v>
      </c>
    </row>
    <row r="54" spans="1:34" ht="15.75" thickBot="1" x14ac:dyDescent="0.3">
      <c r="A54" s="51" t="s">
        <v>844</v>
      </c>
      <c r="B54" s="51" t="s">
        <v>36</v>
      </c>
      <c r="C54" s="51" t="s">
        <v>438</v>
      </c>
      <c r="D54" s="51" t="s">
        <v>320</v>
      </c>
      <c r="E54" s="51" t="s">
        <v>621</v>
      </c>
      <c r="F54" s="51" t="s">
        <v>970</v>
      </c>
      <c r="G54" s="147">
        <v>1</v>
      </c>
      <c r="H54" s="822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822"/>
      <c r="V54" s="822"/>
      <c r="W54" s="822"/>
      <c r="X54" s="822"/>
      <c r="Y54" s="822"/>
      <c r="Z54" s="822"/>
      <c r="AA54" s="822"/>
      <c r="AB54" s="822"/>
      <c r="AC54" s="822"/>
      <c r="AD54" s="822"/>
      <c r="AE54" s="54">
        <v>1.79</v>
      </c>
      <c r="AF54" s="822"/>
      <c r="AG54" s="54">
        <v>31.55</v>
      </c>
      <c r="AH54" s="149">
        <v>29.76</v>
      </c>
    </row>
    <row r="55" spans="1:34" ht="15.75" thickBot="1" x14ac:dyDescent="0.3">
      <c r="A55" s="51" t="s">
        <v>844</v>
      </c>
      <c r="B55" s="51" t="s">
        <v>36</v>
      </c>
      <c r="C55" s="51" t="s">
        <v>438</v>
      </c>
      <c r="D55" s="51" t="s">
        <v>320</v>
      </c>
      <c r="E55" s="51" t="s">
        <v>916</v>
      </c>
      <c r="F55" s="51" t="s">
        <v>982</v>
      </c>
      <c r="G55" s="147">
        <v>1</v>
      </c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  <c r="S55" s="822"/>
      <c r="T55" s="822"/>
      <c r="U55" s="822"/>
      <c r="V55" s="822"/>
      <c r="W55" s="822"/>
      <c r="X55" s="822"/>
      <c r="Y55" s="822"/>
      <c r="Z55" s="822"/>
      <c r="AA55" s="822"/>
      <c r="AB55" s="822"/>
      <c r="AC55" s="822"/>
      <c r="AD55" s="822"/>
      <c r="AE55" s="54">
        <v>0.01</v>
      </c>
      <c r="AF55" s="822"/>
      <c r="AG55" s="54">
        <v>0.15</v>
      </c>
      <c r="AH55" s="149">
        <v>0.14000000000000001</v>
      </c>
    </row>
    <row r="56" spans="1:34" ht="15.75" thickBot="1" x14ac:dyDescent="0.3">
      <c r="A56" s="51" t="s">
        <v>844</v>
      </c>
      <c r="B56" s="51" t="s">
        <v>36</v>
      </c>
      <c r="C56" s="51" t="s">
        <v>438</v>
      </c>
      <c r="D56" s="51" t="s">
        <v>320</v>
      </c>
      <c r="E56" s="51" t="s">
        <v>271</v>
      </c>
      <c r="F56" s="51" t="s">
        <v>973</v>
      </c>
      <c r="G56" s="147">
        <v>1</v>
      </c>
      <c r="H56" s="822"/>
      <c r="I56" s="822"/>
      <c r="J56" s="822"/>
      <c r="K56" s="822"/>
      <c r="L56" s="822"/>
      <c r="M56" s="822"/>
      <c r="N56" s="822"/>
      <c r="O56" s="822"/>
      <c r="P56" s="822"/>
      <c r="Q56" s="822"/>
      <c r="R56" s="822"/>
      <c r="S56" s="822"/>
      <c r="T56" s="822"/>
      <c r="U56" s="822"/>
      <c r="V56" s="822"/>
      <c r="W56" s="822"/>
      <c r="X56" s="822"/>
      <c r="Y56" s="822"/>
      <c r="Z56" s="822"/>
      <c r="AA56" s="54">
        <v>-42.66</v>
      </c>
      <c r="AB56" s="822"/>
      <c r="AC56" s="822"/>
      <c r="AD56" s="822"/>
      <c r="AE56" s="54">
        <v>-2.56</v>
      </c>
      <c r="AF56" s="822"/>
      <c r="AG56" s="54">
        <v>-45.22</v>
      </c>
      <c r="AH56" s="54">
        <v>0</v>
      </c>
    </row>
    <row r="57" spans="1:34" ht="15.75" thickBot="1" x14ac:dyDescent="0.3">
      <c r="A57" s="51" t="s">
        <v>844</v>
      </c>
      <c r="B57" s="51" t="s">
        <v>36</v>
      </c>
      <c r="C57" s="51" t="s">
        <v>438</v>
      </c>
      <c r="D57" s="51" t="s">
        <v>320</v>
      </c>
      <c r="E57" s="51" t="s">
        <v>271</v>
      </c>
      <c r="F57" s="51" t="s">
        <v>981</v>
      </c>
      <c r="G57" s="148">
        <v>1</v>
      </c>
      <c r="H57" s="823"/>
      <c r="I57" s="823"/>
      <c r="J57" s="823"/>
      <c r="K57" s="823"/>
      <c r="L57" s="823"/>
      <c r="M57" s="823"/>
      <c r="N57" s="823"/>
      <c r="O57" s="823"/>
      <c r="P57" s="823"/>
      <c r="Q57" s="823"/>
      <c r="R57" s="823"/>
      <c r="S57" s="823"/>
      <c r="T57" s="823"/>
      <c r="U57" s="823"/>
      <c r="V57" s="823"/>
      <c r="W57" s="823"/>
      <c r="X57" s="823"/>
      <c r="Y57" s="823"/>
      <c r="Z57" s="56">
        <v>-17.91</v>
      </c>
      <c r="AA57" s="823"/>
      <c r="AB57" s="823"/>
      <c r="AC57" s="823"/>
      <c r="AD57" s="823"/>
      <c r="AE57" s="56">
        <v>-1.07</v>
      </c>
      <c r="AF57" s="823"/>
      <c r="AG57" s="56">
        <v>-18.98</v>
      </c>
      <c r="AH57" s="56">
        <v>0</v>
      </c>
    </row>
    <row r="58" spans="1:34" ht="15.75" thickBot="1" x14ac:dyDescent="0.3">
      <c r="A58" s="51" t="s">
        <v>844</v>
      </c>
      <c r="B58" s="51" t="s">
        <v>36</v>
      </c>
      <c r="C58" s="51" t="s">
        <v>438</v>
      </c>
      <c r="D58" s="51" t="s">
        <v>320</v>
      </c>
      <c r="E58" s="51" t="s">
        <v>325</v>
      </c>
      <c r="F58" s="51" t="s">
        <v>974</v>
      </c>
      <c r="G58" s="148">
        <v>8</v>
      </c>
      <c r="H58" s="823"/>
      <c r="I58" s="823"/>
      <c r="J58" s="823"/>
      <c r="K58" s="823"/>
      <c r="L58" s="823"/>
      <c r="M58" s="823"/>
      <c r="N58" s="823"/>
      <c r="O58" s="823"/>
      <c r="P58" s="823"/>
      <c r="Q58" s="823"/>
      <c r="R58" s="823"/>
      <c r="S58" s="823"/>
      <c r="T58" s="823"/>
      <c r="U58" s="823"/>
      <c r="V58" s="823"/>
      <c r="W58" s="56">
        <v>44.28</v>
      </c>
      <c r="X58" s="823"/>
      <c r="Y58" s="823"/>
      <c r="Z58" s="823"/>
      <c r="AA58" s="823"/>
      <c r="AB58" s="823"/>
      <c r="AC58" s="823"/>
      <c r="AD58" s="823"/>
      <c r="AE58" s="56">
        <v>2.7</v>
      </c>
      <c r="AF58" s="823"/>
      <c r="AG58" s="56">
        <v>46.98</v>
      </c>
      <c r="AH58" s="56">
        <v>0</v>
      </c>
    </row>
    <row r="59" spans="1:34" ht="15.75" thickBot="1" x14ac:dyDescent="0.3">
      <c r="A59" s="51" t="s">
        <v>844</v>
      </c>
      <c r="B59" s="51" t="s">
        <v>36</v>
      </c>
      <c r="C59" s="51" t="s">
        <v>438</v>
      </c>
      <c r="D59" s="51" t="s">
        <v>320</v>
      </c>
      <c r="E59" s="51" t="s">
        <v>326</v>
      </c>
      <c r="F59" s="51" t="s">
        <v>975</v>
      </c>
      <c r="G59" s="148">
        <v>1</v>
      </c>
      <c r="H59" s="823"/>
      <c r="I59" s="823"/>
      <c r="J59" s="823"/>
      <c r="K59" s="823"/>
      <c r="L59" s="823"/>
      <c r="M59" s="823"/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56">
        <v>196.15</v>
      </c>
      <c r="Z59" s="823"/>
      <c r="AA59" s="823"/>
      <c r="AB59" s="823"/>
      <c r="AC59" s="823"/>
      <c r="AD59" s="823"/>
      <c r="AE59" s="56">
        <v>11.77</v>
      </c>
      <c r="AF59" s="823"/>
      <c r="AG59" s="56">
        <v>207.92</v>
      </c>
      <c r="AH59" s="56">
        <v>0</v>
      </c>
    </row>
    <row r="60" spans="1:34" ht="15.75" thickBot="1" x14ac:dyDescent="0.3">
      <c r="A60" s="51" t="s">
        <v>844</v>
      </c>
      <c r="B60" s="51" t="s">
        <v>36</v>
      </c>
      <c r="C60" s="51" t="s">
        <v>438</v>
      </c>
      <c r="D60" s="51" t="s">
        <v>320</v>
      </c>
      <c r="E60" s="51" t="s">
        <v>268</v>
      </c>
      <c r="F60" s="51" t="s">
        <v>983</v>
      </c>
      <c r="G60" s="148">
        <v>1</v>
      </c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56">
        <v>550</v>
      </c>
      <c r="AD60" s="823"/>
      <c r="AE60" s="56">
        <v>33</v>
      </c>
      <c r="AF60" s="823"/>
      <c r="AG60" s="56">
        <v>583</v>
      </c>
      <c r="AH60" s="56">
        <v>0</v>
      </c>
    </row>
    <row r="61" spans="1:34" ht="15.75" thickBot="1" x14ac:dyDescent="0.3">
      <c r="A61" s="51" t="s">
        <v>844</v>
      </c>
      <c r="B61" s="51" t="s">
        <v>36</v>
      </c>
      <c r="C61" s="51" t="s">
        <v>438</v>
      </c>
      <c r="D61" s="51" t="s">
        <v>320</v>
      </c>
      <c r="E61" s="51" t="s">
        <v>268</v>
      </c>
      <c r="F61" s="51" t="s">
        <v>971</v>
      </c>
      <c r="G61" s="147">
        <v>47</v>
      </c>
      <c r="H61" s="822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822"/>
      <c r="V61" s="822"/>
      <c r="W61" s="822"/>
      <c r="X61" s="822"/>
      <c r="Y61" s="822"/>
      <c r="Z61" s="822"/>
      <c r="AA61" s="822"/>
      <c r="AB61" s="822"/>
      <c r="AC61" s="54">
        <v>25850</v>
      </c>
      <c r="AD61" s="822"/>
      <c r="AE61" s="54">
        <v>1143.45</v>
      </c>
      <c r="AF61" s="822"/>
      <c r="AG61" s="54">
        <v>26993.45</v>
      </c>
      <c r="AH61" s="54">
        <v>0</v>
      </c>
    </row>
    <row r="62" spans="1:34" ht="15.75" thickBot="1" x14ac:dyDescent="0.3">
      <c r="A62" s="51" t="s">
        <v>844</v>
      </c>
      <c r="B62" s="51" t="s">
        <v>36</v>
      </c>
      <c r="C62" s="51" t="s">
        <v>438</v>
      </c>
      <c r="D62" s="51" t="s">
        <v>320</v>
      </c>
      <c r="E62" s="51" t="s">
        <v>914</v>
      </c>
      <c r="F62" s="51" t="s">
        <v>266</v>
      </c>
      <c r="G62" s="147">
        <v>47</v>
      </c>
      <c r="H62" s="822"/>
      <c r="I62" s="822"/>
      <c r="J62" s="822"/>
      <c r="K62" s="822"/>
      <c r="L62" s="822"/>
      <c r="M62" s="822"/>
      <c r="N62" s="822"/>
      <c r="O62" s="822"/>
      <c r="P62" s="822"/>
      <c r="Q62" s="822"/>
      <c r="R62" s="822"/>
      <c r="S62" s="822"/>
      <c r="T62" s="822"/>
      <c r="U62" s="822"/>
      <c r="V62" s="822"/>
      <c r="W62" s="822"/>
      <c r="X62" s="822"/>
      <c r="Y62" s="54">
        <v>318372.3</v>
      </c>
      <c r="Z62" s="822"/>
      <c r="AA62" s="822"/>
      <c r="AB62" s="822"/>
      <c r="AC62" s="822"/>
      <c r="AD62" s="822"/>
      <c r="AE62" s="54">
        <v>14304.19</v>
      </c>
      <c r="AF62" s="822"/>
      <c r="AG62" s="54">
        <v>332676.49</v>
      </c>
      <c r="AH62" s="54">
        <v>0</v>
      </c>
    </row>
    <row r="63" spans="1:34" ht="15.75" thickBot="1" x14ac:dyDescent="0.3">
      <c r="A63" s="51" t="s">
        <v>844</v>
      </c>
      <c r="B63" s="51" t="s">
        <v>36</v>
      </c>
      <c r="C63" s="51" t="s">
        <v>438</v>
      </c>
      <c r="D63" s="51" t="s">
        <v>320</v>
      </c>
      <c r="E63" s="51" t="s">
        <v>914</v>
      </c>
      <c r="F63" s="51" t="s">
        <v>266</v>
      </c>
      <c r="G63" s="148">
        <v>1</v>
      </c>
      <c r="H63" s="823"/>
      <c r="I63" s="823"/>
      <c r="J63" s="823"/>
      <c r="K63" s="823"/>
      <c r="L63" s="823"/>
      <c r="M63" s="823"/>
      <c r="N63" s="823"/>
      <c r="O63" s="823"/>
      <c r="P63" s="823"/>
      <c r="Q63" s="823"/>
      <c r="R63" s="823"/>
      <c r="S63" s="823"/>
      <c r="T63" s="823"/>
      <c r="U63" s="823"/>
      <c r="V63" s="823"/>
      <c r="W63" s="823"/>
      <c r="X63" s="823"/>
      <c r="Y63" s="56">
        <v>1613.21</v>
      </c>
      <c r="Z63" s="823"/>
      <c r="AA63" s="823"/>
      <c r="AB63" s="823"/>
      <c r="AC63" s="823"/>
      <c r="AD63" s="823"/>
      <c r="AE63" s="56">
        <v>96.79</v>
      </c>
      <c r="AF63" s="823"/>
      <c r="AG63" s="56">
        <v>1710</v>
      </c>
      <c r="AH63" s="56">
        <v>0</v>
      </c>
    </row>
    <row r="64" spans="1:34" ht="15.75" thickBot="1" x14ac:dyDescent="0.3">
      <c r="A64" s="51" t="s">
        <v>844</v>
      </c>
      <c r="B64" s="51" t="s">
        <v>36</v>
      </c>
      <c r="C64" s="51" t="s">
        <v>438</v>
      </c>
      <c r="D64" s="51" t="s">
        <v>320</v>
      </c>
      <c r="E64" s="51" t="s">
        <v>329</v>
      </c>
      <c r="F64" s="51" t="s">
        <v>975</v>
      </c>
      <c r="G64" s="148">
        <v>2</v>
      </c>
      <c r="H64" s="823"/>
      <c r="I64" s="823"/>
      <c r="J64" s="823"/>
      <c r="K64" s="823"/>
      <c r="L64" s="823"/>
      <c r="M64" s="823"/>
      <c r="N64" s="823"/>
      <c r="O64" s="823"/>
      <c r="P64" s="823"/>
      <c r="Q64" s="823"/>
      <c r="R64" s="823"/>
      <c r="S64" s="823"/>
      <c r="T64" s="823"/>
      <c r="U64" s="823"/>
      <c r="V64" s="823"/>
      <c r="W64" s="823"/>
      <c r="X64" s="823"/>
      <c r="Y64" s="56">
        <v>692.87</v>
      </c>
      <c r="Z64" s="823"/>
      <c r="AA64" s="823"/>
      <c r="AB64" s="823"/>
      <c r="AC64" s="823"/>
      <c r="AD64" s="56">
        <v>692.87</v>
      </c>
      <c r="AE64" s="56">
        <v>41.57</v>
      </c>
      <c r="AF64" s="823"/>
      <c r="AG64" s="56">
        <v>734.44</v>
      </c>
      <c r="AH64" s="149">
        <v>-692.87</v>
      </c>
    </row>
    <row r="65" spans="1:34" ht="15.75" thickBot="1" x14ac:dyDescent="0.3">
      <c r="A65" s="51" t="s">
        <v>844</v>
      </c>
      <c r="B65" s="51" t="s">
        <v>36</v>
      </c>
      <c r="C65" s="51" t="s">
        <v>438</v>
      </c>
      <c r="D65" s="51" t="s">
        <v>320</v>
      </c>
      <c r="E65" s="51" t="s">
        <v>330</v>
      </c>
      <c r="F65" s="51" t="s">
        <v>976</v>
      </c>
      <c r="G65" s="148">
        <v>2</v>
      </c>
      <c r="H65" s="823"/>
      <c r="I65" s="823"/>
      <c r="J65" s="823"/>
      <c r="K65" s="823"/>
      <c r="L65" s="823"/>
      <c r="M65" s="823"/>
      <c r="N65" s="823"/>
      <c r="O65" s="823"/>
      <c r="P65" s="823"/>
      <c r="Q65" s="823"/>
      <c r="R65" s="823"/>
      <c r="S65" s="823"/>
      <c r="T65" s="823"/>
      <c r="U65" s="823"/>
      <c r="V65" s="823"/>
      <c r="W65" s="823"/>
      <c r="X65" s="823"/>
      <c r="Y65" s="56">
        <v>1617.98</v>
      </c>
      <c r="Z65" s="823"/>
      <c r="AA65" s="823"/>
      <c r="AB65" s="823"/>
      <c r="AC65" s="823"/>
      <c r="AD65" s="823"/>
      <c r="AE65" s="56">
        <v>97.08</v>
      </c>
      <c r="AF65" s="823"/>
      <c r="AG65" s="56">
        <v>1715.06</v>
      </c>
      <c r="AH65" s="56">
        <v>0</v>
      </c>
    </row>
    <row r="66" spans="1:34" ht="15.75" thickBot="1" x14ac:dyDescent="0.3">
      <c r="A66" s="51" t="s">
        <v>844</v>
      </c>
      <c r="B66" s="51" t="s">
        <v>36</v>
      </c>
      <c r="C66" s="51" t="s">
        <v>438</v>
      </c>
      <c r="D66" s="51" t="s">
        <v>319</v>
      </c>
      <c r="E66" s="51" t="s">
        <v>272</v>
      </c>
      <c r="F66" s="51" t="s">
        <v>969</v>
      </c>
      <c r="G66" s="147">
        <v>2</v>
      </c>
      <c r="H66" s="822"/>
      <c r="I66" s="822"/>
      <c r="J66" s="822"/>
      <c r="K66" s="822"/>
      <c r="L66" s="822"/>
      <c r="M66" s="822"/>
      <c r="N66" s="822"/>
      <c r="O66" s="822"/>
      <c r="P66" s="822"/>
      <c r="Q66" s="822"/>
      <c r="R66" s="822"/>
      <c r="S66" s="822"/>
      <c r="T66" s="822"/>
      <c r="U66" s="822"/>
      <c r="V66" s="822"/>
      <c r="W66" s="822"/>
      <c r="X66" s="822"/>
      <c r="Y66" s="54">
        <v>1500</v>
      </c>
      <c r="Z66" s="822"/>
      <c r="AA66" s="822"/>
      <c r="AB66" s="822"/>
      <c r="AC66" s="822"/>
      <c r="AD66" s="822"/>
      <c r="AE66" s="54">
        <v>0</v>
      </c>
      <c r="AF66" s="822"/>
      <c r="AG66" s="54">
        <v>1500</v>
      </c>
      <c r="AH66" s="54">
        <v>0</v>
      </c>
    </row>
    <row r="67" spans="1:34" ht="15.75" thickBot="1" x14ac:dyDescent="0.3">
      <c r="A67" s="51" t="s">
        <v>844</v>
      </c>
      <c r="B67" s="51" t="s">
        <v>36</v>
      </c>
      <c r="C67" s="51" t="s">
        <v>438</v>
      </c>
      <c r="D67" s="51" t="s">
        <v>319</v>
      </c>
      <c r="E67" s="51" t="s">
        <v>265</v>
      </c>
      <c r="F67" s="51" t="s">
        <v>266</v>
      </c>
      <c r="G67" s="147">
        <v>2</v>
      </c>
      <c r="H67" s="54">
        <v>739109</v>
      </c>
      <c r="I67" s="822"/>
      <c r="J67" s="822"/>
      <c r="K67" s="822"/>
      <c r="L67" s="822"/>
      <c r="M67" s="822"/>
      <c r="N67" s="822"/>
      <c r="O67" s="822"/>
      <c r="P67" s="822"/>
      <c r="Q67" s="822"/>
      <c r="R67" s="822"/>
      <c r="S67" s="822"/>
      <c r="T67" s="822"/>
      <c r="U67" s="822"/>
      <c r="V67" s="822"/>
      <c r="W67" s="822"/>
      <c r="X67" s="822"/>
      <c r="Y67" s="54">
        <v>2808.62</v>
      </c>
      <c r="Z67" s="822"/>
      <c r="AA67" s="822"/>
      <c r="AB67" s="822"/>
      <c r="AC67" s="822"/>
      <c r="AD67" s="822"/>
      <c r="AE67" s="54">
        <v>0</v>
      </c>
      <c r="AF67" s="822"/>
      <c r="AG67" s="54">
        <v>2808.62</v>
      </c>
      <c r="AH67" s="54">
        <v>0</v>
      </c>
    </row>
    <row r="68" spans="1:34" ht="15.75" thickBot="1" x14ac:dyDescent="0.3">
      <c r="A68" s="51" t="s">
        <v>844</v>
      </c>
      <c r="B68" s="51" t="s">
        <v>36</v>
      </c>
      <c r="C68" s="51" t="s">
        <v>438</v>
      </c>
      <c r="D68" s="51" t="s">
        <v>319</v>
      </c>
      <c r="E68" s="51" t="s">
        <v>621</v>
      </c>
      <c r="F68" s="51" t="s">
        <v>970</v>
      </c>
      <c r="G68" s="147">
        <v>2</v>
      </c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822"/>
      <c r="V68" s="822"/>
      <c r="W68" s="822"/>
      <c r="X68" s="822"/>
      <c r="Y68" s="822"/>
      <c r="Z68" s="822"/>
      <c r="AA68" s="822"/>
      <c r="AB68" s="822"/>
      <c r="AC68" s="822"/>
      <c r="AD68" s="822"/>
      <c r="AE68" s="54">
        <v>0</v>
      </c>
      <c r="AF68" s="822"/>
      <c r="AG68" s="54">
        <v>354.77</v>
      </c>
      <c r="AH68" s="149">
        <v>354.77</v>
      </c>
    </row>
    <row r="69" spans="1:34" ht="15.75" thickBot="1" x14ac:dyDescent="0.3">
      <c r="A69" s="51" t="s">
        <v>844</v>
      </c>
      <c r="B69" s="51" t="s">
        <v>36</v>
      </c>
      <c r="C69" s="51" t="s">
        <v>438</v>
      </c>
      <c r="D69" s="51" t="s">
        <v>319</v>
      </c>
      <c r="E69" s="51" t="s">
        <v>268</v>
      </c>
      <c r="F69" s="51" t="s">
        <v>971</v>
      </c>
      <c r="G69" s="147">
        <v>2</v>
      </c>
      <c r="H69" s="822"/>
      <c r="I69" s="822"/>
      <c r="J69" s="822"/>
      <c r="K69" s="822"/>
      <c r="L69" s="822"/>
      <c r="M69" s="822"/>
      <c r="N69" s="822"/>
      <c r="O69" s="822"/>
      <c r="P69" s="822"/>
      <c r="Q69" s="822"/>
      <c r="R69" s="822"/>
      <c r="S69" s="822"/>
      <c r="T69" s="822"/>
      <c r="U69" s="822"/>
      <c r="V69" s="822"/>
      <c r="W69" s="822"/>
      <c r="X69" s="822"/>
      <c r="Y69" s="822"/>
      <c r="Z69" s="822"/>
      <c r="AA69" s="822"/>
      <c r="AB69" s="822"/>
      <c r="AC69" s="54">
        <v>1100</v>
      </c>
      <c r="AD69" s="822"/>
      <c r="AE69" s="54">
        <v>0</v>
      </c>
      <c r="AF69" s="822"/>
      <c r="AG69" s="54">
        <v>1100</v>
      </c>
      <c r="AH69" s="54">
        <v>0</v>
      </c>
    </row>
    <row r="70" spans="1:34" ht="15.75" thickBot="1" x14ac:dyDescent="0.3">
      <c r="A70" s="51" t="s">
        <v>844</v>
      </c>
      <c r="B70" s="51" t="s">
        <v>36</v>
      </c>
      <c r="C70" s="51" t="s">
        <v>438</v>
      </c>
      <c r="D70" s="51" t="s">
        <v>319</v>
      </c>
      <c r="E70" s="51" t="s">
        <v>914</v>
      </c>
      <c r="F70" s="51" t="s">
        <v>266</v>
      </c>
      <c r="G70" s="147">
        <v>2</v>
      </c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822"/>
      <c r="S70" s="822"/>
      <c r="T70" s="822"/>
      <c r="U70" s="822"/>
      <c r="V70" s="822"/>
      <c r="W70" s="822"/>
      <c r="X70" s="822"/>
      <c r="Y70" s="54">
        <v>18788.36</v>
      </c>
      <c r="Z70" s="822"/>
      <c r="AA70" s="822"/>
      <c r="AB70" s="822"/>
      <c r="AC70" s="822"/>
      <c r="AD70" s="822"/>
      <c r="AE70" s="54">
        <v>0</v>
      </c>
      <c r="AF70" s="822"/>
      <c r="AG70" s="54">
        <v>18788.36</v>
      </c>
      <c r="AH70" s="54">
        <v>0</v>
      </c>
    </row>
    <row r="71" spans="1:34" ht="15.75" thickBot="1" x14ac:dyDescent="0.3">
      <c r="A71" s="51" t="s">
        <v>844</v>
      </c>
      <c r="B71" s="51" t="s">
        <v>447</v>
      </c>
      <c r="C71" s="51" t="s">
        <v>494</v>
      </c>
      <c r="D71" s="51" t="s">
        <v>320</v>
      </c>
      <c r="E71" s="51" t="s">
        <v>109</v>
      </c>
      <c r="F71" s="51" t="s">
        <v>968</v>
      </c>
      <c r="G71" s="147">
        <v>15</v>
      </c>
      <c r="H71" s="822"/>
      <c r="I71" s="822"/>
      <c r="J71" s="822"/>
      <c r="K71" s="822"/>
      <c r="L71" s="822"/>
      <c r="M71" s="822"/>
      <c r="N71" s="822"/>
      <c r="O71" s="822"/>
      <c r="P71" s="822"/>
      <c r="Q71" s="822"/>
      <c r="R71" s="822"/>
      <c r="S71" s="822"/>
      <c r="T71" s="822"/>
      <c r="U71" s="822"/>
      <c r="V71" s="822"/>
      <c r="W71" s="822"/>
      <c r="X71" s="822"/>
      <c r="Y71" s="54">
        <v>182.58</v>
      </c>
      <c r="Z71" s="822"/>
      <c r="AA71" s="822"/>
      <c r="AB71" s="822"/>
      <c r="AC71" s="822"/>
      <c r="AD71" s="822"/>
      <c r="AE71" s="54">
        <v>7.82</v>
      </c>
      <c r="AF71" s="822"/>
      <c r="AG71" s="54">
        <v>190.4</v>
      </c>
      <c r="AH71" s="54">
        <v>0</v>
      </c>
    </row>
    <row r="72" spans="1:34" ht="15.75" thickBot="1" x14ac:dyDescent="0.3">
      <c r="A72" s="51" t="s">
        <v>844</v>
      </c>
      <c r="B72" s="51" t="s">
        <v>447</v>
      </c>
      <c r="C72" s="51" t="s">
        <v>494</v>
      </c>
      <c r="D72" s="51" t="s">
        <v>320</v>
      </c>
      <c r="E72" s="51" t="s">
        <v>356</v>
      </c>
      <c r="F72" s="51" t="s">
        <v>337</v>
      </c>
      <c r="G72" s="147">
        <v>4</v>
      </c>
      <c r="H72" s="822"/>
      <c r="I72" s="822"/>
      <c r="J72" s="822"/>
      <c r="K72" s="822"/>
      <c r="L72" s="822"/>
      <c r="M72" s="54">
        <v>452.33</v>
      </c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22"/>
      <c r="AC72" s="822"/>
      <c r="AD72" s="822"/>
      <c r="AE72" s="54">
        <v>10.52</v>
      </c>
      <c r="AF72" s="822"/>
      <c r="AG72" s="54">
        <v>462.85</v>
      </c>
      <c r="AH72" s="54">
        <v>0</v>
      </c>
    </row>
    <row r="73" spans="1:34" ht="15.75" thickBot="1" x14ac:dyDescent="0.3">
      <c r="A73" s="51" t="s">
        <v>844</v>
      </c>
      <c r="B73" s="51" t="s">
        <v>447</v>
      </c>
      <c r="C73" s="51" t="s">
        <v>494</v>
      </c>
      <c r="D73" s="51" t="s">
        <v>320</v>
      </c>
      <c r="E73" s="51" t="s">
        <v>357</v>
      </c>
      <c r="F73" s="51" t="s">
        <v>984</v>
      </c>
      <c r="G73" s="147">
        <v>1</v>
      </c>
      <c r="H73" s="822"/>
      <c r="I73" s="822"/>
      <c r="J73" s="822"/>
      <c r="K73" s="822"/>
      <c r="L73" s="822"/>
      <c r="M73" s="822"/>
      <c r="N73" s="822"/>
      <c r="O73" s="822"/>
      <c r="P73" s="822"/>
      <c r="Q73" s="822"/>
      <c r="R73" s="822"/>
      <c r="S73" s="822"/>
      <c r="T73" s="822"/>
      <c r="U73" s="822"/>
      <c r="V73" s="822"/>
      <c r="W73" s="822"/>
      <c r="X73" s="54">
        <v>-12.52</v>
      </c>
      <c r="Y73" s="822"/>
      <c r="Z73" s="822"/>
      <c r="AA73" s="822"/>
      <c r="AB73" s="822"/>
      <c r="AC73" s="822"/>
      <c r="AD73" s="822"/>
      <c r="AE73" s="54">
        <v>-0.38</v>
      </c>
      <c r="AF73" s="822"/>
      <c r="AG73" s="54">
        <v>-12.9</v>
      </c>
      <c r="AH73" s="54">
        <v>0</v>
      </c>
    </row>
    <row r="74" spans="1:34" ht="15.75" thickBot="1" x14ac:dyDescent="0.3">
      <c r="A74" s="51" t="s">
        <v>844</v>
      </c>
      <c r="B74" s="51" t="s">
        <v>447</v>
      </c>
      <c r="C74" s="51" t="s">
        <v>494</v>
      </c>
      <c r="D74" s="51" t="s">
        <v>320</v>
      </c>
      <c r="E74" s="51" t="s">
        <v>272</v>
      </c>
      <c r="F74" s="51" t="s">
        <v>969</v>
      </c>
      <c r="G74" s="147">
        <v>15</v>
      </c>
      <c r="H74" s="822"/>
      <c r="I74" s="822"/>
      <c r="J74" s="822"/>
      <c r="K74" s="822"/>
      <c r="L74" s="822"/>
      <c r="M74" s="822"/>
      <c r="N74" s="822"/>
      <c r="O74" s="822"/>
      <c r="P74" s="822"/>
      <c r="Q74" s="822"/>
      <c r="R74" s="822"/>
      <c r="S74" s="822"/>
      <c r="T74" s="822"/>
      <c r="U74" s="822"/>
      <c r="V74" s="822"/>
      <c r="W74" s="822"/>
      <c r="X74" s="822"/>
      <c r="Y74" s="54">
        <v>11250</v>
      </c>
      <c r="Z74" s="822"/>
      <c r="AA74" s="822"/>
      <c r="AB74" s="822"/>
      <c r="AC74" s="822"/>
      <c r="AD74" s="822"/>
      <c r="AE74" s="54">
        <v>499.04</v>
      </c>
      <c r="AF74" s="822"/>
      <c r="AG74" s="54">
        <v>11749.04</v>
      </c>
      <c r="AH74" s="54">
        <v>0</v>
      </c>
    </row>
    <row r="75" spans="1:34" ht="15.75" thickBot="1" x14ac:dyDescent="0.3">
      <c r="A75" s="51" t="s">
        <v>844</v>
      </c>
      <c r="B75" s="51" t="s">
        <v>447</v>
      </c>
      <c r="C75" s="51" t="s">
        <v>494</v>
      </c>
      <c r="D75" s="51" t="s">
        <v>320</v>
      </c>
      <c r="E75" s="51" t="s">
        <v>265</v>
      </c>
      <c r="F75" s="51" t="s">
        <v>266</v>
      </c>
      <c r="G75" s="147">
        <v>15</v>
      </c>
      <c r="H75" s="54">
        <v>1014404</v>
      </c>
      <c r="I75" s="822"/>
      <c r="J75" s="822"/>
      <c r="K75" s="822"/>
      <c r="L75" s="822"/>
      <c r="M75" s="822"/>
      <c r="N75" s="822"/>
      <c r="O75" s="822"/>
      <c r="P75" s="822"/>
      <c r="Q75" s="822"/>
      <c r="R75" s="822"/>
      <c r="S75" s="822"/>
      <c r="T75" s="822"/>
      <c r="U75" s="822"/>
      <c r="V75" s="822"/>
      <c r="W75" s="822"/>
      <c r="X75" s="822"/>
      <c r="Y75" s="54">
        <v>3854.76</v>
      </c>
      <c r="Z75" s="822"/>
      <c r="AA75" s="822"/>
      <c r="AB75" s="822"/>
      <c r="AC75" s="822"/>
      <c r="AD75" s="822"/>
      <c r="AE75" s="54">
        <v>165.06</v>
      </c>
      <c r="AF75" s="822"/>
      <c r="AG75" s="54">
        <v>4019.82</v>
      </c>
      <c r="AH75" s="54">
        <v>0</v>
      </c>
    </row>
    <row r="76" spans="1:34" ht="15.75" thickBot="1" x14ac:dyDescent="0.3">
      <c r="A76" s="51" t="s">
        <v>844</v>
      </c>
      <c r="B76" s="51" t="s">
        <v>447</v>
      </c>
      <c r="C76" s="51" t="s">
        <v>494</v>
      </c>
      <c r="D76" s="51" t="s">
        <v>320</v>
      </c>
      <c r="E76" s="51" t="s">
        <v>621</v>
      </c>
      <c r="F76" s="51" t="s">
        <v>970</v>
      </c>
      <c r="G76" s="147">
        <v>15</v>
      </c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822"/>
      <c r="V76" s="822"/>
      <c r="W76" s="822"/>
      <c r="X76" s="822"/>
      <c r="Y76" s="822"/>
      <c r="Z76" s="822"/>
      <c r="AA76" s="822"/>
      <c r="AB76" s="822"/>
      <c r="AC76" s="822"/>
      <c r="AD76" s="822"/>
      <c r="AE76" s="54">
        <v>20.85</v>
      </c>
      <c r="AF76" s="822"/>
      <c r="AG76" s="54">
        <v>507.76</v>
      </c>
      <c r="AH76" s="149">
        <v>486.91</v>
      </c>
    </row>
    <row r="77" spans="1:34" ht="15.75" thickBot="1" x14ac:dyDescent="0.3">
      <c r="A77" s="51" t="s">
        <v>844</v>
      </c>
      <c r="B77" s="51" t="s">
        <v>447</v>
      </c>
      <c r="C77" s="51" t="s">
        <v>494</v>
      </c>
      <c r="D77" s="51" t="s">
        <v>320</v>
      </c>
      <c r="E77" s="51" t="s">
        <v>325</v>
      </c>
      <c r="F77" s="51" t="s">
        <v>974</v>
      </c>
      <c r="G77" s="147">
        <v>5</v>
      </c>
      <c r="H77" s="822"/>
      <c r="I77" s="822"/>
      <c r="J77" s="822"/>
      <c r="K77" s="822"/>
      <c r="L77" s="822"/>
      <c r="M77" s="822"/>
      <c r="N77" s="822"/>
      <c r="O77" s="822"/>
      <c r="P77" s="822"/>
      <c r="Q77" s="822"/>
      <c r="R77" s="822"/>
      <c r="S77" s="822"/>
      <c r="T77" s="822"/>
      <c r="U77" s="822"/>
      <c r="V77" s="822"/>
      <c r="W77" s="54">
        <v>11.01</v>
      </c>
      <c r="X77" s="822"/>
      <c r="Y77" s="822"/>
      <c r="Z77" s="822"/>
      <c r="AA77" s="822"/>
      <c r="AB77" s="822"/>
      <c r="AC77" s="822"/>
      <c r="AD77" s="822"/>
      <c r="AE77" s="54">
        <v>0.24</v>
      </c>
      <c r="AF77" s="822"/>
      <c r="AG77" s="54">
        <v>11.25</v>
      </c>
      <c r="AH77" s="54">
        <v>0</v>
      </c>
    </row>
    <row r="78" spans="1:34" ht="15.75" thickBot="1" x14ac:dyDescent="0.3">
      <c r="A78" s="51" t="s">
        <v>844</v>
      </c>
      <c r="B78" s="51" t="s">
        <v>447</v>
      </c>
      <c r="C78" s="51" t="s">
        <v>494</v>
      </c>
      <c r="D78" s="51" t="s">
        <v>320</v>
      </c>
      <c r="E78" s="51" t="s">
        <v>268</v>
      </c>
      <c r="F78" s="51" t="s">
        <v>971</v>
      </c>
      <c r="G78" s="147">
        <v>15</v>
      </c>
      <c r="H78" s="822"/>
      <c r="I78" s="822"/>
      <c r="J78" s="822"/>
      <c r="K78" s="822"/>
      <c r="L78" s="822"/>
      <c r="M78" s="822"/>
      <c r="N78" s="822"/>
      <c r="O78" s="822"/>
      <c r="P78" s="822"/>
      <c r="Q78" s="822"/>
      <c r="R78" s="822"/>
      <c r="S78" s="822"/>
      <c r="T78" s="822"/>
      <c r="U78" s="822"/>
      <c r="V78" s="822"/>
      <c r="W78" s="822"/>
      <c r="X78" s="822"/>
      <c r="Y78" s="822"/>
      <c r="Z78" s="822"/>
      <c r="AA78" s="822"/>
      <c r="AB78" s="822"/>
      <c r="AC78" s="54">
        <v>8250</v>
      </c>
      <c r="AD78" s="822"/>
      <c r="AE78" s="54">
        <v>365.97</v>
      </c>
      <c r="AF78" s="822"/>
      <c r="AG78" s="54">
        <v>8615.9699999999993</v>
      </c>
      <c r="AH78" s="54">
        <v>0</v>
      </c>
    </row>
    <row r="79" spans="1:34" ht="15.75" thickBot="1" x14ac:dyDescent="0.3">
      <c r="A79" s="51" t="s">
        <v>844</v>
      </c>
      <c r="B79" s="51" t="s">
        <v>447</v>
      </c>
      <c r="C79" s="51" t="s">
        <v>494</v>
      </c>
      <c r="D79" s="51" t="s">
        <v>320</v>
      </c>
      <c r="E79" s="51" t="s">
        <v>914</v>
      </c>
      <c r="F79" s="51" t="s">
        <v>266</v>
      </c>
      <c r="G79" s="147">
        <v>15</v>
      </c>
      <c r="H79" s="822"/>
      <c r="I79" s="822"/>
      <c r="J79" s="822"/>
      <c r="K79" s="822"/>
      <c r="L79" s="822"/>
      <c r="M79" s="822"/>
      <c r="N79" s="822"/>
      <c r="O79" s="822"/>
      <c r="P79" s="822"/>
      <c r="Q79" s="822"/>
      <c r="R79" s="822"/>
      <c r="S79" s="822"/>
      <c r="T79" s="822"/>
      <c r="U79" s="822"/>
      <c r="V79" s="822"/>
      <c r="W79" s="822"/>
      <c r="X79" s="822"/>
      <c r="Y79" s="54">
        <v>25767.360000000001</v>
      </c>
      <c r="Z79" s="822"/>
      <c r="AA79" s="822"/>
      <c r="AB79" s="822"/>
      <c r="AC79" s="822"/>
      <c r="AD79" s="822"/>
      <c r="AE79" s="54">
        <v>1069.19</v>
      </c>
      <c r="AF79" s="822"/>
      <c r="AG79" s="54">
        <v>26836.55</v>
      </c>
      <c r="AH79" s="54">
        <v>0</v>
      </c>
    </row>
    <row r="80" spans="1:34" ht="15.75" thickBot="1" x14ac:dyDescent="0.3">
      <c r="A80" s="51" t="s">
        <v>844</v>
      </c>
      <c r="B80" s="51" t="s">
        <v>38</v>
      </c>
      <c r="C80" s="51" t="s">
        <v>39</v>
      </c>
      <c r="D80" s="51" t="s">
        <v>320</v>
      </c>
      <c r="E80" s="51" t="s">
        <v>269</v>
      </c>
      <c r="F80" s="51" t="s">
        <v>364</v>
      </c>
      <c r="G80" s="148">
        <v>3</v>
      </c>
      <c r="H80" s="823"/>
      <c r="I80" s="823"/>
      <c r="J80" s="823"/>
      <c r="K80" s="823"/>
      <c r="L80" s="823"/>
      <c r="M80" s="823"/>
      <c r="N80" s="823"/>
      <c r="O80" s="823"/>
      <c r="P80" s="823"/>
      <c r="Q80" s="823"/>
      <c r="R80" s="823"/>
      <c r="S80" s="823"/>
      <c r="T80" s="823"/>
      <c r="U80" s="823"/>
      <c r="V80" s="823"/>
      <c r="W80" s="823"/>
      <c r="X80" s="823"/>
      <c r="Y80" s="823"/>
      <c r="Z80" s="823"/>
      <c r="AA80" s="56">
        <v>60240.49</v>
      </c>
      <c r="AB80" s="823"/>
      <c r="AC80" s="823"/>
      <c r="AD80" s="823"/>
      <c r="AE80" s="56">
        <v>0</v>
      </c>
      <c r="AF80" s="823"/>
      <c r="AG80" s="56">
        <v>60240.49</v>
      </c>
      <c r="AH80" s="56">
        <v>0</v>
      </c>
    </row>
    <row r="81" spans="1:34" ht="15.75" thickBot="1" x14ac:dyDescent="0.3">
      <c r="A81" s="51" t="s">
        <v>844</v>
      </c>
      <c r="B81" s="51" t="s">
        <v>38</v>
      </c>
      <c r="C81" s="51" t="s">
        <v>39</v>
      </c>
      <c r="D81" s="51" t="s">
        <v>320</v>
      </c>
      <c r="E81" s="51" t="s">
        <v>271</v>
      </c>
      <c r="F81" s="51" t="s">
        <v>981</v>
      </c>
      <c r="G81" s="148">
        <v>3</v>
      </c>
      <c r="H81" s="823"/>
      <c r="I81" s="823"/>
      <c r="J81" s="823"/>
      <c r="K81" s="823"/>
      <c r="L81" s="823"/>
      <c r="M81" s="823"/>
      <c r="N81" s="823"/>
      <c r="O81" s="823"/>
      <c r="P81" s="823"/>
      <c r="Q81" s="823"/>
      <c r="R81" s="823"/>
      <c r="S81" s="823"/>
      <c r="T81" s="823"/>
      <c r="U81" s="823"/>
      <c r="V81" s="823"/>
      <c r="W81" s="823"/>
      <c r="X81" s="823"/>
      <c r="Y81" s="823"/>
      <c r="Z81" s="56">
        <v>-5993.4</v>
      </c>
      <c r="AA81" s="823"/>
      <c r="AB81" s="823"/>
      <c r="AC81" s="823"/>
      <c r="AD81" s="823"/>
      <c r="AE81" s="56">
        <v>0</v>
      </c>
      <c r="AF81" s="823"/>
      <c r="AG81" s="56">
        <v>-5993.4</v>
      </c>
      <c r="AH81" s="56">
        <v>0</v>
      </c>
    </row>
    <row r="82" spans="1:34" ht="15.75" thickBot="1" x14ac:dyDescent="0.3">
      <c r="A82" s="51" t="s">
        <v>844</v>
      </c>
      <c r="B82" s="51" t="s">
        <v>38</v>
      </c>
      <c r="C82" s="51" t="s">
        <v>39</v>
      </c>
      <c r="D82" s="51" t="s">
        <v>320</v>
      </c>
      <c r="E82" s="51" t="s">
        <v>326</v>
      </c>
      <c r="F82" s="51" t="s">
        <v>975</v>
      </c>
      <c r="G82" s="148">
        <v>1</v>
      </c>
      <c r="H82" s="823"/>
      <c r="I82" s="823"/>
      <c r="J82" s="823"/>
      <c r="K82" s="823"/>
      <c r="L82" s="823"/>
      <c r="M82" s="823"/>
      <c r="N82" s="823"/>
      <c r="O82" s="823"/>
      <c r="P82" s="823"/>
      <c r="Q82" s="823"/>
      <c r="R82" s="823"/>
      <c r="S82" s="823"/>
      <c r="T82" s="823"/>
      <c r="U82" s="823"/>
      <c r="V82" s="823"/>
      <c r="W82" s="823"/>
      <c r="X82" s="823"/>
      <c r="Y82" s="56">
        <v>7931.78</v>
      </c>
      <c r="Z82" s="823"/>
      <c r="AA82" s="823"/>
      <c r="AB82" s="823"/>
      <c r="AC82" s="823"/>
      <c r="AD82" s="823"/>
      <c r="AE82" s="56">
        <v>0</v>
      </c>
      <c r="AF82" s="823"/>
      <c r="AG82" s="56">
        <v>7931.78</v>
      </c>
      <c r="AH82" s="56">
        <v>0</v>
      </c>
    </row>
    <row r="83" spans="1:34" ht="15.75" thickBot="1" x14ac:dyDescent="0.3">
      <c r="A83" s="51" t="s">
        <v>844</v>
      </c>
      <c r="B83" s="51" t="s">
        <v>38</v>
      </c>
      <c r="C83" s="51" t="s">
        <v>39</v>
      </c>
      <c r="D83" s="51" t="s">
        <v>320</v>
      </c>
      <c r="E83" s="51" t="s">
        <v>268</v>
      </c>
      <c r="F83" s="51" t="s">
        <v>971</v>
      </c>
      <c r="G83" s="148">
        <v>3</v>
      </c>
      <c r="H83" s="823"/>
      <c r="I83" s="823"/>
      <c r="J83" s="823"/>
      <c r="K83" s="823"/>
      <c r="L83" s="823"/>
      <c r="M83" s="823"/>
      <c r="N83" s="823"/>
      <c r="O83" s="823"/>
      <c r="P83" s="823"/>
      <c r="Q83" s="823"/>
      <c r="R83" s="823"/>
      <c r="S83" s="823"/>
      <c r="T83" s="823"/>
      <c r="U83" s="823"/>
      <c r="V83" s="823"/>
      <c r="W83" s="823"/>
      <c r="X83" s="823"/>
      <c r="Y83" s="823"/>
      <c r="Z83" s="823"/>
      <c r="AA83" s="823"/>
      <c r="AB83" s="823"/>
      <c r="AC83" s="56">
        <v>5325</v>
      </c>
      <c r="AD83" s="823"/>
      <c r="AE83" s="56">
        <v>0</v>
      </c>
      <c r="AF83" s="823"/>
      <c r="AG83" s="56">
        <v>5325</v>
      </c>
      <c r="AH83" s="56">
        <v>0</v>
      </c>
    </row>
    <row r="84" spans="1:34" ht="15.75" thickBot="1" x14ac:dyDescent="0.3">
      <c r="A84" s="51" t="s">
        <v>844</v>
      </c>
      <c r="B84" s="51" t="s">
        <v>38</v>
      </c>
      <c r="C84" s="51" t="s">
        <v>39</v>
      </c>
      <c r="D84" s="51" t="s">
        <v>320</v>
      </c>
      <c r="E84" s="51" t="s">
        <v>329</v>
      </c>
      <c r="F84" s="51" t="s">
        <v>975</v>
      </c>
      <c r="G84" s="148">
        <v>3</v>
      </c>
      <c r="H84" s="823"/>
      <c r="I84" s="823"/>
      <c r="J84" s="823"/>
      <c r="K84" s="823"/>
      <c r="L84" s="823"/>
      <c r="M84" s="823"/>
      <c r="N84" s="823"/>
      <c r="O84" s="823"/>
      <c r="P84" s="823"/>
      <c r="Q84" s="823"/>
      <c r="R84" s="823"/>
      <c r="S84" s="823"/>
      <c r="T84" s="823"/>
      <c r="U84" s="823"/>
      <c r="V84" s="823"/>
      <c r="W84" s="823"/>
      <c r="X84" s="823"/>
      <c r="Y84" s="56">
        <v>7106.24</v>
      </c>
      <c r="Z84" s="823"/>
      <c r="AA84" s="823"/>
      <c r="AB84" s="823"/>
      <c r="AC84" s="823"/>
      <c r="AD84" s="56">
        <v>7106.24</v>
      </c>
      <c r="AE84" s="56">
        <v>0</v>
      </c>
      <c r="AF84" s="823"/>
      <c r="AG84" s="56">
        <v>7106.24</v>
      </c>
      <c r="AH84" s="149">
        <v>-7106.24</v>
      </c>
    </row>
    <row r="85" spans="1:34" ht="15.75" thickBot="1" x14ac:dyDescent="0.3">
      <c r="A85" s="51" t="s">
        <v>844</v>
      </c>
      <c r="B85" s="51" t="s">
        <v>38</v>
      </c>
      <c r="C85" s="51" t="s">
        <v>39</v>
      </c>
      <c r="D85" s="51" t="s">
        <v>320</v>
      </c>
      <c r="E85" s="51" t="s">
        <v>330</v>
      </c>
      <c r="F85" s="51" t="s">
        <v>976</v>
      </c>
      <c r="G85" s="148">
        <v>3</v>
      </c>
      <c r="H85" s="823"/>
      <c r="I85" s="823"/>
      <c r="J85" s="823"/>
      <c r="K85" s="823"/>
      <c r="L85" s="823"/>
      <c r="M85" s="823"/>
      <c r="N85" s="823"/>
      <c r="O85" s="823"/>
      <c r="P85" s="823"/>
      <c r="Q85" s="823"/>
      <c r="R85" s="823"/>
      <c r="S85" s="823"/>
      <c r="T85" s="823"/>
      <c r="U85" s="823"/>
      <c r="V85" s="823"/>
      <c r="W85" s="823"/>
      <c r="X85" s="823"/>
      <c r="Y85" s="56">
        <v>16594.330000000002</v>
      </c>
      <c r="Z85" s="823"/>
      <c r="AA85" s="823"/>
      <c r="AB85" s="823"/>
      <c r="AC85" s="823"/>
      <c r="AD85" s="823"/>
      <c r="AE85" s="56">
        <v>0</v>
      </c>
      <c r="AF85" s="823"/>
      <c r="AG85" s="56">
        <v>16594.330000000002</v>
      </c>
      <c r="AH85" s="56">
        <v>0</v>
      </c>
    </row>
    <row r="86" spans="1:34" ht="15.75" thickBot="1" x14ac:dyDescent="0.3">
      <c r="A86" s="51" t="s">
        <v>948</v>
      </c>
      <c r="B86" s="51" t="s">
        <v>34</v>
      </c>
      <c r="C86" s="51" t="s">
        <v>437</v>
      </c>
      <c r="D86" s="51" t="s">
        <v>318</v>
      </c>
      <c r="E86" s="51" t="s">
        <v>109</v>
      </c>
      <c r="F86" s="51" t="s">
        <v>968</v>
      </c>
      <c r="G86" s="147">
        <v>7</v>
      </c>
      <c r="H86" s="822"/>
      <c r="I86" s="822"/>
      <c r="J86" s="822"/>
      <c r="K86" s="822"/>
      <c r="L86" s="822"/>
      <c r="M86" s="822"/>
      <c r="N86" s="822"/>
      <c r="O86" s="822"/>
      <c r="P86" s="822"/>
      <c r="Q86" s="822"/>
      <c r="R86" s="822"/>
      <c r="S86" s="822"/>
      <c r="T86" s="822"/>
      <c r="U86" s="822"/>
      <c r="V86" s="822"/>
      <c r="W86" s="822"/>
      <c r="X86" s="822"/>
      <c r="Y86" s="54">
        <v>71.47</v>
      </c>
      <c r="Z86" s="822"/>
      <c r="AA86" s="822"/>
      <c r="AB86" s="822"/>
      <c r="AC86" s="822"/>
      <c r="AD86" s="822"/>
      <c r="AE86" s="54">
        <v>0.32</v>
      </c>
      <c r="AF86" s="822"/>
      <c r="AG86" s="54">
        <v>71.790000000000006</v>
      </c>
      <c r="AH86" s="54">
        <v>0</v>
      </c>
    </row>
    <row r="87" spans="1:34" ht="15.75" thickBot="1" x14ac:dyDescent="0.3">
      <c r="A87" s="51" t="s">
        <v>948</v>
      </c>
      <c r="B87" s="51" t="s">
        <v>34</v>
      </c>
      <c r="C87" s="51" t="s">
        <v>437</v>
      </c>
      <c r="D87" s="51" t="s">
        <v>318</v>
      </c>
      <c r="E87" s="51" t="s">
        <v>272</v>
      </c>
      <c r="F87" s="51" t="s">
        <v>969</v>
      </c>
      <c r="G87" s="147">
        <v>7</v>
      </c>
      <c r="H87" s="822"/>
      <c r="I87" s="822"/>
      <c r="J87" s="822"/>
      <c r="K87" s="822"/>
      <c r="L87" s="822"/>
      <c r="M87" s="822"/>
      <c r="N87" s="822"/>
      <c r="O87" s="822"/>
      <c r="P87" s="822"/>
      <c r="Q87" s="822"/>
      <c r="R87" s="822"/>
      <c r="S87" s="822"/>
      <c r="T87" s="822"/>
      <c r="U87" s="822"/>
      <c r="V87" s="822"/>
      <c r="W87" s="822"/>
      <c r="X87" s="822"/>
      <c r="Y87" s="54">
        <v>5250</v>
      </c>
      <c r="Z87" s="822"/>
      <c r="AA87" s="822"/>
      <c r="AB87" s="822"/>
      <c r="AC87" s="822"/>
      <c r="AD87" s="822"/>
      <c r="AE87" s="54">
        <v>45</v>
      </c>
      <c r="AF87" s="822"/>
      <c r="AG87" s="54">
        <v>5295</v>
      </c>
      <c r="AH87" s="54">
        <v>0</v>
      </c>
    </row>
    <row r="88" spans="1:34" ht="15.75" thickBot="1" x14ac:dyDescent="0.3">
      <c r="A88" s="51" t="s">
        <v>948</v>
      </c>
      <c r="B88" s="51" t="s">
        <v>34</v>
      </c>
      <c r="C88" s="51" t="s">
        <v>437</v>
      </c>
      <c r="D88" s="51" t="s">
        <v>318</v>
      </c>
      <c r="E88" s="51" t="s">
        <v>265</v>
      </c>
      <c r="F88" s="51" t="s">
        <v>266</v>
      </c>
      <c r="G88" s="147">
        <v>7</v>
      </c>
      <c r="H88" s="54">
        <v>397097</v>
      </c>
      <c r="I88" s="822"/>
      <c r="J88" s="822"/>
      <c r="K88" s="822"/>
      <c r="L88" s="822"/>
      <c r="M88" s="822"/>
      <c r="N88" s="822"/>
      <c r="O88" s="822"/>
      <c r="P88" s="822"/>
      <c r="Q88" s="822"/>
      <c r="R88" s="822"/>
      <c r="S88" s="822"/>
      <c r="T88" s="822"/>
      <c r="U88" s="822"/>
      <c r="V88" s="822"/>
      <c r="W88" s="822"/>
      <c r="X88" s="822"/>
      <c r="Y88" s="54">
        <v>1508.98</v>
      </c>
      <c r="Z88" s="822"/>
      <c r="AA88" s="822"/>
      <c r="AB88" s="822"/>
      <c r="AC88" s="822"/>
      <c r="AD88" s="822"/>
      <c r="AE88" s="54">
        <v>6.81</v>
      </c>
      <c r="AF88" s="822"/>
      <c r="AG88" s="54">
        <v>1515.79</v>
      </c>
      <c r="AH88" s="54">
        <v>0</v>
      </c>
    </row>
    <row r="89" spans="1:34" ht="15.75" thickBot="1" x14ac:dyDescent="0.3">
      <c r="A89" s="51" t="s">
        <v>948</v>
      </c>
      <c r="B89" s="51" t="s">
        <v>34</v>
      </c>
      <c r="C89" s="51" t="s">
        <v>437</v>
      </c>
      <c r="D89" s="51" t="s">
        <v>318</v>
      </c>
      <c r="E89" s="51" t="s">
        <v>621</v>
      </c>
      <c r="F89" s="51" t="s">
        <v>970</v>
      </c>
      <c r="G89" s="147">
        <v>7</v>
      </c>
      <c r="H89" s="822"/>
      <c r="I89" s="822"/>
      <c r="J89" s="822"/>
      <c r="K89" s="822"/>
      <c r="L89" s="822"/>
      <c r="M89" s="822"/>
      <c r="N89" s="822"/>
      <c r="O89" s="822"/>
      <c r="P89" s="822"/>
      <c r="Q89" s="822"/>
      <c r="R89" s="822"/>
      <c r="S89" s="822"/>
      <c r="T89" s="822"/>
      <c r="U89" s="822"/>
      <c r="V89" s="822"/>
      <c r="W89" s="822"/>
      <c r="X89" s="822"/>
      <c r="Y89" s="822"/>
      <c r="Z89" s="822"/>
      <c r="AA89" s="822"/>
      <c r="AB89" s="822"/>
      <c r="AC89" s="822"/>
      <c r="AD89" s="822"/>
      <c r="AE89" s="54">
        <v>0.86</v>
      </c>
      <c r="AF89" s="822"/>
      <c r="AG89" s="54">
        <v>191.48</v>
      </c>
      <c r="AH89" s="149">
        <v>190.62</v>
      </c>
    </row>
    <row r="90" spans="1:34" ht="15.75" thickBot="1" x14ac:dyDescent="0.3">
      <c r="A90" s="51" t="s">
        <v>948</v>
      </c>
      <c r="B90" s="51" t="s">
        <v>34</v>
      </c>
      <c r="C90" s="51" t="s">
        <v>437</v>
      </c>
      <c r="D90" s="51" t="s">
        <v>318</v>
      </c>
      <c r="E90" s="51" t="s">
        <v>325</v>
      </c>
      <c r="F90" s="51" t="s">
        <v>974</v>
      </c>
      <c r="G90" s="147">
        <v>1</v>
      </c>
      <c r="H90" s="822"/>
      <c r="I90" s="822"/>
      <c r="J90" s="822"/>
      <c r="K90" s="822"/>
      <c r="L90" s="822"/>
      <c r="M90" s="822"/>
      <c r="N90" s="822"/>
      <c r="O90" s="822"/>
      <c r="P90" s="822"/>
      <c r="Q90" s="822"/>
      <c r="R90" s="822"/>
      <c r="S90" s="822"/>
      <c r="T90" s="822"/>
      <c r="U90" s="822"/>
      <c r="V90" s="822"/>
      <c r="W90" s="54">
        <v>0.75</v>
      </c>
      <c r="X90" s="822"/>
      <c r="Y90" s="822"/>
      <c r="Z90" s="822"/>
      <c r="AA90" s="822"/>
      <c r="AB90" s="822"/>
      <c r="AC90" s="822"/>
      <c r="AD90" s="822"/>
      <c r="AE90" s="54">
        <v>0</v>
      </c>
      <c r="AF90" s="822"/>
      <c r="AG90" s="54">
        <v>0.75</v>
      </c>
      <c r="AH90" s="54">
        <v>0</v>
      </c>
    </row>
    <row r="91" spans="1:34" ht="15.75" thickBot="1" x14ac:dyDescent="0.3">
      <c r="A91" s="51" t="s">
        <v>948</v>
      </c>
      <c r="B91" s="51" t="s">
        <v>34</v>
      </c>
      <c r="C91" s="51" t="s">
        <v>437</v>
      </c>
      <c r="D91" s="51" t="s">
        <v>318</v>
      </c>
      <c r="E91" s="51" t="s">
        <v>268</v>
      </c>
      <c r="F91" s="51" t="s">
        <v>971</v>
      </c>
      <c r="G91" s="147">
        <v>7</v>
      </c>
      <c r="H91" s="822"/>
      <c r="I91" s="822"/>
      <c r="J91" s="822"/>
      <c r="K91" s="822"/>
      <c r="L91" s="822"/>
      <c r="M91" s="822"/>
      <c r="N91" s="822"/>
      <c r="O91" s="822"/>
      <c r="P91" s="822"/>
      <c r="Q91" s="822"/>
      <c r="R91" s="822"/>
      <c r="S91" s="822"/>
      <c r="T91" s="822"/>
      <c r="U91" s="822"/>
      <c r="V91" s="822"/>
      <c r="W91" s="822"/>
      <c r="X91" s="822"/>
      <c r="Y91" s="822"/>
      <c r="Z91" s="822"/>
      <c r="AA91" s="822"/>
      <c r="AB91" s="822"/>
      <c r="AC91" s="54">
        <v>3850</v>
      </c>
      <c r="AD91" s="822"/>
      <c r="AE91" s="54">
        <v>33</v>
      </c>
      <c r="AF91" s="822"/>
      <c r="AG91" s="54">
        <v>3883</v>
      </c>
      <c r="AH91" s="54">
        <v>0</v>
      </c>
    </row>
    <row r="92" spans="1:34" ht="15.75" thickBot="1" x14ac:dyDescent="0.3">
      <c r="A92" s="51" t="s">
        <v>948</v>
      </c>
      <c r="B92" s="51" t="s">
        <v>34</v>
      </c>
      <c r="C92" s="51" t="s">
        <v>437</v>
      </c>
      <c r="D92" s="51" t="s">
        <v>318</v>
      </c>
      <c r="E92" s="51" t="s">
        <v>914</v>
      </c>
      <c r="F92" s="51" t="s">
        <v>266</v>
      </c>
      <c r="G92" s="147">
        <v>7</v>
      </c>
      <c r="H92" s="822"/>
      <c r="I92" s="822"/>
      <c r="J92" s="822"/>
      <c r="K92" s="822"/>
      <c r="L92" s="822"/>
      <c r="M92" s="822"/>
      <c r="N92" s="822"/>
      <c r="O92" s="822"/>
      <c r="P92" s="822"/>
      <c r="Q92" s="822"/>
      <c r="R92" s="822"/>
      <c r="S92" s="822"/>
      <c r="T92" s="822"/>
      <c r="U92" s="822"/>
      <c r="V92" s="822"/>
      <c r="W92" s="822"/>
      <c r="X92" s="822"/>
      <c r="Y92" s="54">
        <v>10099.32</v>
      </c>
      <c r="Z92" s="822"/>
      <c r="AA92" s="822"/>
      <c r="AB92" s="822"/>
      <c r="AC92" s="822"/>
      <c r="AD92" s="822"/>
      <c r="AE92" s="54">
        <v>55.39</v>
      </c>
      <c r="AF92" s="822"/>
      <c r="AG92" s="54">
        <v>10154.709999999999</v>
      </c>
      <c r="AH92" s="54">
        <v>0</v>
      </c>
    </row>
    <row r="93" spans="1:34" ht="15.75" thickBot="1" x14ac:dyDescent="0.3">
      <c r="A93" s="51" t="s">
        <v>948</v>
      </c>
      <c r="B93" s="51" t="s">
        <v>34</v>
      </c>
      <c r="C93" s="51" t="s">
        <v>437</v>
      </c>
      <c r="D93" s="51" t="s">
        <v>319</v>
      </c>
      <c r="E93" s="51" t="s">
        <v>109</v>
      </c>
      <c r="F93" s="51" t="s">
        <v>968</v>
      </c>
      <c r="G93" s="148">
        <v>2</v>
      </c>
      <c r="H93" s="823"/>
      <c r="I93" s="823"/>
      <c r="J93" s="823"/>
      <c r="K93" s="823"/>
      <c r="L93" s="823"/>
      <c r="M93" s="823"/>
      <c r="N93" s="823"/>
      <c r="O93" s="823"/>
      <c r="P93" s="823"/>
      <c r="Q93" s="823"/>
      <c r="R93" s="823"/>
      <c r="S93" s="823"/>
      <c r="T93" s="823"/>
      <c r="U93" s="823"/>
      <c r="V93" s="823"/>
      <c r="W93" s="823"/>
      <c r="X93" s="823"/>
      <c r="Y93" s="56">
        <v>26.05</v>
      </c>
      <c r="Z93" s="823"/>
      <c r="AA93" s="823"/>
      <c r="AB93" s="823"/>
      <c r="AC93" s="823"/>
      <c r="AD93" s="823"/>
      <c r="AE93" s="56">
        <v>0.64</v>
      </c>
      <c r="AF93" s="823"/>
      <c r="AG93" s="56">
        <v>26.69</v>
      </c>
      <c r="AH93" s="56">
        <v>0</v>
      </c>
    </row>
    <row r="94" spans="1:34" ht="15.75" thickBot="1" x14ac:dyDescent="0.3">
      <c r="A94" s="51" t="s">
        <v>948</v>
      </c>
      <c r="B94" s="51" t="s">
        <v>34</v>
      </c>
      <c r="C94" s="51" t="s">
        <v>437</v>
      </c>
      <c r="D94" s="51" t="s">
        <v>319</v>
      </c>
      <c r="E94" s="51" t="s">
        <v>269</v>
      </c>
      <c r="F94" s="51" t="s">
        <v>972</v>
      </c>
      <c r="G94" s="148">
        <v>1</v>
      </c>
      <c r="H94" s="823"/>
      <c r="I94" s="823"/>
      <c r="J94" s="823"/>
      <c r="K94" s="823"/>
      <c r="L94" s="823"/>
      <c r="M94" s="823"/>
      <c r="N94" s="823"/>
      <c r="O94" s="823"/>
      <c r="P94" s="823"/>
      <c r="Q94" s="823"/>
      <c r="R94" s="823"/>
      <c r="S94" s="823"/>
      <c r="T94" s="823"/>
      <c r="U94" s="823"/>
      <c r="V94" s="823"/>
      <c r="W94" s="823"/>
      <c r="X94" s="823"/>
      <c r="Y94" s="823"/>
      <c r="Z94" s="56">
        <v>-896.38</v>
      </c>
      <c r="AA94" s="823"/>
      <c r="AB94" s="823"/>
      <c r="AC94" s="823"/>
      <c r="AD94" s="823"/>
      <c r="AE94" s="56">
        <v>-26.89</v>
      </c>
      <c r="AF94" s="823"/>
      <c r="AG94" s="56">
        <v>-923.27</v>
      </c>
      <c r="AH94" s="56">
        <v>0</v>
      </c>
    </row>
    <row r="95" spans="1:34" ht="15.75" thickBot="1" x14ac:dyDescent="0.3">
      <c r="A95" s="51" t="s">
        <v>948</v>
      </c>
      <c r="B95" s="51" t="s">
        <v>34</v>
      </c>
      <c r="C95" s="51" t="s">
        <v>437</v>
      </c>
      <c r="D95" s="51" t="s">
        <v>319</v>
      </c>
      <c r="E95" s="51" t="s">
        <v>272</v>
      </c>
      <c r="F95" s="51" t="s">
        <v>969</v>
      </c>
      <c r="G95" s="148">
        <v>2</v>
      </c>
      <c r="H95" s="823"/>
      <c r="I95" s="823"/>
      <c r="J95" s="823"/>
      <c r="K95" s="823"/>
      <c r="L95" s="823"/>
      <c r="M95" s="823"/>
      <c r="N95" s="823"/>
      <c r="O95" s="823"/>
      <c r="P95" s="823"/>
      <c r="Q95" s="823"/>
      <c r="R95" s="823"/>
      <c r="S95" s="823"/>
      <c r="T95" s="823"/>
      <c r="U95" s="823"/>
      <c r="V95" s="823"/>
      <c r="W95" s="823"/>
      <c r="X95" s="823"/>
      <c r="Y95" s="56">
        <v>1500</v>
      </c>
      <c r="Z95" s="823"/>
      <c r="AA95" s="823"/>
      <c r="AB95" s="823"/>
      <c r="AC95" s="823"/>
      <c r="AD95" s="823"/>
      <c r="AE95" s="56">
        <v>22.49</v>
      </c>
      <c r="AF95" s="823"/>
      <c r="AG95" s="56">
        <v>1522.49</v>
      </c>
      <c r="AH95" s="56">
        <v>0</v>
      </c>
    </row>
    <row r="96" spans="1:34" ht="15.75" thickBot="1" x14ac:dyDescent="0.3">
      <c r="A96" s="51" t="s">
        <v>948</v>
      </c>
      <c r="B96" s="51" t="s">
        <v>34</v>
      </c>
      <c r="C96" s="51" t="s">
        <v>437</v>
      </c>
      <c r="D96" s="51" t="s">
        <v>319</v>
      </c>
      <c r="E96" s="51" t="s">
        <v>265</v>
      </c>
      <c r="F96" s="51" t="s">
        <v>266</v>
      </c>
      <c r="G96" s="148">
        <v>2</v>
      </c>
      <c r="H96" s="56">
        <v>144681</v>
      </c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56">
        <v>549.79</v>
      </c>
      <c r="Z96" s="823"/>
      <c r="AA96" s="823"/>
      <c r="AB96" s="823"/>
      <c r="AC96" s="823"/>
      <c r="AD96" s="823"/>
      <c r="AE96" s="56">
        <v>13.44</v>
      </c>
      <c r="AF96" s="823"/>
      <c r="AG96" s="56">
        <v>563.23</v>
      </c>
      <c r="AH96" s="56">
        <v>0</v>
      </c>
    </row>
    <row r="97" spans="1:34" ht="15.75" thickBot="1" x14ac:dyDescent="0.3">
      <c r="A97" s="51" t="s">
        <v>948</v>
      </c>
      <c r="B97" s="51" t="s">
        <v>34</v>
      </c>
      <c r="C97" s="51" t="s">
        <v>437</v>
      </c>
      <c r="D97" s="51" t="s">
        <v>319</v>
      </c>
      <c r="E97" s="51" t="s">
        <v>621</v>
      </c>
      <c r="F97" s="51" t="s">
        <v>970</v>
      </c>
      <c r="G97" s="148">
        <v>2</v>
      </c>
      <c r="H97" s="823"/>
      <c r="I97" s="823"/>
      <c r="J97" s="823"/>
      <c r="K97" s="823"/>
      <c r="L97" s="823"/>
      <c r="M97" s="823"/>
      <c r="N97" s="823"/>
      <c r="O97" s="823"/>
      <c r="P97" s="823"/>
      <c r="Q97" s="823"/>
      <c r="R97" s="823"/>
      <c r="S97" s="823"/>
      <c r="T97" s="823"/>
      <c r="U97" s="823"/>
      <c r="V97" s="823"/>
      <c r="W97" s="823"/>
      <c r="X97" s="823"/>
      <c r="Y97" s="823"/>
      <c r="Z97" s="823"/>
      <c r="AA97" s="823"/>
      <c r="AB97" s="823"/>
      <c r="AC97" s="823"/>
      <c r="AD97" s="823"/>
      <c r="AE97" s="56">
        <v>1.7</v>
      </c>
      <c r="AF97" s="823"/>
      <c r="AG97" s="56">
        <v>71.150000000000006</v>
      </c>
      <c r="AH97" s="149">
        <v>69.45</v>
      </c>
    </row>
    <row r="98" spans="1:34" ht="15.75" thickBot="1" x14ac:dyDescent="0.3">
      <c r="A98" s="51" t="s">
        <v>948</v>
      </c>
      <c r="B98" s="51" t="s">
        <v>34</v>
      </c>
      <c r="C98" s="51" t="s">
        <v>437</v>
      </c>
      <c r="D98" s="51" t="s">
        <v>319</v>
      </c>
      <c r="E98" s="51" t="s">
        <v>271</v>
      </c>
      <c r="F98" s="51" t="s">
        <v>980</v>
      </c>
      <c r="G98" s="148">
        <v>1</v>
      </c>
      <c r="H98" s="823"/>
      <c r="I98" s="823"/>
      <c r="J98" s="823"/>
      <c r="K98" s="823"/>
      <c r="L98" s="823"/>
      <c r="M98" s="823"/>
      <c r="N98" s="823"/>
      <c r="O98" s="823"/>
      <c r="P98" s="823"/>
      <c r="Q98" s="823"/>
      <c r="R98" s="823"/>
      <c r="S98" s="823"/>
      <c r="T98" s="823"/>
      <c r="U98" s="823"/>
      <c r="V98" s="823"/>
      <c r="W98" s="823"/>
      <c r="X98" s="823"/>
      <c r="Y98" s="823"/>
      <c r="Z98" s="823"/>
      <c r="AA98" s="56">
        <v>54.57</v>
      </c>
      <c r="AB98" s="823"/>
      <c r="AC98" s="823"/>
      <c r="AD98" s="823"/>
      <c r="AE98" s="56">
        <v>1.64</v>
      </c>
      <c r="AF98" s="823"/>
      <c r="AG98" s="56">
        <v>56.21</v>
      </c>
      <c r="AH98" s="56">
        <v>0</v>
      </c>
    </row>
    <row r="99" spans="1:34" ht="15.75" thickBot="1" x14ac:dyDescent="0.3">
      <c r="A99" s="51" t="s">
        <v>948</v>
      </c>
      <c r="B99" s="51" t="s">
        <v>34</v>
      </c>
      <c r="C99" s="51" t="s">
        <v>437</v>
      </c>
      <c r="D99" s="51" t="s">
        <v>319</v>
      </c>
      <c r="E99" s="51" t="s">
        <v>325</v>
      </c>
      <c r="F99" s="51" t="s">
        <v>974</v>
      </c>
      <c r="G99" s="148">
        <v>1</v>
      </c>
      <c r="H99" s="823"/>
      <c r="I99" s="823"/>
      <c r="J99" s="823"/>
      <c r="K99" s="823"/>
      <c r="L99" s="823"/>
      <c r="M99" s="823"/>
      <c r="N99" s="823"/>
      <c r="O99" s="823"/>
      <c r="P99" s="823"/>
      <c r="Q99" s="823"/>
      <c r="R99" s="823"/>
      <c r="S99" s="823"/>
      <c r="T99" s="823"/>
      <c r="U99" s="823"/>
      <c r="V99" s="823"/>
      <c r="W99" s="56">
        <v>4.47</v>
      </c>
      <c r="X99" s="823"/>
      <c r="Y99" s="823"/>
      <c r="Z99" s="823"/>
      <c r="AA99" s="823"/>
      <c r="AB99" s="823"/>
      <c r="AC99" s="823"/>
      <c r="AD99" s="823"/>
      <c r="AE99" s="56">
        <v>0</v>
      </c>
      <c r="AF99" s="823"/>
      <c r="AG99" s="56">
        <v>4.47</v>
      </c>
      <c r="AH99" s="56">
        <v>0</v>
      </c>
    </row>
    <row r="100" spans="1:34" ht="15.75" thickBot="1" x14ac:dyDescent="0.3">
      <c r="A100" s="51" t="s">
        <v>948</v>
      </c>
      <c r="B100" s="51" t="s">
        <v>34</v>
      </c>
      <c r="C100" s="51" t="s">
        <v>437</v>
      </c>
      <c r="D100" s="51" t="s">
        <v>319</v>
      </c>
      <c r="E100" s="51" t="s">
        <v>268</v>
      </c>
      <c r="F100" s="51" t="s">
        <v>971</v>
      </c>
      <c r="G100" s="148">
        <v>2</v>
      </c>
      <c r="H100" s="823"/>
      <c r="I100" s="823"/>
      <c r="J100" s="823"/>
      <c r="K100" s="823"/>
      <c r="L100" s="823"/>
      <c r="M100" s="823"/>
      <c r="N100" s="823"/>
      <c r="O100" s="823"/>
      <c r="P100" s="823"/>
      <c r="Q100" s="823"/>
      <c r="R100" s="823"/>
      <c r="S100" s="823"/>
      <c r="T100" s="823"/>
      <c r="U100" s="823"/>
      <c r="V100" s="823"/>
      <c r="W100" s="823"/>
      <c r="X100" s="823"/>
      <c r="Y100" s="823"/>
      <c r="Z100" s="823"/>
      <c r="AA100" s="823"/>
      <c r="AB100" s="823"/>
      <c r="AC100" s="56">
        <v>1100</v>
      </c>
      <c r="AD100" s="823"/>
      <c r="AE100" s="56">
        <v>16.5</v>
      </c>
      <c r="AF100" s="823"/>
      <c r="AG100" s="56">
        <v>1116.5</v>
      </c>
      <c r="AH100" s="56">
        <v>0</v>
      </c>
    </row>
    <row r="101" spans="1:34" ht="15.75" thickBot="1" x14ac:dyDescent="0.3">
      <c r="A101" s="51" t="s">
        <v>948</v>
      </c>
      <c r="B101" s="51" t="s">
        <v>34</v>
      </c>
      <c r="C101" s="51" t="s">
        <v>437</v>
      </c>
      <c r="D101" s="51" t="s">
        <v>319</v>
      </c>
      <c r="E101" s="51" t="s">
        <v>914</v>
      </c>
      <c r="F101" s="51" t="s">
        <v>266</v>
      </c>
      <c r="G101" s="148">
        <v>2</v>
      </c>
      <c r="H101" s="823"/>
      <c r="I101" s="823"/>
      <c r="J101" s="823"/>
      <c r="K101" s="823"/>
      <c r="L101" s="823"/>
      <c r="M101" s="823"/>
      <c r="N101" s="823"/>
      <c r="O101" s="823"/>
      <c r="P101" s="823"/>
      <c r="Q101" s="823"/>
      <c r="R101" s="823"/>
      <c r="S101" s="823"/>
      <c r="T101" s="823"/>
      <c r="U101" s="823"/>
      <c r="V101" s="823"/>
      <c r="W101" s="823"/>
      <c r="X101" s="823"/>
      <c r="Y101" s="56">
        <v>3486.08</v>
      </c>
      <c r="Z101" s="823"/>
      <c r="AA101" s="823"/>
      <c r="AB101" s="823"/>
      <c r="AC101" s="823"/>
      <c r="AD101" s="823"/>
      <c r="AE101" s="56">
        <v>78.91</v>
      </c>
      <c r="AF101" s="823"/>
      <c r="AG101" s="56">
        <v>3564.99</v>
      </c>
      <c r="AH101" s="56">
        <v>0</v>
      </c>
    </row>
    <row r="102" spans="1:34" ht="15.75" thickBot="1" x14ac:dyDescent="0.3">
      <c r="A102" s="51" t="s">
        <v>948</v>
      </c>
      <c r="B102" s="51" t="s">
        <v>34</v>
      </c>
      <c r="C102" s="51" t="s">
        <v>437</v>
      </c>
      <c r="D102" s="51" t="s">
        <v>319</v>
      </c>
      <c r="E102" s="51" t="s">
        <v>329</v>
      </c>
      <c r="F102" s="51" t="s">
        <v>975</v>
      </c>
      <c r="G102" s="148">
        <v>1</v>
      </c>
      <c r="H102" s="823"/>
      <c r="I102" s="823"/>
      <c r="J102" s="823"/>
      <c r="K102" s="823"/>
      <c r="L102" s="823"/>
      <c r="M102" s="823"/>
      <c r="N102" s="823"/>
      <c r="O102" s="823"/>
      <c r="P102" s="823"/>
      <c r="Q102" s="823"/>
      <c r="R102" s="823"/>
      <c r="S102" s="823"/>
      <c r="T102" s="823"/>
      <c r="U102" s="823"/>
      <c r="V102" s="823"/>
      <c r="W102" s="823"/>
      <c r="X102" s="823"/>
      <c r="Y102" s="56">
        <v>39.92</v>
      </c>
      <c r="Z102" s="823"/>
      <c r="AA102" s="823"/>
      <c r="AB102" s="823"/>
      <c r="AC102" s="823"/>
      <c r="AD102" s="56">
        <v>39.92</v>
      </c>
      <c r="AE102" s="56">
        <v>1.2</v>
      </c>
      <c r="AF102" s="823"/>
      <c r="AG102" s="56">
        <v>41.12</v>
      </c>
      <c r="AH102" s="149">
        <v>-39.92</v>
      </c>
    </row>
    <row r="103" spans="1:34" ht="15.75" thickBot="1" x14ac:dyDescent="0.3">
      <c r="A103" s="51" t="s">
        <v>948</v>
      </c>
      <c r="B103" s="51" t="s">
        <v>34</v>
      </c>
      <c r="C103" s="51" t="s">
        <v>437</v>
      </c>
      <c r="D103" s="51" t="s">
        <v>319</v>
      </c>
      <c r="E103" s="51" t="s">
        <v>330</v>
      </c>
      <c r="F103" s="51" t="s">
        <v>976</v>
      </c>
      <c r="G103" s="148">
        <v>1</v>
      </c>
      <c r="H103" s="823"/>
      <c r="I103" s="823"/>
      <c r="J103" s="823"/>
      <c r="K103" s="823"/>
      <c r="L103" s="823"/>
      <c r="M103" s="823"/>
      <c r="N103" s="823"/>
      <c r="O103" s="823"/>
      <c r="P103" s="823"/>
      <c r="Q103" s="823"/>
      <c r="R103" s="823"/>
      <c r="S103" s="823"/>
      <c r="T103" s="823"/>
      <c r="U103" s="823"/>
      <c r="V103" s="823"/>
      <c r="W103" s="823"/>
      <c r="X103" s="823"/>
      <c r="Y103" s="56">
        <v>93.21</v>
      </c>
      <c r="Z103" s="823"/>
      <c r="AA103" s="823"/>
      <c r="AB103" s="823"/>
      <c r="AC103" s="823"/>
      <c r="AD103" s="823"/>
      <c r="AE103" s="56">
        <v>2.8</v>
      </c>
      <c r="AF103" s="823"/>
      <c r="AG103" s="56">
        <v>96.01</v>
      </c>
      <c r="AH103" s="56">
        <v>0</v>
      </c>
    </row>
    <row r="104" spans="1:34" ht="15.75" thickBot="1" x14ac:dyDescent="0.3">
      <c r="A104" s="51" t="s">
        <v>948</v>
      </c>
      <c r="B104" s="51" t="s">
        <v>31</v>
      </c>
      <c r="C104" s="51" t="s">
        <v>835</v>
      </c>
      <c r="D104" s="51" t="s">
        <v>320</v>
      </c>
      <c r="E104" s="51" t="s">
        <v>357</v>
      </c>
      <c r="F104" s="51" t="s">
        <v>977</v>
      </c>
      <c r="G104" s="148">
        <v>1</v>
      </c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23"/>
      <c r="S104" s="823"/>
      <c r="T104" s="823"/>
      <c r="U104" s="823"/>
      <c r="V104" s="823"/>
      <c r="W104" s="823"/>
      <c r="X104" s="56">
        <v>2833.4</v>
      </c>
      <c r="Y104" s="823"/>
      <c r="Z104" s="823"/>
      <c r="AA104" s="823"/>
      <c r="AB104" s="823"/>
      <c r="AC104" s="823"/>
      <c r="AD104" s="823"/>
      <c r="AE104" s="56">
        <v>260.11</v>
      </c>
      <c r="AF104" s="823"/>
      <c r="AG104" s="56">
        <v>3093.51</v>
      </c>
      <c r="AH104" s="56">
        <v>0</v>
      </c>
    </row>
    <row r="105" spans="1:34" ht="15.75" thickBot="1" x14ac:dyDescent="0.3">
      <c r="A105" s="51" t="s">
        <v>948</v>
      </c>
      <c r="B105" s="51" t="s">
        <v>31</v>
      </c>
      <c r="C105" s="51" t="s">
        <v>835</v>
      </c>
      <c r="D105" s="51" t="s">
        <v>320</v>
      </c>
      <c r="E105" s="51" t="s">
        <v>272</v>
      </c>
      <c r="F105" s="51" t="s">
        <v>969</v>
      </c>
      <c r="G105" s="148">
        <v>2</v>
      </c>
      <c r="H105" s="823"/>
      <c r="I105" s="823"/>
      <c r="J105" s="823"/>
      <c r="K105" s="823"/>
      <c r="L105" s="823"/>
      <c r="M105" s="823"/>
      <c r="N105" s="823"/>
      <c r="O105" s="823"/>
      <c r="P105" s="823"/>
      <c r="Q105" s="823"/>
      <c r="R105" s="823"/>
      <c r="S105" s="823"/>
      <c r="T105" s="823"/>
      <c r="U105" s="823"/>
      <c r="V105" s="823"/>
      <c r="W105" s="823"/>
      <c r="X105" s="823"/>
      <c r="Y105" s="56">
        <v>1527.68</v>
      </c>
      <c r="Z105" s="823"/>
      <c r="AA105" s="823"/>
      <c r="AB105" s="823"/>
      <c r="AC105" s="823"/>
      <c r="AD105" s="823"/>
      <c r="AE105" s="56">
        <v>115.95</v>
      </c>
      <c r="AF105" s="823"/>
      <c r="AG105" s="56">
        <v>1643.63</v>
      </c>
      <c r="AH105" s="56">
        <v>0</v>
      </c>
    </row>
    <row r="106" spans="1:34" ht="15.75" thickBot="1" x14ac:dyDescent="0.3">
      <c r="A106" s="51" t="s">
        <v>948</v>
      </c>
      <c r="B106" s="51" t="s">
        <v>31</v>
      </c>
      <c r="C106" s="51" t="s">
        <v>835</v>
      </c>
      <c r="D106" s="51" t="s">
        <v>320</v>
      </c>
      <c r="E106" s="51" t="s">
        <v>265</v>
      </c>
      <c r="F106" s="51" t="s">
        <v>266</v>
      </c>
      <c r="G106" s="148">
        <v>2</v>
      </c>
      <c r="H106" s="56">
        <v>118514</v>
      </c>
      <c r="I106" s="823"/>
      <c r="J106" s="823"/>
      <c r="K106" s="823"/>
      <c r="L106" s="823"/>
      <c r="M106" s="823"/>
      <c r="N106" s="823"/>
      <c r="O106" s="823"/>
      <c r="P106" s="823"/>
      <c r="Q106" s="823"/>
      <c r="R106" s="823"/>
      <c r="S106" s="823"/>
      <c r="T106" s="823"/>
      <c r="U106" s="823"/>
      <c r="V106" s="823"/>
      <c r="W106" s="823"/>
      <c r="X106" s="823"/>
      <c r="Y106" s="56">
        <v>25988.94</v>
      </c>
      <c r="Z106" s="823"/>
      <c r="AA106" s="823"/>
      <c r="AB106" s="823"/>
      <c r="AC106" s="823"/>
      <c r="AD106" s="823"/>
      <c r="AE106" s="56">
        <v>2109.11</v>
      </c>
      <c r="AF106" s="823"/>
      <c r="AG106" s="56">
        <v>28098.05</v>
      </c>
      <c r="AH106" s="56">
        <v>0</v>
      </c>
    </row>
    <row r="107" spans="1:34" ht="15.75" thickBot="1" x14ac:dyDescent="0.3">
      <c r="A107" s="51" t="s">
        <v>948</v>
      </c>
      <c r="B107" s="51" t="s">
        <v>31</v>
      </c>
      <c r="C107" s="51" t="s">
        <v>835</v>
      </c>
      <c r="D107" s="51" t="s">
        <v>320</v>
      </c>
      <c r="E107" s="51" t="s">
        <v>620</v>
      </c>
      <c r="F107" s="51" t="s">
        <v>978</v>
      </c>
      <c r="G107" s="148">
        <v>2</v>
      </c>
      <c r="H107" s="823"/>
      <c r="I107" s="823"/>
      <c r="J107" s="823"/>
      <c r="K107" s="823"/>
      <c r="L107" s="823"/>
      <c r="M107" s="823"/>
      <c r="N107" s="823"/>
      <c r="O107" s="823"/>
      <c r="P107" s="823"/>
      <c r="Q107" s="823"/>
      <c r="R107" s="823"/>
      <c r="S107" s="823"/>
      <c r="T107" s="823"/>
      <c r="U107" s="823"/>
      <c r="V107" s="823"/>
      <c r="W107" s="823"/>
      <c r="X107" s="823"/>
      <c r="Y107" s="823"/>
      <c r="Z107" s="823"/>
      <c r="AA107" s="823"/>
      <c r="AB107" s="823"/>
      <c r="AC107" s="823"/>
      <c r="AD107" s="823"/>
      <c r="AE107" s="56">
        <v>9.77</v>
      </c>
      <c r="AF107" s="823"/>
      <c r="AG107" s="56">
        <v>138.55000000000001</v>
      </c>
      <c r="AH107" s="149">
        <v>128.78</v>
      </c>
    </row>
    <row r="108" spans="1:34" ht="15.75" thickBot="1" x14ac:dyDescent="0.3">
      <c r="A108" s="51" t="s">
        <v>948</v>
      </c>
      <c r="B108" s="51" t="s">
        <v>31</v>
      </c>
      <c r="C108" s="51" t="s">
        <v>835</v>
      </c>
      <c r="D108" s="51" t="s">
        <v>320</v>
      </c>
      <c r="E108" s="51" t="s">
        <v>621</v>
      </c>
      <c r="F108" s="51" t="s">
        <v>970</v>
      </c>
      <c r="G108" s="148">
        <v>2</v>
      </c>
      <c r="H108" s="823"/>
      <c r="I108" s="823"/>
      <c r="J108" s="823"/>
      <c r="K108" s="823"/>
      <c r="L108" s="823"/>
      <c r="M108" s="823"/>
      <c r="N108" s="823"/>
      <c r="O108" s="823"/>
      <c r="P108" s="823"/>
      <c r="Q108" s="823"/>
      <c r="R108" s="823"/>
      <c r="S108" s="823"/>
      <c r="T108" s="823"/>
      <c r="U108" s="823"/>
      <c r="V108" s="823"/>
      <c r="W108" s="823"/>
      <c r="X108" s="823"/>
      <c r="Y108" s="823"/>
      <c r="Z108" s="823"/>
      <c r="AA108" s="823"/>
      <c r="AB108" s="823"/>
      <c r="AC108" s="823"/>
      <c r="AD108" s="823"/>
      <c r="AE108" s="56">
        <v>39.24</v>
      </c>
      <c r="AF108" s="823"/>
      <c r="AG108" s="56">
        <v>522.77</v>
      </c>
      <c r="AH108" s="149">
        <v>483.53</v>
      </c>
    </row>
    <row r="109" spans="1:34" ht="15.75" thickBot="1" x14ac:dyDescent="0.3">
      <c r="A109" s="51" t="s">
        <v>948</v>
      </c>
      <c r="B109" s="51" t="s">
        <v>31</v>
      </c>
      <c r="C109" s="51" t="s">
        <v>835</v>
      </c>
      <c r="D109" s="51" t="s">
        <v>320</v>
      </c>
      <c r="E109" s="51" t="s">
        <v>273</v>
      </c>
      <c r="F109" s="51" t="s">
        <v>979</v>
      </c>
      <c r="G109" s="148">
        <v>2</v>
      </c>
      <c r="H109" s="823"/>
      <c r="I109" s="823"/>
      <c r="J109" s="823"/>
      <c r="K109" s="823"/>
      <c r="L109" s="823"/>
      <c r="M109" s="823"/>
      <c r="N109" s="823"/>
      <c r="O109" s="823"/>
      <c r="P109" s="823"/>
      <c r="Q109" s="823"/>
      <c r="R109" s="823"/>
      <c r="S109" s="823"/>
      <c r="T109" s="823"/>
      <c r="U109" s="823"/>
      <c r="V109" s="823"/>
      <c r="W109" s="823"/>
      <c r="X109" s="823"/>
      <c r="Y109" s="56">
        <v>10148.35</v>
      </c>
      <c r="Z109" s="823"/>
      <c r="AA109" s="823"/>
      <c r="AB109" s="823"/>
      <c r="AC109" s="823"/>
      <c r="AD109" s="823"/>
      <c r="AE109" s="56">
        <v>823.58</v>
      </c>
      <c r="AF109" s="823"/>
      <c r="AG109" s="56">
        <v>10971.93</v>
      </c>
      <c r="AH109" s="56">
        <v>0</v>
      </c>
    </row>
    <row r="110" spans="1:34" ht="15.75" thickBot="1" x14ac:dyDescent="0.3">
      <c r="A110" s="51" t="s">
        <v>948</v>
      </c>
      <c r="B110" s="51" t="s">
        <v>31</v>
      </c>
      <c r="C110" s="51" t="s">
        <v>835</v>
      </c>
      <c r="D110" s="51" t="s">
        <v>320</v>
      </c>
      <c r="E110" s="51" t="s">
        <v>268</v>
      </c>
      <c r="F110" s="51" t="s">
        <v>971</v>
      </c>
      <c r="G110" s="148">
        <v>2</v>
      </c>
      <c r="H110" s="823"/>
      <c r="I110" s="823"/>
      <c r="J110" s="823"/>
      <c r="K110" s="823"/>
      <c r="L110" s="823"/>
      <c r="M110" s="823"/>
      <c r="N110" s="823"/>
      <c r="O110" s="823"/>
      <c r="P110" s="823"/>
      <c r="Q110" s="823"/>
      <c r="R110" s="823"/>
      <c r="S110" s="823"/>
      <c r="T110" s="823"/>
      <c r="U110" s="823"/>
      <c r="V110" s="823"/>
      <c r="W110" s="823"/>
      <c r="X110" s="823"/>
      <c r="Y110" s="823"/>
      <c r="Z110" s="823"/>
      <c r="AA110" s="823"/>
      <c r="AB110" s="823"/>
      <c r="AC110" s="56">
        <v>1100</v>
      </c>
      <c r="AD110" s="823"/>
      <c r="AE110" s="56">
        <v>83.49</v>
      </c>
      <c r="AF110" s="823"/>
      <c r="AG110" s="56">
        <v>1183.49</v>
      </c>
      <c r="AH110" s="56">
        <v>0</v>
      </c>
    </row>
    <row r="111" spans="1:34" ht="15.75" thickBot="1" x14ac:dyDescent="0.3">
      <c r="A111" s="51" t="s">
        <v>948</v>
      </c>
      <c r="B111" s="51" t="s">
        <v>491</v>
      </c>
      <c r="C111" s="51" t="s">
        <v>492</v>
      </c>
      <c r="D111" s="51" t="s">
        <v>320</v>
      </c>
      <c r="E111" s="51" t="s">
        <v>109</v>
      </c>
      <c r="F111" s="51" t="s">
        <v>968</v>
      </c>
      <c r="G111" s="147">
        <v>6</v>
      </c>
      <c r="H111" s="822"/>
      <c r="I111" s="822"/>
      <c r="J111" s="822"/>
      <c r="K111" s="822"/>
      <c r="L111" s="822"/>
      <c r="M111" s="822"/>
      <c r="N111" s="822"/>
      <c r="O111" s="822"/>
      <c r="P111" s="822"/>
      <c r="Q111" s="822"/>
      <c r="R111" s="822"/>
      <c r="S111" s="822"/>
      <c r="T111" s="822"/>
      <c r="U111" s="822"/>
      <c r="V111" s="822"/>
      <c r="W111" s="822"/>
      <c r="X111" s="822"/>
      <c r="Y111" s="54">
        <v>17.64</v>
      </c>
      <c r="Z111" s="822"/>
      <c r="AA111" s="822"/>
      <c r="AB111" s="822"/>
      <c r="AC111" s="822"/>
      <c r="AD111" s="822"/>
      <c r="AE111" s="54">
        <v>0.33</v>
      </c>
      <c r="AF111" s="822"/>
      <c r="AG111" s="54">
        <v>17.97</v>
      </c>
      <c r="AH111" s="54">
        <v>0</v>
      </c>
    </row>
    <row r="112" spans="1:34" ht="15.75" thickBot="1" x14ac:dyDescent="0.3">
      <c r="A112" s="51" t="s">
        <v>948</v>
      </c>
      <c r="B112" s="51" t="s">
        <v>491</v>
      </c>
      <c r="C112" s="51" t="s">
        <v>492</v>
      </c>
      <c r="D112" s="51" t="s">
        <v>320</v>
      </c>
      <c r="E112" s="51" t="s">
        <v>272</v>
      </c>
      <c r="F112" s="51" t="s">
        <v>969</v>
      </c>
      <c r="G112" s="147">
        <v>6</v>
      </c>
      <c r="H112" s="822"/>
      <c r="I112" s="822"/>
      <c r="J112" s="822"/>
      <c r="K112" s="822"/>
      <c r="L112" s="822"/>
      <c r="M112" s="822"/>
      <c r="N112" s="822"/>
      <c r="O112" s="822"/>
      <c r="P112" s="822"/>
      <c r="Q112" s="822"/>
      <c r="R112" s="822"/>
      <c r="S112" s="822"/>
      <c r="T112" s="822"/>
      <c r="U112" s="822"/>
      <c r="V112" s="822"/>
      <c r="W112" s="822"/>
      <c r="X112" s="822"/>
      <c r="Y112" s="54">
        <v>4583.04</v>
      </c>
      <c r="Z112" s="822"/>
      <c r="AA112" s="822"/>
      <c r="AB112" s="822"/>
      <c r="AC112" s="822"/>
      <c r="AD112" s="822"/>
      <c r="AE112" s="54">
        <v>138.88</v>
      </c>
      <c r="AF112" s="822"/>
      <c r="AG112" s="54">
        <v>4721.92</v>
      </c>
      <c r="AH112" s="54">
        <v>0</v>
      </c>
    </row>
    <row r="113" spans="1:34" ht="15.75" thickBot="1" x14ac:dyDescent="0.3">
      <c r="A113" s="51" t="s">
        <v>948</v>
      </c>
      <c r="B113" s="51" t="s">
        <v>491</v>
      </c>
      <c r="C113" s="51" t="s">
        <v>492</v>
      </c>
      <c r="D113" s="51" t="s">
        <v>320</v>
      </c>
      <c r="E113" s="51" t="s">
        <v>265</v>
      </c>
      <c r="F113" s="51" t="s">
        <v>266</v>
      </c>
      <c r="G113" s="147">
        <v>6</v>
      </c>
      <c r="H113" s="54">
        <v>97992</v>
      </c>
      <c r="I113" s="822"/>
      <c r="J113" s="822"/>
      <c r="K113" s="822"/>
      <c r="L113" s="822"/>
      <c r="M113" s="822"/>
      <c r="N113" s="822"/>
      <c r="O113" s="822"/>
      <c r="P113" s="822"/>
      <c r="Q113" s="822"/>
      <c r="R113" s="822"/>
      <c r="S113" s="822"/>
      <c r="T113" s="822"/>
      <c r="U113" s="822"/>
      <c r="V113" s="822"/>
      <c r="W113" s="822"/>
      <c r="X113" s="822"/>
      <c r="Y113" s="54">
        <v>21488.67</v>
      </c>
      <c r="Z113" s="822"/>
      <c r="AA113" s="822"/>
      <c r="AB113" s="822"/>
      <c r="AC113" s="822"/>
      <c r="AD113" s="822"/>
      <c r="AE113" s="54">
        <v>406.05</v>
      </c>
      <c r="AF113" s="822"/>
      <c r="AG113" s="54">
        <v>21894.720000000001</v>
      </c>
      <c r="AH113" s="54">
        <v>0</v>
      </c>
    </row>
    <row r="114" spans="1:34" ht="15.75" thickBot="1" x14ac:dyDescent="0.3">
      <c r="A114" s="51" t="s">
        <v>948</v>
      </c>
      <c r="B114" s="51" t="s">
        <v>491</v>
      </c>
      <c r="C114" s="51" t="s">
        <v>492</v>
      </c>
      <c r="D114" s="51" t="s">
        <v>320</v>
      </c>
      <c r="E114" s="51" t="s">
        <v>620</v>
      </c>
      <c r="F114" s="51" t="s">
        <v>978</v>
      </c>
      <c r="G114" s="147">
        <v>6</v>
      </c>
      <c r="H114" s="822"/>
      <c r="I114" s="822"/>
      <c r="J114" s="822"/>
      <c r="K114" s="822"/>
      <c r="L114" s="822"/>
      <c r="M114" s="822"/>
      <c r="N114" s="822"/>
      <c r="O114" s="822"/>
      <c r="P114" s="822"/>
      <c r="Q114" s="822"/>
      <c r="R114" s="822"/>
      <c r="S114" s="822"/>
      <c r="T114" s="822"/>
      <c r="U114" s="822"/>
      <c r="V114" s="822"/>
      <c r="W114" s="822"/>
      <c r="X114" s="822"/>
      <c r="Y114" s="822"/>
      <c r="Z114" s="822"/>
      <c r="AA114" s="822"/>
      <c r="AB114" s="822"/>
      <c r="AC114" s="822"/>
      <c r="AD114" s="822"/>
      <c r="AE114" s="54">
        <v>11.7</v>
      </c>
      <c r="AF114" s="822"/>
      <c r="AG114" s="54">
        <v>398.04</v>
      </c>
      <c r="AH114" s="149">
        <v>386.34</v>
      </c>
    </row>
    <row r="115" spans="1:34" ht="15.75" thickBot="1" x14ac:dyDescent="0.3">
      <c r="A115" s="51" t="s">
        <v>948</v>
      </c>
      <c r="B115" s="51" t="s">
        <v>491</v>
      </c>
      <c r="C115" s="51" t="s">
        <v>492</v>
      </c>
      <c r="D115" s="51" t="s">
        <v>320</v>
      </c>
      <c r="E115" s="51" t="s">
        <v>621</v>
      </c>
      <c r="F115" s="51" t="s">
        <v>970</v>
      </c>
      <c r="G115" s="147">
        <v>6</v>
      </c>
      <c r="H115" s="822"/>
      <c r="I115" s="822"/>
      <c r="J115" s="822"/>
      <c r="K115" s="822"/>
      <c r="L115" s="822"/>
      <c r="M115" s="822"/>
      <c r="N115" s="822"/>
      <c r="O115" s="822"/>
      <c r="P115" s="822"/>
      <c r="Q115" s="822"/>
      <c r="R115" s="822"/>
      <c r="S115" s="822"/>
      <c r="T115" s="822"/>
      <c r="U115" s="822"/>
      <c r="V115" s="822"/>
      <c r="W115" s="822"/>
      <c r="X115" s="822"/>
      <c r="Y115" s="822"/>
      <c r="Z115" s="822"/>
      <c r="AA115" s="822"/>
      <c r="AB115" s="822"/>
      <c r="AC115" s="822"/>
      <c r="AD115" s="822"/>
      <c r="AE115" s="54">
        <v>7.56</v>
      </c>
      <c r="AF115" s="822"/>
      <c r="AG115" s="54">
        <v>407.36</v>
      </c>
      <c r="AH115" s="149">
        <v>399.8</v>
      </c>
    </row>
    <row r="116" spans="1:34" ht="15.75" thickBot="1" x14ac:dyDescent="0.3">
      <c r="A116" s="51" t="s">
        <v>948</v>
      </c>
      <c r="B116" s="51" t="s">
        <v>491</v>
      </c>
      <c r="C116" s="51" t="s">
        <v>492</v>
      </c>
      <c r="D116" s="51" t="s">
        <v>320</v>
      </c>
      <c r="E116" s="51" t="s">
        <v>273</v>
      </c>
      <c r="F116" s="51" t="s">
        <v>979</v>
      </c>
      <c r="G116" s="147">
        <v>6</v>
      </c>
      <c r="H116" s="822"/>
      <c r="I116" s="822"/>
      <c r="J116" s="822"/>
      <c r="K116" s="822"/>
      <c r="L116" s="822"/>
      <c r="M116" s="822"/>
      <c r="N116" s="822"/>
      <c r="O116" s="822"/>
      <c r="P116" s="822"/>
      <c r="Q116" s="822"/>
      <c r="R116" s="822"/>
      <c r="S116" s="822"/>
      <c r="T116" s="822"/>
      <c r="U116" s="822"/>
      <c r="V116" s="822"/>
      <c r="W116" s="822"/>
      <c r="X116" s="822"/>
      <c r="Y116" s="54">
        <v>8391.06</v>
      </c>
      <c r="Z116" s="822"/>
      <c r="AA116" s="822"/>
      <c r="AB116" s="822"/>
      <c r="AC116" s="822"/>
      <c r="AD116" s="822"/>
      <c r="AE116" s="54">
        <v>158.56</v>
      </c>
      <c r="AF116" s="822"/>
      <c r="AG116" s="54">
        <v>8549.6200000000008</v>
      </c>
      <c r="AH116" s="54">
        <v>0</v>
      </c>
    </row>
    <row r="117" spans="1:34" ht="15.75" thickBot="1" x14ac:dyDescent="0.3">
      <c r="A117" s="51" t="s">
        <v>948</v>
      </c>
      <c r="B117" s="51" t="s">
        <v>491</v>
      </c>
      <c r="C117" s="51" t="s">
        <v>492</v>
      </c>
      <c r="D117" s="51" t="s">
        <v>320</v>
      </c>
      <c r="E117" s="51" t="s">
        <v>268</v>
      </c>
      <c r="F117" s="51" t="s">
        <v>971</v>
      </c>
      <c r="G117" s="147">
        <v>6</v>
      </c>
      <c r="H117" s="822"/>
      <c r="I117" s="822"/>
      <c r="J117" s="822"/>
      <c r="K117" s="822"/>
      <c r="L117" s="822"/>
      <c r="M117" s="822"/>
      <c r="N117" s="822"/>
      <c r="O117" s="822"/>
      <c r="P117" s="822"/>
      <c r="Q117" s="822"/>
      <c r="R117" s="822"/>
      <c r="S117" s="822"/>
      <c r="T117" s="822"/>
      <c r="U117" s="822"/>
      <c r="V117" s="822"/>
      <c r="W117" s="822"/>
      <c r="X117" s="822"/>
      <c r="Y117" s="822"/>
      <c r="Z117" s="822"/>
      <c r="AA117" s="822"/>
      <c r="AB117" s="822"/>
      <c r="AC117" s="54">
        <v>3300</v>
      </c>
      <c r="AD117" s="822"/>
      <c r="AE117" s="54">
        <v>99.99</v>
      </c>
      <c r="AF117" s="822"/>
      <c r="AG117" s="54">
        <v>3399.99</v>
      </c>
      <c r="AH117" s="54">
        <v>0</v>
      </c>
    </row>
    <row r="118" spans="1:34" ht="15.75" thickBot="1" x14ac:dyDescent="0.3">
      <c r="A118" s="51" t="s">
        <v>948</v>
      </c>
      <c r="B118" s="51" t="s">
        <v>52</v>
      </c>
      <c r="C118" s="51" t="s">
        <v>355</v>
      </c>
      <c r="D118" s="51" t="s">
        <v>320</v>
      </c>
      <c r="E118" s="51" t="s">
        <v>269</v>
      </c>
      <c r="F118" s="51" t="s">
        <v>364</v>
      </c>
      <c r="G118" s="148">
        <v>2</v>
      </c>
      <c r="H118" s="823"/>
      <c r="I118" s="823"/>
      <c r="J118" s="823"/>
      <c r="K118" s="823"/>
      <c r="L118" s="823"/>
      <c r="M118" s="823"/>
      <c r="N118" s="823"/>
      <c r="O118" s="823"/>
      <c r="P118" s="823"/>
      <c r="Q118" s="823"/>
      <c r="R118" s="823"/>
      <c r="S118" s="823"/>
      <c r="T118" s="823"/>
      <c r="U118" s="823"/>
      <c r="V118" s="823"/>
      <c r="W118" s="823"/>
      <c r="X118" s="823"/>
      <c r="Y118" s="823"/>
      <c r="Z118" s="823"/>
      <c r="AA118" s="56">
        <v>4839.1899999999996</v>
      </c>
      <c r="AB118" s="823"/>
      <c r="AC118" s="823"/>
      <c r="AD118" s="823"/>
      <c r="AE118" s="56">
        <v>0</v>
      </c>
      <c r="AF118" s="823"/>
      <c r="AG118" s="56">
        <v>4839.1899999999996</v>
      </c>
      <c r="AH118" s="56">
        <v>0</v>
      </c>
    </row>
    <row r="119" spans="1:34" ht="15.75" thickBot="1" x14ac:dyDescent="0.3">
      <c r="A119" s="51" t="s">
        <v>948</v>
      </c>
      <c r="B119" s="51" t="s">
        <v>52</v>
      </c>
      <c r="C119" s="51" t="s">
        <v>355</v>
      </c>
      <c r="D119" s="51" t="s">
        <v>320</v>
      </c>
      <c r="E119" s="51" t="s">
        <v>271</v>
      </c>
      <c r="F119" s="51" t="s">
        <v>985</v>
      </c>
      <c r="G119" s="148">
        <v>2</v>
      </c>
      <c r="H119" s="823"/>
      <c r="I119" s="823"/>
      <c r="J119" s="823"/>
      <c r="K119" s="823"/>
      <c r="L119" s="823"/>
      <c r="M119" s="823"/>
      <c r="N119" s="823"/>
      <c r="O119" s="823"/>
      <c r="P119" s="823"/>
      <c r="Q119" s="823"/>
      <c r="R119" s="823"/>
      <c r="S119" s="823"/>
      <c r="T119" s="823"/>
      <c r="U119" s="823"/>
      <c r="V119" s="823"/>
      <c r="W119" s="823"/>
      <c r="X119" s="823"/>
      <c r="Y119" s="823"/>
      <c r="Z119" s="56">
        <v>238.63</v>
      </c>
      <c r="AA119" s="823"/>
      <c r="AB119" s="823"/>
      <c r="AC119" s="823"/>
      <c r="AD119" s="823"/>
      <c r="AE119" s="56">
        <v>0</v>
      </c>
      <c r="AF119" s="823"/>
      <c r="AG119" s="56">
        <v>238.63</v>
      </c>
      <c r="AH119" s="56">
        <v>0</v>
      </c>
    </row>
    <row r="120" spans="1:34" ht="15.75" thickBot="1" x14ac:dyDescent="0.3">
      <c r="A120" s="51" t="s">
        <v>948</v>
      </c>
      <c r="B120" s="51" t="s">
        <v>52</v>
      </c>
      <c r="C120" s="51" t="s">
        <v>355</v>
      </c>
      <c r="D120" s="51" t="s">
        <v>320</v>
      </c>
      <c r="E120" s="51" t="s">
        <v>268</v>
      </c>
      <c r="F120" s="51" t="s">
        <v>971</v>
      </c>
      <c r="G120" s="148">
        <v>2</v>
      </c>
      <c r="H120" s="823"/>
      <c r="I120" s="823"/>
      <c r="J120" s="823"/>
      <c r="K120" s="823"/>
      <c r="L120" s="823"/>
      <c r="M120" s="823"/>
      <c r="N120" s="823"/>
      <c r="O120" s="823"/>
      <c r="P120" s="823"/>
      <c r="Q120" s="823"/>
      <c r="R120" s="823"/>
      <c r="S120" s="823"/>
      <c r="T120" s="823"/>
      <c r="U120" s="823"/>
      <c r="V120" s="823"/>
      <c r="W120" s="823"/>
      <c r="X120" s="823"/>
      <c r="Y120" s="823"/>
      <c r="Z120" s="823"/>
      <c r="AA120" s="823"/>
      <c r="AB120" s="823"/>
      <c r="AC120" s="56">
        <v>675</v>
      </c>
      <c r="AD120" s="823"/>
      <c r="AE120" s="56">
        <v>0</v>
      </c>
      <c r="AF120" s="823"/>
      <c r="AG120" s="56">
        <v>675</v>
      </c>
      <c r="AH120" s="56">
        <v>0</v>
      </c>
    </row>
    <row r="121" spans="1:34" ht="15.75" thickBot="1" x14ac:dyDescent="0.3">
      <c r="A121" s="51" t="s">
        <v>948</v>
      </c>
      <c r="B121" s="51" t="s">
        <v>53</v>
      </c>
      <c r="C121" s="51" t="s">
        <v>836</v>
      </c>
      <c r="D121" s="51" t="s">
        <v>320</v>
      </c>
      <c r="E121" s="51" t="s">
        <v>356</v>
      </c>
      <c r="F121" s="51" t="s">
        <v>337</v>
      </c>
      <c r="G121" s="147">
        <v>1</v>
      </c>
      <c r="H121" s="822"/>
      <c r="I121" s="822"/>
      <c r="J121" s="822"/>
      <c r="K121" s="822"/>
      <c r="L121" s="822"/>
      <c r="M121" s="54">
        <v>539.59</v>
      </c>
      <c r="N121" s="822"/>
      <c r="O121" s="822"/>
      <c r="P121" s="822"/>
      <c r="Q121" s="822"/>
      <c r="R121" s="822"/>
      <c r="S121" s="822"/>
      <c r="T121" s="822"/>
      <c r="U121" s="822"/>
      <c r="V121" s="822"/>
      <c r="W121" s="822"/>
      <c r="X121" s="822"/>
      <c r="Y121" s="822"/>
      <c r="Z121" s="822"/>
      <c r="AA121" s="822"/>
      <c r="AB121" s="822"/>
      <c r="AC121" s="822"/>
      <c r="AD121" s="822"/>
      <c r="AE121" s="54">
        <v>0</v>
      </c>
      <c r="AF121" s="822"/>
      <c r="AG121" s="54">
        <v>539.59</v>
      </c>
      <c r="AH121" s="54">
        <v>0</v>
      </c>
    </row>
    <row r="122" spans="1:34" ht="15.75" thickBot="1" x14ac:dyDescent="0.3">
      <c r="A122" s="51" t="s">
        <v>948</v>
      </c>
      <c r="B122" s="51" t="s">
        <v>53</v>
      </c>
      <c r="C122" s="51" t="s">
        <v>836</v>
      </c>
      <c r="D122" s="51" t="s">
        <v>320</v>
      </c>
      <c r="E122" s="51" t="s">
        <v>272</v>
      </c>
      <c r="F122" s="51" t="s">
        <v>969</v>
      </c>
      <c r="G122" s="147">
        <v>1</v>
      </c>
      <c r="H122" s="822"/>
      <c r="I122" s="822"/>
      <c r="J122" s="822"/>
      <c r="K122" s="822"/>
      <c r="L122" s="822"/>
      <c r="M122" s="822"/>
      <c r="N122" s="822"/>
      <c r="O122" s="822"/>
      <c r="P122" s="822"/>
      <c r="Q122" s="822"/>
      <c r="R122" s="822"/>
      <c r="S122" s="822"/>
      <c r="T122" s="822"/>
      <c r="U122" s="822"/>
      <c r="V122" s="822"/>
      <c r="W122" s="822"/>
      <c r="X122" s="822"/>
      <c r="Y122" s="54">
        <v>500</v>
      </c>
      <c r="Z122" s="822"/>
      <c r="AA122" s="822"/>
      <c r="AB122" s="822"/>
      <c r="AC122" s="822"/>
      <c r="AD122" s="822"/>
      <c r="AE122" s="54">
        <v>0</v>
      </c>
      <c r="AF122" s="822"/>
      <c r="AG122" s="54">
        <v>500</v>
      </c>
      <c r="AH122" s="54">
        <v>0</v>
      </c>
    </row>
    <row r="123" spans="1:34" ht="15.75" thickBot="1" x14ac:dyDescent="0.3">
      <c r="A123" s="51" t="s">
        <v>948</v>
      </c>
      <c r="B123" s="51" t="s">
        <v>53</v>
      </c>
      <c r="C123" s="51" t="s">
        <v>836</v>
      </c>
      <c r="D123" s="51" t="s">
        <v>320</v>
      </c>
      <c r="E123" s="51" t="s">
        <v>265</v>
      </c>
      <c r="F123" s="51" t="s">
        <v>266</v>
      </c>
      <c r="G123" s="147">
        <v>1</v>
      </c>
      <c r="H123" s="54">
        <v>86015</v>
      </c>
      <c r="I123" s="822"/>
      <c r="J123" s="822"/>
      <c r="K123" s="822"/>
      <c r="L123" s="822"/>
      <c r="M123" s="822"/>
      <c r="N123" s="822"/>
      <c r="O123" s="822"/>
      <c r="P123" s="822"/>
      <c r="Q123" s="822"/>
      <c r="R123" s="822"/>
      <c r="S123" s="822"/>
      <c r="T123" s="822"/>
      <c r="U123" s="822"/>
      <c r="V123" s="822"/>
      <c r="W123" s="822"/>
      <c r="X123" s="822"/>
      <c r="Y123" s="54">
        <v>9155.44</v>
      </c>
      <c r="Z123" s="822"/>
      <c r="AA123" s="822"/>
      <c r="AB123" s="822"/>
      <c r="AC123" s="822"/>
      <c r="AD123" s="822"/>
      <c r="AE123" s="54">
        <v>0</v>
      </c>
      <c r="AF123" s="822"/>
      <c r="AG123" s="54">
        <v>9155.44</v>
      </c>
      <c r="AH123" s="54">
        <v>0</v>
      </c>
    </row>
    <row r="124" spans="1:34" ht="15.75" thickBot="1" x14ac:dyDescent="0.3">
      <c r="A124" s="51" t="s">
        <v>948</v>
      </c>
      <c r="B124" s="51" t="s">
        <v>53</v>
      </c>
      <c r="C124" s="51" t="s">
        <v>836</v>
      </c>
      <c r="D124" s="51" t="s">
        <v>320</v>
      </c>
      <c r="E124" s="51" t="s">
        <v>620</v>
      </c>
      <c r="F124" s="51" t="s">
        <v>978</v>
      </c>
      <c r="G124" s="147">
        <v>1</v>
      </c>
      <c r="H124" s="822"/>
      <c r="I124" s="822"/>
      <c r="J124" s="822"/>
      <c r="K124" s="822"/>
      <c r="L124" s="822"/>
      <c r="M124" s="822"/>
      <c r="N124" s="822"/>
      <c r="O124" s="822"/>
      <c r="P124" s="822"/>
      <c r="Q124" s="822"/>
      <c r="R124" s="822"/>
      <c r="S124" s="822"/>
      <c r="T124" s="822"/>
      <c r="U124" s="822"/>
      <c r="V124" s="822"/>
      <c r="W124" s="822"/>
      <c r="X124" s="822"/>
      <c r="Y124" s="822"/>
      <c r="Z124" s="822"/>
      <c r="AA124" s="822"/>
      <c r="AB124" s="822"/>
      <c r="AC124" s="822"/>
      <c r="AD124" s="822"/>
      <c r="AE124" s="54">
        <v>0</v>
      </c>
      <c r="AF124" s="822"/>
      <c r="AG124" s="54">
        <v>64.39</v>
      </c>
      <c r="AH124" s="149">
        <v>64.39</v>
      </c>
    </row>
    <row r="125" spans="1:34" ht="15.75" thickBot="1" x14ac:dyDescent="0.3">
      <c r="A125" s="51" t="s">
        <v>948</v>
      </c>
      <c r="B125" s="51" t="s">
        <v>53</v>
      </c>
      <c r="C125" s="51" t="s">
        <v>836</v>
      </c>
      <c r="D125" s="51" t="s">
        <v>320</v>
      </c>
      <c r="E125" s="51" t="s">
        <v>621</v>
      </c>
      <c r="F125" s="51" t="s">
        <v>970</v>
      </c>
      <c r="G125" s="147">
        <v>1</v>
      </c>
      <c r="H125" s="822"/>
      <c r="I125" s="822"/>
      <c r="J125" s="822"/>
      <c r="K125" s="822"/>
      <c r="L125" s="822"/>
      <c r="M125" s="822"/>
      <c r="N125" s="822"/>
      <c r="O125" s="822"/>
      <c r="P125" s="822"/>
      <c r="Q125" s="822"/>
      <c r="R125" s="822"/>
      <c r="S125" s="822"/>
      <c r="T125" s="822"/>
      <c r="U125" s="822"/>
      <c r="V125" s="822"/>
      <c r="W125" s="822"/>
      <c r="X125" s="822"/>
      <c r="Y125" s="822"/>
      <c r="Z125" s="822"/>
      <c r="AA125" s="822"/>
      <c r="AB125" s="822"/>
      <c r="AC125" s="822"/>
      <c r="AD125" s="822"/>
      <c r="AE125" s="54">
        <v>0</v>
      </c>
      <c r="AF125" s="822"/>
      <c r="AG125" s="54">
        <v>350.94</v>
      </c>
      <c r="AH125" s="149">
        <v>350.94</v>
      </c>
    </row>
    <row r="126" spans="1:34" ht="15.75" thickBot="1" x14ac:dyDescent="0.3">
      <c r="A126" s="51" t="s">
        <v>948</v>
      </c>
      <c r="B126" s="51" t="s">
        <v>53</v>
      </c>
      <c r="C126" s="51" t="s">
        <v>836</v>
      </c>
      <c r="D126" s="51" t="s">
        <v>320</v>
      </c>
      <c r="E126" s="51" t="s">
        <v>273</v>
      </c>
      <c r="F126" s="51" t="s">
        <v>979</v>
      </c>
      <c r="G126" s="147">
        <v>1</v>
      </c>
      <c r="H126" s="822"/>
      <c r="I126" s="822"/>
      <c r="J126" s="822"/>
      <c r="K126" s="822"/>
      <c r="L126" s="822"/>
      <c r="M126" s="822"/>
      <c r="N126" s="822"/>
      <c r="O126" s="822"/>
      <c r="P126" s="822"/>
      <c r="Q126" s="822"/>
      <c r="R126" s="822"/>
      <c r="S126" s="822"/>
      <c r="T126" s="822"/>
      <c r="U126" s="822"/>
      <c r="V126" s="822"/>
      <c r="W126" s="822"/>
      <c r="X126" s="822"/>
      <c r="Y126" s="54">
        <v>7365.46</v>
      </c>
      <c r="Z126" s="822"/>
      <c r="AA126" s="822"/>
      <c r="AB126" s="822"/>
      <c r="AC126" s="822"/>
      <c r="AD126" s="822"/>
      <c r="AE126" s="54">
        <v>0</v>
      </c>
      <c r="AF126" s="822"/>
      <c r="AG126" s="54">
        <v>7365.46</v>
      </c>
      <c r="AH126" s="54">
        <v>0</v>
      </c>
    </row>
    <row r="127" spans="1:34" ht="15.75" thickBot="1" x14ac:dyDescent="0.3">
      <c r="A127" s="51" t="s">
        <v>948</v>
      </c>
      <c r="B127" s="51" t="s">
        <v>53</v>
      </c>
      <c r="C127" s="51" t="s">
        <v>836</v>
      </c>
      <c r="D127" s="51" t="s">
        <v>320</v>
      </c>
      <c r="E127" s="51" t="s">
        <v>268</v>
      </c>
      <c r="F127" s="51" t="s">
        <v>971</v>
      </c>
      <c r="G127" s="147">
        <v>1</v>
      </c>
      <c r="H127" s="822"/>
      <c r="I127" s="822"/>
      <c r="J127" s="822"/>
      <c r="K127" s="822"/>
      <c r="L127" s="822"/>
      <c r="M127" s="822"/>
      <c r="N127" s="822"/>
      <c r="O127" s="822"/>
      <c r="P127" s="822"/>
      <c r="Q127" s="822"/>
      <c r="R127" s="822"/>
      <c r="S127" s="822"/>
      <c r="T127" s="822"/>
      <c r="U127" s="822"/>
      <c r="V127" s="822"/>
      <c r="W127" s="822"/>
      <c r="X127" s="822"/>
      <c r="Y127" s="822"/>
      <c r="Z127" s="822"/>
      <c r="AA127" s="822"/>
      <c r="AB127" s="822"/>
      <c r="AC127" s="54">
        <v>550</v>
      </c>
      <c r="AD127" s="822"/>
      <c r="AE127" s="54">
        <v>0</v>
      </c>
      <c r="AF127" s="822"/>
      <c r="AG127" s="54">
        <v>550</v>
      </c>
      <c r="AH127" s="54">
        <v>0</v>
      </c>
    </row>
    <row r="128" spans="1:34" ht="15.75" thickBot="1" x14ac:dyDescent="0.3">
      <c r="A128" s="51" t="s">
        <v>948</v>
      </c>
      <c r="B128" s="51" t="s">
        <v>36</v>
      </c>
      <c r="C128" s="51" t="s">
        <v>438</v>
      </c>
      <c r="D128" s="51" t="s">
        <v>320</v>
      </c>
      <c r="E128" s="51" t="s">
        <v>269</v>
      </c>
      <c r="F128" s="51" t="s">
        <v>972</v>
      </c>
      <c r="G128" s="148">
        <v>1</v>
      </c>
      <c r="H128" s="823"/>
      <c r="I128" s="823"/>
      <c r="J128" s="823"/>
      <c r="K128" s="823"/>
      <c r="L128" s="823"/>
      <c r="M128" s="823"/>
      <c r="N128" s="823"/>
      <c r="O128" s="823"/>
      <c r="P128" s="823"/>
      <c r="Q128" s="823"/>
      <c r="R128" s="823"/>
      <c r="S128" s="823"/>
      <c r="T128" s="823"/>
      <c r="U128" s="823"/>
      <c r="V128" s="823"/>
      <c r="W128" s="823"/>
      <c r="X128" s="823"/>
      <c r="Y128" s="823"/>
      <c r="Z128" s="56">
        <v>-2433.66</v>
      </c>
      <c r="AA128" s="823"/>
      <c r="AB128" s="823"/>
      <c r="AC128" s="823"/>
      <c r="AD128" s="823"/>
      <c r="AE128" s="56">
        <v>-146.02000000000001</v>
      </c>
      <c r="AF128" s="823"/>
      <c r="AG128" s="56">
        <v>-2579.6799999999998</v>
      </c>
      <c r="AH128" s="56">
        <v>0</v>
      </c>
    </row>
    <row r="129" spans="1:34" ht="15.75" thickBot="1" x14ac:dyDescent="0.3">
      <c r="A129" s="51" t="s">
        <v>948</v>
      </c>
      <c r="B129" s="51" t="s">
        <v>36</v>
      </c>
      <c r="C129" s="51" t="s">
        <v>438</v>
      </c>
      <c r="D129" s="51" t="s">
        <v>320</v>
      </c>
      <c r="E129" s="51" t="s">
        <v>269</v>
      </c>
      <c r="F129" s="51" t="s">
        <v>364</v>
      </c>
      <c r="G129" s="147">
        <v>1</v>
      </c>
      <c r="H129" s="822"/>
      <c r="I129" s="822"/>
      <c r="J129" s="822"/>
      <c r="K129" s="822"/>
      <c r="L129" s="822"/>
      <c r="M129" s="822"/>
      <c r="N129" s="822"/>
      <c r="O129" s="822"/>
      <c r="P129" s="822"/>
      <c r="Q129" s="822"/>
      <c r="R129" s="822"/>
      <c r="S129" s="822"/>
      <c r="T129" s="822"/>
      <c r="U129" s="822"/>
      <c r="V129" s="822"/>
      <c r="W129" s="822"/>
      <c r="X129" s="822"/>
      <c r="Y129" s="822"/>
      <c r="Z129" s="822"/>
      <c r="AA129" s="54">
        <v>11.75</v>
      </c>
      <c r="AB129" s="822"/>
      <c r="AC129" s="822"/>
      <c r="AD129" s="822"/>
      <c r="AE129" s="54">
        <v>0.7</v>
      </c>
      <c r="AF129" s="822"/>
      <c r="AG129" s="54">
        <v>12.45</v>
      </c>
      <c r="AH129" s="54">
        <v>0</v>
      </c>
    </row>
    <row r="130" spans="1:34" ht="15.75" thickBot="1" x14ac:dyDescent="0.3">
      <c r="A130" s="51" t="s">
        <v>948</v>
      </c>
      <c r="B130" s="51" t="s">
        <v>36</v>
      </c>
      <c r="C130" s="51" t="s">
        <v>438</v>
      </c>
      <c r="D130" s="51" t="s">
        <v>320</v>
      </c>
      <c r="E130" s="51" t="s">
        <v>272</v>
      </c>
      <c r="F130" s="51" t="s">
        <v>969</v>
      </c>
      <c r="G130" s="147">
        <v>48</v>
      </c>
      <c r="H130" s="822"/>
      <c r="I130" s="822"/>
      <c r="J130" s="822"/>
      <c r="K130" s="822"/>
      <c r="L130" s="822"/>
      <c r="M130" s="822"/>
      <c r="N130" s="822"/>
      <c r="O130" s="822"/>
      <c r="P130" s="822"/>
      <c r="Q130" s="822"/>
      <c r="R130" s="822"/>
      <c r="S130" s="822"/>
      <c r="T130" s="822"/>
      <c r="U130" s="822"/>
      <c r="V130" s="822"/>
      <c r="W130" s="822"/>
      <c r="X130" s="822"/>
      <c r="Y130" s="54">
        <v>36000</v>
      </c>
      <c r="Z130" s="822"/>
      <c r="AA130" s="822"/>
      <c r="AB130" s="822"/>
      <c r="AC130" s="822"/>
      <c r="AD130" s="822"/>
      <c r="AE130" s="54">
        <v>1604.25</v>
      </c>
      <c r="AF130" s="822"/>
      <c r="AG130" s="54">
        <v>37604.25</v>
      </c>
      <c r="AH130" s="54">
        <v>0</v>
      </c>
    </row>
    <row r="131" spans="1:34" ht="15.75" thickBot="1" x14ac:dyDescent="0.3">
      <c r="A131" s="51" t="s">
        <v>948</v>
      </c>
      <c r="B131" s="51" t="s">
        <v>36</v>
      </c>
      <c r="C131" s="51" t="s">
        <v>438</v>
      </c>
      <c r="D131" s="51" t="s">
        <v>320</v>
      </c>
      <c r="E131" s="51" t="s">
        <v>272</v>
      </c>
      <c r="F131" s="51" t="s">
        <v>969</v>
      </c>
      <c r="G131" s="148">
        <v>1</v>
      </c>
      <c r="H131" s="823"/>
      <c r="I131" s="823"/>
      <c r="J131" s="823"/>
      <c r="K131" s="823"/>
      <c r="L131" s="823"/>
      <c r="M131" s="823"/>
      <c r="N131" s="823"/>
      <c r="O131" s="823"/>
      <c r="P131" s="823"/>
      <c r="Q131" s="823"/>
      <c r="R131" s="823"/>
      <c r="S131" s="823"/>
      <c r="T131" s="823"/>
      <c r="U131" s="823"/>
      <c r="V131" s="823"/>
      <c r="W131" s="823"/>
      <c r="X131" s="823"/>
      <c r="Y131" s="56">
        <v>150</v>
      </c>
      <c r="Z131" s="823"/>
      <c r="AA131" s="823"/>
      <c r="AB131" s="823"/>
      <c r="AC131" s="823"/>
      <c r="AD131" s="823"/>
      <c r="AE131" s="56">
        <v>0</v>
      </c>
      <c r="AF131" s="823"/>
      <c r="AG131" s="56">
        <v>150</v>
      </c>
      <c r="AH131" s="56">
        <v>0</v>
      </c>
    </row>
    <row r="132" spans="1:34" ht="15.75" thickBot="1" x14ac:dyDescent="0.3">
      <c r="A132" s="51" t="s">
        <v>948</v>
      </c>
      <c r="B132" s="51" t="s">
        <v>36</v>
      </c>
      <c r="C132" s="51" t="s">
        <v>438</v>
      </c>
      <c r="D132" s="51" t="s">
        <v>320</v>
      </c>
      <c r="E132" s="51" t="s">
        <v>265</v>
      </c>
      <c r="F132" s="51" t="s">
        <v>270</v>
      </c>
      <c r="G132" s="148">
        <v>1</v>
      </c>
      <c r="H132" s="56">
        <v>65</v>
      </c>
      <c r="I132" s="823"/>
      <c r="J132" s="823"/>
      <c r="K132" s="823"/>
      <c r="L132" s="823"/>
      <c r="M132" s="823"/>
      <c r="N132" s="823"/>
      <c r="O132" s="823"/>
      <c r="P132" s="823"/>
      <c r="Q132" s="823"/>
      <c r="R132" s="823"/>
      <c r="S132" s="823"/>
      <c r="T132" s="823"/>
      <c r="U132" s="823"/>
      <c r="V132" s="823"/>
      <c r="W132" s="823"/>
      <c r="X132" s="823"/>
      <c r="Y132" s="823"/>
      <c r="Z132" s="56">
        <v>0.25</v>
      </c>
      <c r="AA132" s="823"/>
      <c r="AB132" s="823"/>
      <c r="AC132" s="823"/>
      <c r="AD132" s="823"/>
      <c r="AE132" s="56">
        <v>0.01</v>
      </c>
      <c r="AF132" s="823"/>
      <c r="AG132" s="56">
        <v>0.26</v>
      </c>
      <c r="AH132" s="56">
        <v>0</v>
      </c>
    </row>
    <row r="133" spans="1:34" ht="15.75" thickBot="1" x14ac:dyDescent="0.3">
      <c r="A133" s="51" t="s">
        <v>948</v>
      </c>
      <c r="B133" s="51" t="s">
        <v>36</v>
      </c>
      <c r="C133" s="51" t="s">
        <v>438</v>
      </c>
      <c r="D133" s="51" t="s">
        <v>320</v>
      </c>
      <c r="E133" s="51" t="s">
        <v>265</v>
      </c>
      <c r="F133" s="51" t="s">
        <v>266</v>
      </c>
      <c r="G133" s="147">
        <v>48</v>
      </c>
      <c r="H133" s="54">
        <v>9685689</v>
      </c>
      <c r="I133" s="822"/>
      <c r="J133" s="822"/>
      <c r="K133" s="822"/>
      <c r="L133" s="822"/>
      <c r="M133" s="822"/>
      <c r="N133" s="822"/>
      <c r="O133" s="822"/>
      <c r="P133" s="822"/>
      <c r="Q133" s="822"/>
      <c r="R133" s="822"/>
      <c r="S133" s="822"/>
      <c r="T133" s="822"/>
      <c r="U133" s="822"/>
      <c r="V133" s="822"/>
      <c r="W133" s="822"/>
      <c r="X133" s="822"/>
      <c r="Y133" s="54">
        <v>36805.65</v>
      </c>
      <c r="Z133" s="822"/>
      <c r="AA133" s="822"/>
      <c r="AB133" s="822"/>
      <c r="AC133" s="822"/>
      <c r="AD133" s="822"/>
      <c r="AE133" s="54">
        <v>1558.59</v>
      </c>
      <c r="AF133" s="822"/>
      <c r="AG133" s="54">
        <v>38364.239999999998</v>
      </c>
      <c r="AH133" s="54">
        <v>0</v>
      </c>
    </row>
    <row r="134" spans="1:34" ht="15.75" thickBot="1" x14ac:dyDescent="0.3">
      <c r="A134" s="51" t="s">
        <v>948</v>
      </c>
      <c r="B134" s="51" t="s">
        <v>36</v>
      </c>
      <c r="C134" s="51" t="s">
        <v>438</v>
      </c>
      <c r="D134" s="51" t="s">
        <v>320</v>
      </c>
      <c r="E134" s="51" t="s">
        <v>265</v>
      </c>
      <c r="F134" s="51" t="s">
        <v>266</v>
      </c>
      <c r="G134" s="148">
        <v>1</v>
      </c>
      <c r="H134" s="56">
        <v>19978</v>
      </c>
      <c r="I134" s="823"/>
      <c r="J134" s="823"/>
      <c r="K134" s="823"/>
      <c r="L134" s="823"/>
      <c r="M134" s="823"/>
      <c r="N134" s="823"/>
      <c r="O134" s="823"/>
      <c r="P134" s="823"/>
      <c r="Q134" s="823"/>
      <c r="R134" s="823"/>
      <c r="S134" s="823"/>
      <c r="T134" s="823"/>
      <c r="U134" s="823"/>
      <c r="V134" s="823"/>
      <c r="W134" s="823"/>
      <c r="X134" s="823"/>
      <c r="Y134" s="56">
        <v>75.92</v>
      </c>
      <c r="Z134" s="823"/>
      <c r="AA134" s="823"/>
      <c r="AB134" s="823"/>
      <c r="AC134" s="823"/>
      <c r="AD134" s="823"/>
      <c r="AE134" s="56">
        <v>0</v>
      </c>
      <c r="AF134" s="823"/>
      <c r="AG134" s="56">
        <v>75.92</v>
      </c>
      <c r="AH134" s="56">
        <v>0</v>
      </c>
    </row>
    <row r="135" spans="1:34" ht="15.75" thickBot="1" x14ac:dyDescent="0.3">
      <c r="A135" s="51" t="s">
        <v>948</v>
      </c>
      <c r="B135" s="51" t="s">
        <v>36</v>
      </c>
      <c r="C135" s="51" t="s">
        <v>438</v>
      </c>
      <c r="D135" s="51" t="s">
        <v>320</v>
      </c>
      <c r="E135" s="51" t="s">
        <v>621</v>
      </c>
      <c r="F135" s="51" t="s">
        <v>970</v>
      </c>
      <c r="G135" s="148">
        <v>48</v>
      </c>
      <c r="H135" s="823"/>
      <c r="I135" s="823"/>
      <c r="J135" s="823"/>
      <c r="K135" s="823"/>
      <c r="L135" s="823"/>
      <c r="M135" s="823"/>
      <c r="N135" s="823"/>
      <c r="O135" s="823"/>
      <c r="P135" s="823"/>
      <c r="Q135" s="823"/>
      <c r="R135" s="823"/>
      <c r="S135" s="823"/>
      <c r="T135" s="823"/>
      <c r="U135" s="823"/>
      <c r="V135" s="823"/>
      <c r="W135" s="823"/>
      <c r="X135" s="823"/>
      <c r="Y135" s="823"/>
      <c r="Z135" s="823"/>
      <c r="AA135" s="823"/>
      <c r="AB135" s="823"/>
      <c r="AC135" s="823"/>
      <c r="AD135" s="823"/>
      <c r="AE135" s="56">
        <v>196.87</v>
      </c>
      <c r="AF135" s="823"/>
      <c r="AG135" s="56">
        <v>4846.0200000000004</v>
      </c>
      <c r="AH135" s="149">
        <v>4649.1499999999996</v>
      </c>
    </row>
    <row r="136" spans="1:34" ht="15.75" thickBot="1" x14ac:dyDescent="0.3">
      <c r="A136" s="51" t="s">
        <v>948</v>
      </c>
      <c r="B136" s="51" t="s">
        <v>36</v>
      </c>
      <c r="C136" s="51" t="s">
        <v>438</v>
      </c>
      <c r="D136" s="51" t="s">
        <v>320</v>
      </c>
      <c r="E136" s="51" t="s">
        <v>621</v>
      </c>
      <c r="F136" s="51" t="s">
        <v>970</v>
      </c>
      <c r="G136" s="147">
        <v>1</v>
      </c>
      <c r="H136" s="822"/>
      <c r="I136" s="822"/>
      <c r="J136" s="822"/>
      <c r="K136" s="822"/>
      <c r="L136" s="822"/>
      <c r="M136" s="822"/>
      <c r="N136" s="822"/>
      <c r="O136" s="822"/>
      <c r="P136" s="822"/>
      <c r="Q136" s="822"/>
      <c r="R136" s="822"/>
      <c r="S136" s="822"/>
      <c r="T136" s="822"/>
      <c r="U136" s="822"/>
      <c r="V136" s="822"/>
      <c r="W136" s="822"/>
      <c r="X136" s="822"/>
      <c r="Y136" s="822"/>
      <c r="Z136" s="822"/>
      <c r="AA136" s="822"/>
      <c r="AB136" s="822"/>
      <c r="AC136" s="822"/>
      <c r="AD136" s="822"/>
      <c r="AE136" s="54">
        <v>0</v>
      </c>
      <c r="AF136" s="822"/>
      <c r="AG136" s="54">
        <v>9.59</v>
      </c>
      <c r="AH136" s="149">
        <v>9.59</v>
      </c>
    </row>
    <row r="137" spans="1:34" ht="15.75" thickBot="1" x14ac:dyDescent="0.3">
      <c r="A137" s="51" t="s">
        <v>948</v>
      </c>
      <c r="B137" s="51" t="s">
        <v>36</v>
      </c>
      <c r="C137" s="51" t="s">
        <v>438</v>
      </c>
      <c r="D137" s="51" t="s">
        <v>320</v>
      </c>
      <c r="E137" s="51" t="s">
        <v>916</v>
      </c>
      <c r="F137" s="51" t="s">
        <v>982</v>
      </c>
      <c r="G137" s="147">
        <v>1</v>
      </c>
      <c r="H137" s="822"/>
      <c r="I137" s="822"/>
      <c r="J137" s="822"/>
      <c r="K137" s="822"/>
      <c r="L137" s="822"/>
      <c r="M137" s="822"/>
      <c r="N137" s="822"/>
      <c r="O137" s="822"/>
      <c r="P137" s="822"/>
      <c r="Q137" s="822"/>
      <c r="R137" s="822"/>
      <c r="S137" s="822"/>
      <c r="T137" s="822"/>
      <c r="U137" s="822"/>
      <c r="V137" s="822"/>
      <c r="W137" s="822"/>
      <c r="X137" s="822"/>
      <c r="Y137" s="822"/>
      <c r="Z137" s="822"/>
      <c r="AA137" s="822"/>
      <c r="AB137" s="822"/>
      <c r="AC137" s="822"/>
      <c r="AD137" s="822"/>
      <c r="AE137" s="54">
        <v>0</v>
      </c>
      <c r="AF137" s="822"/>
      <c r="AG137" s="54">
        <v>0.03</v>
      </c>
      <c r="AH137" s="149">
        <v>0.03</v>
      </c>
    </row>
    <row r="138" spans="1:34" ht="15.75" thickBot="1" x14ac:dyDescent="0.3">
      <c r="A138" s="51" t="s">
        <v>948</v>
      </c>
      <c r="B138" s="51" t="s">
        <v>36</v>
      </c>
      <c r="C138" s="51" t="s">
        <v>438</v>
      </c>
      <c r="D138" s="51" t="s">
        <v>320</v>
      </c>
      <c r="E138" s="51" t="s">
        <v>271</v>
      </c>
      <c r="F138" s="51" t="s">
        <v>980</v>
      </c>
      <c r="G138" s="147">
        <v>1</v>
      </c>
      <c r="H138" s="822"/>
      <c r="I138" s="822"/>
      <c r="J138" s="822"/>
      <c r="K138" s="822"/>
      <c r="L138" s="822"/>
      <c r="M138" s="822"/>
      <c r="N138" s="822"/>
      <c r="O138" s="822"/>
      <c r="P138" s="822"/>
      <c r="Q138" s="822"/>
      <c r="R138" s="822"/>
      <c r="S138" s="822"/>
      <c r="T138" s="822"/>
      <c r="U138" s="822"/>
      <c r="V138" s="822"/>
      <c r="W138" s="822"/>
      <c r="X138" s="822"/>
      <c r="Y138" s="822"/>
      <c r="Z138" s="822"/>
      <c r="AA138" s="54">
        <v>123.78</v>
      </c>
      <c r="AB138" s="822"/>
      <c r="AC138" s="822"/>
      <c r="AD138" s="822"/>
      <c r="AE138" s="54">
        <v>7.43</v>
      </c>
      <c r="AF138" s="822"/>
      <c r="AG138" s="54">
        <v>131.21</v>
      </c>
      <c r="AH138" s="54">
        <v>0</v>
      </c>
    </row>
    <row r="139" spans="1:34" ht="15.75" thickBot="1" x14ac:dyDescent="0.3">
      <c r="A139" s="51" t="s">
        <v>948</v>
      </c>
      <c r="B139" s="51" t="s">
        <v>36</v>
      </c>
      <c r="C139" s="51" t="s">
        <v>438</v>
      </c>
      <c r="D139" s="51" t="s">
        <v>320</v>
      </c>
      <c r="E139" s="51" t="s">
        <v>271</v>
      </c>
      <c r="F139" s="51" t="s">
        <v>981</v>
      </c>
      <c r="G139" s="148">
        <v>1</v>
      </c>
      <c r="H139" s="823"/>
      <c r="I139" s="823"/>
      <c r="J139" s="823"/>
      <c r="K139" s="823"/>
      <c r="L139" s="823"/>
      <c r="M139" s="823"/>
      <c r="N139" s="823"/>
      <c r="O139" s="823"/>
      <c r="P139" s="823"/>
      <c r="Q139" s="823"/>
      <c r="R139" s="823"/>
      <c r="S139" s="823"/>
      <c r="T139" s="823"/>
      <c r="U139" s="823"/>
      <c r="V139" s="823"/>
      <c r="W139" s="823"/>
      <c r="X139" s="823"/>
      <c r="Y139" s="823"/>
      <c r="Z139" s="56">
        <v>-5.42</v>
      </c>
      <c r="AA139" s="823"/>
      <c r="AB139" s="823"/>
      <c r="AC139" s="823"/>
      <c r="AD139" s="823"/>
      <c r="AE139" s="56">
        <v>-0.33</v>
      </c>
      <c r="AF139" s="823"/>
      <c r="AG139" s="56">
        <v>-5.75</v>
      </c>
      <c r="AH139" s="56">
        <v>0</v>
      </c>
    </row>
    <row r="140" spans="1:34" ht="15.75" thickBot="1" x14ac:dyDescent="0.3">
      <c r="A140" s="51" t="s">
        <v>948</v>
      </c>
      <c r="B140" s="51" t="s">
        <v>36</v>
      </c>
      <c r="C140" s="51" t="s">
        <v>438</v>
      </c>
      <c r="D140" s="51" t="s">
        <v>320</v>
      </c>
      <c r="E140" s="51" t="s">
        <v>325</v>
      </c>
      <c r="F140" s="51" t="s">
        <v>974</v>
      </c>
      <c r="G140" s="148">
        <v>14</v>
      </c>
      <c r="H140" s="823"/>
      <c r="I140" s="823"/>
      <c r="J140" s="823"/>
      <c r="K140" s="823"/>
      <c r="L140" s="823"/>
      <c r="M140" s="823"/>
      <c r="N140" s="823"/>
      <c r="O140" s="823"/>
      <c r="P140" s="823"/>
      <c r="Q140" s="823"/>
      <c r="R140" s="823"/>
      <c r="S140" s="823"/>
      <c r="T140" s="823"/>
      <c r="U140" s="823"/>
      <c r="V140" s="823"/>
      <c r="W140" s="56">
        <v>77.47</v>
      </c>
      <c r="X140" s="823"/>
      <c r="Y140" s="823"/>
      <c r="Z140" s="823"/>
      <c r="AA140" s="823"/>
      <c r="AB140" s="823"/>
      <c r="AC140" s="823"/>
      <c r="AD140" s="823"/>
      <c r="AE140" s="56">
        <v>2.87</v>
      </c>
      <c r="AF140" s="823"/>
      <c r="AG140" s="56">
        <v>80.34</v>
      </c>
      <c r="AH140" s="56">
        <v>0</v>
      </c>
    </row>
    <row r="141" spans="1:34" ht="15.75" thickBot="1" x14ac:dyDescent="0.3">
      <c r="A141" s="51" t="s">
        <v>948</v>
      </c>
      <c r="B141" s="51" t="s">
        <v>36</v>
      </c>
      <c r="C141" s="51" t="s">
        <v>438</v>
      </c>
      <c r="D141" s="51" t="s">
        <v>320</v>
      </c>
      <c r="E141" s="51" t="s">
        <v>268</v>
      </c>
      <c r="F141" s="51" t="s">
        <v>983</v>
      </c>
      <c r="G141" s="148">
        <v>1</v>
      </c>
      <c r="H141" s="823"/>
      <c r="I141" s="823"/>
      <c r="J141" s="823"/>
      <c r="K141" s="823"/>
      <c r="L141" s="823"/>
      <c r="M141" s="823"/>
      <c r="N141" s="823"/>
      <c r="O141" s="823"/>
      <c r="P141" s="823"/>
      <c r="Q141" s="823"/>
      <c r="R141" s="823"/>
      <c r="S141" s="823"/>
      <c r="T141" s="823"/>
      <c r="U141" s="823"/>
      <c r="V141" s="823"/>
      <c r="W141" s="823"/>
      <c r="X141" s="823"/>
      <c r="Y141" s="823"/>
      <c r="Z141" s="823"/>
      <c r="AA141" s="823"/>
      <c r="AB141" s="823"/>
      <c r="AC141" s="56">
        <v>110</v>
      </c>
      <c r="AD141" s="823"/>
      <c r="AE141" s="56">
        <v>0</v>
      </c>
      <c r="AF141" s="823"/>
      <c r="AG141" s="56">
        <v>110</v>
      </c>
      <c r="AH141" s="56">
        <v>0</v>
      </c>
    </row>
    <row r="142" spans="1:34" ht="15.75" thickBot="1" x14ac:dyDescent="0.3">
      <c r="A142" s="51" t="s">
        <v>948</v>
      </c>
      <c r="B142" s="51" t="s">
        <v>36</v>
      </c>
      <c r="C142" s="51" t="s">
        <v>438</v>
      </c>
      <c r="D142" s="51" t="s">
        <v>320</v>
      </c>
      <c r="E142" s="51" t="s">
        <v>268</v>
      </c>
      <c r="F142" s="51" t="s">
        <v>971</v>
      </c>
      <c r="G142" s="147">
        <v>48</v>
      </c>
      <c r="H142" s="822"/>
      <c r="I142" s="822"/>
      <c r="J142" s="822"/>
      <c r="K142" s="822"/>
      <c r="L142" s="822"/>
      <c r="M142" s="822"/>
      <c r="N142" s="822"/>
      <c r="O142" s="822"/>
      <c r="P142" s="822"/>
      <c r="Q142" s="822"/>
      <c r="R142" s="822"/>
      <c r="S142" s="822"/>
      <c r="T142" s="822"/>
      <c r="U142" s="822"/>
      <c r="V142" s="822"/>
      <c r="W142" s="822"/>
      <c r="X142" s="822"/>
      <c r="Y142" s="822"/>
      <c r="Z142" s="822"/>
      <c r="AA142" s="822"/>
      <c r="AB142" s="822"/>
      <c r="AC142" s="54">
        <v>26400</v>
      </c>
      <c r="AD142" s="822"/>
      <c r="AE142" s="54">
        <v>1176.45</v>
      </c>
      <c r="AF142" s="822"/>
      <c r="AG142" s="54">
        <v>27576.45</v>
      </c>
      <c r="AH142" s="54">
        <v>0</v>
      </c>
    </row>
    <row r="143" spans="1:34" ht="15.75" thickBot="1" x14ac:dyDescent="0.3">
      <c r="A143" s="51" t="s">
        <v>948</v>
      </c>
      <c r="B143" s="51" t="s">
        <v>36</v>
      </c>
      <c r="C143" s="51" t="s">
        <v>438</v>
      </c>
      <c r="D143" s="51" t="s">
        <v>320</v>
      </c>
      <c r="E143" s="51" t="s">
        <v>914</v>
      </c>
      <c r="F143" s="51" t="s">
        <v>266</v>
      </c>
      <c r="G143" s="147">
        <v>48</v>
      </c>
      <c r="H143" s="822"/>
      <c r="I143" s="822"/>
      <c r="J143" s="822"/>
      <c r="K143" s="822"/>
      <c r="L143" s="822"/>
      <c r="M143" s="822"/>
      <c r="N143" s="822"/>
      <c r="O143" s="822"/>
      <c r="P143" s="822"/>
      <c r="Q143" s="822"/>
      <c r="R143" s="822"/>
      <c r="S143" s="822"/>
      <c r="T143" s="822"/>
      <c r="U143" s="822"/>
      <c r="V143" s="822"/>
      <c r="W143" s="822"/>
      <c r="X143" s="822"/>
      <c r="Y143" s="54">
        <v>317976.68</v>
      </c>
      <c r="Z143" s="822"/>
      <c r="AA143" s="822"/>
      <c r="AB143" s="822"/>
      <c r="AC143" s="822"/>
      <c r="AD143" s="822"/>
      <c r="AE143" s="54">
        <v>14392.55</v>
      </c>
      <c r="AF143" s="822"/>
      <c r="AG143" s="54">
        <v>332369.23</v>
      </c>
      <c r="AH143" s="54">
        <v>0</v>
      </c>
    </row>
    <row r="144" spans="1:34" ht="15.75" thickBot="1" x14ac:dyDescent="0.3">
      <c r="A144" s="51" t="s">
        <v>948</v>
      </c>
      <c r="B144" s="51" t="s">
        <v>36</v>
      </c>
      <c r="C144" s="51" t="s">
        <v>438</v>
      </c>
      <c r="D144" s="51" t="s">
        <v>320</v>
      </c>
      <c r="E144" s="51" t="s">
        <v>914</v>
      </c>
      <c r="F144" s="51" t="s">
        <v>266</v>
      </c>
      <c r="G144" s="148">
        <v>1</v>
      </c>
      <c r="H144" s="823"/>
      <c r="I144" s="823"/>
      <c r="J144" s="823"/>
      <c r="K144" s="823"/>
      <c r="L144" s="823"/>
      <c r="M144" s="823"/>
      <c r="N144" s="823"/>
      <c r="O144" s="823"/>
      <c r="P144" s="823"/>
      <c r="Q144" s="823"/>
      <c r="R144" s="823"/>
      <c r="S144" s="823"/>
      <c r="T144" s="823"/>
      <c r="U144" s="823"/>
      <c r="V144" s="823"/>
      <c r="W144" s="823"/>
      <c r="X144" s="823"/>
      <c r="Y144" s="56">
        <v>3282.56</v>
      </c>
      <c r="Z144" s="823"/>
      <c r="AA144" s="823"/>
      <c r="AB144" s="823"/>
      <c r="AC144" s="823"/>
      <c r="AD144" s="823"/>
      <c r="AE144" s="56">
        <v>0</v>
      </c>
      <c r="AF144" s="823"/>
      <c r="AG144" s="56">
        <v>3282.56</v>
      </c>
      <c r="AH144" s="56">
        <v>0</v>
      </c>
    </row>
    <row r="145" spans="1:34" ht="15.75" thickBot="1" x14ac:dyDescent="0.3">
      <c r="A145" s="51" t="s">
        <v>948</v>
      </c>
      <c r="B145" s="51" t="s">
        <v>36</v>
      </c>
      <c r="C145" s="51" t="s">
        <v>438</v>
      </c>
      <c r="D145" s="51" t="s">
        <v>320</v>
      </c>
      <c r="E145" s="51" t="s">
        <v>329</v>
      </c>
      <c r="F145" s="51" t="s">
        <v>975</v>
      </c>
      <c r="G145" s="148">
        <v>2</v>
      </c>
      <c r="H145" s="823"/>
      <c r="I145" s="823"/>
      <c r="J145" s="823"/>
      <c r="K145" s="823"/>
      <c r="L145" s="823"/>
      <c r="M145" s="823"/>
      <c r="N145" s="823"/>
      <c r="O145" s="823"/>
      <c r="P145" s="823"/>
      <c r="Q145" s="823"/>
      <c r="R145" s="823"/>
      <c r="S145" s="823"/>
      <c r="T145" s="823"/>
      <c r="U145" s="823"/>
      <c r="V145" s="823"/>
      <c r="W145" s="823"/>
      <c r="X145" s="823"/>
      <c r="Y145" s="56">
        <v>691.03</v>
      </c>
      <c r="Z145" s="823"/>
      <c r="AA145" s="823"/>
      <c r="AB145" s="823"/>
      <c r="AC145" s="823"/>
      <c r="AD145" s="56">
        <v>691.03</v>
      </c>
      <c r="AE145" s="56">
        <v>41.46</v>
      </c>
      <c r="AF145" s="823"/>
      <c r="AG145" s="56">
        <v>732.49</v>
      </c>
      <c r="AH145" s="149">
        <v>-691.03</v>
      </c>
    </row>
    <row r="146" spans="1:34" ht="15.75" thickBot="1" x14ac:dyDescent="0.3">
      <c r="A146" s="51" t="s">
        <v>948</v>
      </c>
      <c r="B146" s="51" t="s">
        <v>36</v>
      </c>
      <c r="C146" s="51" t="s">
        <v>438</v>
      </c>
      <c r="D146" s="51" t="s">
        <v>320</v>
      </c>
      <c r="E146" s="51" t="s">
        <v>330</v>
      </c>
      <c r="F146" s="51" t="s">
        <v>976</v>
      </c>
      <c r="G146" s="148">
        <v>2</v>
      </c>
      <c r="H146" s="823"/>
      <c r="I146" s="823"/>
      <c r="J146" s="823"/>
      <c r="K146" s="823"/>
      <c r="L146" s="823"/>
      <c r="M146" s="823"/>
      <c r="N146" s="823"/>
      <c r="O146" s="823"/>
      <c r="P146" s="823"/>
      <c r="Q146" s="823"/>
      <c r="R146" s="823"/>
      <c r="S146" s="823"/>
      <c r="T146" s="823"/>
      <c r="U146" s="823"/>
      <c r="V146" s="823"/>
      <c r="W146" s="823"/>
      <c r="X146" s="823"/>
      <c r="Y146" s="56">
        <v>1613.7</v>
      </c>
      <c r="Z146" s="823"/>
      <c r="AA146" s="823"/>
      <c r="AB146" s="823"/>
      <c r="AC146" s="823"/>
      <c r="AD146" s="823"/>
      <c r="AE146" s="56">
        <v>96.82</v>
      </c>
      <c r="AF146" s="823"/>
      <c r="AG146" s="56">
        <v>1710.52</v>
      </c>
      <c r="AH146" s="56">
        <v>0</v>
      </c>
    </row>
    <row r="147" spans="1:34" ht="15.75" thickBot="1" x14ac:dyDescent="0.3">
      <c r="A147" s="51" t="s">
        <v>948</v>
      </c>
      <c r="B147" s="51" t="s">
        <v>36</v>
      </c>
      <c r="C147" s="51" t="s">
        <v>438</v>
      </c>
      <c r="D147" s="51" t="s">
        <v>319</v>
      </c>
      <c r="E147" s="51" t="s">
        <v>272</v>
      </c>
      <c r="F147" s="51" t="s">
        <v>969</v>
      </c>
      <c r="G147" s="147">
        <v>2</v>
      </c>
      <c r="H147" s="822"/>
      <c r="I147" s="822"/>
      <c r="J147" s="822"/>
      <c r="K147" s="822"/>
      <c r="L147" s="822"/>
      <c r="M147" s="822"/>
      <c r="N147" s="822"/>
      <c r="O147" s="822"/>
      <c r="P147" s="822"/>
      <c r="Q147" s="822"/>
      <c r="R147" s="822"/>
      <c r="S147" s="822"/>
      <c r="T147" s="822"/>
      <c r="U147" s="822"/>
      <c r="V147" s="822"/>
      <c r="W147" s="822"/>
      <c r="X147" s="822"/>
      <c r="Y147" s="54">
        <v>1500</v>
      </c>
      <c r="Z147" s="822"/>
      <c r="AA147" s="822"/>
      <c r="AB147" s="822"/>
      <c r="AC147" s="822"/>
      <c r="AD147" s="822"/>
      <c r="AE147" s="54">
        <v>0</v>
      </c>
      <c r="AF147" s="822"/>
      <c r="AG147" s="54">
        <v>1500</v>
      </c>
      <c r="AH147" s="54">
        <v>0</v>
      </c>
    </row>
    <row r="148" spans="1:34" ht="15.75" thickBot="1" x14ac:dyDescent="0.3">
      <c r="A148" s="51" t="s">
        <v>948</v>
      </c>
      <c r="B148" s="51" t="s">
        <v>36</v>
      </c>
      <c r="C148" s="51" t="s">
        <v>438</v>
      </c>
      <c r="D148" s="51" t="s">
        <v>319</v>
      </c>
      <c r="E148" s="51" t="s">
        <v>265</v>
      </c>
      <c r="F148" s="51" t="s">
        <v>266</v>
      </c>
      <c r="G148" s="147">
        <v>2</v>
      </c>
      <c r="H148" s="54">
        <v>645634</v>
      </c>
      <c r="I148" s="822"/>
      <c r="J148" s="822"/>
      <c r="K148" s="822"/>
      <c r="L148" s="822"/>
      <c r="M148" s="822"/>
      <c r="N148" s="822"/>
      <c r="O148" s="822"/>
      <c r="P148" s="822"/>
      <c r="Q148" s="822"/>
      <c r="R148" s="822"/>
      <c r="S148" s="822"/>
      <c r="T148" s="822"/>
      <c r="U148" s="822"/>
      <c r="V148" s="822"/>
      <c r="W148" s="822"/>
      <c r="X148" s="822"/>
      <c r="Y148" s="54">
        <v>2453.41</v>
      </c>
      <c r="Z148" s="822"/>
      <c r="AA148" s="822"/>
      <c r="AB148" s="822"/>
      <c r="AC148" s="822"/>
      <c r="AD148" s="822"/>
      <c r="AE148" s="54">
        <v>0</v>
      </c>
      <c r="AF148" s="822"/>
      <c r="AG148" s="54">
        <v>2453.41</v>
      </c>
      <c r="AH148" s="54">
        <v>0</v>
      </c>
    </row>
    <row r="149" spans="1:34" ht="15.75" thickBot="1" x14ac:dyDescent="0.3">
      <c r="A149" s="51" t="s">
        <v>948</v>
      </c>
      <c r="B149" s="51" t="s">
        <v>36</v>
      </c>
      <c r="C149" s="51" t="s">
        <v>438</v>
      </c>
      <c r="D149" s="51" t="s">
        <v>319</v>
      </c>
      <c r="E149" s="51" t="s">
        <v>621</v>
      </c>
      <c r="F149" s="51" t="s">
        <v>970</v>
      </c>
      <c r="G149" s="147">
        <v>2</v>
      </c>
      <c r="H149" s="822"/>
      <c r="I149" s="822"/>
      <c r="J149" s="822"/>
      <c r="K149" s="822"/>
      <c r="L149" s="822"/>
      <c r="M149" s="822"/>
      <c r="N149" s="822"/>
      <c r="O149" s="822"/>
      <c r="P149" s="822"/>
      <c r="Q149" s="822"/>
      <c r="R149" s="822"/>
      <c r="S149" s="822"/>
      <c r="T149" s="822"/>
      <c r="U149" s="822"/>
      <c r="V149" s="822"/>
      <c r="W149" s="822"/>
      <c r="X149" s="822"/>
      <c r="Y149" s="822"/>
      <c r="Z149" s="822"/>
      <c r="AA149" s="822"/>
      <c r="AB149" s="822"/>
      <c r="AC149" s="822"/>
      <c r="AD149" s="822"/>
      <c r="AE149" s="54">
        <v>0</v>
      </c>
      <c r="AF149" s="822"/>
      <c r="AG149" s="54">
        <v>309.91000000000003</v>
      </c>
      <c r="AH149" s="149">
        <v>309.91000000000003</v>
      </c>
    </row>
    <row r="150" spans="1:34" ht="15.75" thickBot="1" x14ac:dyDescent="0.3">
      <c r="A150" s="51" t="s">
        <v>948</v>
      </c>
      <c r="B150" s="51" t="s">
        <v>36</v>
      </c>
      <c r="C150" s="51" t="s">
        <v>438</v>
      </c>
      <c r="D150" s="51" t="s">
        <v>319</v>
      </c>
      <c r="E150" s="51" t="s">
        <v>268</v>
      </c>
      <c r="F150" s="51" t="s">
        <v>971</v>
      </c>
      <c r="G150" s="147">
        <v>2</v>
      </c>
      <c r="H150" s="822"/>
      <c r="I150" s="822"/>
      <c r="J150" s="822"/>
      <c r="K150" s="822"/>
      <c r="L150" s="822"/>
      <c r="M150" s="822"/>
      <c r="N150" s="822"/>
      <c r="O150" s="822"/>
      <c r="P150" s="822"/>
      <c r="Q150" s="822"/>
      <c r="R150" s="822"/>
      <c r="S150" s="822"/>
      <c r="T150" s="822"/>
      <c r="U150" s="822"/>
      <c r="V150" s="822"/>
      <c r="W150" s="822"/>
      <c r="X150" s="822"/>
      <c r="Y150" s="822"/>
      <c r="Z150" s="822"/>
      <c r="AA150" s="822"/>
      <c r="AB150" s="822"/>
      <c r="AC150" s="54">
        <v>1100</v>
      </c>
      <c r="AD150" s="822"/>
      <c r="AE150" s="54">
        <v>0</v>
      </c>
      <c r="AF150" s="822"/>
      <c r="AG150" s="54">
        <v>1100</v>
      </c>
      <c r="AH150" s="54">
        <v>0</v>
      </c>
    </row>
    <row r="151" spans="1:34" ht="15.75" thickBot="1" x14ac:dyDescent="0.3">
      <c r="A151" s="51" t="s">
        <v>948</v>
      </c>
      <c r="B151" s="51" t="s">
        <v>36</v>
      </c>
      <c r="C151" s="51" t="s">
        <v>438</v>
      </c>
      <c r="D151" s="51" t="s">
        <v>319</v>
      </c>
      <c r="E151" s="51" t="s">
        <v>914</v>
      </c>
      <c r="F151" s="51" t="s">
        <v>266</v>
      </c>
      <c r="G151" s="147">
        <v>2</v>
      </c>
      <c r="H151" s="822"/>
      <c r="I151" s="822"/>
      <c r="J151" s="822"/>
      <c r="K151" s="822"/>
      <c r="L151" s="822"/>
      <c r="M151" s="822"/>
      <c r="N151" s="822"/>
      <c r="O151" s="822"/>
      <c r="P151" s="822"/>
      <c r="Q151" s="822"/>
      <c r="R151" s="822"/>
      <c r="S151" s="822"/>
      <c r="T151" s="822"/>
      <c r="U151" s="822"/>
      <c r="V151" s="822"/>
      <c r="W151" s="822"/>
      <c r="X151" s="822"/>
      <c r="Y151" s="54">
        <v>18788.36</v>
      </c>
      <c r="Z151" s="822"/>
      <c r="AA151" s="822"/>
      <c r="AB151" s="822"/>
      <c r="AC151" s="822"/>
      <c r="AD151" s="822"/>
      <c r="AE151" s="54">
        <v>0</v>
      </c>
      <c r="AF151" s="822"/>
      <c r="AG151" s="54">
        <v>18788.36</v>
      </c>
      <c r="AH151" s="54">
        <v>0</v>
      </c>
    </row>
    <row r="152" spans="1:34" ht="15.75" thickBot="1" x14ac:dyDescent="0.3">
      <c r="A152" s="51" t="s">
        <v>948</v>
      </c>
      <c r="B152" s="51" t="s">
        <v>447</v>
      </c>
      <c r="C152" s="51" t="s">
        <v>494</v>
      </c>
      <c r="D152" s="51" t="s">
        <v>320</v>
      </c>
      <c r="E152" s="51" t="s">
        <v>109</v>
      </c>
      <c r="F152" s="51" t="s">
        <v>968</v>
      </c>
      <c r="G152" s="147">
        <v>15</v>
      </c>
      <c r="H152" s="822"/>
      <c r="I152" s="822"/>
      <c r="J152" s="822"/>
      <c r="K152" s="822"/>
      <c r="L152" s="822"/>
      <c r="M152" s="822"/>
      <c r="N152" s="822"/>
      <c r="O152" s="822"/>
      <c r="P152" s="822"/>
      <c r="Q152" s="822"/>
      <c r="R152" s="822"/>
      <c r="S152" s="822"/>
      <c r="T152" s="822"/>
      <c r="U152" s="822"/>
      <c r="V152" s="822"/>
      <c r="W152" s="822"/>
      <c r="X152" s="822"/>
      <c r="Y152" s="54">
        <v>168.73</v>
      </c>
      <c r="Z152" s="822"/>
      <c r="AA152" s="822"/>
      <c r="AB152" s="822"/>
      <c r="AC152" s="822"/>
      <c r="AD152" s="822"/>
      <c r="AE152" s="54">
        <v>7.39</v>
      </c>
      <c r="AF152" s="822"/>
      <c r="AG152" s="54">
        <v>176.12</v>
      </c>
      <c r="AH152" s="54">
        <v>0</v>
      </c>
    </row>
    <row r="153" spans="1:34" ht="15.75" thickBot="1" x14ac:dyDescent="0.3">
      <c r="A153" s="51" t="s">
        <v>948</v>
      </c>
      <c r="B153" s="51" t="s">
        <v>447</v>
      </c>
      <c r="C153" s="51" t="s">
        <v>494</v>
      </c>
      <c r="D153" s="51" t="s">
        <v>320</v>
      </c>
      <c r="E153" s="51" t="s">
        <v>356</v>
      </c>
      <c r="F153" s="51" t="s">
        <v>337</v>
      </c>
      <c r="G153" s="147">
        <v>4</v>
      </c>
      <c r="H153" s="822"/>
      <c r="I153" s="822"/>
      <c r="J153" s="822"/>
      <c r="K153" s="822"/>
      <c r="L153" s="822"/>
      <c r="M153" s="54">
        <v>449.59</v>
      </c>
      <c r="N153" s="822"/>
      <c r="O153" s="822"/>
      <c r="P153" s="822"/>
      <c r="Q153" s="822"/>
      <c r="R153" s="822"/>
      <c r="S153" s="822"/>
      <c r="T153" s="822"/>
      <c r="U153" s="822"/>
      <c r="V153" s="822"/>
      <c r="W153" s="822"/>
      <c r="X153" s="822"/>
      <c r="Y153" s="822"/>
      <c r="Z153" s="822"/>
      <c r="AA153" s="822"/>
      <c r="AB153" s="822"/>
      <c r="AC153" s="822"/>
      <c r="AD153" s="822"/>
      <c r="AE153" s="54">
        <v>10.45</v>
      </c>
      <c r="AF153" s="822"/>
      <c r="AG153" s="54">
        <v>460.04</v>
      </c>
      <c r="AH153" s="54">
        <v>0</v>
      </c>
    </row>
    <row r="154" spans="1:34" ht="15.75" thickBot="1" x14ac:dyDescent="0.3">
      <c r="A154" s="51" t="s">
        <v>948</v>
      </c>
      <c r="B154" s="51" t="s">
        <v>447</v>
      </c>
      <c r="C154" s="51" t="s">
        <v>494</v>
      </c>
      <c r="D154" s="51" t="s">
        <v>320</v>
      </c>
      <c r="E154" s="51" t="s">
        <v>357</v>
      </c>
      <c r="F154" s="51" t="s">
        <v>984</v>
      </c>
      <c r="G154" s="147">
        <v>1</v>
      </c>
      <c r="H154" s="822"/>
      <c r="I154" s="822"/>
      <c r="J154" s="822"/>
      <c r="K154" s="822"/>
      <c r="L154" s="822"/>
      <c r="M154" s="822"/>
      <c r="N154" s="822"/>
      <c r="O154" s="822"/>
      <c r="P154" s="822"/>
      <c r="Q154" s="822"/>
      <c r="R154" s="822"/>
      <c r="S154" s="822"/>
      <c r="T154" s="822"/>
      <c r="U154" s="822"/>
      <c r="V154" s="822"/>
      <c r="W154" s="822"/>
      <c r="X154" s="54">
        <v>-12.58</v>
      </c>
      <c r="Y154" s="822"/>
      <c r="Z154" s="822"/>
      <c r="AA154" s="822"/>
      <c r="AB154" s="822"/>
      <c r="AC154" s="822"/>
      <c r="AD154" s="822"/>
      <c r="AE154" s="54">
        <v>-0.38</v>
      </c>
      <c r="AF154" s="822"/>
      <c r="AG154" s="54">
        <v>-12.96</v>
      </c>
      <c r="AH154" s="54">
        <v>0</v>
      </c>
    </row>
    <row r="155" spans="1:34" ht="15.75" thickBot="1" x14ac:dyDescent="0.3">
      <c r="A155" s="51" t="s">
        <v>948</v>
      </c>
      <c r="B155" s="51" t="s">
        <v>447</v>
      </c>
      <c r="C155" s="51" t="s">
        <v>494</v>
      </c>
      <c r="D155" s="51" t="s">
        <v>320</v>
      </c>
      <c r="E155" s="51" t="s">
        <v>272</v>
      </c>
      <c r="F155" s="51" t="s">
        <v>969</v>
      </c>
      <c r="G155" s="147">
        <v>15</v>
      </c>
      <c r="H155" s="822"/>
      <c r="I155" s="822"/>
      <c r="J155" s="822"/>
      <c r="K155" s="822"/>
      <c r="L155" s="822"/>
      <c r="M155" s="822"/>
      <c r="N155" s="822"/>
      <c r="O155" s="822"/>
      <c r="P155" s="822"/>
      <c r="Q155" s="822"/>
      <c r="R155" s="822"/>
      <c r="S155" s="822"/>
      <c r="T155" s="822"/>
      <c r="U155" s="822"/>
      <c r="V155" s="822"/>
      <c r="W155" s="822"/>
      <c r="X155" s="822"/>
      <c r="Y155" s="54">
        <v>11250</v>
      </c>
      <c r="Z155" s="822"/>
      <c r="AA155" s="822"/>
      <c r="AB155" s="822"/>
      <c r="AC155" s="822"/>
      <c r="AD155" s="822"/>
      <c r="AE155" s="54">
        <v>499.07</v>
      </c>
      <c r="AF155" s="822"/>
      <c r="AG155" s="54">
        <v>11749.07</v>
      </c>
      <c r="AH155" s="54">
        <v>0</v>
      </c>
    </row>
    <row r="156" spans="1:34" ht="15.75" thickBot="1" x14ac:dyDescent="0.3">
      <c r="A156" s="51" t="s">
        <v>948</v>
      </c>
      <c r="B156" s="51" t="s">
        <v>447</v>
      </c>
      <c r="C156" s="51" t="s">
        <v>494</v>
      </c>
      <c r="D156" s="51" t="s">
        <v>320</v>
      </c>
      <c r="E156" s="51" t="s">
        <v>265</v>
      </c>
      <c r="F156" s="51" t="s">
        <v>266</v>
      </c>
      <c r="G156" s="147">
        <v>15</v>
      </c>
      <c r="H156" s="54">
        <v>937435</v>
      </c>
      <c r="I156" s="822"/>
      <c r="J156" s="822"/>
      <c r="K156" s="822"/>
      <c r="L156" s="822"/>
      <c r="M156" s="822"/>
      <c r="N156" s="822"/>
      <c r="O156" s="822"/>
      <c r="P156" s="822"/>
      <c r="Q156" s="822"/>
      <c r="R156" s="822"/>
      <c r="S156" s="822"/>
      <c r="T156" s="822"/>
      <c r="U156" s="822"/>
      <c r="V156" s="822"/>
      <c r="W156" s="822"/>
      <c r="X156" s="822"/>
      <c r="Y156" s="54">
        <v>3562.25</v>
      </c>
      <c r="Z156" s="822"/>
      <c r="AA156" s="822"/>
      <c r="AB156" s="822"/>
      <c r="AC156" s="822"/>
      <c r="AD156" s="822"/>
      <c r="AE156" s="54">
        <v>156.38</v>
      </c>
      <c r="AF156" s="822"/>
      <c r="AG156" s="54">
        <v>3718.63</v>
      </c>
      <c r="AH156" s="54">
        <v>0</v>
      </c>
    </row>
    <row r="157" spans="1:34" ht="15.75" thickBot="1" x14ac:dyDescent="0.3">
      <c r="A157" s="51" t="s">
        <v>948</v>
      </c>
      <c r="B157" s="51" t="s">
        <v>447</v>
      </c>
      <c r="C157" s="51" t="s">
        <v>494</v>
      </c>
      <c r="D157" s="51" t="s">
        <v>320</v>
      </c>
      <c r="E157" s="51" t="s">
        <v>621</v>
      </c>
      <c r="F157" s="51" t="s">
        <v>970</v>
      </c>
      <c r="G157" s="147">
        <v>15</v>
      </c>
      <c r="H157" s="822"/>
      <c r="I157" s="822"/>
      <c r="J157" s="822"/>
      <c r="K157" s="822"/>
      <c r="L157" s="822"/>
      <c r="M157" s="822"/>
      <c r="N157" s="822"/>
      <c r="O157" s="822"/>
      <c r="P157" s="822"/>
      <c r="Q157" s="822"/>
      <c r="R157" s="822"/>
      <c r="S157" s="822"/>
      <c r="T157" s="822"/>
      <c r="U157" s="822"/>
      <c r="V157" s="822"/>
      <c r="W157" s="822"/>
      <c r="X157" s="822"/>
      <c r="Y157" s="822"/>
      <c r="Z157" s="822"/>
      <c r="AA157" s="822"/>
      <c r="AB157" s="822"/>
      <c r="AC157" s="822"/>
      <c r="AD157" s="822"/>
      <c r="AE157" s="54">
        <v>19.760000000000002</v>
      </c>
      <c r="AF157" s="822"/>
      <c r="AG157" s="54">
        <v>469.72</v>
      </c>
      <c r="AH157" s="149">
        <v>449.96</v>
      </c>
    </row>
    <row r="158" spans="1:34" ht="15.75" thickBot="1" x14ac:dyDescent="0.3">
      <c r="A158" s="51" t="s">
        <v>948</v>
      </c>
      <c r="B158" s="51" t="s">
        <v>447</v>
      </c>
      <c r="C158" s="51" t="s">
        <v>494</v>
      </c>
      <c r="D158" s="51" t="s">
        <v>320</v>
      </c>
      <c r="E158" s="51" t="s">
        <v>325</v>
      </c>
      <c r="F158" s="51" t="s">
        <v>974</v>
      </c>
      <c r="G158" s="147">
        <v>8</v>
      </c>
      <c r="H158" s="822"/>
      <c r="I158" s="822"/>
      <c r="J158" s="822"/>
      <c r="K158" s="822"/>
      <c r="L158" s="822"/>
      <c r="M158" s="822"/>
      <c r="N158" s="822"/>
      <c r="O158" s="822"/>
      <c r="P158" s="822"/>
      <c r="Q158" s="822"/>
      <c r="R158" s="822"/>
      <c r="S158" s="822"/>
      <c r="T158" s="822"/>
      <c r="U158" s="822"/>
      <c r="V158" s="822"/>
      <c r="W158" s="54">
        <v>41.58</v>
      </c>
      <c r="X158" s="822"/>
      <c r="Y158" s="822"/>
      <c r="Z158" s="822"/>
      <c r="AA158" s="822"/>
      <c r="AB158" s="822"/>
      <c r="AC158" s="822"/>
      <c r="AD158" s="822"/>
      <c r="AE158" s="54">
        <v>0.61</v>
      </c>
      <c r="AF158" s="822"/>
      <c r="AG158" s="54">
        <v>42.19</v>
      </c>
      <c r="AH158" s="54">
        <v>0</v>
      </c>
    </row>
    <row r="159" spans="1:34" ht="15.75" thickBot="1" x14ac:dyDescent="0.3">
      <c r="A159" s="51" t="s">
        <v>948</v>
      </c>
      <c r="B159" s="51" t="s">
        <v>447</v>
      </c>
      <c r="C159" s="51" t="s">
        <v>494</v>
      </c>
      <c r="D159" s="51" t="s">
        <v>320</v>
      </c>
      <c r="E159" s="51" t="s">
        <v>268</v>
      </c>
      <c r="F159" s="51" t="s">
        <v>971</v>
      </c>
      <c r="G159" s="147">
        <v>15</v>
      </c>
      <c r="H159" s="822"/>
      <c r="I159" s="822"/>
      <c r="J159" s="822"/>
      <c r="K159" s="822"/>
      <c r="L159" s="822"/>
      <c r="M159" s="822"/>
      <c r="N159" s="822"/>
      <c r="O159" s="822"/>
      <c r="P159" s="822"/>
      <c r="Q159" s="822"/>
      <c r="R159" s="822"/>
      <c r="S159" s="822"/>
      <c r="T159" s="822"/>
      <c r="U159" s="822"/>
      <c r="V159" s="822"/>
      <c r="W159" s="822"/>
      <c r="X159" s="822"/>
      <c r="Y159" s="822"/>
      <c r="Z159" s="822"/>
      <c r="AA159" s="822"/>
      <c r="AB159" s="822"/>
      <c r="AC159" s="54">
        <v>8250</v>
      </c>
      <c r="AD159" s="822"/>
      <c r="AE159" s="54">
        <v>365.97</v>
      </c>
      <c r="AF159" s="822"/>
      <c r="AG159" s="54">
        <v>8615.9699999999993</v>
      </c>
      <c r="AH159" s="54">
        <v>0</v>
      </c>
    </row>
    <row r="160" spans="1:34" ht="15.75" thickBot="1" x14ac:dyDescent="0.3">
      <c r="A160" s="51" t="s">
        <v>948</v>
      </c>
      <c r="B160" s="51" t="s">
        <v>447</v>
      </c>
      <c r="C160" s="51" t="s">
        <v>494</v>
      </c>
      <c r="D160" s="51" t="s">
        <v>320</v>
      </c>
      <c r="E160" s="51" t="s">
        <v>914</v>
      </c>
      <c r="F160" s="51" t="s">
        <v>266</v>
      </c>
      <c r="G160" s="147">
        <v>15</v>
      </c>
      <c r="H160" s="822"/>
      <c r="I160" s="822"/>
      <c r="J160" s="822"/>
      <c r="K160" s="822"/>
      <c r="L160" s="822"/>
      <c r="M160" s="822"/>
      <c r="N160" s="822"/>
      <c r="O160" s="822"/>
      <c r="P160" s="822"/>
      <c r="Q160" s="822"/>
      <c r="R160" s="822"/>
      <c r="S160" s="822"/>
      <c r="T160" s="822"/>
      <c r="U160" s="822"/>
      <c r="V160" s="822"/>
      <c r="W160" s="822"/>
      <c r="X160" s="822"/>
      <c r="Y160" s="54">
        <v>25772.25</v>
      </c>
      <c r="Z160" s="822"/>
      <c r="AA160" s="822"/>
      <c r="AB160" s="822"/>
      <c r="AC160" s="822"/>
      <c r="AD160" s="822"/>
      <c r="AE160" s="54">
        <v>1069.47</v>
      </c>
      <c r="AF160" s="822"/>
      <c r="AG160" s="54">
        <v>26841.72</v>
      </c>
      <c r="AH160" s="54">
        <v>0</v>
      </c>
    </row>
    <row r="161" spans="1:34" ht="15.75" thickBot="1" x14ac:dyDescent="0.3">
      <c r="A161" s="51" t="s">
        <v>948</v>
      </c>
      <c r="B161" s="51" t="s">
        <v>38</v>
      </c>
      <c r="C161" s="51" t="s">
        <v>39</v>
      </c>
      <c r="D161" s="51" t="s">
        <v>320</v>
      </c>
      <c r="E161" s="51" t="s">
        <v>269</v>
      </c>
      <c r="F161" s="51" t="s">
        <v>364</v>
      </c>
      <c r="G161" s="148">
        <v>3</v>
      </c>
      <c r="H161" s="823"/>
      <c r="I161" s="823"/>
      <c r="J161" s="823"/>
      <c r="K161" s="823"/>
      <c r="L161" s="823"/>
      <c r="M161" s="823"/>
      <c r="N161" s="823"/>
      <c r="O161" s="823"/>
      <c r="P161" s="823"/>
      <c r="Q161" s="823"/>
      <c r="R161" s="823"/>
      <c r="S161" s="823"/>
      <c r="T161" s="823"/>
      <c r="U161" s="823"/>
      <c r="V161" s="823"/>
      <c r="W161" s="823"/>
      <c r="X161" s="823"/>
      <c r="Y161" s="823"/>
      <c r="Z161" s="823"/>
      <c r="AA161" s="56">
        <v>12610.13</v>
      </c>
      <c r="AB161" s="823"/>
      <c r="AC161" s="823"/>
      <c r="AD161" s="823"/>
      <c r="AE161" s="56">
        <v>0</v>
      </c>
      <c r="AF161" s="823"/>
      <c r="AG161" s="56">
        <v>12610.13</v>
      </c>
      <c r="AH161" s="56">
        <v>0</v>
      </c>
    </row>
    <row r="162" spans="1:34" ht="15.75" thickBot="1" x14ac:dyDescent="0.3">
      <c r="A162" s="51" t="s">
        <v>948</v>
      </c>
      <c r="B162" s="51" t="s">
        <v>38</v>
      </c>
      <c r="C162" s="51" t="s">
        <v>39</v>
      </c>
      <c r="D162" s="51" t="s">
        <v>320</v>
      </c>
      <c r="E162" s="51" t="s">
        <v>271</v>
      </c>
      <c r="F162" s="51" t="s">
        <v>985</v>
      </c>
      <c r="G162" s="148">
        <v>3</v>
      </c>
      <c r="H162" s="823"/>
      <c r="I162" s="823"/>
      <c r="J162" s="823"/>
      <c r="K162" s="823"/>
      <c r="L162" s="823"/>
      <c r="M162" s="823"/>
      <c r="N162" s="823"/>
      <c r="O162" s="823"/>
      <c r="P162" s="823"/>
      <c r="Q162" s="823"/>
      <c r="R162" s="823"/>
      <c r="S162" s="823"/>
      <c r="T162" s="823"/>
      <c r="U162" s="823"/>
      <c r="V162" s="823"/>
      <c r="W162" s="823"/>
      <c r="X162" s="823"/>
      <c r="Y162" s="823"/>
      <c r="Z162" s="56">
        <v>7276.39</v>
      </c>
      <c r="AA162" s="823"/>
      <c r="AB162" s="823"/>
      <c r="AC162" s="823"/>
      <c r="AD162" s="823"/>
      <c r="AE162" s="56">
        <v>0</v>
      </c>
      <c r="AF162" s="823"/>
      <c r="AG162" s="56">
        <v>7276.39</v>
      </c>
      <c r="AH162" s="56">
        <v>0</v>
      </c>
    </row>
    <row r="163" spans="1:34" ht="15.75" thickBot="1" x14ac:dyDescent="0.3">
      <c r="A163" s="51" t="s">
        <v>948</v>
      </c>
      <c r="B163" s="51" t="s">
        <v>38</v>
      </c>
      <c r="C163" s="51" t="s">
        <v>39</v>
      </c>
      <c r="D163" s="51" t="s">
        <v>320</v>
      </c>
      <c r="E163" s="51" t="s">
        <v>268</v>
      </c>
      <c r="F163" s="51" t="s">
        <v>971</v>
      </c>
      <c r="G163" s="148">
        <v>3</v>
      </c>
      <c r="H163" s="823"/>
      <c r="I163" s="823"/>
      <c r="J163" s="823"/>
      <c r="K163" s="823"/>
      <c r="L163" s="823"/>
      <c r="M163" s="823"/>
      <c r="N163" s="823"/>
      <c r="O163" s="823"/>
      <c r="P163" s="823"/>
      <c r="Q163" s="823"/>
      <c r="R163" s="823"/>
      <c r="S163" s="823"/>
      <c r="T163" s="823"/>
      <c r="U163" s="823"/>
      <c r="V163" s="823"/>
      <c r="W163" s="823"/>
      <c r="X163" s="823"/>
      <c r="Y163" s="823"/>
      <c r="Z163" s="823"/>
      <c r="AA163" s="823"/>
      <c r="AB163" s="823"/>
      <c r="AC163" s="56">
        <v>5325</v>
      </c>
      <c r="AD163" s="823"/>
      <c r="AE163" s="56">
        <v>0</v>
      </c>
      <c r="AF163" s="823"/>
      <c r="AG163" s="56">
        <v>5325</v>
      </c>
      <c r="AH163" s="56">
        <v>0</v>
      </c>
    </row>
    <row r="164" spans="1:34" ht="15.75" thickBot="1" x14ac:dyDescent="0.3">
      <c r="A164" s="51" t="s">
        <v>948</v>
      </c>
      <c r="B164" s="51" t="s">
        <v>38</v>
      </c>
      <c r="C164" s="51" t="s">
        <v>39</v>
      </c>
      <c r="D164" s="51" t="s">
        <v>320</v>
      </c>
      <c r="E164" s="51" t="s">
        <v>329</v>
      </c>
      <c r="F164" s="51" t="s">
        <v>975</v>
      </c>
      <c r="G164" s="148">
        <v>3</v>
      </c>
      <c r="H164" s="823"/>
      <c r="I164" s="823"/>
      <c r="J164" s="823"/>
      <c r="K164" s="823"/>
      <c r="L164" s="823"/>
      <c r="M164" s="823"/>
      <c r="N164" s="823"/>
      <c r="O164" s="823"/>
      <c r="P164" s="823"/>
      <c r="Q164" s="823"/>
      <c r="R164" s="823"/>
      <c r="S164" s="823"/>
      <c r="T164" s="823"/>
      <c r="U164" s="823"/>
      <c r="V164" s="823"/>
      <c r="W164" s="823"/>
      <c r="X164" s="823"/>
      <c r="Y164" s="56">
        <v>9994.2800000000007</v>
      </c>
      <c r="Z164" s="823"/>
      <c r="AA164" s="823"/>
      <c r="AB164" s="823"/>
      <c r="AC164" s="823"/>
      <c r="AD164" s="56">
        <v>9994.2800000000007</v>
      </c>
      <c r="AE164" s="56">
        <v>0</v>
      </c>
      <c r="AF164" s="823"/>
      <c r="AG164" s="56">
        <v>9994.2800000000007</v>
      </c>
      <c r="AH164" s="149">
        <v>-9994.2800000000007</v>
      </c>
    </row>
    <row r="165" spans="1:34" ht="15.75" thickBot="1" x14ac:dyDescent="0.3">
      <c r="A165" s="51" t="s">
        <v>948</v>
      </c>
      <c r="B165" s="51" t="s">
        <v>38</v>
      </c>
      <c r="C165" s="51" t="s">
        <v>39</v>
      </c>
      <c r="D165" s="51" t="s">
        <v>320</v>
      </c>
      <c r="E165" s="51" t="s">
        <v>330</v>
      </c>
      <c r="F165" s="51" t="s">
        <v>976</v>
      </c>
      <c r="G165" s="148">
        <v>3</v>
      </c>
      <c r="H165" s="823"/>
      <c r="I165" s="823"/>
      <c r="J165" s="823"/>
      <c r="K165" s="823"/>
      <c r="L165" s="823"/>
      <c r="M165" s="823"/>
      <c r="N165" s="823"/>
      <c r="O165" s="823"/>
      <c r="P165" s="823"/>
      <c r="Q165" s="823"/>
      <c r="R165" s="823"/>
      <c r="S165" s="823"/>
      <c r="T165" s="823"/>
      <c r="U165" s="823"/>
      <c r="V165" s="823"/>
      <c r="W165" s="823"/>
      <c r="X165" s="823"/>
      <c r="Y165" s="56">
        <v>23338.41</v>
      </c>
      <c r="Z165" s="823"/>
      <c r="AA165" s="823"/>
      <c r="AB165" s="823"/>
      <c r="AC165" s="823"/>
      <c r="AD165" s="823"/>
      <c r="AE165" s="56">
        <v>0</v>
      </c>
      <c r="AF165" s="823"/>
      <c r="AG165" s="56">
        <v>23338.41</v>
      </c>
      <c r="AH165" s="56">
        <v>0</v>
      </c>
    </row>
    <row r="166" spans="1:34" ht="15.75" thickBot="1" x14ac:dyDescent="0.3">
      <c r="A166" s="51" t="s">
        <v>951</v>
      </c>
      <c r="B166" s="51" t="s">
        <v>34</v>
      </c>
      <c r="C166" s="51" t="s">
        <v>437</v>
      </c>
      <c r="D166" s="51" t="s">
        <v>318</v>
      </c>
      <c r="E166" s="51" t="s">
        <v>109</v>
      </c>
      <c r="F166" s="51" t="s">
        <v>968</v>
      </c>
      <c r="G166" s="147">
        <v>7</v>
      </c>
      <c r="H166" s="822"/>
      <c r="I166" s="822"/>
      <c r="J166" s="822"/>
      <c r="K166" s="822"/>
      <c r="L166" s="822"/>
      <c r="M166" s="822"/>
      <c r="N166" s="822"/>
      <c r="O166" s="822"/>
      <c r="P166" s="822"/>
      <c r="Q166" s="822"/>
      <c r="R166" s="822"/>
      <c r="S166" s="822"/>
      <c r="T166" s="822"/>
      <c r="U166" s="822"/>
      <c r="V166" s="822"/>
      <c r="W166" s="822"/>
      <c r="X166" s="822"/>
      <c r="Y166" s="54">
        <v>168.71</v>
      </c>
      <c r="Z166" s="822"/>
      <c r="AA166" s="822"/>
      <c r="AB166" s="822"/>
      <c r="AC166" s="822"/>
      <c r="AD166" s="822"/>
      <c r="AE166" s="54">
        <v>0.48</v>
      </c>
      <c r="AF166" s="822"/>
      <c r="AG166" s="54">
        <v>169.19</v>
      </c>
      <c r="AH166" s="54">
        <v>0</v>
      </c>
    </row>
    <row r="167" spans="1:34" ht="15.75" thickBot="1" x14ac:dyDescent="0.3">
      <c r="A167" s="51" t="s">
        <v>951</v>
      </c>
      <c r="B167" s="51" t="s">
        <v>34</v>
      </c>
      <c r="C167" s="51" t="s">
        <v>437</v>
      </c>
      <c r="D167" s="51" t="s">
        <v>318</v>
      </c>
      <c r="E167" s="51" t="s">
        <v>272</v>
      </c>
      <c r="F167" s="51" t="s">
        <v>969</v>
      </c>
      <c r="G167" s="147">
        <v>7</v>
      </c>
      <c r="H167" s="822"/>
      <c r="I167" s="822"/>
      <c r="J167" s="822"/>
      <c r="K167" s="822"/>
      <c r="L167" s="822"/>
      <c r="M167" s="822"/>
      <c r="N167" s="822"/>
      <c r="O167" s="822"/>
      <c r="P167" s="822"/>
      <c r="Q167" s="822"/>
      <c r="R167" s="822"/>
      <c r="S167" s="822"/>
      <c r="T167" s="822"/>
      <c r="U167" s="822"/>
      <c r="V167" s="822"/>
      <c r="W167" s="822"/>
      <c r="X167" s="822"/>
      <c r="Y167" s="54">
        <v>5250</v>
      </c>
      <c r="Z167" s="822"/>
      <c r="AA167" s="822"/>
      <c r="AB167" s="822"/>
      <c r="AC167" s="822"/>
      <c r="AD167" s="822"/>
      <c r="AE167" s="54">
        <v>45</v>
      </c>
      <c r="AF167" s="822"/>
      <c r="AG167" s="54">
        <v>5295</v>
      </c>
      <c r="AH167" s="54">
        <v>0</v>
      </c>
    </row>
    <row r="168" spans="1:34" ht="15.75" thickBot="1" x14ac:dyDescent="0.3">
      <c r="A168" s="51" t="s">
        <v>951</v>
      </c>
      <c r="B168" s="51" t="s">
        <v>34</v>
      </c>
      <c r="C168" s="51" t="s">
        <v>437</v>
      </c>
      <c r="D168" s="51" t="s">
        <v>318</v>
      </c>
      <c r="E168" s="51" t="s">
        <v>265</v>
      </c>
      <c r="F168" s="51" t="s">
        <v>266</v>
      </c>
      <c r="G168" s="147">
        <v>7</v>
      </c>
      <c r="H168" s="54">
        <v>351466</v>
      </c>
      <c r="I168" s="822"/>
      <c r="J168" s="822"/>
      <c r="K168" s="822"/>
      <c r="L168" s="822"/>
      <c r="M168" s="822"/>
      <c r="N168" s="822"/>
      <c r="O168" s="822"/>
      <c r="P168" s="822"/>
      <c r="Q168" s="822"/>
      <c r="R168" s="822"/>
      <c r="S168" s="822"/>
      <c r="T168" s="822"/>
      <c r="U168" s="822"/>
      <c r="V168" s="822"/>
      <c r="W168" s="822"/>
      <c r="X168" s="822"/>
      <c r="Y168" s="54">
        <v>1335.58</v>
      </c>
      <c r="Z168" s="822"/>
      <c r="AA168" s="822"/>
      <c r="AB168" s="822"/>
      <c r="AC168" s="822"/>
      <c r="AD168" s="822"/>
      <c r="AE168" s="54">
        <v>3.8</v>
      </c>
      <c r="AF168" s="822"/>
      <c r="AG168" s="54">
        <v>1339.38</v>
      </c>
      <c r="AH168" s="54">
        <v>0</v>
      </c>
    </row>
    <row r="169" spans="1:34" ht="15.75" thickBot="1" x14ac:dyDescent="0.3">
      <c r="A169" s="51" t="s">
        <v>951</v>
      </c>
      <c r="B169" s="51" t="s">
        <v>34</v>
      </c>
      <c r="C169" s="51" t="s">
        <v>437</v>
      </c>
      <c r="D169" s="51" t="s">
        <v>318</v>
      </c>
      <c r="E169" s="51" t="s">
        <v>621</v>
      </c>
      <c r="F169" s="51" t="s">
        <v>970</v>
      </c>
      <c r="G169" s="147">
        <v>7</v>
      </c>
      <c r="H169" s="822"/>
      <c r="I169" s="822"/>
      <c r="J169" s="822"/>
      <c r="K169" s="822"/>
      <c r="L169" s="822"/>
      <c r="M169" s="822"/>
      <c r="N169" s="822"/>
      <c r="O169" s="822"/>
      <c r="P169" s="822"/>
      <c r="Q169" s="822"/>
      <c r="R169" s="822"/>
      <c r="S169" s="822"/>
      <c r="T169" s="822"/>
      <c r="U169" s="822"/>
      <c r="V169" s="822"/>
      <c r="W169" s="822"/>
      <c r="X169" s="822"/>
      <c r="Y169" s="822"/>
      <c r="Z169" s="822"/>
      <c r="AA169" s="822"/>
      <c r="AB169" s="822"/>
      <c r="AC169" s="822"/>
      <c r="AD169" s="822"/>
      <c r="AE169" s="54">
        <v>0.48</v>
      </c>
      <c r="AF169" s="822"/>
      <c r="AG169" s="54">
        <v>169.19</v>
      </c>
      <c r="AH169" s="149">
        <v>168.71</v>
      </c>
    </row>
    <row r="170" spans="1:34" ht="15.75" thickBot="1" x14ac:dyDescent="0.3">
      <c r="A170" s="51" t="s">
        <v>951</v>
      </c>
      <c r="B170" s="51" t="s">
        <v>34</v>
      </c>
      <c r="C170" s="51" t="s">
        <v>437</v>
      </c>
      <c r="D170" s="51" t="s">
        <v>318</v>
      </c>
      <c r="E170" s="51" t="s">
        <v>325</v>
      </c>
      <c r="F170" s="51" t="s">
        <v>974</v>
      </c>
      <c r="G170" s="147">
        <v>1</v>
      </c>
      <c r="H170" s="822"/>
      <c r="I170" s="822"/>
      <c r="J170" s="822"/>
      <c r="K170" s="822"/>
      <c r="L170" s="822"/>
      <c r="M170" s="822"/>
      <c r="N170" s="822"/>
      <c r="O170" s="822"/>
      <c r="P170" s="822"/>
      <c r="Q170" s="822"/>
      <c r="R170" s="822"/>
      <c r="S170" s="822"/>
      <c r="T170" s="822"/>
      <c r="U170" s="822"/>
      <c r="V170" s="822"/>
      <c r="W170" s="54">
        <v>0.64</v>
      </c>
      <c r="X170" s="822"/>
      <c r="Y170" s="822"/>
      <c r="Z170" s="822"/>
      <c r="AA170" s="822"/>
      <c r="AB170" s="822"/>
      <c r="AC170" s="822"/>
      <c r="AD170" s="822"/>
      <c r="AE170" s="54">
        <v>0.04</v>
      </c>
      <c r="AF170" s="822"/>
      <c r="AG170" s="54">
        <v>0.68</v>
      </c>
      <c r="AH170" s="54">
        <v>0</v>
      </c>
    </row>
    <row r="171" spans="1:34" ht="15.75" thickBot="1" x14ac:dyDescent="0.3">
      <c r="A171" s="51" t="s">
        <v>951</v>
      </c>
      <c r="B171" s="51" t="s">
        <v>34</v>
      </c>
      <c r="C171" s="51" t="s">
        <v>437</v>
      </c>
      <c r="D171" s="51" t="s">
        <v>318</v>
      </c>
      <c r="E171" s="51" t="s">
        <v>268</v>
      </c>
      <c r="F171" s="51" t="s">
        <v>971</v>
      </c>
      <c r="G171" s="147">
        <v>7</v>
      </c>
      <c r="H171" s="822"/>
      <c r="I171" s="822"/>
      <c r="J171" s="822"/>
      <c r="K171" s="822"/>
      <c r="L171" s="822"/>
      <c r="M171" s="822"/>
      <c r="N171" s="822"/>
      <c r="O171" s="822"/>
      <c r="P171" s="822"/>
      <c r="Q171" s="822"/>
      <c r="R171" s="822"/>
      <c r="S171" s="822"/>
      <c r="T171" s="822"/>
      <c r="U171" s="822"/>
      <c r="V171" s="822"/>
      <c r="W171" s="822"/>
      <c r="X171" s="822"/>
      <c r="Y171" s="822"/>
      <c r="Z171" s="822"/>
      <c r="AA171" s="822"/>
      <c r="AB171" s="822"/>
      <c r="AC171" s="54">
        <v>3850</v>
      </c>
      <c r="AD171" s="822"/>
      <c r="AE171" s="54">
        <v>33</v>
      </c>
      <c r="AF171" s="822"/>
      <c r="AG171" s="54">
        <v>3883</v>
      </c>
      <c r="AH171" s="54">
        <v>0</v>
      </c>
    </row>
    <row r="172" spans="1:34" ht="15.75" thickBot="1" x14ac:dyDescent="0.3">
      <c r="A172" s="51" t="s">
        <v>951</v>
      </c>
      <c r="B172" s="51" t="s">
        <v>34</v>
      </c>
      <c r="C172" s="51" t="s">
        <v>437</v>
      </c>
      <c r="D172" s="51" t="s">
        <v>318</v>
      </c>
      <c r="E172" s="51" t="s">
        <v>914</v>
      </c>
      <c r="F172" s="51" t="s">
        <v>266</v>
      </c>
      <c r="G172" s="147">
        <v>7</v>
      </c>
      <c r="H172" s="822"/>
      <c r="I172" s="822"/>
      <c r="J172" s="822"/>
      <c r="K172" s="822"/>
      <c r="L172" s="822"/>
      <c r="M172" s="822"/>
      <c r="N172" s="822"/>
      <c r="O172" s="822"/>
      <c r="P172" s="822"/>
      <c r="Q172" s="822"/>
      <c r="R172" s="822"/>
      <c r="S172" s="822"/>
      <c r="T172" s="822"/>
      <c r="U172" s="822"/>
      <c r="V172" s="822"/>
      <c r="W172" s="822"/>
      <c r="X172" s="822"/>
      <c r="Y172" s="54">
        <v>10099.32</v>
      </c>
      <c r="Z172" s="822"/>
      <c r="AA172" s="822"/>
      <c r="AB172" s="822"/>
      <c r="AC172" s="822"/>
      <c r="AD172" s="822"/>
      <c r="AE172" s="54">
        <v>55.39</v>
      </c>
      <c r="AF172" s="822"/>
      <c r="AG172" s="54">
        <v>10154.709999999999</v>
      </c>
      <c r="AH172" s="54">
        <v>0</v>
      </c>
    </row>
    <row r="173" spans="1:34" ht="15.75" thickBot="1" x14ac:dyDescent="0.3">
      <c r="A173" s="51" t="s">
        <v>951</v>
      </c>
      <c r="B173" s="51" t="s">
        <v>34</v>
      </c>
      <c r="C173" s="51" t="s">
        <v>437</v>
      </c>
      <c r="D173" s="51" t="s">
        <v>319</v>
      </c>
      <c r="E173" s="51" t="s">
        <v>109</v>
      </c>
      <c r="F173" s="51" t="s">
        <v>968</v>
      </c>
      <c r="G173" s="148">
        <v>2</v>
      </c>
      <c r="H173" s="823"/>
      <c r="I173" s="823"/>
      <c r="J173" s="823"/>
      <c r="K173" s="823"/>
      <c r="L173" s="823"/>
      <c r="M173" s="823"/>
      <c r="N173" s="823"/>
      <c r="O173" s="823"/>
      <c r="P173" s="823"/>
      <c r="Q173" s="823"/>
      <c r="R173" s="823"/>
      <c r="S173" s="823"/>
      <c r="T173" s="823"/>
      <c r="U173" s="823"/>
      <c r="V173" s="823"/>
      <c r="W173" s="823"/>
      <c r="X173" s="823"/>
      <c r="Y173" s="56">
        <v>51.08</v>
      </c>
      <c r="Z173" s="823"/>
      <c r="AA173" s="823"/>
      <c r="AB173" s="823"/>
      <c r="AC173" s="823"/>
      <c r="AD173" s="823"/>
      <c r="AE173" s="56">
        <v>1.28</v>
      </c>
      <c r="AF173" s="823"/>
      <c r="AG173" s="56">
        <v>52.36</v>
      </c>
      <c r="AH173" s="56">
        <v>0</v>
      </c>
    </row>
    <row r="174" spans="1:34" ht="15.75" thickBot="1" x14ac:dyDescent="0.3">
      <c r="A174" s="51" t="s">
        <v>951</v>
      </c>
      <c r="B174" s="51" t="s">
        <v>34</v>
      </c>
      <c r="C174" s="51" t="s">
        <v>437</v>
      </c>
      <c r="D174" s="51" t="s">
        <v>319</v>
      </c>
      <c r="E174" s="51" t="s">
        <v>269</v>
      </c>
      <c r="F174" s="51" t="s">
        <v>972</v>
      </c>
      <c r="G174" s="148">
        <v>1</v>
      </c>
      <c r="H174" s="823"/>
      <c r="I174" s="823"/>
      <c r="J174" s="823"/>
      <c r="K174" s="823"/>
      <c r="L174" s="823"/>
      <c r="M174" s="823"/>
      <c r="N174" s="823"/>
      <c r="O174" s="823"/>
      <c r="P174" s="823"/>
      <c r="Q174" s="823"/>
      <c r="R174" s="823"/>
      <c r="S174" s="823"/>
      <c r="T174" s="823"/>
      <c r="U174" s="823"/>
      <c r="V174" s="823"/>
      <c r="W174" s="823"/>
      <c r="X174" s="823"/>
      <c r="Y174" s="823"/>
      <c r="Z174" s="56">
        <v>-20.84</v>
      </c>
      <c r="AA174" s="823"/>
      <c r="AB174" s="823"/>
      <c r="AC174" s="823"/>
      <c r="AD174" s="823"/>
      <c r="AE174" s="56">
        <v>-0.63</v>
      </c>
      <c r="AF174" s="823"/>
      <c r="AG174" s="56">
        <v>-21.47</v>
      </c>
      <c r="AH174" s="56">
        <v>0</v>
      </c>
    </row>
    <row r="175" spans="1:34" ht="15.75" thickBot="1" x14ac:dyDescent="0.3">
      <c r="A175" s="51" t="s">
        <v>951</v>
      </c>
      <c r="B175" s="51" t="s">
        <v>34</v>
      </c>
      <c r="C175" s="51" t="s">
        <v>437</v>
      </c>
      <c r="D175" s="51" t="s">
        <v>319</v>
      </c>
      <c r="E175" s="51" t="s">
        <v>272</v>
      </c>
      <c r="F175" s="51" t="s">
        <v>969</v>
      </c>
      <c r="G175" s="148">
        <v>2</v>
      </c>
      <c r="H175" s="823"/>
      <c r="I175" s="823"/>
      <c r="J175" s="823"/>
      <c r="K175" s="823"/>
      <c r="L175" s="823"/>
      <c r="M175" s="823"/>
      <c r="N175" s="823"/>
      <c r="O175" s="823"/>
      <c r="P175" s="823"/>
      <c r="Q175" s="823"/>
      <c r="R175" s="823"/>
      <c r="S175" s="823"/>
      <c r="T175" s="823"/>
      <c r="U175" s="823"/>
      <c r="V175" s="823"/>
      <c r="W175" s="823"/>
      <c r="X175" s="823"/>
      <c r="Y175" s="56">
        <v>1500</v>
      </c>
      <c r="Z175" s="823"/>
      <c r="AA175" s="823"/>
      <c r="AB175" s="823"/>
      <c r="AC175" s="823"/>
      <c r="AD175" s="823"/>
      <c r="AE175" s="56">
        <v>22.51</v>
      </c>
      <c r="AF175" s="823"/>
      <c r="AG175" s="56">
        <v>1522.51</v>
      </c>
      <c r="AH175" s="56">
        <v>0</v>
      </c>
    </row>
    <row r="176" spans="1:34" ht="15.75" thickBot="1" x14ac:dyDescent="0.3">
      <c r="A176" s="51" t="s">
        <v>951</v>
      </c>
      <c r="B176" s="51" t="s">
        <v>34</v>
      </c>
      <c r="C176" s="51" t="s">
        <v>437</v>
      </c>
      <c r="D176" s="51" t="s">
        <v>319</v>
      </c>
      <c r="E176" s="51" t="s">
        <v>265</v>
      </c>
      <c r="F176" s="51" t="s">
        <v>266</v>
      </c>
      <c r="G176" s="148">
        <v>2</v>
      </c>
      <c r="H176" s="56">
        <v>106397</v>
      </c>
      <c r="I176" s="823"/>
      <c r="J176" s="823"/>
      <c r="K176" s="823"/>
      <c r="L176" s="823"/>
      <c r="M176" s="823"/>
      <c r="N176" s="823"/>
      <c r="O176" s="823"/>
      <c r="P176" s="823"/>
      <c r="Q176" s="823"/>
      <c r="R176" s="823"/>
      <c r="S176" s="823"/>
      <c r="T176" s="823"/>
      <c r="U176" s="823"/>
      <c r="V176" s="823"/>
      <c r="W176" s="823"/>
      <c r="X176" s="823"/>
      <c r="Y176" s="56">
        <v>404.31</v>
      </c>
      <c r="Z176" s="823"/>
      <c r="AA176" s="823"/>
      <c r="AB176" s="823"/>
      <c r="AC176" s="823"/>
      <c r="AD176" s="823"/>
      <c r="AE176" s="56">
        <v>10.130000000000001</v>
      </c>
      <c r="AF176" s="823"/>
      <c r="AG176" s="56">
        <v>414.44</v>
      </c>
      <c r="AH176" s="56">
        <v>0</v>
      </c>
    </row>
    <row r="177" spans="1:34" ht="15.75" thickBot="1" x14ac:dyDescent="0.3">
      <c r="A177" s="51" t="s">
        <v>951</v>
      </c>
      <c r="B177" s="51" t="s">
        <v>34</v>
      </c>
      <c r="C177" s="51" t="s">
        <v>437</v>
      </c>
      <c r="D177" s="51" t="s">
        <v>319</v>
      </c>
      <c r="E177" s="51" t="s">
        <v>621</v>
      </c>
      <c r="F177" s="51" t="s">
        <v>970</v>
      </c>
      <c r="G177" s="148">
        <v>2</v>
      </c>
      <c r="H177" s="823"/>
      <c r="I177" s="823"/>
      <c r="J177" s="823"/>
      <c r="K177" s="823"/>
      <c r="L177" s="823"/>
      <c r="M177" s="823"/>
      <c r="N177" s="823"/>
      <c r="O177" s="823"/>
      <c r="P177" s="823"/>
      <c r="Q177" s="823"/>
      <c r="R177" s="823"/>
      <c r="S177" s="823"/>
      <c r="T177" s="823"/>
      <c r="U177" s="823"/>
      <c r="V177" s="823"/>
      <c r="W177" s="823"/>
      <c r="X177" s="823"/>
      <c r="Y177" s="823"/>
      <c r="Z177" s="823"/>
      <c r="AA177" s="823"/>
      <c r="AB177" s="823"/>
      <c r="AC177" s="823"/>
      <c r="AD177" s="823"/>
      <c r="AE177" s="56">
        <v>1.28</v>
      </c>
      <c r="AF177" s="823"/>
      <c r="AG177" s="56">
        <v>52.36</v>
      </c>
      <c r="AH177" s="149">
        <v>51.08</v>
      </c>
    </row>
    <row r="178" spans="1:34" ht="15.75" thickBot="1" x14ac:dyDescent="0.3">
      <c r="A178" s="51" t="s">
        <v>951</v>
      </c>
      <c r="B178" s="51" t="s">
        <v>34</v>
      </c>
      <c r="C178" s="51" t="s">
        <v>437</v>
      </c>
      <c r="D178" s="51" t="s">
        <v>319</v>
      </c>
      <c r="E178" s="51" t="s">
        <v>271</v>
      </c>
      <c r="F178" s="51" t="s">
        <v>980</v>
      </c>
      <c r="G178" s="148">
        <v>1</v>
      </c>
      <c r="H178" s="823"/>
      <c r="I178" s="823"/>
      <c r="J178" s="823"/>
      <c r="K178" s="823"/>
      <c r="L178" s="823"/>
      <c r="M178" s="823"/>
      <c r="N178" s="823"/>
      <c r="O178" s="823"/>
      <c r="P178" s="823"/>
      <c r="Q178" s="823"/>
      <c r="R178" s="823"/>
      <c r="S178" s="823"/>
      <c r="T178" s="823"/>
      <c r="U178" s="823"/>
      <c r="V178" s="823"/>
      <c r="W178" s="823"/>
      <c r="X178" s="823"/>
      <c r="Y178" s="823"/>
      <c r="Z178" s="823"/>
      <c r="AA178" s="56">
        <v>82.79</v>
      </c>
      <c r="AB178" s="823"/>
      <c r="AC178" s="823"/>
      <c r="AD178" s="823"/>
      <c r="AE178" s="56">
        <v>2.48</v>
      </c>
      <c r="AF178" s="823"/>
      <c r="AG178" s="56">
        <v>85.27</v>
      </c>
      <c r="AH178" s="56">
        <v>0</v>
      </c>
    </row>
    <row r="179" spans="1:34" ht="15.75" thickBot="1" x14ac:dyDescent="0.3">
      <c r="A179" s="51" t="s">
        <v>951</v>
      </c>
      <c r="B179" s="51" t="s">
        <v>34</v>
      </c>
      <c r="C179" s="51" t="s">
        <v>437</v>
      </c>
      <c r="D179" s="51" t="s">
        <v>319</v>
      </c>
      <c r="E179" s="51" t="s">
        <v>325</v>
      </c>
      <c r="F179" s="51" t="s">
        <v>974</v>
      </c>
      <c r="G179" s="148">
        <v>1</v>
      </c>
      <c r="H179" s="823"/>
      <c r="I179" s="823"/>
      <c r="J179" s="823"/>
      <c r="K179" s="823"/>
      <c r="L179" s="823"/>
      <c r="M179" s="823"/>
      <c r="N179" s="823"/>
      <c r="O179" s="823"/>
      <c r="P179" s="823"/>
      <c r="Q179" s="823"/>
      <c r="R179" s="823"/>
      <c r="S179" s="823"/>
      <c r="T179" s="823"/>
      <c r="U179" s="823"/>
      <c r="V179" s="823"/>
      <c r="W179" s="56">
        <v>12.84</v>
      </c>
      <c r="X179" s="823"/>
      <c r="Y179" s="823"/>
      <c r="Z179" s="823"/>
      <c r="AA179" s="823"/>
      <c r="AB179" s="823"/>
      <c r="AC179" s="823"/>
      <c r="AD179" s="823"/>
      <c r="AE179" s="56">
        <v>0</v>
      </c>
      <c r="AF179" s="823"/>
      <c r="AG179" s="56">
        <v>12.84</v>
      </c>
      <c r="AH179" s="56">
        <v>0</v>
      </c>
    </row>
    <row r="180" spans="1:34" ht="15.75" thickBot="1" x14ac:dyDescent="0.3">
      <c r="A180" s="51" t="s">
        <v>951</v>
      </c>
      <c r="B180" s="51" t="s">
        <v>34</v>
      </c>
      <c r="C180" s="51" t="s">
        <v>437</v>
      </c>
      <c r="D180" s="51" t="s">
        <v>319</v>
      </c>
      <c r="E180" s="51" t="s">
        <v>268</v>
      </c>
      <c r="F180" s="51" t="s">
        <v>971</v>
      </c>
      <c r="G180" s="148">
        <v>2</v>
      </c>
      <c r="H180" s="823"/>
      <c r="I180" s="823"/>
      <c r="J180" s="823"/>
      <c r="K180" s="823"/>
      <c r="L180" s="823"/>
      <c r="M180" s="823"/>
      <c r="N180" s="823"/>
      <c r="O180" s="823"/>
      <c r="P180" s="823"/>
      <c r="Q180" s="823"/>
      <c r="R180" s="823"/>
      <c r="S180" s="823"/>
      <c r="T180" s="823"/>
      <c r="U180" s="823"/>
      <c r="V180" s="823"/>
      <c r="W180" s="823"/>
      <c r="X180" s="823"/>
      <c r="Y180" s="823"/>
      <c r="Z180" s="823"/>
      <c r="AA180" s="823"/>
      <c r="AB180" s="823"/>
      <c r="AC180" s="56">
        <v>1100</v>
      </c>
      <c r="AD180" s="823"/>
      <c r="AE180" s="56">
        <v>16.5</v>
      </c>
      <c r="AF180" s="823"/>
      <c r="AG180" s="56">
        <v>1116.5</v>
      </c>
      <c r="AH180" s="56">
        <v>0</v>
      </c>
    </row>
    <row r="181" spans="1:34" ht="15.75" thickBot="1" x14ac:dyDescent="0.3">
      <c r="A181" s="51" t="s">
        <v>951</v>
      </c>
      <c r="B181" s="51" t="s">
        <v>34</v>
      </c>
      <c r="C181" s="51" t="s">
        <v>437</v>
      </c>
      <c r="D181" s="51" t="s">
        <v>319</v>
      </c>
      <c r="E181" s="51" t="s">
        <v>914</v>
      </c>
      <c r="F181" s="51" t="s">
        <v>266</v>
      </c>
      <c r="G181" s="148">
        <v>2</v>
      </c>
      <c r="H181" s="823"/>
      <c r="I181" s="823"/>
      <c r="J181" s="823"/>
      <c r="K181" s="823"/>
      <c r="L181" s="823"/>
      <c r="M181" s="823"/>
      <c r="N181" s="823"/>
      <c r="O181" s="823"/>
      <c r="P181" s="823"/>
      <c r="Q181" s="823"/>
      <c r="R181" s="823"/>
      <c r="S181" s="823"/>
      <c r="T181" s="823"/>
      <c r="U181" s="823"/>
      <c r="V181" s="823"/>
      <c r="W181" s="823"/>
      <c r="X181" s="823"/>
      <c r="Y181" s="56">
        <v>3486.08</v>
      </c>
      <c r="Z181" s="823"/>
      <c r="AA181" s="823"/>
      <c r="AB181" s="823"/>
      <c r="AC181" s="823"/>
      <c r="AD181" s="823"/>
      <c r="AE181" s="56">
        <v>78.91</v>
      </c>
      <c r="AF181" s="823"/>
      <c r="AG181" s="56">
        <v>3564.99</v>
      </c>
      <c r="AH181" s="56">
        <v>0</v>
      </c>
    </row>
    <row r="182" spans="1:34" ht="15.75" thickBot="1" x14ac:dyDescent="0.3">
      <c r="A182" s="51" t="s">
        <v>951</v>
      </c>
      <c r="B182" s="51" t="s">
        <v>34</v>
      </c>
      <c r="C182" s="51" t="s">
        <v>437</v>
      </c>
      <c r="D182" s="51" t="s">
        <v>319</v>
      </c>
      <c r="E182" s="51" t="s">
        <v>329</v>
      </c>
      <c r="F182" s="51" t="s">
        <v>975</v>
      </c>
      <c r="G182" s="148">
        <v>1</v>
      </c>
      <c r="H182" s="823"/>
      <c r="I182" s="823"/>
      <c r="J182" s="823"/>
      <c r="K182" s="823"/>
      <c r="L182" s="823"/>
      <c r="M182" s="823"/>
      <c r="N182" s="823"/>
      <c r="O182" s="823"/>
      <c r="P182" s="823"/>
      <c r="Q182" s="823"/>
      <c r="R182" s="823"/>
      <c r="S182" s="823"/>
      <c r="T182" s="823"/>
      <c r="U182" s="823"/>
      <c r="V182" s="823"/>
      <c r="W182" s="823"/>
      <c r="X182" s="823"/>
      <c r="Y182" s="56">
        <v>19.739999999999998</v>
      </c>
      <c r="Z182" s="823"/>
      <c r="AA182" s="823"/>
      <c r="AB182" s="823"/>
      <c r="AC182" s="823"/>
      <c r="AD182" s="56">
        <v>19.739999999999998</v>
      </c>
      <c r="AE182" s="56">
        <v>0.59</v>
      </c>
      <c r="AF182" s="823"/>
      <c r="AG182" s="56">
        <v>20.329999999999998</v>
      </c>
      <c r="AH182" s="149">
        <v>-19.739999999999998</v>
      </c>
    </row>
    <row r="183" spans="1:34" ht="15.75" thickBot="1" x14ac:dyDescent="0.3">
      <c r="A183" s="51" t="s">
        <v>951</v>
      </c>
      <c r="B183" s="51" t="s">
        <v>34</v>
      </c>
      <c r="C183" s="51" t="s">
        <v>437</v>
      </c>
      <c r="D183" s="51" t="s">
        <v>319</v>
      </c>
      <c r="E183" s="51" t="s">
        <v>330</v>
      </c>
      <c r="F183" s="51" t="s">
        <v>976</v>
      </c>
      <c r="G183" s="148">
        <v>1</v>
      </c>
      <c r="H183" s="823"/>
      <c r="I183" s="823"/>
      <c r="J183" s="823"/>
      <c r="K183" s="823"/>
      <c r="L183" s="823"/>
      <c r="M183" s="823"/>
      <c r="N183" s="823"/>
      <c r="O183" s="823"/>
      <c r="P183" s="823"/>
      <c r="Q183" s="823"/>
      <c r="R183" s="823"/>
      <c r="S183" s="823"/>
      <c r="T183" s="823"/>
      <c r="U183" s="823"/>
      <c r="V183" s="823"/>
      <c r="W183" s="823"/>
      <c r="X183" s="823"/>
      <c r="Y183" s="56">
        <v>46.1</v>
      </c>
      <c r="Z183" s="823"/>
      <c r="AA183" s="823"/>
      <c r="AB183" s="823"/>
      <c r="AC183" s="823"/>
      <c r="AD183" s="823"/>
      <c r="AE183" s="56">
        <v>1.38</v>
      </c>
      <c r="AF183" s="823"/>
      <c r="AG183" s="56">
        <v>47.48</v>
      </c>
      <c r="AH183" s="56">
        <v>0</v>
      </c>
    </row>
    <row r="184" spans="1:34" ht="15.75" thickBot="1" x14ac:dyDescent="0.3">
      <c r="A184" s="51" t="s">
        <v>951</v>
      </c>
      <c r="B184" s="51" t="s">
        <v>31</v>
      </c>
      <c r="C184" s="51" t="s">
        <v>835</v>
      </c>
      <c r="D184" s="51" t="s">
        <v>320</v>
      </c>
      <c r="E184" s="51" t="s">
        <v>357</v>
      </c>
      <c r="F184" s="51" t="s">
        <v>977</v>
      </c>
      <c r="G184" s="148">
        <v>1</v>
      </c>
      <c r="H184" s="823"/>
      <c r="I184" s="823"/>
      <c r="J184" s="823"/>
      <c r="K184" s="823"/>
      <c r="L184" s="823"/>
      <c r="M184" s="823"/>
      <c r="N184" s="823"/>
      <c r="O184" s="823"/>
      <c r="P184" s="823"/>
      <c r="Q184" s="823"/>
      <c r="R184" s="823"/>
      <c r="S184" s="823"/>
      <c r="T184" s="823"/>
      <c r="U184" s="823"/>
      <c r="V184" s="823"/>
      <c r="W184" s="823"/>
      <c r="X184" s="56">
        <v>2824.7</v>
      </c>
      <c r="Y184" s="823"/>
      <c r="Z184" s="823"/>
      <c r="AA184" s="823"/>
      <c r="AB184" s="823"/>
      <c r="AC184" s="823"/>
      <c r="AD184" s="823"/>
      <c r="AE184" s="56">
        <v>259.31</v>
      </c>
      <c r="AF184" s="823"/>
      <c r="AG184" s="56">
        <v>3084.01</v>
      </c>
      <c r="AH184" s="56">
        <v>0</v>
      </c>
    </row>
    <row r="185" spans="1:34" ht="15.75" thickBot="1" x14ac:dyDescent="0.3">
      <c r="A185" s="51" t="s">
        <v>951</v>
      </c>
      <c r="B185" s="51" t="s">
        <v>31</v>
      </c>
      <c r="C185" s="51" t="s">
        <v>835</v>
      </c>
      <c r="D185" s="51" t="s">
        <v>320</v>
      </c>
      <c r="E185" s="51" t="s">
        <v>272</v>
      </c>
      <c r="F185" s="51" t="s">
        <v>969</v>
      </c>
      <c r="G185" s="148">
        <v>2</v>
      </c>
      <c r="H185" s="823"/>
      <c r="I185" s="823"/>
      <c r="J185" s="823"/>
      <c r="K185" s="823"/>
      <c r="L185" s="823"/>
      <c r="M185" s="823"/>
      <c r="N185" s="823"/>
      <c r="O185" s="823"/>
      <c r="P185" s="823"/>
      <c r="Q185" s="823"/>
      <c r="R185" s="823"/>
      <c r="S185" s="823"/>
      <c r="T185" s="823"/>
      <c r="U185" s="823"/>
      <c r="V185" s="823"/>
      <c r="W185" s="823"/>
      <c r="X185" s="823"/>
      <c r="Y185" s="56">
        <v>1478.4</v>
      </c>
      <c r="Z185" s="823"/>
      <c r="AA185" s="823"/>
      <c r="AB185" s="823"/>
      <c r="AC185" s="823"/>
      <c r="AD185" s="823"/>
      <c r="AE185" s="56">
        <v>112.21</v>
      </c>
      <c r="AF185" s="823"/>
      <c r="AG185" s="56">
        <v>1590.61</v>
      </c>
      <c r="AH185" s="56">
        <v>0</v>
      </c>
    </row>
    <row r="186" spans="1:34" ht="15.75" thickBot="1" x14ac:dyDescent="0.3">
      <c r="A186" s="51" t="s">
        <v>951</v>
      </c>
      <c r="B186" s="51" t="s">
        <v>31</v>
      </c>
      <c r="C186" s="51" t="s">
        <v>835</v>
      </c>
      <c r="D186" s="51" t="s">
        <v>320</v>
      </c>
      <c r="E186" s="51" t="s">
        <v>265</v>
      </c>
      <c r="F186" s="51" t="s">
        <v>266</v>
      </c>
      <c r="G186" s="148">
        <v>2</v>
      </c>
      <c r="H186" s="56">
        <v>2000</v>
      </c>
      <c r="I186" s="56">
        <v>109598</v>
      </c>
      <c r="J186" s="823"/>
      <c r="K186" s="823"/>
      <c r="L186" s="823"/>
      <c r="M186" s="823"/>
      <c r="N186" s="823"/>
      <c r="O186" s="823"/>
      <c r="P186" s="823"/>
      <c r="Q186" s="823"/>
      <c r="R186" s="823"/>
      <c r="S186" s="823"/>
      <c r="T186" s="823"/>
      <c r="U186" s="823"/>
      <c r="V186" s="823"/>
      <c r="W186" s="823"/>
      <c r="X186" s="823"/>
      <c r="Y186" s="56">
        <v>18992.43</v>
      </c>
      <c r="Z186" s="823"/>
      <c r="AA186" s="823"/>
      <c r="AB186" s="823"/>
      <c r="AC186" s="823"/>
      <c r="AD186" s="823"/>
      <c r="AE186" s="56">
        <v>1564.25</v>
      </c>
      <c r="AF186" s="823"/>
      <c r="AG186" s="56">
        <v>20556.68</v>
      </c>
      <c r="AH186" s="56">
        <v>0</v>
      </c>
    </row>
    <row r="187" spans="1:34" ht="15.75" thickBot="1" x14ac:dyDescent="0.3">
      <c r="A187" s="51" t="s">
        <v>951</v>
      </c>
      <c r="B187" s="51" t="s">
        <v>31</v>
      </c>
      <c r="C187" s="51" t="s">
        <v>835</v>
      </c>
      <c r="D187" s="51" t="s">
        <v>320</v>
      </c>
      <c r="E187" s="51" t="s">
        <v>620</v>
      </c>
      <c r="F187" s="51" t="s">
        <v>978</v>
      </c>
      <c r="G187" s="148">
        <v>2</v>
      </c>
      <c r="H187" s="823"/>
      <c r="I187" s="823"/>
      <c r="J187" s="823"/>
      <c r="K187" s="823"/>
      <c r="L187" s="823"/>
      <c r="M187" s="823"/>
      <c r="N187" s="823"/>
      <c r="O187" s="823"/>
      <c r="P187" s="823"/>
      <c r="Q187" s="823"/>
      <c r="R187" s="823"/>
      <c r="S187" s="823"/>
      <c r="T187" s="823"/>
      <c r="U187" s="823"/>
      <c r="V187" s="823"/>
      <c r="W187" s="823"/>
      <c r="X187" s="823"/>
      <c r="Y187" s="823"/>
      <c r="Z187" s="823"/>
      <c r="AA187" s="823"/>
      <c r="AB187" s="823"/>
      <c r="AC187" s="823"/>
      <c r="AD187" s="823"/>
      <c r="AE187" s="56">
        <v>9.77</v>
      </c>
      <c r="AF187" s="823"/>
      <c r="AG187" s="56">
        <v>138.55000000000001</v>
      </c>
      <c r="AH187" s="149">
        <v>128.78</v>
      </c>
    </row>
    <row r="188" spans="1:34" ht="15.75" thickBot="1" x14ac:dyDescent="0.3">
      <c r="A188" s="51" t="s">
        <v>951</v>
      </c>
      <c r="B188" s="51" t="s">
        <v>31</v>
      </c>
      <c r="C188" s="51" t="s">
        <v>835</v>
      </c>
      <c r="D188" s="51" t="s">
        <v>320</v>
      </c>
      <c r="E188" s="51" t="s">
        <v>621</v>
      </c>
      <c r="F188" s="51" t="s">
        <v>970</v>
      </c>
      <c r="G188" s="148">
        <v>2</v>
      </c>
      <c r="H188" s="823"/>
      <c r="I188" s="823"/>
      <c r="J188" s="823"/>
      <c r="K188" s="823"/>
      <c r="L188" s="823"/>
      <c r="M188" s="823"/>
      <c r="N188" s="823"/>
      <c r="O188" s="823"/>
      <c r="P188" s="823"/>
      <c r="Q188" s="823"/>
      <c r="R188" s="823"/>
      <c r="S188" s="823"/>
      <c r="T188" s="823"/>
      <c r="U188" s="823"/>
      <c r="V188" s="823"/>
      <c r="W188" s="823"/>
      <c r="X188" s="823"/>
      <c r="Y188" s="823"/>
      <c r="Z188" s="823"/>
      <c r="AA188" s="823"/>
      <c r="AB188" s="823"/>
      <c r="AC188" s="823"/>
      <c r="AD188" s="823"/>
      <c r="AE188" s="56">
        <v>37.520000000000003</v>
      </c>
      <c r="AF188" s="823"/>
      <c r="AG188" s="56">
        <v>492.84</v>
      </c>
      <c r="AH188" s="149">
        <v>455.32</v>
      </c>
    </row>
    <row r="189" spans="1:34" ht="15.75" thickBot="1" x14ac:dyDescent="0.3">
      <c r="A189" s="51" t="s">
        <v>951</v>
      </c>
      <c r="B189" s="51" t="s">
        <v>31</v>
      </c>
      <c r="C189" s="51" t="s">
        <v>835</v>
      </c>
      <c r="D189" s="51" t="s">
        <v>320</v>
      </c>
      <c r="E189" s="51" t="s">
        <v>273</v>
      </c>
      <c r="F189" s="51" t="s">
        <v>979</v>
      </c>
      <c r="G189" s="148">
        <v>2</v>
      </c>
      <c r="H189" s="823"/>
      <c r="I189" s="823"/>
      <c r="J189" s="823"/>
      <c r="K189" s="823"/>
      <c r="L189" s="823"/>
      <c r="M189" s="823"/>
      <c r="N189" s="823"/>
      <c r="O189" s="823"/>
      <c r="P189" s="823"/>
      <c r="Q189" s="823"/>
      <c r="R189" s="823"/>
      <c r="S189" s="823"/>
      <c r="T189" s="823"/>
      <c r="U189" s="823"/>
      <c r="V189" s="823"/>
      <c r="W189" s="823"/>
      <c r="X189" s="823"/>
      <c r="Y189" s="56">
        <v>9556.14</v>
      </c>
      <c r="Z189" s="823"/>
      <c r="AA189" s="823"/>
      <c r="AB189" s="823"/>
      <c r="AC189" s="823"/>
      <c r="AD189" s="823"/>
      <c r="AE189" s="56">
        <v>787.38</v>
      </c>
      <c r="AF189" s="823"/>
      <c r="AG189" s="56">
        <v>10343.52</v>
      </c>
      <c r="AH189" s="56">
        <v>0</v>
      </c>
    </row>
    <row r="190" spans="1:34" ht="15.75" thickBot="1" x14ac:dyDescent="0.3">
      <c r="A190" s="51" t="s">
        <v>951</v>
      </c>
      <c r="B190" s="51" t="s">
        <v>31</v>
      </c>
      <c r="C190" s="51" t="s">
        <v>835</v>
      </c>
      <c r="D190" s="51" t="s">
        <v>320</v>
      </c>
      <c r="E190" s="51" t="s">
        <v>268</v>
      </c>
      <c r="F190" s="51" t="s">
        <v>971</v>
      </c>
      <c r="G190" s="148">
        <v>2</v>
      </c>
      <c r="H190" s="823"/>
      <c r="I190" s="823"/>
      <c r="J190" s="823"/>
      <c r="K190" s="823"/>
      <c r="L190" s="823"/>
      <c r="M190" s="823"/>
      <c r="N190" s="823"/>
      <c r="O190" s="823"/>
      <c r="P190" s="823"/>
      <c r="Q190" s="823"/>
      <c r="R190" s="823"/>
      <c r="S190" s="823"/>
      <c r="T190" s="823"/>
      <c r="U190" s="823"/>
      <c r="V190" s="823"/>
      <c r="W190" s="823"/>
      <c r="X190" s="823"/>
      <c r="Y190" s="823"/>
      <c r="Z190" s="823"/>
      <c r="AA190" s="823"/>
      <c r="AB190" s="823"/>
      <c r="AC190" s="56">
        <v>1100</v>
      </c>
      <c r="AD190" s="823"/>
      <c r="AE190" s="56">
        <v>83.49</v>
      </c>
      <c r="AF190" s="823"/>
      <c r="AG190" s="56">
        <v>1183.49</v>
      </c>
      <c r="AH190" s="56">
        <v>0</v>
      </c>
    </row>
    <row r="191" spans="1:34" ht="15.75" thickBot="1" x14ac:dyDescent="0.3">
      <c r="A191" s="51" t="s">
        <v>951</v>
      </c>
      <c r="B191" s="51" t="s">
        <v>491</v>
      </c>
      <c r="C191" s="51" t="s">
        <v>492</v>
      </c>
      <c r="D191" s="51" t="s">
        <v>320</v>
      </c>
      <c r="E191" s="51" t="s">
        <v>109</v>
      </c>
      <c r="F191" s="51" t="s">
        <v>968</v>
      </c>
      <c r="G191" s="147">
        <v>6</v>
      </c>
      <c r="H191" s="822"/>
      <c r="I191" s="822"/>
      <c r="J191" s="822"/>
      <c r="K191" s="822"/>
      <c r="L191" s="822"/>
      <c r="M191" s="822"/>
      <c r="N191" s="822"/>
      <c r="O191" s="822"/>
      <c r="P191" s="822"/>
      <c r="Q191" s="822"/>
      <c r="R191" s="822"/>
      <c r="S191" s="822"/>
      <c r="T191" s="822"/>
      <c r="U191" s="822"/>
      <c r="V191" s="822"/>
      <c r="W191" s="822"/>
      <c r="X191" s="822"/>
      <c r="Y191" s="54">
        <v>130.38999999999999</v>
      </c>
      <c r="Z191" s="822"/>
      <c r="AA191" s="822"/>
      <c r="AB191" s="822"/>
      <c r="AC191" s="822"/>
      <c r="AD191" s="822"/>
      <c r="AE191" s="54">
        <v>3.08</v>
      </c>
      <c r="AF191" s="822"/>
      <c r="AG191" s="54">
        <v>133.47</v>
      </c>
      <c r="AH191" s="54">
        <v>0</v>
      </c>
    </row>
    <row r="192" spans="1:34" ht="15.75" thickBot="1" x14ac:dyDescent="0.3">
      <c r="A192" s="51" t="s">
        <v>951</v>
      </c>
      <c r="B192" s="51" t="s">
        <v>491</v>
      </c>
      <c r="C192" s="51" t="s">
        <v>492</v>
      </c>
      <c r="D192" s="51" t="s">
        <v>320</v>
      </c>
      <c r="E192" s="51" t="s">
        <v>272</v>
      </c>
      <c r="F192" s="51" t="s">
        <v>969</v>
      </c>
      <c r="G192" s="147">
        <v>6</v>
      </c>
      <c r="H192" s="822"/>
      <c r="I192" s="822"/>
      <c r="J192" s="822"/>
      <c r="K192" s="822"/>
      <c r="L192" s="822"/>
      <c r="M192" s="822"/>
      <c r="N192" s="822"/>
      <c r="O192" s="822"/>
      <c r="P192" s="822"/>
      <c r="Q192" s="822"/>
      <c r="R192" s="822"/>
      <c r="S192" s="822"/>
      <c r="T192" s="822"/>
      <c r="U192" s="822"/>
      <c r="V192" s="822"/>
      <c r="W192" s="822"/>
      <c r="X192" s="822"/>
      <c r="Y192" s="54">
        <v>4435.2</v>
      </c>
      <c r="Z192" s="822"/>
      <c r="AA192" s="822"/>
      <c r="AB192" s="822"/>
      <c r="AC192" s="822"/>
      <c r="AD192" s="822"/>
      <c r="AE192" s="54">
        <v>134.4</v>
      </c>
      <c r="AF192" s="822"/>
      <c r="AG192" s="54">
        <v>4569.6000000000004</v>
      </c>
      <c r="AH192" s="54">
        <v>0</v>
      </c>
    </row>
    <row r="193" spans="1:34" ht="15.75" thickBot="1" x14ac:dyDescent="0.3">
      <c r="A193" s="51" t="s">
        <v>951</v>
      </c>
      <c r="B193" s="51" t="s">
        <v>491</v>
      </c>
      <c r="C193" s="51" t="s">
        <v>492</v>
      </c>
      <c r="D193" s="51" t="s">
        <v>320</v>
      </c>
      <c r="E193" s="51" t="s">
        <v>265</v>
      </c>
      <c r="F193" s="51" t="s">
        <v>266</v>
      </c>
      <c r="G193" s="147">
        <v>6</v>
      </c>
      <c r="H193" s="54">
        <v>5614</v>
      </c>
      <c r="I193" s="54">
        <v>266040</v>
      </c>
      <c r="J193" s="822"/>
      <c r="K193" s="822"/>
      <c r="L193" s="822"/>
      <c r="M193" s="822"/>
      <c r="N193" s="822"/>
      <c r="O193" s="822"/>
      <c r="P193" s="822"/>
      <c r="Q193" s="822"/>
      <c r="R193" s="822"/>
      <c r="S193" s="822"/>
      <c r="T193" s="822"/>
      <c r="U193" s="822"/>
      <c r="V193" s="822"/>
      <c r="W193" s="822"/>
      <c r="X193" s="822"/>
      <c r="Y193" s="54">
        <v>46269</v>
      </c>
      <c r="Z193" s="822"/>
      <c r="AA193" s="822"/>
      <c r="AB193" s="822"/>
      <c r="AC193" s="822"/>
      <c r="AD193" s="822"/>
      <c r="AE193" s="54">
        <v>1093.77</v>
      </c>
      <c r="AF193" s="822"/>
      <c r="AG193" s="54">
        <v>47362.77</v>
      </c>
      <c r="AH193" s="54">
        <v>0</v>
      </c>
    </row>
    <row r="194" spans="1:34" ht="15.75" thickBot="1" x14ac:dyDescent="0.3">
      <c r="A194" s="51" t="s">
        <v>951</v>
      </c>
      <c r="B194" s="51" t="s">
        <v>491</v>
      </c>
      <c r="C194" s="51" t="s">
        <v>492</v>
      </c>
      <c r="D194" s="51" t="s">
        <v>320</v>
      </c>
      <c r="E194" s="51" t="s">
        <v>620</v>
      </c>
      <c r="F194" s="51" t="s">
        <v>978</v>
      </c>
      <c r="G194" s="147">
        <v>6</v>
      </c>
      <c r="H194" s="822"/>
      <c r="I194" s="822"/>
      <c r="J194" s="822"/>
      <c r="K194" s="822"/>
      <c r="L194" s="822"/>
      <c r="M194" s="822"/>
      <c r="N194" s="822"/>
      <c r="O194" s="822"/>
      <c r="P194" s="822"/>
      <c r="Q194" s="822"/>
      <c r="R194" s="822"/>
      <c r="S194" s="822"/>
      <c r="T194" s="822"/>
      <c r="U194" s="822"/>
      <c r="V194" s="822"/>
      <c r="W194" s="822"/>
      <c r="X194" s="822"/>
      <c r="Y194" s="822"/>
      <c r="Z194" s="822"/>
      <c r="AA194" s="822"/>
      <c r="AB194" s="822"/>
      <c r="AC194" s="822"/>
      <c r="AD194" s="822"/>
      <c r="AE194" s="54">
        <v>11.7</v>
      </c>
      <c r="AF194" s="822"/>
      <c r="AG194" s="54">
        <v>398.04</v>
      </c>
      <c r="AH194" s="149">
        <v>386.34</v>
      </c>
    </row>
    <row r="195" spans="1:34" ht="15.75" thickBot="1" x14ac:dyDescent="0.3">
      <c r="A195" s="51" t="s">
        <v>951</v>
      </c>
      <c r="B195" s="51" t="s">
        <v>491</v>
      </c>
      <c r="C195" s="51" t="s">
        <v>492</v>
      </c>
      <c r="D195" s="51" t="s">
        <v>320</v>
      </c>
      <c r="E195" s="51" t="s">
        <v>621</v>
      </c>
      <c r="F195" s="51" t="s">
        <v>970</v>
      </c>
      <c r="G195" s="147">
        <v>6</v>
      </c>
      <c r="H195" s="822"/>
      <c r="I195" s="822"/>
      <c r="J195" s="822"/>
      <c r="K195" s="822"/>
      <c r="L195" s="822"/>
      <c r="M195" s="822"/>
      <c r="N195" s="822"/>
      <c r="O195" s="822"/>
      <c r="P195" s="822"/>
      <c r="Q195" s="822"/>
      <c r="R195" s="822"/>
      <c r="S195" s="822"/>
      <c r="T195" s="822"/>
      <c r="U195" s="822"/>
      <c r="V195" s="822"/>
      <c r="W195" s="822"/>
      <c r="X195" s="822"/>
      <c r="Y195" s="822"/>
      <c r="Z195" s="822"/>
      <c r="AA195" s="822"/>
      <c r="AB195" s="822"/>
      <c r="AC195" s="822"/>
      <c r="AD195" s="822"/>
      <c r="AE195" s="54">
        <v>26.17</v>
      </c>
      <c r="AF195" s="822"/>
      <c r="AG195" s="54">
        <v>1134.52</v>
      </c>
      <c r="AH195" s="149">
        <v>1108.3499999999999</v>
      </c>
    </row>
    <row r="196" spans="1:34" ht="15.75" thickBot="1" x14ac:dyDescent="0.3">
      <c r="A196" s="51" t="s">
        <v>951</v>
      </c>
      <c r="B196" s="51" t="s">
        <v>491</v>
      </c>
      <c r="C196" s="51" t="s">
        <v>492</v>
      </c>
      <c r="D196" s="51" t="s">
        <v>320</v>
      </c>
      <c r="E196" s="51" t="s">
        <v>273</v>
      </c>
      <c r="F196" s="51" t="s">
        <v>979</v>
      </c>
      <c r="G196" s="147">
        <v>6</v>
      </c>
      <c r="H196" s="822"/>
      <c r="I196" s="822"/>
      <c r="J196" s="822"/>
      <c r="K196" s="822"/>
      <c r="L196" s="822"/>
      <c r="M196" s="822"/>
      <c r="N196" s="822"/>
      <c r="O196" s="822"/>
      <c r="P196" s="822"/>
      <c r="Q196" s="822"/>
      <c r="R196" s="822"/>
      <c r="S196" s="822"/>
      <c r="T196" s="822"/>
      <c r="U196" s="822"/>
      <c r="V196" s="822"/>
      <c r="W196" s="822"/>
      <c r="X196" s="822"/>
      <c r="Y196" s="54">
        <v>23261.73</v>
      </c>
      <c r="Z196" s="822"/>
      <c r="AA196" s="822"/>
      <c r="AB196" s="822"/>
      <c r="AC196" s="822"/>
      <c r="AD196" s="822"/>
      <c r="AE196" s="54">
        <v>549.23</v>
      </c>
      <c r="AF196" s="822"/>
      <c r="AG196" s="54">
        <v>23810.959999999999</v>
      </c>
      <c r="AH196" s="54">
        <v>0</v>
      </c>
    </row>
    <row r="197" spans="1:34" ht="15.75" thickBot="1" x14ac:dyDescent="0.3">
      <c r="A197" s="51" t="s">
        <v>951</v>
      </c>
      <c r="B197" s="51" t="s">
        <v>491</v>
      </c>
      <c r="C197" s="51" t="s">
        <v>492</v>
      </c>
      <c r="D197" s="51" t="s">
        <v>320</v>
      </c>
      <c r="E197" s="51" t="s">
        <v>268</v>
      </c>
      <c r="F197" s="51" t="s">
        <v>971</v>
      </c>
      <c r="G197" s="147">
        <v>6</v>
      </c>
      <c r="H197" s="822"/>
      <c r="I197" s="822"/>
      <c r="J197" s="822"/>
      <c r="K197" s="822"/>
      <c r="L197" s="822"/>
      <c r="M197" s="822"/>
      <c r="N197" s="822"/>
      <c r="O197" s="822"/>
      <c r="P197" s="822"/>
      <c r="Q197" s="822"/>
      <c r="R197" s="822"/>
      <c r="S197" s="822"/>
      <c r="T197" s="822"/>
      <c r="U197" s="822"/>
      <c r="V197" s="822"/>
      <c r="W197" s="822"/>
      <c r="X197" s="822"/>
      <c r="Y197" s="822"/>
      <c r="Z197" s="822"/>
      <c r="AA197" s="822"/>
      <c r="AB197" s="822"/>
      <c r="AC197" s="54">
        <v>3300</v>
      </c>
      <c r="AD197" s="822"/>
      <c r="AE197" s="54">
        <v>99.99</v>
      </c>
      <c r="AF197" s="822"/>
      <c r="AG197" s="54">
        <v>3399.99</v>
      </c>
      <c r="AH197" s="54">
        <v>0</v>
      </c>
    </row>
    <row r="198" spans="1:34" ht="15.75" thickBot="1" x14ac:dyDescent="0.3">
      <c r="A198" s="51" t="s">
        <v>951</v>
      </c>
      <c r="B198" s="51" t="s">
        <v>52</v>
      </c>
      <c r="C198" s="51" t="s">
        <v>355</v>
      </c>
      <c r="D198" s="51" t="s">
        <v>320</v>
      </c>
      <c r="E198" s="51" t="s">
        <v>269</v>
      </c>
      <c r="F198" s="51" t="s">
        <v>972</v>
      </c>
      <c r="G198" s="148">
        <v>1</v>
      </c>
      <c r="H198" s="823"/>
      <c r="I198" s="823"/>
      <c r="J198" s="823"/>
      <c r="K198" s="823"/>
      <c r="L198" s="823"/>
      <c r="M198" s="823"/>
      <c r="N198" s="823"/>
      <c r="O198" s="823"/>
      <c r="P198" s="823"/>
      <c r="Q198" s="823"/>
      <c r="R198" s="823"/>
      <c r="S198" s="823"/>
      <c r="T198" s="823"/>
      <c r="U198" s="823"/>
      <c r="V198" s="823"/>
      <c r="W198" s="823"/>
      <c r="X198" s="823"/>
      <c r="Y198" s="823"/>
      <c r="Z198" s="56">
        <v>-2239.59</v>
      </c>
      <c r="AA198" s="823"/>
      <c r="AB198" s="823"/>
      <c r="AC198" s="823"/>
      <c r="AD198" s="823"/>
      <c r="AE198" s="56">
        <v>0</v>
      </c>
      <c r="AF198" s="823"/>
      <c r="AG198" s="56">
        <v>-2239.59</v>
      </c>
      <c r="AH198" s="56">
        <v>0</v>
      </c>
    </row>
    <row r="199" spans="1:34" ht="15.75" thickBot="1" x14ac:dyDescent="0.3">
      <c r="A199" s="51" t="s">
        <v>951</v>
      </c>
      <c r="B199" s="51" t="s">
        <v>52</v>
      </c>
      <c r="C199" s="51" t="s">
        <v>355</v>
      </c>
      <c r="D199" s="51" t="s">
        <v>320</v>
      </c>
      <c r="E199" s="51" t="s">
        <v>269</v>
      </c>
      <c r="F199" s="51" t="s">
        <v>364</v>
      </c>
      <c r="G199" s="147">
        <v>1</v>
      </c>
      <c r="H199" s="822"/>
      <c r="I199" s="822"/>
      <c r="J199" s="822"/>
      <c r="K199" s="822"/>
      <c r="L199" s="822"/>
      <c r="M199" s="822"/>
      <c r="N199" s="822"/>
      <c r="O199" s="822"/>
      <c r="P199" s="822"/>
      <c r="Q199" s="822"/>
      <c r="R199" s="822"/>
      <c r="S199" s="822"/>
      <c r="T199" s="822"/>
      <c r="U199" s="822"/>
      <c r="V199" s="822"/>
      <c r="W199" s="822"/>
      <c r="X199" s="822"/>
      <c r="Y199" s="822"/>
      <c r="Z199" s="822"/>
      <c r="AA199" s="54">
        <v>654.23</v>
      </c>
      <c r="AB199" s="822"/>
      <c r="AC199" s="822"/>
      <c r="AD199" s="822"/>
      <c r="AE199" s="54">
        <v>0</v>
      </c>
      <c r="AF199" s="822"/>
      <c r="AG199" s="54">
        <v>654.23</v>
      </c>
      <c r="AH199" s="54">
        <v>0</v>
      </c>
    </row>
    <row r="200" spans="1:34" ht="15.75" thickBot="1" x14ac:dyDescent="0.3">
      <c r="A200" s="51" t="s">
        <v>951</v>
      </c>
      <c r="B200" s="51" t="s">
        <v>52</v>
      </c>
      <c r="C200" s="51" t="s">
        <v>355</v>
      </c>
      <c r="D200" s="51" t="s">
        <v>320</v>
      </c>
      <c r="E200" s="51" t="s">
        <v>271</v>
      </c>
      <c r="F200" s="51" t="s">
        <v>980</v>
      </c>
      <c r="G200" s="147">
        <v>1</v>
      </c>
      <c r="H200" s="822"/>
      <c r="I200" s="822"/>
      <c r="J200" s="822"/>
      <c r="K200" s="822"/>
      <c r="L200" s="822"/>
      <c r="M200" s="822"/>
      <c r="N200" s="822"/>
      <c r="O200" s="822"/>
      <c r="P200" s="822"/>
      <c r="Q200" s="822"/>
      <c r="R200" s="822"/>
      <c r="S200" s="822"/>
      <c r="T200" s="822"/>
      <c r="U200" s="822"/>
      <c r="V200" s="822"/>
      <c r="W200" s="822"/>
      <c r="X200" s="822"/>
      <c r="Y200" s="822"/>
      <c r="Z200" s="822"/>
      <c r="AA200" s="54">
        <v>108.48</v>
      </c>
      <c r="AB200" s="822"/>
      <c r="AC200" s="822"/>
      <c r="AD200" s="822"/>
      <c r="AE200" s="54">
        <v>0</v>
      </c>
      <c r="AF200" s="822"/>
      <c r="AG200" s="54">
        <v>108.48</v>
      </c>
      <c r="AH200" s="54">
        <v>0</v>
      </c>
    </row>
    <row r="201" spans="1:34" ht="15.75" thickBot="1" x14ac:dyDescent="0.3">
      <c r="A201" s="51" t="s">
        <v>951</v>
      </c>
      <c r="B201" s="51" t="s">
        <v>52</v>
      </c>
      <c r="C201" s="51" t="s">
        <v>355</v>
      </c>
      <c r="D201" s="51" t="s">
        <v>320</v>
      </c>
      <c r="E201" s="51" t="s">
        <v>271</v>
      </c>
      <c r="F201" s="51" t="s">
        <v>985</v>
      </c>
      <c r="G201" s="148">
        <v>1</v>
      </c>
      <c r="H201" s="823"/>
      <c r="I201" s="823"/>
      <c r="J201" s="823"/>
      <c r="K201" s="823"/>
      <c r="L201" s="823"/>
      <c r="M201" s="823"/>
      <c r="N201" s="823"/>
      <c r="O201" s="823"/>
      <c r="P201" s="823"/>
      <c r="Q201" s="823"/>
      <c r="R201" s="823"/>
      <c r="S201" s="823"/>
      <c r="T201" s="823"/>
      <c r="U201" s="823"/>
      <c r="V201" s="823"/>
      <c r="W201" s="823"/>
      <c r="X201" s="823"/>
      <c r="Y201" s="823"/>
      <c r="Z201" s="56">
        <v>59.8</v>
      </c>
      <c r="AA201" s="823"/>
      <c r="AB201" s="823"/>
      <c r="AC201" s="823"/>
      <c r="AD201" s="823"/>
      <c r="AE201" s="56">
        <v>0</v>
      </c>
      <c r="AF201" s="823"/>
      <c r="AG201" s="56">
        <v>59.8</v>
      </c>
      <c r="AH201" s="56">
        <v>0</v>
      </c>
    </row>
    <row r="202" spans="1:34" ht="15.75" thickBot="1" x14ac:dyDescent="0.3">
      <c r="A202" s="51" t="s">
        <v>951</v>
      </c>
      <c r="B202" s="51" t="s">
        <v>52</v>
      </c>
      <c r="C202" s="51" t="s">
        <v>355</v>
      </c>
      <c r="D202" s="51" t="s">
        <v>320</v>
      </c>
      <c r="E202" s="51" t="s">
        <v>268</v>
      </c>
      <c r="F202" s="51" t="s">
        <v>971</v>
      </c>
      <c r="G202" s="148">
        <v>2</v>
      </c>
      <c r="H202" s="823"/>
      <c r="I202" s="823"/>
      <c r="J202" s="823"/>
      <c r="K202" s="823"/>
      <c r="L202" s="823"/>
      <c r="M202" s="823"/>
      <c r="N202" s="823"/>
      <c r="O202" s="823"/>
      <c r="P202" s="823"/>
      <c r="Q202" s="823"/>
      <c r="R202" s="823"/>
      <c r="S202" s="823"/>
      <c r="T202" s="823"/>
      <c r="U202" s="823"/>
      <c r="V202" s="823"/>
      <c r="W202" s="823"/>
      <c r="X202" s="823"/>
      <c r="Y202" s="823"/>
      <c r="Z202" s="823"/>
      <c r="AA202" s="823"/>
      <c r="AB202" s="823"/>
      <c r="AC202" s="56">
        <v>675</v>
      </c>
      <c r="AD202" s="823"/>
      <c r="AE202" s="56">
        <v>0</v>
      </c>
      <c r="AF202" s="823"/>
      <c r="AG202" s="56">
        <v>675</v>
      </c>
      <c r="AH202" s="56">
        <v>0</v>
      </c>
    </row>
    <row r="203" spans="1:34" ht="15.75" thickBot="1" x14ac:dyDescent="0.3">
      <c r="A203" s="51" t="s">
        <v>951</v>
      </c>
      <c r="B203" s="51" t="s">
        <v>53</v>
      </c>
      <c r="C203" s="51" t="s">
        <v>836</v>
      </c>
      <c r="D203" s="51" t="s">
        <v>320</v>
      </c>
      <c r="E203" s="51" t="s">
        <v>356</v>
      </c>
      <c r="F203" s="51" t="s">
        <v>337</v>
      </c>
      <c r="G203" s="147">
        <v>1</v>
      </c>
      <c r="H203" s="822"/>
      <c r="I203" s="822"/>
      <c r="J203" s="822"/>
      <c r="K203" s="822"/>
      <c r="L203" s="822"/>
      <c r="M203" s="54">
        <v>1053.74</v>
      </c>
      <c r="N203" s="822"/>
      <c r="O203" s="822"/>
      <c r="P203" s="822"/>
      <c r="Q203" s="822"/>
      <c r="R203" s="822"/>
      <c r="S203" s="822"/>
      <c r="T203" s="822"/>
      <c r="U203" s="822"/>
      <c r="V203" s="822"/>
      <c r="W203" s="822"/>
      <c r="X203" s="822"/>
      <c r="Y203" s="822"/>
      <c r="Z203" s="822"/>
      <c r="AA203" s="822"/>
      <c r="AB203" s="822"/>
      <c r="AC203" s="822"/>
      <c r="AD203" s="822"/>
      <c r="AE203" s="54">
        <v>0</v>
      </c>
      <c r="AF203" s="822"/>
      <c r="AG203" s="54">
        <v>1053.74</v>
      </c>
      <c r="AH203" s="54">
        <v>0</v>
      </c>
    </row>
    <row r="204" spans="1:34" ht="15.75" thickBot="1" x14ac:dyDescent="0.3">
      <c r="A204" s="51" t="s">
        <v>951</v>
      </c>
      <c r="B204" s="51" t="s">
        <v>53</v>
      </c>
      <c r="C204" s="51" t="s">
        <v>836</v>
      </c>
      <c r="D204" s="51" t="s">
        <v>320</v>
      </c>
      <c r="E204" s="51" t="s">
        <v>272</v>
      </c>
      <c r="F204" s="51" t="s">
        <v>969</v>
      </c>
      <c r="G204" s="147">
        <v>1</v>
      </c>
      <c r="H204" s="822"/>
      <c r="I204" s="822"/>
      <c r="J204" s="822"/>
      <c r="K204" s="822"/>
      <c r="L204" s="822"/>
      <c r="M204" s="822"/>
      <c r="N204" s="822"/>
      <c r="O204" s="822"/>
      <c r="P204" s="822"/>
      <c r="Q204" s="822"/>
      <c r="R204" s="822"/>
      <c r="S204" s="822"/>
      <c r="T204" s="822"/>
      <c r="U204" s="822"/>
      <c r="V204" s="822"/>
      <c r="W204" s="822"/>
      <c r="X204" s="822"/>
      <c r="Y204" s="54">
        <v>500</v>
      </c>
      <c r="Z204" s="822"/>
      <c r="AA204" s="822"/>
      <c r="AB204" s="822"/>
      <c r="AC204" s="822"/>
      <c r="AD204" s="822"/>
      <c r="AE204" s="54">
        <v>0</v>
      </c>
      <c r="AF204" s="822"/>
      <c r="AG204" s="54">
        <v>500</v>
      </c>
      <c r="AH204" s="54">
        <v>0</v>
      </c>
    </row>
    <row r="205" spans="1:34" ht="15.75" thickBot="1" x14ac:dyDescent="0.3">
      <c r="A205" s="51" t="s">
        <v>951</v>
      </c>
      <c r="B205" s="51" t="s">
        <v>53</v>
      </c>
      <c r="C205" s="51" t="s">
        <v>836</v>
      </c>
      <c r="D205" s="51" t="s">
        <v>320</v>
      </c>
      <c r="E205" s="51" t="s">
        <v>265</v>
      </c>
      <c r="F205" s="51" t="s">
        <v>266</v>
      </c>
      <c r="G205" s="147">
        <v>1</v>
      </c>
      <c r="H205" s="54">
        <v>173389</v>
      </c>
      <c r="I205" s="822"/>
      <c r="J205" s="822"/>
      <c r="K205" s="822"/>
      <c r="L205" s="822"/>
      <c r="M205" s="822"/>
      <c r="N205" s="822"/>
      <c r="O205" s="822"/>
      <c r="P205" s="822"/>
      <c r="Q205" s="822"/>
      <c r="R205" s="822"/>
      <c r="S205" s="822"/>
      <c r="T205" s="822"/>
      <c r="U205" s="822"/>
      <c r="V205" s="822"/>
      <c r="W205" s="822"/>
      <c r="X205" s="822"/>
      <c r="Y205" s="54">
        <v>18455.53</v>
      </c>
      <c r="Z205" s="822"/>
      <c r="AA205" s="822"/>
      <c r="AB205" s="822"/>
      <c r="AC205" s="822"/>
      <c r="AD205" s="822"/>
      <c r="AE205" s="54">
        <v>0</v>
      </c>
      <c r="AF205" s="822"/>
      <c r="AG205" s="54">
        <v>18455.53</v>
      </c>
      <c r="AH205" s="54">
        <v>0</v>
      </c>
    </row>
    <row r="206" spans="1:34" ht="15.75" thickBot="1" x14ac:dyDescent="0.3">
      <c r="A206" s="51" t="s">
        <v>951</v>
      </c>
      <c r="B206" s="51" t="s">
        <v>53</v>
      </c>
      <c r="C206" s="51" t="s">
        <v>836</v>
      </c>
      <c r="D206" s="51" t="s">
        <v>320</v>
      </c>
      <c r="E206" s="51" t="s">
        <v>620</v>
      </c>
      <c r="F206" s="51" t="s">
        <v>978</v>
      </c>
      <c r="G206" s="147">
        <v>1</v>
      </c>
      <c r="H206" s="822"/>
      <c r="I206" s="822"/>
      <c r="J206" s="822"/>
      <c r="K206" s="822"/>
      <c r="L206" s="822"/>
      <c r="M206" s="822"/>
      <c r="N206" s="822"/>
      <c r="O206" s="822"/>
      <c r="P206" s="822"/>
      <c r="Q206" s="822"/>
      <c r="R206" s="822"/>
      <c r="S206" s="822"/>
      <c r="T206" s="822"/>
      <c r="U206" s="822"/>
      <c r="V206" s="822"/>
      <c r="W206" s="822"/>
      <c r="X206" s="822"/>
      <c r="Y206" s="822"/>
      <c r="Z206" s="822"/>
      <c r="AA206" s="822"/>
      <c r="AB206" s="822"/>
      <c r="AC206" s="822"/>
      <c r="AD206" s="822"/>
      <c r="AE206" s="54">
        <v>0</v>
      </c>
      <c r="AF206" s="822"/>
      <c r="AG206" s="54">
        <v>64.39</v>
      </c>
      <c r="AH206" s="149">
        <v>64.39</v>
      </c>
    </row>
    <row r="207" spans="1:34" ht="15.75" thickBot="1" x14ac:dyDescent="0.3">
      <c r="A207" s="51" t="s">
        <v>951</v>
      </c>
      <c r="B207" s="51" t="s">
        <v>53</v>
      </c>
      <c r="C207" s="51" t="s">
        <v>836</v>
      </c>
      <c r="D207" s="51" t="s">
        <v>320</v>
      </c>
      <c r="E207" s="51" t="s">
        <v>621</v>
      </c>
      <c r="F207" s="51" t="s">
        <v>970</v>
      </c>
      <c r="G207" s="147">
        <v>1</v>
      </c>
      <c r="H207" s="822"/>
      <c r="I207" s="822"/>
      <c r="J207" s="822"/>
      <c r="K207" s="822"/>
      <c r="L207" s="822"/>
      <c r="M207" s="822"/>
      <c r="N207" s="822"/>
      <c r="O207" s="822"/>
      <c r="P207" s="822"/>
      <c r="Q207" s="822"/>
      <c r="R207" s="822"/>
      <c r="S207" s="822"/>
      <c r="T207" s="822"/>
      <c r="U207" s="822"/>
      <c r="V207" s="822"/>
      <c r="W207" s="822"/>
      <c r="X207" s="822"/>
      <c r="Y207" s="822"/>
      <c r="Z207" s="822"/>
      <c r="AA207" s="822"/>
      <c r="AB207" s="822"/>
      <c r="AC207" s="822"/>
      <c r="AD207" s="822"/>
      <c r="AE207" s="54">
        <v>0</v>
      </c>
      <c r="AF207" s="822"/>
      <c r="AG207" s="54">
        <v>707.43</v>
      </c>
      <c r="AH207" s="149">
        <v>707.43</v>
      </c>
    </row>
    <row r="208" spans="1:34" ht="15.75" thickBot="1" x14ac:dyDescent="0.3">
      <c r="A208" s="51" t="s">
        <v>951</v>
      </c>
      <c r="B208" s="51" t="s">
        <v>53</v>
      </c>
      <c r="C208" s="51" t="s">
        <v>836</v>
      </c>
      <c r="D208" s="51" t="s">
        <v>320</v>
      </c>
      <c r="E208" s="51" t="s">
        <v>273</v>
      </c>
      <c r="F208" s="51" t="s">
        <v>979</v>
      </c>
      <c r="G208" s="147">
        <v>1</v>
      </c>
      <c r="H208" s="822"/>
      <c r="I208" s="822"/>
      <c r="J208" s="822"/>
      <c r="K208" s="822"/>
      <c r="L208" s="822"/>
      <c r="M208" s="822"/>
      <c r="N208" s="822"/>
      <c r="O208" s="822"/>
      <c r="P208" s="822"/>
      <c r="Q208" s="822"/>
      <c r="R208" s="822"/>
      <c r="S208" s="822"/>
      <c r="T208" s="822"/>
      <c r="U208" s="822"/>
      <c r="V208" s="822"/>
      <c r="W208" s="822"/>
      <c r="X208" s="822"/>
      <c r="Y208" s="54">
        <v>14847.3</v>
      </c>
      <c r="Z208" s="822"/>
      <c r="AA208" s="822"/>
      <c r="AB208" s="822"/>
      <c r="AC208" s="822"/>
      <c r="AD208" s="822"/>
      <c r="AE208" s="54">
        <v>0</v>
      </c>
      <c r="AF208" s="822"/>
      <c r="AG208" s="54">
        <v>14847.3</v>
      </c>
      <c r="AH208" s="54">
        <v>0</v>
      </c>
    </row>
    <row r="209" spans="1:34" ht="15.75" thickBot="1" x14ac:dyDescent="0.3">
      <c r="A209" s="51" t="s">
        <v>951</v>
      </c>
      <c r="B209" s="51" t="s">
        <v>53</v>
      </c>
      <c r="C209" s="51" t="s">
        <v>836</v>
      </c>
      <c r="D209" s="51" t="s">
        <v>320</v>
      </c>
      <c r="E209" s="51" t="s">
        <v>268</v>
      </c>
      <c r="F209" s="51" t="s">
        <v>971</v>
      </c>
      <c r="G209" s="147">
        <v>1</v>
      </c>
      <c r="H209" s="822"/>
      <c r="I209" s="822"/>
      <c r="J209" s="822"/>
      <c r="K209" s="822"/>
      <c r="L209" s="822"/>
      <c r="M209" s="822"/>
      <c r="N209" s="822"/>
      <c r="O209" s="822"/>
      <c r="P209" s="822"/>
      <c r="Q209" s="822"/>
      <c r="R209" s="822"/>
      <c r="S209" s="822"/>
      <c r="T209" s="822"/>
      <c r="U209" s="822"/>
      <c r="V209" s="822"/>
      <c r="W209" s="822"/>
      <c r="X209" s="822"/>
      <c r="Y209" s="822"/>
      <c r="Z209" s="822"/>
      <c r="AA209" s="822"/>
      <c r="AB209" s="822"/>
      <c r="AC209" s="54">
        <v>550</v>
      </c>
      <c r="AD209" s="822"/>
      <c r="AE209" s="54">
        <v>0</v>
      </c>
      <c r="AF209" s="822"/>
      <c r="AG209" s="54">
        <v>550</v>
      </c>
      <c r="AH209" s="54">
        <v>0</v>
      </c>
    </row>
    <row r="210" spans="1:34" ht="15.75" thickBot="1" x14ac:dyDescent="0.3">
      <c r="A210" s="51" t="s">
        <v>951</v>
      </c>
      <c r="B210" s="51" t="s">
        <v>36</v>
      </c>
      <c r="C210" s="51" t="s">
        <v>438</v>
      </c>
      <c r="D210" s="51" t="s">
        <v>320</v>
      </c>
      <c r="E210" s="51" t="s">
        <v>269</v>
      </c>
      <c r="F210" s="51" t="s">
        <v>364</v>
      </c>
      <c r="G210" s="148">
        <v>2</v>
      </c>
      <c r="H210" s="823"/>
      <c r="I210" s="823"/>
      <c r="J210" s="823"/>
      <c r="K210" s="823"/>
      <c r="L210" s="823"/>
      <c r="M210" s="823"/>
      <c r="N210" s="823"/>
      <c r="O210" s="823"/>
      <c r="P210" s="823"/>
      <c r="Q210" s="823"/>
      <c r="R210" s="823"/>
      <c r="S210" s="823"/>
      <c r="T210" s="823"/>
      <c r="U210" s="823"/>
      <c r="V210" s="823"/>
      <c r="W210" s="823"/>
      <c r="X210" s="823"/>
      <c r="Y210" s="823"/>
      <c r="Z210" s="823"/>
      <c r="AA210" s="56">
        <v>2632.06</v>
      </c>
      <c r="AB210" s="823"/>
      <c r="AC210" s="823"/>
      <c r="AD210" s="823"/>
      <c r="AE210" s="56">
        <v>157.93</v>
      </c>
      <c r="AF210" s="823"/>
      <c r="AG210" s="56">
        <v>2789.99</v>
      </c>
      <c r="AH210" s="56">
        <v>0</v>
      </c>
    </row>
    <row r="211" spans="1:34" ht="15.75" thickBot="1" x14ac:dyDescent="0.3">
      <c r="A211" s="51" t="s">
        <v>951</v>
      </c>
      <c r="B211" s="51" t="s">
        <v>36</v>
      </c>
      <c r="C211" s="51" t="s">
        <v>438</v>
      </c>
      <c r="D211" s="51" t="s">
        <v>320</v>
      </c>
      <c r="E211" s="51" t="s">
        <v>272</v>
      </c>
      <c r="F211" s="51" t="s">
        <v>969</v>
      </c>
      <c r="G211" s="148">
        <v>45</v>
      </c>
      <c r="H211" s="823"/>
      <c r="I211" s="823"/>
      <c r="J211" s="823"/>
      <c r="K211" s="823"/>
      <c r="L211" s="823"/>
      <c r="M211" s="823"/>
      <c r="N211" s="823"/>
      <c r="O211" s="823"/>
      <c r="P211" s="823"/>
      <c r="Q211" s="823"/>
      <c r="R211" s="823"/>
      <c r="S211" s="823"/>
      <c r="T211" s="823"/>
      <c r="U211" s="823"/>
      <c r="V211" s="823"/>
      <c r="W211" s="823"/>
      <c r="X211" s="823"/>
      <c r="Y211" s="56">
        <v>33425</v>
      </c>
      <c r="Z211" s="823"/>
      <c r="AA211" s="823"/>
      <c r="AB211" s="823"/>
      <c r="AC211" s="823"/>
      <c r="AD211" s="823"/>
      <c r="AE211" s="56">
        <v>1529.39</v>
      </c>
      <c r="AF211" s="823"/>
      <c r="AG211" s="56">
        <v>34954.39</v>
      </c>
      <c r="AH211" s="56">
        <v>0</v>
      </c>
    </row>
    <row r="212" spans="1:34" ht="15.75" thickBot="1" x14ac:dyDescent="0.3">
      <c r="A212" s="51" t="s">
        <v>951</v>
      </c>
      <c r="B212" s="51" t="s">
        <v>36</v>
      </c>
      <c r="C212" s="51" t="s">
        <v>438</v>
      </c>
      <c r="D212" s="51" t="s">
        <v>320</v>
      </c>
      <c r="E212" s="51" t="s">
        <v>272</v>
      </c>
      <c r="F212" s="51" t="s">
        <v>969</v>
      </c>
      <c r="G212" s="147">
        <v>5</v>
      </c>
      <c r="H212" s="822"/>
      <c r="I212" s="822"/>
      <c r="J212" s="822"/>
      <c r="K212" s="822"/>
      <c r="L212" s="822"/>
      <c r="M212" s="822"/>
      <c r="N212" s="822"/>
      <c r="O212" s="822"/>
      <c r="P212" s="822"/>
      <c r="Q212" s="822"/>
      <c r="R212" s="822"/>
      <c r="S212" s="822"/>
      <c r="T212" s="822"/>
      <c r="U212" s="822"/>
      <c r="V212" s="822"/>
      <c r="W212" s="822"/>
      <c r="X212" s="822"/>
      <c r="Y212" s="54">
        <v>3325</v>
      </c>
      <c r="Z212" s="822"/>
      <c r="AA212" s="822"/>
      <c r="AB212" s="822"/>
      <c r="AC212" s="822"/>
      <c r="AD212" s="822"/>
      <c r="AE212" s="54">
        <v>119.83</v>
      </c>
      <c r="AF212" s="822"/>
      <c r="AG212" s="54">
        <v>3444.83</v>
      </c>
      <c r="AH212" s="54">
        <v>0</v>
      </c>
    </row>
    <row r="213" spans="1:34" ht="15.75" thickBot="1" x14ac:dyDescent="0.3">
      <c r="A213" s="51" t="s">
        <v>951</v>
      </c>
      <c r="B213" s="51" t="s">
        <v>36</v>
      </c>
      <c r="C213" s="51" t="s">
        <v>438</v>
      </c>
      <c r="D213" s="51" t="s">
        <v>320</v>
      </c>
      <c r="E213" s="51" t="s">
        <v>265</v>
      </c>
      <c r="F213" s="51" t="s">
        <v>270</v>
      </c>
      <c r="G213" s="147">
        <v>2</v>
      </c>
      <c r="H213" s="54">
        <v>13403</v>
      </c>
      <c r="I213" s="822"/>
      <c r="J213" s="822"/>
      <c r="K213" s="822"/>
      <c r="L213" s="822"/>
      <c r="M213" s="822"/>
      <c r="N213" s="822"/>
      <c r="O213" s="822"/>
      <c r="P213" s="822"/>
      <c r="Q213" s="822"/>
      <c r="R213" s="822"/>
      <c r="S213" s="822"/>
      <c r="T213" s="822"/>
      <c r="U213" s="822"/>
      <c r="V213" s="822"/>
      <c r="W213" s="822"/>
      <c r="X213" s="822"/>
      <c r="Y213" s="822"/>
      <c r="Z213" s="54">
        <v>50.93</v>
      </c>
      <c r="AA213" s="822"/>
      <c r="AB213" s="822"/>
      <c r="AC213" s="822"/>
      <c r="AD213" s="822"/>
      <c r="AE213" s="54">
        <v>3.05</v>
      </c>
      <c r="AF213" s="822"/>
      <c r="AG213" s="54">
        <v>53.98</v>
      </c>
      <c r="AH213" s="54">
        <v>0</v>
      </c>
    </row>
    <row r="214" spans="1:34" ht="15.75" thickBot="1" x14ac:dyDescent="0.3">
      <c r="A214" s="51" t="s">
        <v>951</v>
      </c>
      <c r="B214" s="51" t="s">
        <v>36</v>
      </c>
      <c r="C214" s="51" t="s">
        <v>438</v>
      </c>
      <c r="D214" s="51" t="s">
        <v>320</v>
      </c>
      <c r="E214" s="51" t="s">
        <v>265</v>
      </c>
      <c r="F214" s="51" t="s">
        <v>266</v>
      </c>
      <c r="G214" s="148">
        <v>44</v>
      </c>
      <c r="H214" s="56">
        <v>5970205</v>
      </c>
      <c r="I214" s="823"/>
      <c r="J214" s="823"/>
      <c r="K214" s="823"/>
      <c r="L214" s="823"/>
      <c r="M214" s="823"/>
      <c r="N214" s="823"/>
      <c r="O214" s="823"/>
      <c r="P214" s="823"/>
      <c r="Q214" s="823"/>
      <c r="R214" s="823"/>
      <c r="S214" s="823"/>
      <c r="T214" s="823"/>
      <c r="U214" s="823"/>
      <c r="V214" s="823"/>
      <c r="W214" s="823"/>
      <c r="X214" s="823"/>
      <c r="Y214" s="56">
        <v>22686.74</v>
      </c>
      <c r="Z214" s="823"/>
      <c r="AA214" s="823"/>
      <c r="AB214" s="823"/>
      <c r="AC214" s="823"/>
      <c r="AD214" s="823"/>
      <c r="AE214" s="56">
        <v>884.95</v>
      </c>
      <c r="AF214" s="823"/>
      <c r="AG214" s="56">
        <v>23571.69</v>
      </c>
      <c r="AH214" s="56">
        <v>0</v>
      </c>
    </row>
    <row r="215" spans="1:34" ht="15.75" thickBot="1" x14ac:dyDescent="0.3">
      <c r="A215" s="51" t="s">
        <v>951</v>
      </c>
      <c r="B215" s="51" t="s">
        <v>36</v>
      </c>
      <c r="C215" s="51" t="s">
        <v>438</v>
      </c>
      <c r="D215" s="51" t="s">
        <v>320</v>
      </c>
      <c r="E215" s="51" t="s">
        <v>265</v>
      </c>
      <c r="F215" s="51" t="s">
        <v>266</v>
      </c>
      <c r="G215" s="147">
        <v>5</v>
      </c>
      <c r="H215" s="54">
        <v>537067</v>
      </c>
      <c r="I215" s="822"/>
      <c r="J215" s="822"/>
      <c r="K215" s="822"/>
      <c r="L215" s="822"/>
      <c r="M215" s="822"/>
      <c r="N215" s="822"/>
      <c r="O215" s="822"/>
      <c r="P215" s="822"/>
      <c r="Q215" s="822"/>
      <c r="R215" s="822"/>
      <c r="S215" s="822"/>
      <c r="T215" s="822"/>
      <c r="U215" s="822"/>
      <c r="V215" s="822"/>
      <c r="W215" s="822"/>
      <c r="X215" s="822"/>
      <c r="Y215" s="54">
        <v>2040.85</v>
      </c>
      <c r="Z215" s="822"/>
      <c r="AA215" s="822"/>
      <c r="AB215" s="822"/>
      <c r="AC215" s="822"/>
      <c r="AD215" s="822"/>
      <c r="AE215" s="54">
        <v>98.97</v>
      </c>
      <c r="AF215" s="822"/>
      <c r="AG215" s="54">
        <v>2139.8200000000002</v>
      </c>
      <c r="AH215" s="54">
        <v>0</v>
      </c>
    </row>
    <row r="216" spans="1:34" ht="15.75" thickBot="1" x14ac:dyDescent="0.3">
      <c r="A216" s="51" t="s">
        <v>951</v>
      </c>
      <c r="B216" s="51" t="s">
        <v>36</v>
      </c>
      <c r="C216" s="51" t="s">
        <v>438</v>
      </c>
      <c r="D216" s="51" t="s">
        <v>320</v>
      </c>
      <c r="E216" s="51" t="s">
        <v>621</v>
      </c>
      <c r="F216" s="51" t="s">
        <v>970</v>
      </c>
      <c r="G216" s="147">
        <v>44</v>
      </c>
      <c r="H216" s="822"/>
      <c r="I216" s="822"/>
      <c r="J216" s="822"/>
      <c r="K216" s="822"/>
      <c r="L216" s="822"/>
      <c r="M216" s="822"/>
      <c r="N216" s="822"/>
      <c r="O216" s="822"/>
      <c r="P216" s="822"/>
      <c r="Q216" s="822"/>
      <c r="R216" s="822"/>
      <c r="S216" s="822"/>
      <c r="T216" s="822"/>
      <c r="U216" s="822"/>
      <c r="V216" s="822"/>
      <c r="W216" s="822"/>
      <c r="X216" s="822"/>
      <c r="Y216" s="822"/>
      <c r="Z216" s="822"/>
      <c r="AA216" s="822"/>
      <c r="AB216" s="822"/>
      <c r="AC216" s="822"/>
      <c r="AD216" s="822"/>
      <c r="AE216" s="54">
        <v>111.78</v>
      </c>
      <c r="AF216" s="822"/>
      <c r="AG216" s="54">
        <v>2977.49</v>
      </c>
      <c r="AH216" s="149">
        <v>2865.71</v>
      </c>
    </row>
    <row r="217" spans="1:34" ht="15.75" thickBot="1" x14ac:dyDescent="0.3">
      <c r="A217" s="51" t="s">
        <v>951</v>
      </c>
      <c r="B217" s="51" t="s">
        <v>36</v>
      </c>
      <c r="C217" s="51" t="s">
        <v>438</v>
      </c>
      <c r="D217" s="51" t="s">
        <v>320</v>
      </c>
      <c r="E217" s="51" t="s">
        <v>621</v>
      </c>
      <c r="F217" s="51" t="s">
        <v>970</v>
      </c>
      <c r="G217" s="148">
        <v>5</v>
      </c>
      <c r="H217" s="823"/>
      <c r="I217" s="823"/>
      <c r="J217" s="823"/>
      <c r="K217" s="823"/>
      <c r="L217" s="823"/>
      <c r="M217" s="823"/>
      <c r="N217" s="823"/>
      <c r="O217" s="823"/>
      <c r="P217" s="823"/>
      <c r="Q217" s="823"/>
      <c r="R217" s="823"/>
      <c r="S217" s="823"/>
      <c r="T217" s="823"/>
      <c r="U217" s="823"/>
      <c r="V217" s="823"/>
      <c r="W217" s="823"/>
      <c r="X217" s="823"/>
      <c r="Y217" s="823"/>
      <c r="Z217" s="823"/>
      <c r="AA217" s="823"/>
      <c r="AB217" s="823"/>
      <c r="AC217" s="823"/>
      <c r="AD217" s="823"/>
      <c r="AE217" s="56">
        <v>12.5</v>
      </c>
      <c r="AF217" s="823"/>
      <c r="AG217" s="56">
        <v>270.29000000000002</v>
      </c>
      <c r="AH217" s="149">
        <v>257.79000000000002</v>
      </c>
    </row>
    <row r="218" spans="1:34" ht="15.75" thickBot="1" x14ac:dyDescent="0.3">
      <c r="A218" s="51" t="s">
        <v>951</v>
      </c>
      <c r="B218" s="51" t="s">
        <v>36</v>
      </c>
      <c r="C218" s="51" t="s">
        <v>438</v>
      </c>
      <c r="D218" s="51" t="s">
        <v>320</v>
      </c>
      <c r="E218" s="51" t="s">
        <v>916</v>
      </c>
      <c r="F218" s="51" t="s">
        <v>982</v>
      </c>
      <c r="G218" s="148">
        <v>2</v>
      </c>
      <c r="H218" s="823"/>
      <c r="I218" s="823"/>
      <c r="J218" s="823"/>
      <c r="K218" s="823"/>
      <c r="L218" s="823"/>
      <c r="M218" s="823"/>
      <c r="N218" s="823"/>
      <c r="O218" s="823"/>
      <c r="P218" s="823"/>
      <c r="Q218" s="823"/>
      <c r="R218" s="823"/>
      <c r="S218" s="823"/>
      <c r="T218" s="823"/>
      <c r="U218" s="823"/>
      <c r="V218" s="823"/>
      <c r="W218" s="823"/>
      <c r="X218" s="823"/>
      <c r="Y218" s="823"/>
      <c r="Z218" s="823"/>
      <c r="AA218" s="823"/>
      <c r="AB218" s="823"/>
      <c r="AC218" s="823"/>
      <c r="AD218" s="823"/>
      <c r="AE218" s="56">
        <v>0.38</v>
      </c>
      <c r="AF218" s="823"/>
      <c r="AG218" s="56">
        <v>6.81</v>
      </c>
      <c r="AH218" s="149">
        <v>6.43</v>
      </c>
    </row>
    <row r="219" spans="1:34" ht="15.75" thickBot="1" x14ac:dyDescent="0.3">
      <c r="A219" s="51" t="s">
        <v>951</v>
      </c>
      <c r="B219" s="51" t="s">
        <v>36</v>
      </c>
      <c r="C219" s="51" t="s">
        <v>438</v>
      </c>
      <c r="D219" s="51" t="s">
        <v>320</v>
      </c>
      <c r="E219" s="51" t="s">
        <v>271</v>
      </c>
      <c r="F219" s="51" t="s">
        <v>985</v>
      </c>
      <c r="G219" s="148">
        <v>1</v>
      </c>
      <c r="H219" s="823"/>
      <c r="I219" s="823"/>
      <c r="J219" s="823"/>
      <c r="K219" s="823"/>
      <c r="L219" s="823"/>
      <c r="M219" s="823"/>
      <c r="N219" s="823"/>
      <c r="O219" s="823"/>
      <c r="P219" s="823"/>
      <c r="Q219" s="823"/>
      <c r="R219" s="823"/>
      <c r="S219" s="823"/>
      <c r="T219" s="823"/>
      <c r="U219" s="823"/>
      <c r="V219" s="823"/>
      <c r="W219" s="823"/>
      <c r="X219" s="823"/>
      <c r="Y219" s="823"/>
      <c r="Z219" s="56">
        <v>201.82</v>
      </c>
      <c r="AA219" s="823"/>
      <c r="AB219" s="823"/>
      <c r="AC219" s="823"/>
      <c r="AD219" s="823"/>
      <c r="AE219" s="56">
        <v>12.11</v>
      </c>
      <c r="AF219" s="823"/>
      <c r="AG219" s="56">
        <v>213.93</v>
      </c>
      <c r="AH219" s="56">
        <v>0</v>
      </c>
    </row>
    <row r="220" spans="1:34" ht="15.75" thickBot="1" x14ac:dyDescent="0.3">
      <c r="A220" s="51" t="s">
        <v>951</v>
      </c>
      <c r="B220" s="51" t="s">
        <v>36</v>
      </c>
      <c r="C220" s="51" t="s">
        <v>438</v>
      </c>
      <c r="D220" s="51" t="s">
        <v>320</v>
      </c>
      <c r="E220" s="51" t="s">
        <v>325</v>
      </c>
      <c r="F220" s="51" t="s">
        <v>974</v>
      </c>
      <c r="G220" s="148">
        <v>15</v>
      </c>
      <c r="H220" s="823"/>
      <c r="I220" s="823"/>
      <c r="J220" s="823"/>
      <c r="K220" s="823"/>
      <c r="L220" s="823"/>
      <c r="M220" s="823"/>
      <c r="N220" s="823"/>
      <c r="O220" s="823"/>
      <c r="P220" s="823"/>
      <c r="Q220" s="823"/>
      <c r="R220" s="823"/>
      <c r="S220" s="823"/>
      <c r="T220" s="823"/>
      <c r="U220" s="823"/>
      <c r="V220" s="823"/>
      <c r="W220" s="56">
        <v>121.04</v>
      </c>
      <c r="X220" s="823"/>
      <c r="Y220" s="823"/>
      <c r="Z220" s="823"/>
      <c r="AA220" s="823"/>
      <c r="AB220" s="823"/>
      <c r="AC220" s="823"/>
      <c r="AD220" s="823"/>
      <c r="AE220" s="56">
        <v>6.09</v>
      </c>
      <c r="AF220" s="823"/>
      <c r="AG220" s="56">
        <v>127.13</v>
      </c>
      <c r="AH220" s="56">
        <v>0</v>
      </c>
    </row>
    <row r="221" spans="1:34" ht="15.75" thickBot="1" x14ac:dyDescent="0.3">
      <c r="A221" s="51" t="s">
        <v>951</v>
      </c>
      <c r="B221" s="51" t="s">
        <v>36</v>
      </c>
      <c r="C221" s="51" t="s">
        <v>438</v>
      </c>
      <c r="D221" s="51" t="s">
        <v>320</v>
      </c>
      <c r="E221" s="51" t="s">
        <v>325</v>
      </c>
      <c r="F221" s="51" t="s">
        <v>974</v>
      </c>
      <c r="G221" s="147">
        <v>2</v>
      </c>
      <c r="H221" s="822"/>
      <c r="I221" s="822"/>
      <c r="J221" s="822"/>
      <c r="K221" s="822"/>
      <c r="L221" s="822"/>
      <c r="M221" s="822"/>
      <c r="N221" s="822"/>
      <c r="O221" s="822"/>
      <c r="P221" s="822"/>
      <c r="Q221" s="822"/>
      <c r="R221" s="822"/>
      <c r="S221" s="822"/>
      <c r="T221" s="822"/>
      <c r="U221" s="822"/>
      <c r="V221" s="822"/>
      <c r="W221" s="54">
        <v>11.3</v>
      </c>
      <c r="X221" s="822"/>
      <c r="Y221" s="822"/>
      <c r="Z221" s="822"/>
      <c r="AA221" s="822"/>
      <c r="AB221" s="822"/>
      <c r="AC221" s="822"/>
      <c r="AD221" s="822"/>
      <c r="AE221" s="54">
        <v>0.66</v>
      </c>
      <c r="AF221" s="822"/>
      <c r="AG221" s="54">
        <v>11.96</v>
      </c>
      <c r="AH221" s="54">
        <v>0</v>
      </c>
    </row>
    <row r="222" spans="1:34" ht="15.75" thickBot="1" x14ac:dyDescent="0.3">
      <c r="A222" s="51" t="s">
        <v>951</v>
      </c>
      <c r="B222" s="51" t="s">
        <v>36</v>
      </c>
      <c r="C222" s="51" t="s">
        <v>438</v>
      </c>
      <c r="D222" s="51" t="s">
        <v>320</v>
      </c>
      <c r="E222" s="51" t="s">
        <v>268</v>
      </c>
      <c r="F222" s="51" t="s">
        <v>983</v>
      </c>
      <c r="G222" s="147">
        <v>5</v>
      </c>
      <c r="H222" s="822"/>
      <c r="I222" s="822"/>
      <c r="J222" s="822"/>
      <c r="K222" s="822"/>
      <c r="L222" s="822"/>
      <c r="M222" s="822"/>
      <c r="N222" s="822"/>
      <c r="O222" s="822"/>
      <c r="P222" s="822"/>
      <c r="Q222" s="822"/>
      <c r="R222" s="822"/>
      <c r="S222" s="822"/>
      <c r="T222" s="822"/>
      <c r="U222" s="822"/>
      <c r="V222" s="822"/>
      <c r="W222" s="822"/>
      <c r="X222" s="822"/>
      <c r="Y222" s="822"/>
      <c r="Z222" s="822"/>
      <c r="AA222" s="822"/>
      <c r="AB222" s="822"/>
      <c r="AC222" s="54">
        <v>2438.33</v>
      </c>
      <c r="AD222" s="822"/>
      <c r="AE222" s="54">
        <v>87.88</v>
      </c>
      <c r="AF222" s="822"/>
      <c r="AG222" s="54">
        <v>2526.21</v>
      </c>
      <c r="AH222" s="54">
        <v>0</v>
      </c>
    </row>
    <row r="223" spans="1:34" ht="15.75" thickBot="1" x14ac:dyDescent="0.3">
      <c r="A223" s="51" t="s">
        <v>951</v>
      </c>
      <c r="B223" s="51" t="s">
        <v>36</v>
      </c>
      <c r="C223" s="51" t="s">
        <v>438</v>
      </c>
      <c r="D223" s="51" t="s">
        <v>320</v>
      </c>
      <c r="E223" s="51" t="s">
        <v>268</v>
      </c>
      <c r="F223" s="51" t="s">
        <v>971</v>
      </c>
      <c r="G223" s="148">
        <v>45</v>
      </c>
      <c r="H223" s="823"/>
      <c r="I223" s="823"/>
      <c r="J223" s="823"/>
      <c r="K223" s="823"/>
      <c r="L223" s="823"/>
      <c r="M223" s="823"/>
      <c r="N223" s="823"/>
      <c r="O223" s="823"/>
      <c r="P223" s="823"/>
      <c r="Q223" s="823"/>
      <c r="R223" s="823"/>
      <c r="S223" s="823"/>
      <c r="T223" s="823"/>
      <c r="U223" s="823"/>
      <c r="V223" s="823"/>
      <c r="W223" s="823"/>
      <c r="X223" s="823"/>
      <c r="Y223" s="823"/>
      <c r="Z223" s="823"/>
      <c r="AA223" s="823"/>
      <c r="AB223" s="823"/>
      <c r="AC223" s="56">
        <v>24511.67</v>
      </c>
      <c r="AD223" s="823"/>
      <c r="AE223" s="56">
        <v>1121.57</v>
      </c>
      <c r="AF223" s="823"/>
      <c r="AG223" s="56">
        <v>25633.24</v>
      </c>
      <c r="AH223" s="56">
        <v>0</v>
      </c>
    </row>
    <row r="224" spans="1:34" ht="15.75" thickBot="1" x14ac:dyDescent="0.3">
      <c r="A224" s="51" t="s">
        <v>951</v>
      </c>
      <c r="B224" s="51" t="s">
        <v>36</v>
      </c>
      <c r="C224" s="51" t="s">
        <v>438</v>
      </c>
      <c r="D224" s="51" t="s">
        <v>320</v>
      </c>
      <c r="E224" s="51" t="s">
        <v>914</v>
      </c>
      <c r="F224" s="51" t="s">
        <v>266</v>
      </c>
      <c r="G224" s="148">
        <v>45</v>
      </c>
      <c r="H224" s="823"/>
      <c r="I224" s="823"/>
      <c r="J224" s="823"/>
      <c r="K224" s="823"/>
      <c r="L224" s="823"/>
      <c r="M224" s="823"/>
      <c r="N224" s="823"/>
      <c r="O224" s="823"/>
      <c r="P224" s="823"/>
      <c r="Q224" s="823"/>
      <c r="R224" s="823"/>
      <c r="S224" s="823"/>
      <c r="T224" s="823"/>
      <c r="U224" s="823"/>
      <c r="V224" s="823"/>
      <c r="W224" s="823"/>
      <c r="X224" s="823"/>
      <c r="Y224" s="56">
        <v>307724.05</v>
      </c>
      <c r="Z224" s="823"/>
      <c r="AA224" s="823"/>
      <c r="AB224" s="823"/>
      <c r="AC224" s="823"/>
      <c r="AD224" s="823"/>
      <c r="AE224" s="56">
        <v>14041.77</v>
      </c>
      <c r="AF224" s="823"/>
      <c r="AG224" s="56">
        <v>321765.82</v>
      </c>
      <c r="AH224" s="56">
        <v>0</v>
      </c>
    </row>
    <row r="225" spans="1:34" ht="15.75" thickBot="1" x14ac:dyDescent="0.3">
      <c r="A225" s="51" t="s">
        <v>951</v>
      </c>
      <c r="B225" s="51" t="s">
        <v>36</v>
      </c>
      <c r="C225" s="51" t="s">
        <v>438</v>
      </c>
      <c r="D225" s="51" t="s">
        <v>320</v>
      </c>
      <c r="E225" s="51" t="s">
        <v>914</v>
      </c>
      <c r="F225" s="51" t="s">
        <v>266</v>
      </c>
      <c r="G225" s="147">
        <v>5</v>
      </c>
      <c r="H225" s="822"/>
      <c r="I225" s="822"/>
      <c r="J225" s="822"/>
      <c r="K225" s="822"/>
      <c r="L225" s="822"/>
      <c r="M225" s="822"/>
      <c r="N225" s="822"/>
      <c r="O225" s="822"/>
      <c r="P225" s="822"/>
      <c r="Q225" s="822"/>
      <c r="R225" s="822"/>
      <c r="S225" s="822"/>
      <c r="T225" s="822"/>
      <c r="U225" s="822"/>
      <c r="V225" s="822"/>
      <c r="W225" s="822"/>
      <c r="X225" s="822"/>
      <c r="Y225" s="54">
        <v>14060.06</v>
      </c>
      <c r="Z225" s="822"/>
      <c r="AA225" s="822"/>
      <c r="AB225" s="822"/>
      <c r="AC225" s="822"/>
      <c r="AD225" s="822"/>
      <c r="AE225" s="54">
        <v>567.07000000000005</v>
      </c>
      <c r="AF225" s="822"/>
      <c r="AG225" s="54">
        <v>14627.13</v>
      </c>
      <c r="AH225" s="54">
        <v>0</v>
      </c>
    </row>
    <row r="226" spans="1:34" ht="15.75" thickBot="1" x14ac:dyDescent="0.3">
      <c r="A226" s="51" t="s">
        <v>951</v>
      </c>
      <c r="B226" s="51" t="s">
        <v>36</v>
      </c>
      <c r="C226" s="51" t="s">
        <v>438</v>
      </c>
      <c r="D226" s="51" t="s">
        <v>320</v>
      </c>
      <c r="E226" s="51" t="s">
        <v>329</v>
      </c>
      <c r="F226" s="51" t="s">
        <v>975</v>
      </c>
      <c r="G226" s="147">
        <v>2</v>
      </c>
      <c r="H226" s="822"/>
      <c r="I226" s="822"/>
      <c r="J226" s="822"/>
      <c r="K226" s="822"/>
      <c r="L226" s="822"/>
      <c r="M226" s="822"/>
      <c r="N226" s="822"/>
      <c r="O226" s="822"/>
      <c r="P226" s="822"/>
      <c r="Q226" s="822"/>
      <c r="R226" s="822"/>
      <c r="S226" s="822"/>
      <c r="T226" s="822"/>
      <c r="U226" s="822"/>
      <c r="V226" s="822"/>
      <c r="W226" s="822"/>
      <c r="X226" s="822"/>
      <c r="Y226" s="54">
        <v>772.37</v>
      </c>
      <c r="Z226" s="822"/>
      <c r="AA226" s="822"/>
      <c r="AB226" s="822"/>
      <c r="AC226" s="822"/>
      <c r="AD226" s="54">
        <v>772.37</v>
      </c>
      <c r="AE226" s="54">
        <v>46.34</v>
      </c>
      <c r="AF226" s="822"/>
      <c r="AG226" s="54">
        <v>818.71</v>
      </c>
      <c r="AH226" s="149">
        <v>-772.37</v>
      </c>
    </row>
    <row r="227" spans="1:34" ht="15.75" thickBot="1" x14ac:dyDescent="0.3">
      <c r="A227" s="51" t="s">
        <v>951</v>
      </c>
      <c r="B227" s="51" t="s">
        <v>36</v>
      </c>
      <c r="C227" s="51" t="s">
        <v>438</v>
      </c>
      <c r="D227" s="51" t="s">
        <v>320</v>
      </c>
      <c r="E227" s="51" t="s">
        <v>330</v>
      </c>
      <c r="F227" s="51" t="s">
        <v>976</v>
      </c>
      <c r="G227" s="147">
        <v>2</v>
      </c>
      <c r="H227" s="822"/>
      <c r="I227" s="822"/>
      <c r="J227" s="822"/>
      <c r="K227" s="822"/>
      <c r="L227" s="822"/>
      <c r="M227" s="822"/>
      <c r="N227" s="822"/>
      <c r="O227" s="822"/>
      <c r="P227" s="822"/>
      <c r="Q227" s="822"/>
      <c r="R227" s="822"/>
      <c r="S227" s="822"/>
      <c r="T227" s="822"/>
      <c r="U227" s="822"/>
      <c r="V227" s="822"/>
      <c r="W227" s="822"/>
      <c r="X227" s="822"/>
      <c r="Y227" s="54">
        <v>1803.61</v>
      </c>
      <c r="Z227" s="822"/>
      <c r="AA227" s="822"/>
      <c r="AB227" s="822"/>
      <c r="AC227" s="822"/>
      <c r="AD227" s="822"/>
      <c r="AE227" s="54">
        <v>108.22</v>
      </c>
      <c r="AF227" s="822"/>
      <c r="AG227" s="54">
        <v>1911.83</v>
      </c>
      <c r="AH227" s="54">
        <v>0</v>
      </c>
    </row>
    <row r="228" spans="1:34" ht="15.75" thickBot="1" x14ac:dyDescent="0.3">
      <c r="A228" s="51" t="s">
        <v>951</v>
      </c>
      <c r="B228" s="51" t="s">
        <v>36</v>
      </c>
      <c r="C228" s="51" t="s">
        <v>438</v>
      </c>
      <c r="D228" s="51" t="s">
        <v>319</v>
      </c>
      <c r="E228" s="51" t="s">
        <v>272</v>
      </c>
      <c r="F228" s="51" t="s">
        <v>969</v>
      </c>
      <c r="G228" s="148">
        <v>2</v>
      </c>
      <c r="H228" s="823"/>
      <c r="I228" s="823"/>
      <c r="J228" s="823"/>
      <c r="K228" s="823"/>
      <c r="L228" s="823"/>
      <c r="M228" s="823"/>
      <c r="N228" s="823"/>
      <c r="O228" s="823"/>
      <c r="P228" s="823"/>
      <c r="Q228" s="823"/>
      <c r="R228" s="823"/>
      <c r="S228" s="823"/>
      <c r="T228" s="823"/>
      <c r="U228" s="823"/>
      <c r="V228" s="823"/>
      <c r="W228" s="823"/>
      <c r="X228" s="823"/>
      <c r="Y228" s="56">
        <v>1500</v>
      </c>
      <c r="Z228" s="823"/>
      <c r="AA228" s="823"/>
      <c r="AB228" s="823"/>
      <c r="AC228" s="823"/>
      <c r="AD228" s="823"/>
      <c r="AE228" s="56">
        <v>0</v>
      </c>
      <c r="AF228" s="823"/>
      <c r="AG228" s="56">
        <v>1500</v>
      </c>
      <c r="AH228" s="56">
        <v>0</v>
      </c>
    </row>
    <row r="229" spans="1:34" ht="15.75" thickBot="1" x14ac:dyDescent="0.3">
      <c r="A229" s="51" t="s">
        <v>951</v>
      </c>
      <c r="B229" s="51" t="s">
        <v>36</v>
      </c>
      <c r="C229" s="51" t="s">
        <v>438</v>
      </c>
      <c r="D229" s="51" t="s">
        <v>319</v>
      </c>
      <c r="E229" s="51" t="s">
        <v>265</v>
      </c>
      <c r="F229" s="51" t="s">
        <v>266</v>
      </c>
      <c r="G229" s="148">
        <v>2</v>
      </c>
      <c r="H229" s="56">
        <v>676007</v>
      </c>
      <c r="I229" s="823"/>
      <c r="J229" s="823"/>
      <c r="K229" s="823"/>
      <c r="L229" s="823"/>
      <c r="M229" s="823"/>
      <c r="N229" s="823"/>
      <c r="O229" s="823"/>
      <c r="P229" s="823"/>
      <c r="Q229" s="823"/>
      <c r="R229" s="823"/>
      <c r="S229" s="823"/>
      <c r="T229" s="823"/>
      <c r="U229" s="823"/>
      <c r="V229" s="823"/>
      <c r="W229" s="823"/>
      <c r="X229" s="823"/>
      <c r="Y229" s="56">
        <v>2568.83</v>
      </c>
      <c r="Z229" s="823"/>
      <c r="AA229" s="823"/>
      <c r="AB229" s="823"/>
      <c r="AC229" s="823"/>
      <c r="AD229" s="823"/>
      <c r="AE229" s="56">
        <v>0</v>
      </c>
      <c r="AF229" s="823"/>
      <c r="AG229" s="56">
        <v>2568.83</v>
      </c>
      <c r="AH229" s="56">
        <v>0</v>
      </c>
    </row>
    <row r="230" spans="1:34" ht="15.75" thickBot="1" x14ac:dyDescent="0.3">
      <c r="A230" s="51" t="s">
        <v>951</v>
      </c>
      <c r="B230" s="51" t="s">
        <v>36</v>
      </c>
      <c r="C230" s="51" t="s">
        <v>438</v>
      </c>
      <c r="D230" s="51" t="s">
        <v>319</v>
      </c>
      <c r="E230" s="51" t="s">
        <v>621</v>
      </c>
      <c r="F230" s="51" t="s">
        <v>970</v>
      </c>
      <c r="G230" s="148">
        <v>2</v>
      </c>
      <c r="H230" s="823"/>
      <c r="I230" s="823"/>
      <c r="J230" s="823"/>
      <c r="K230" s="823"/>
      <c r="L230" s="823"/>
      <c r="M230" s="823"/>
      <c r="N230" s="823"/>
      <c r="O230" s="823"/>
      <c r="P230" s="823"/>
      <c r="Q230" s="823"/>
      <c r="R230" s="823"/>
      <c r="S230" s="823"/>
      <c r="T230" s="823"/>
      <c r="U230" s="823"/>
      <c r="V230" s="823"/>
      <c r="W230" s="823"/>
      <c r="X230" s="823"/>
      <c r="Y230" s="823"/>
      <c r="Z230" s="823"/>
      <c r="AA230" s="823"/>
      <c r="AB230" s="823"/>
      <c r="AC230" s="823"/>
      <c r="AD230" s="823"/>
      <c r="AE230" s="56">
        <v>0</v>
      </c>
      <c r="AF230" s="823"/>
      <c r="AG230" s="56">
        <v>324.48</v>
      </c>
      <c r="AH230" s="149">
        <v>324.48</v>
      </c>
    </row>
    <row r="231" spans="1:34" ht="15.75" thickBot="1" x14ac:dyDescent="0.3">
      <c r="A231" s="51" t="s">
        <v>951</v>
      </c>
      <c r="B231" s="51" t="s">
        <v>36</v>
      </c>
      <c r="C231" s="51" t="s">
        <v>438</v>
      </c>
      <c r="D231" s="51" t="s">
        <v>319</v>
      </c>
      <c r="E231" s="51" t="s">
        <v>268</v>
      </c>
      <c r="F231" s="51" t="s">
        <v>971</v>
      </c>
      <c r="G231" s="148">
        <v>2</v>
      </c>
      <c r="H231" s="823"/>
      <c r="I231" s="823"/>
      <c r="J231" s="823"/>
      <c r="K231" s="823"/>
      <c r="L231" s="823"/>
      <c r="M231" s="823"/>
      <c r="N231" s="823"/>
      <c r="O231" s="823"/>
      <c r="P231" s="823"/>
      <c r="Q231" s="823"/>
      <c r="R231" s="823"/>
      <c r="S231" s="823"/>
      <c r="T231" s="823"/>
      <c r="U231" s="823"/>
      <c r="V231" s="823"/>
      <c r="W231" s="823"/>
      <c r="X231" s="823"/>
      <c r="Y231" s="823"/>
      <c r="Z231" s="823"/>
      <c r="AA231" s="823"/>
      <c r="AB231" s="823"/>
      <c r="AC231" s="56">
        <v>1100</v>
      </c>
      <c r="AD231" s="823"/>
      <c r="AE231" s="56">
        <v>0</v>
      </c>
      <c r="AF231" s="823"/>
      <c r="AG231" s="56">
        <v>1100</v>
      </c>
      <c r="AH231" s="56">
        <v>0</v>
      </c>
    </row>
    <row r="232" spans="1:34" ht="15.75" thickBot="1" x14ac:dyDescent="0.3">
      <c r="A232" s="51" t="s">
        <v>951</v>
      </c>
      <c r="B232" s="51" t="s">
        <v>36</v>
      </c>
      <c r="C232" s="51" t="s">
        <v>438</v>
      </c>
      <c r="D232" s="51" t="s">
        <v>319</v>
      </c>
      <c r="E232" s="51" t="s">
        <v>914</v>
      </c>
      <c r="F232" s="51" t="s">
        <v>266</v>
      </c>
      <c r="G232" s="148">
        <v>2</v>
      </c>
      <c r="H232" s="823"/>
      <c r="I232" s="823"/>
      <c r="J232" s="823"/>
      <c r="K232" s="823"/>
      <c r="L232" s="823"/>
      <c r="M232" s="823"/>
      <c r="N232" s="823"/>
      <c r="O232" s="823"/>
      <c r="P232" s="823"/>
      <c r="Q232" s="823"/>
      <c r="R232" s="823"/>
      <c r="S232" s="823"/>
      <c r="T232" s="823"/>
      <c r="U232" s="823"/>
      <c r="V232" s="823"/>
      <c r="W232" s="823"/>
      <c r="X232" s="823"/>
      <c r="Y232" s="56">
        <v>18788.36</v>
      </c>
      <c r="Z232" s="823"/>
      <c r="AA232" s="823"/>
      <c r="AB232" s="823"/>
      <c r="AC232" s="823"/>
      <c r="AD232" s="823"/>
      <c r="AE232" s="56">
        <v>0</v>
      </c>
      <c r="AF232" s="823"/>
      <c r="AG232" s="56">
        <v>18788.36</v>
      </c>
      <c r="AH232" s="56">
        <v>0</v>
      </c>
    </row>
    <row r="233" spans="1:34" ht="15.75" thickBot="1" x14ac:dyDescent="0.3">
      <c r="A233" s="51" t="s">
        <v>951</v>
      </c>
      <c r="B233" s="51" t="s">
        <v>447</v>
      </c>
      <c r="C233" s="51" t="s">
        <v>494</v>
      </c>
      <c r="D233" s="51" t="s">
        <v>320</v>
      </c>
      <c r="E233" s="51" t="s">
        <v>109</v>
      </c>
      <c r="F233" s="51" t="s">
        <v>968</v>
      </c>
      <c r="G233" s="148">
        <v>15</v>
      </c>
      <c r="H233" s="823"/>
      <c r="I233" s="823"/>
      <c r="J233" s="823"/>
      <c r="K233" s="823"/>
      <c r="L233" s="823"/>
      <c r="M233" s="823"/>
      <c r="N233" s="823"/>
      <c r="O233" s="823"/>
      <c r="P233" s="823"/>
      <c r="Q233" s="823"/>
      <c r="R233" s="823"/>
      <c r="S233" s="823"/>
      <c r="T233" s="823"/>
      <c r="U233" s="823"/>
      <c r="V233" s="823"/>
      <c r="W233" s="823"/>
      <c r="X233" s="823"/>
      <c r="Y233" s="56">
        <v>343.47</v>
      </c>
      <c r="Z233" s="823"/>
      <c r="AA233" s="823"/>
      <c r="AB233" s="823"/>
      <c r="AC233" s="823"/>
      <c r="AD233" s="823"/>
      <c r="AE233" s="56">
        <v>15.7</v>
      </c>
      <c r="AF233" s="823"/>
      <c r="AG233" s="56">
        <v>359.17</v>
      </c>
      <c r="AH233" s="56">
        <v>0</v>
      </c>
    </row>
    <row r="234" spans="1:34" ht="15.75" thickBot="1" x14ac:dyDescent="0.3">
      <c r="A234" s="51" t="s">
        <v>951</v>
      </c>
      <c r="B234" s="51" t="s">
        <v>447</v>
      </c>
      <c r="C234" s="51" t="s">
        <v>494</v>
      </c>
      <c r="D234" s="51" t="s">
        <v>320</v>
      </c>
      <c r="E234" s="51" t="s">
        <v>356</v>
      </c>
      <c r="F234" s="51" t="s">
        <v>337</v>
      </c>
      <c r="G234" s="148">
        <v>4</v>
      </c>
      <c r="H234" s="823"/>
      <c r="I234" s="823"/>
      <c r="J234" s="823"/>
      <c r="K234" s="823"/>
      <c r="L234" s="823"/>
      <c r="M234" s="56">
        <v>448.16</v>
      </c>
      <c r="N234" s="823"/>
      <c r="O234" s="823"/>
      <c r="P234" s="823"/>
      <c r="Q234" s="823"/>
      <c r="R234" s="823"/>
      <c r="S234" s="823"/>
      <c r="T234" s="823"/>
      <c r="U234" s="823"/>
      <c r="V234" s="823"/>
      <c r="W234" s="823"/>
      <c r="X234" s="823"/>
      <c r="Y234" s="823"/>
      <c r="Z234" s="823"/>
      <c r="AA234" s="823"/>
      <c r="AB234" s="823"/>
      <c r="AC234" s="823"/>
      <c r="AD234" s="823"/>
      <c r="AE234" s="56">
        <v>10.37</v>
      </c>
      <c r="AF234" s="823"/>
      <c r="AG234" s="56">
        <v>458.53</v>
      </c>
      <c r="AH234" s="56">
        <v>0</v>
      </c>
    </row>
    <row r="235" spans="1:34" ht="15.75" thickBot="1" x14ac:dyDescent="0.3">
      <c r="A235" s="51" t="s">
        <v>951</v>
      </c>
      <c r="B235" s="51" t="s">
        <v>447</v>
      </c>
      <c r="C235" s="51" t="s">
        <v>494</v>
      </c>
      <c r="D235" s="51" t="s">
        <v>320</v>
      </c>
      <c r="E235" s="51" t="s">
        <v>357</v>
      </c>
      <c r="F235" s="51" t="s">
        <v>984</v>
      </c>
      <c r="G235" s="148">
        <v>1</v>
      </c>
      <c r="H235" s="823"/>
      <c r="I235" s="823"/>
      <c r="J235" s="823"/>
      <c r="K235" s="823"/>
      <c r="L235" s="823"/>
      <c r="M235" s="823"/>
      <c r="N235" s="823"/>
      <c r="O235" s="823"/>
      <c r="P235" s="823"/>
      <c r="Q235" s="823"/>
      <c r="R235" s="823"/>
      <c r="S235" s="823"/>
      <c r="T235" s="823"/>
      <c r="U235" s="823"/>
      <c r="V235" s="823"/>
      <c r="W235" s="823"/>
      <c r="X235" s="56">
        <v>-12.25</v>
      </c>
      <c r="Y235" s="823"/>
      <c r="Z235" s="823"/>
      <c r="AA235" s="823"/>
      <c r="AB235" s="823"/>
      <c r="AC235" s="823"/>
      <c r="AD235" s="823"/>
      <c r="AE235" s="56">
        <v>-0.37</v>
      </c>
      <c r="AF235" s="823"/>
      <c r="AG235" s="56">
        <v>-12.62</v>
      </c>
      <c r="AH235" s="56">
        <v>0</v>
      </c>
    </row>
    <row r="236" spans="1:34" ht="15.75" thickBot="1" x14ac:dyDescent="0.3">
      <c r="A236" s="51" t="s">
        <v>951</v>
      </c>
      <c r="B236" s="51" t="s">
        <v>447</v>
      </c>
      <c r="C236" s="51" t="s">
        <v>494</v>
      </c>
      <c r="D236" s="51" t="s">
        <v>320</v>
      </c>
      <c r="E236" s="51" t="s">
        <v>272</v>
      </c>
      <c r="F236" s="51" t="s">
        <v>969</v>
      </c>
      <c r="G236" s="148">
        <v>15</v>
      </c>
      <c r="H236" s="823"/>
      <c r="I236" s="823"/>
      <c r="J236" s="823"/>
      <c r="K236" s="823"/>
      <c r="L236" s="823"/>
      <c r="M236" s="823"/>
      <c r="N236" s="823"/>
      <c r="O236" s="823"/>
      <c r="P236" s="823"/>
      <c r="Q236" s="823"/>
      <c r="R236" s="823"/>
      <c r="S236" s="823"/>
      <c r="T236" s="823"/>
      <c r="U236" s="823"/>
      <c r="V236" s="823"/>
      <c r="W236" s="823"/>
      <c r="X236" s="823"/>
      <c r="Y236" s="56">
        <v>11250</v>
      </c>
      <c r="Z236" s="823"/>
      <c r="AA236" s="823"/>
      <c r="AB236" s="823"/>
      <c r="AC236" s="823"/>
      <c r="AD236" s="823"/>
      <c r="AE236" s="56">
        <v>499.09</v>
      </c>
      <c r="AF236" s="823"/>
      <c r="AG236" s="56">
        <v>11749.09</v>
      </c>
      <c r="AH236" s="56">
        <v>0</v>
      </c>
    </row>
    <row r="237" spans="1:34" ht="15.75" thickBot="1" x14ac:dyDescent="0.3">
      <c r="A237" s="51" t="s">
        <v>951</v>
      </c>
      <c r="B237" s="51" t="s">
        <v>447</v>
      </c>
      <c r="C237" s="51" t="s">
        <v>494</v>
      </c>
      <c r="D237" s="51" t="s">
        <v>320</v>
      </c>
      <c r="E237" s="51" t="s">
        <v>265</v>
      </c>
      <c r="F237" s="51" t="s">
        <v>266</v>
      </c>
      <c r="G237" s="148">
        <v>15</v>
      </c>
      <c r="H237" s="56">
        <v>715529</v>
      </c>
      <c r="I237" s="823"/>
      <c r="J237" s="823"/>
      <c r="K237" s="823"/>
      <c r="L237" s="823"/>
      <c r="M237" s="823"/>
      <c r="N237" s="823"/>
      <c r="O237" s="823"/>
      <c r="P237" s="823"/>
      <c r="Q237" s="823"/>
      <c r="R237" s="823"/>
      <c r="S237" s="823"/>
      <c r="T237" s="823"/>
      <c r="U237" s="823"/>
      <c r="V237" s="823"/>
      <c r="W237" s="823"/>
      <c r="X237" s="823"/>
      <c r="Y237" s="56">
        <v>2719.01</v>
      </c>
      <c r="Z237" s="823"/>
      <c r="AA237" s="823"/>
      <c r="AB237" s="823"/>
      <c r="AC237" s="823"/>
      <c r="AD237" s="823"/>
      <c r="AE237" s="56">
        <v>124.39</v>
      </c>
      <c r="AF237" s="823"/>
      <c r="AG237" s="56">
        <v>2843.4</v>
      </c>
      <c r="AH237" s="56">
        <v>0</v>
      </c>
    </row>
    <row r="238" spans="1:34" ht="15.75" thickBot="1" x14ac:dyDescent="0.3">
      <c r="A238" s="51" t="s">
        <v>951</v>
      </c>
      <c r="B238" s="51" t="s">
        <v>447</v>
      </c>
      <c r="C238" s="51" t="s">
        <v>494</v>
      </c>
      <c r="D238" s="51" t="s">
        <v>320</v>
      </c>
      <c r="E238" s="51" t="s">
        <v>621</v>
      </c>
      <c r="F238" s="51" t="s">
        <v>970</v>
      </c>
      <c r="G238" s="148">
        <v>15</v>
      </c>
      <c r="H238" s="823"/>
      <c r="I238" s="823"/>
      <c r="J238" s="823"/>
      <c r="K238" s="823"/>
      <c r="L238" s="823"/>
      <c r="M238" s="823"/>
      <c r="N238" s="823"/>
      <c r="O238" s="823"/>
      <c r="P238" s="823"/>
      <c r="Q238" s="823"/>
      <c r="R238" s="823"/>
      <c r="S238" s="823"/>
      <c r="T238" s="823"/>
      <c r="U238" s="823"/>
      <c r="V238" s="823"/>
      <c r="W238" s="823"/>
      <c r="X238" s="823"/>
      <c r="Y238" s="823"/>
      <c r="Z238" s="823"/>
      <c r="AA238" s="823"/>
      <c r="AB238" s="823"/>
      <c r="AC238" s="823"/>
      <c r="AD238" s="823"/>
      <c r="AE238" s="56">
        <v>15.7</v>
      </c>
      <c r="AF238" s="823"/>
      <c r="AG238" s="56">
        <v>359.17</v>
      </c>
      <c r="AH238" s="149">
        <v>343.47</v>
      </c>
    </row>
    <row r="239" spans="1:34" ht="15.75" thickBot="1" x14ac:dyDescent="0.3">
      <c r="A239" s="51" t="s">
        <v>951</v>
      </c>
      <c r="B239" s="51" t="s">
        <v>447</v>
      </c>
      <c r="C239" s="51" t="s">
        <v>494</v>
      </c>
      <c r="D239" s="51" t="s">
        <v>320</v>
      </c>
      <c r="E239" s="51" t="s">
        <v>325</v>
      </c>
      <c r="F239" s="51" t="s">
        <v>974</v>
      </c>
      <c r="G239" s="148">
        <v>10</v>
      </c>
      <c r="H239" s="823"/>
      <c r="I239" s="823"/>
      <c r="J239" s="823"/>
      <c r="K239" s="823"/>
      <c r="L239" s="823"/>
      <c r="M239" s="823"/>
      <c r="N239" s="823"/>
      <c r="O239" s="823"/>
      <c r="P239" s="823"/>
      <c r="Q239" s="823"/>
      <c r="R239" s="823"/>
      <c r="S239" s="823"/>
      <c r="T239" s="823"/>
      <c r="U239" s="823"/>
      <c r="V239" s="823"/>
      <c r="W239" s="56">
        <v>62.36</v>
      </c>
      <c r="X239" s="823"/>
      <c r="Y239" s="823"/>
      <c r="Z239" s="823"/>
      <c r="AA239" s="823"/>
      <c r="AB239" s="823"/>
      <c r="AC239" s="823"/>
      <c r="AD239" s="823"/>
      <c r="AE239" s="56">
        <v>1.92</v>
      </c>
      <c r="AF239" s="823"/>
      <c r="AG239" s="56">
        <v>64.28</v>
      </c>
      <c r="AH239" s="56">
        <v>0</v>
      </c>
    </row>
    <row r="240" spans="1:34" ht="15.75" thickBot="1" x14ac:dyDescent="0.3">
      <c r="A240" s="51" t="s">
        <v>951</v>
      </c>
      <c r="B240" s="51" t="s">
        <v>447</v>
      </c>
      <c r="C240" s="51" t="s">
        <v>494</v>
      </c>
      <c r="D240" s="51" t="s">
        <v>320</v>
      </c>
      <c r="E240" s="51" t="s">
        <v>268</v>
      </c>
      <c r="F240" s="51" t="s">
        <v>971</v>
      </c>
      <c r="G240" s="148">
        <v>15</v>
      </c>
      <c r="H240" s="823"/>
      <c r="I240" s="823"/>
      <c r="J240" s="823"/>
      <c r="K240" s="823"/>
      <c r="L240" s="823"/>
      <c r="M240" s="823"/>
      <c r="N240" s="823"/>
      <c r="O240" s="823"/>
      <c r="P240" s="823"/>
      <c r="Q240" s="823"/>
      <c r="R240" s="823"/>
      <c r="S240" s="823"/>
      <c r="T240" s="823"/>
      <c r="U240" s="823"/>
      <c r="V240" s="823"/>
      <c r="W240" s="823"/>
      <c r="X240" s="823"/>
      <c r="Y240" s="823"/>
      <c r="Z240" s="823"/>
      <c r="AA240" s="823"/>
      <c r="AB240" s="823"/>
      <c r="AC240" s="56">
        <v>8250</v>
      </c>
      <c r="AD240" s="823"/>
      <c r="AE240" s="56">
        <v>365.97</v>
      </c>
      <c r="AF240" s="823"/>
      <c r="AG240" s="56">
        <v>8615.9699999999993</v>
      </c>
      <c r="AH240" s="56">
        <v>0</v>
      </c>
    </row>
    <row r="241" spans="1:34" ht="15.75" thickBot="1" x14ac:dyDescent="0.3">
      <c r="A241" s="51" t="s">
        <v>951</v>
      </c>
      <c r="B241" s="51" t="s">
        <v>447</v>
      </c>
      <c r="C241" s="51" t="s">
        <v>494</v>
      </c>
      <c r="D241" s="51" t="s">
        <v>320</v>
      </c>
      <c r="E241" s="51" t="s">
        <v>914</v>
      </c>
      <c r="F241" s="51" t="s">
        <v>266</v>
      </c>
      <c r="G241" s="148">
        <v>15</v>
      </c>
      <c r="H241" s="823"/>
      <c r="I241" s="823"/>
      <c r="J241" s="823"/>
      <c r="K241" s="823"/>
      <c r="L241" s="823"/>
      <c r="M241" s="823"/>
      <c r="N241" s="823"/>
      <c r="O241" s="823"/>
      <c r="P241" s="823"/>
      <c r="Q241" s="823"/>
      <c r="R241" s="823"/>
      <c r="S241" s="823"/>
      <c r="T241" s="823"/>
      <c r="U241" s="823"/>
      <c r="V241" s="823"/>
      <c r="W241" s="823"/>
      <c r="X241" s="823"/>
      <c r="Y241" s="56">
        <v>25772.25</v>
      </c>
      <c r="Z241" s="823"/>
      <c r="AA241" s="823"/>
      <c r="AB241" s="823"/>
      <c r="AC241" s="823"/>
      <c r="AD241" s="823"/>
      <c r="AE241" s="56">
        <v>1069.49</v>
      </c>
      <c r="AF241" s="823"/>
      <c r="AG241" s="56">
        <v>26841.74</v>
      </c>
      <c r="AH241" s="56">
        <v>0</v>
      </c>
    </row>
    <row r="242" spans="1:34" ht="15.75" thickBot="1" x14ac:dyDescent="0.3">
      <c r="A242" s="51" t="s">
        <v>951</v>
      </c>
      <c r="B242" s="51" t="s">
        <v>38</v>
      </c>
      <c r="C242" s="51" t="s">
        <v>39</v>
      </c>
      <c r="D242" s="51" t="s">
        <v>320</v>
      </c>
      <c r="E242" s="51" t="s">
        <v>269</v>
      </c>
      <c r="F242" s="51" t="s">
        <v>972</v>
      </c>
      <c r="G242" s="147">
        <v>2</v>
      </c>
      <c r="H242" s="822"/>
      <c r="I242" s="822"/>
      <c r="J242" s="822"/>
      <c r="K242" s="822"/>
      <c r="L242" s="822"/>
      <c r="M242" s="822"/>
      <c r="N242" s="822"/>
      <c r="O242" s="822"/>
      <c r="P242" s="822"/>
      <c r="Q242" s="822"/>
      <c r="R242" s="822"/>
      <c r="S242" s="822"/>
      <c r="T242" s="822"/>
      <c r="U242" s="822"/>
      <c r="V242" s="822"/>
      <c r="W242" s="822"/>
      <c r="X242" s="822"/>
      <c r="Y242" s="822"/>
      <c r="Z242" s="54">
        <v>-10092.14</v>
      </c>
      <c r="AA242" s="822"/>
      <c r="AB242" s="822"/>
      <c r="AC242" s="822"/>
      <c r="AD242" s="822"/>
      <c r="AE242" s="54">
        <v>0</v>
      </c>
      <c r="AF242" s="822"/>
      <c r="AG242" s="54">
        <v>-10092.14</v>
      </c>
      <c r="AH242" s="54">
        <v>0</v>
      </c>
    </row>
    <row r="243" spans="1:34" ht="15.75" thickBot="1" x14ac:dyDescent="0.3">
      <c r="A243" s="51" t="s">
        <v>951</v>
      </c>
      <c r="B243" s="51" t="s">
        <v>38</v>
      </c>
      <c r="C243" s="51" t="s">
        <v>39</v>
      </c>
      <c r="D243" s="51" t="s">
        <v>320</v>
      </c>
      <c r="E243" s="51" t="s">
        <v>269</v>
      </c>
      <c r="F243" s="51" t="s">
        <v>364</v>
      </c>
      <c r="G243" s="148">
        <v>1</v>
      </c>
      <c r="H243" s="823"/>
      <c r="I243" s="823"/>
      <c r="J243" s="823"/>
      <c r="K243" s="823"/>
      <c r="L243" s="823"/>
      <c r="M243" s="823"/>
      <c r="N243" s="823"/>
      <c r="O243" s="823"/>
      <c r="P243" s="823"/>
      <c r="Q243" s="823"/>
      <c r="R243" s="823"/>
      <c r="S243" s="823"/>
      <c r="T243" s="823"/>
      <c r="U243" s="823"/>
      <c r="V243" s="823"/>
      <c r="W243" s="823"/>
      <c r="X243" s="823"/>
      <c r="Y243" s="823"/>
      <c r="Z243" s="823"/>
      <c r="AA243" s="56">
        <v>5467.63</v>
      </c>
      <c r="AB243" s="823"/>
      <c r="AC243" s="823"/>
      <c r="AD243" s="823"/>
      <c r="AE243" s="56">
        <v>0</v>
      </c>
      <c r="AF243" s="823"/>
      <c r="AG243" s="56">
        <v>5467.63</v>
      </c>
      <c r="AH243" s="56">
        <v>0</v>
      </c>
    </row>
    <row r="244" spans="1:34" ht="15.75" thickBot="1" x14ac:dyDescent="0.3">
      <c r="A244" s="51" t="s">
        <v>951</v>
      </c>
      <c r="B244" s="51" t="s">
        <v>38</v>
      </c>
      <c r="C244" s="51" t="s">
        <v>39</v>
      </c>
      <c r="D244" s="51" t="s">
        <v>320</v>
      </c>
      <c r="E244" s="51" t="s">
        <v>271</v>
      </c>
      <c r="F244" s="51" t="s">
        <v>980</v>
      </c>
      <c r="G244" s="148">
        <v>2</v>
      </c>
      <c r="H244" s="823"/>
      <c r="I244" s="823"/>
      <c r="J244" s="823"/>
      <c r="K244" s="823"/>
      <c r="L244" s="823"/>
      <c r="M244" s="823"/>
      <c r="N244" s="823"/>
      <c r="O244" s="823"/>
      <c r="P244" s="823"/>
      <c r="Q244" s="823"/>
      <c r="R244" s="823"/>
      <c r="S244" s="823"/>
      <c r="T244" s="823"/>
      <c r="U244" s="823"/>
      <c r="V244" s="823"/>
      <c r="W244" s="823"/>
      <c r="X244" s="823"/>
      <c r="Y244" s="823"/>
      <c r="Z244" s="823"/>
      <c r="AA244" s="56">
        <v>3411.49</v>
      </c>
      <c r="AB244" s="823"/>
      <c r="AC244" s="823"/>
      <c r="AD244" s="823"/>
      <c r="AE244" s="56">
        <v>0</v>
      </c>
      <c r="AF244" s="823"/>
      <c r="AG244" s="56">
        <v>3411.49</v>
      </c>
      <c r="AH244" s="56">
        <v>0</v>
      </c>
    </row>
    <row r="245" spans="1:34" ht="15.75" thickBot="1" x14ac:dyDescent="0.3">
      <c r="A245" s="51" t="s">
        <v>951</v>
      </c>
      <c r="B245" s="51" t="s">
        <v>38</v>
      </c>
      <c r="C245" s="51" t="s">
        <v>39</v>
      </c>
      <c r="D245" s="51" t="s">
        <v>320</v>
      </c>
      <c r="E245" s="51" t="s">
        <v>271</v>
      </c>
      <c r="F245" s="51" t="s">
        <v>985</v>
      </c>
      <c r="G245" s="147">
        <v>1</v>
      </c>
      <c r="H245" s="822"/>
      <c r="I245" s="822"/>
      <c r="J245" s="822"/>
      <c r="K245" s="822"/>
      <c r="L245" s="822"/>
      <c r="M245" s="822"/>
      <c r="N245" s="822"/>
      <c r="O245" s="822"/>
      <c r="P245" s="822"/>
      <c r="Q245" s="822"/>
      <c r="R245" s="822"/>
      <c r="S245" s="822"/>
      <c r="T245" s="822"/>
      <c r="U245" s="822"/>
      <c r="V245" s="822"/>
      <c r="W245" s="822"/>
      <c r="X245" s="822"/>
      <c r="Y245" s="822"/>
      <c r="Z245" s="54">
        <v>4684.83</v>
      </c>
      <c r="AA245" s="822"/>
      <c r="AB245" s="822"/>
      <c r="AC245" s="822"/>
      <c r="AD245" s="822"/>
      <c r="AE245" s="54">
        <v>0</v>
      </c>
      <c r="AF245" s="822"/>
      <c r="AG245" s="54">
        <v>4684.83</v>
      </c>
      <c r="AH245" s="54">
        <v>0</v>
      </c>
    </row>
    <row r="246" spans="1:34" ht="15.75" thickBot="1" x14ac:dyDescent="0.3">
      <c r="A246" s="51" t="s">
        <v>951</v>
      </c>
      <c r="B246" s="51" t="s">
        <v>38</v>
      </c>
      <c r="C246" s="51" t="s">
        <v>39</v>
      </c>
      <c r="D246" s="51" t="s">
        <v>320</v>
      </c>
      <c r="E246" s="51" t="s">
        <v>268</v>
      </c>
      <c r="F246" s="51" t="s">
        <v>971</v>
      </c>
      <c r="G246" s="147">
        <v>3</v>
      </c>
      <c r="H246" s="822"/>
      <c r="I246" s="822"/>
      <c r="J246" s="822"/>
      <c r="K246" s="822"/>
      <c r="L246" s="822"/>
      <c r="M246" s="822"/>
      <c r="N246" s="822"/>
      <c r="O246" s="822"/>
      <c r="P246" s="822"/>
      <c r="Q246" s="822"/>
      <c r="R246" s="822"/>
      <c r="S246" s="822"/>
      <c r="T246" s="822"/>
      <c r="U246" s="822"/>
      <c r="V246" s="822"/>
      <c r="W246" s="822"/>
      <c r="X246" s="822"/>
      <c r="Y246" s="822"/>
      <c r="Z246" s="822"/>
      <c r="AA246" s="822"/>
      <c r="AB246" s="822"/>
      <c r="AC246" s="54">
        <v>5325</v>
      </c>
      <c r="AD246" s="822"/>
      <c r="AE246" s="54">
        <v>0</v>
      </c>
      <c r="AF246" s="822"/>
      <c r="AG246" s="54">
        <v>5325</v>
      </c>
      <c r="AH246" s="54">
        <v>0</v>
      </c>
    </row>
    <row r="247" spans="1:34" ht="15.75" thickBot="1" x14ac:dyDescent="0.3">
      <c r="A247" s="51" t="s">
        <v>951</v>
      </c>
      <c r="B247" s="51" t="s">
        <v>38</v>
      </c>
      <c r="C247" s="51" t="s">
        <v>39</v>
      </c>
      <c r="D247" s="51" t="s">
        <v>320</v>
      </c>
      <c r="E247" s="51" t="s">
        <v>329</v>
      </c>
      <c r="F247" s="51" t="s">
        <v>975</v>
      </c>
      <c r="G247" s="147">
        <v>3</v>
      </c>
      <c r="H247" s="822"/>
      <c r="I247" s="822"/>
      <c r="J247" s="822"/>
      <c r="K247" s="822"/>
      <c r="L247" s="822"/>
      <c r="M247" s="822"/>
      <c r="N247" s="822"/>
      <c r="O247" s="822"/>
      <c r="P247" s="822"/>
      <c r="Q247" s="822"/>
      <c r="R247" s="822"/>
      <c r="S247" s="822"/>
      <c r="T247" s="822"/>
      <c r="U247" s="822"/>
      <c r="V247" s="822"/>
      <c r="W247" s="822"/>
      <c r="X247" s="822"/>
      <c r="Y247" s="54">
        <v>6125.63</v>
      </c>
      <c r="Z247" s="822"/>
      <c r="AA247" s="822"/>
      <c r="AB247" s="822"/>
      <c r="AC247" s="822"/>
      <c r="AD247" s="54">
        <v>6125.63</v>
      </c>
      <c r="AE247" s="54">
        <v>0</v>
      </c>
      <c r="AF247" s="822"/>
      <c r="AG247" s="54">
        <v>6125.63</v>
      </c>
      <c r="AH247" s="149">
        <v>-6125.63</v>
      </c>
    </row>
    <row r="248" spans="1:34" ht="15.75" thickBot="1" x14ac:dyDescent="0.3">
      <c r="A248" s="51" t="s">
        <v>951</v>
      </c>
      <c r="B248" s="51" t="s">
        <v>38</v>
      </c>
      <c r="C248" s="51" t="s">
        <v>39</v>
      </c>
      <c r="D248" s="51" t="s">
        <v>320</v>
      </c>
      <c r="E248" s="51" t="s">
        <v>330</v>
      </c>
      <c r="F248" s="51" t="s">
        <v>976</v>
      </c>
      <c r="G248" s="147">
        <v>3</v>
      </c>
      <c r="H248" s="822"/>
      <c r="I248" s="822"/>
      <c r="J248" s="822"/>
      <c r="K248" s="822"/>
      <c r="L248" s="822"/>
      <c r="M248" s="822"/>
      <c r="N248" s="822"/>
      <c r="O248" s="822"/>
      <c r="P248" s="822"/>
      <c r="Q248" s="822"/>
      <c r="R248" s="822"/>
      <c r="S248" s="822"/>
      <c r="T248" s="822"/>
      <c r="U248" s="822"/>
      <c r="V248" s="822"/>
      <c r="W248" s="822"/>
      <c r="X248" s="822"/>
      <c r="Y248" s="54">
        <v>14304.43</v>
      </c>
      <c r="Z248" s="822"/>
      <c r="AA248" s="822"/>
      <c r="AB248" s="822"/>
      <c r="AC248" s="822"/>
      <c r="AD248" s="822"/>
      <c r="AE248" s="54">
        <v>0</v>
      </c>
      <c r="AF248" s="822"/>
      <c r="AG248" s="54">
        <v>14304.43</v>
      </c>
      <c r="AH248" s="54">
        <v>0</v>
      </c>
    </row>
    <row r="249" spans="1:34" ht="15.75" thickBot="1" x14ac:dyDescent="0.3">
      <c r="A249" s="51" t="s">
        <v>953</v>
      </c>
      <c r="B249" s="51" t="s">
        <v>34</v>
      </c>
      <c r="C249" s="51" t="s">
        <v>437</v>
      </c>
      <c r="D249" s="51" t="s">
        <v>318</v>
      </c>
      <c r="E249" s="51" t="s">
        <v>109</v>
      </c>
      <c r="F249" s="51" t="s">
        <v>968</v>
      </c>
      <c r="G249" s="147">
        <v>7</v>
      </c>
      <c r="H249" s="822"/>
      <c r="I249" s="822"/>
      <c r="J249" s="822"/>
      <c r="K249" s="822"/>
      <c r="L249" s="822"/>
      <c r="M249" s="822"/>
      <c r="N249" s="822"/>
      <c r="O249" s="822"/>
      <c r="P249" s="822"/>
      <c r="Q249" s="822"/>
      <c r="R249" s="822"/>
      <c r="S249" s="822"/>
      <c r="T249" s="822"/>
      <c r="U249" s="822"/>
      <c r="V249" s="822"/>
      <c r="W249" s="822"/>
      <c r="X249" s="822"/>
      <c r="Y249" s="54">
        <v>152.09</v>
      </c>
      <c r="Z249" s="822"/>
      <c r="AA249" s="822"/>
      <c r="AB249" s="822"/>
      <c r="AC249" s="822"/>
      <c r="AD249" s="822"/>
      <c r="AE249" s="54">
        <v>0.42</v>
      </c>
      <c r="AF249" s="822"/>
      <c r="AG249" s="54">
        <v>152.51</v>
      </c>
      <c r="AH249" s="54">
        <v>0</v>
      </c>
    </row>
    <row r="250" spans="1:34" ht="15.75" thickBot="1" x14ac:dyDescent="0.3">
      <c r="A250" s="51" t="s">
        <v>953</v>
      </c>
      <c r="B250" s="51" t="s">
        <v>34</v>
      </c>
      <c r="C250" s="51" t="s">
        <v>437</v>
      </c>
      <c r="D250" s="51" t="s">
        <v>318</v>
      </c>
      <c r="E250" s="51" t="s">
        <v>272</v>
      </c>
      <c r="F250" s="51" t="s">
        <v>969</v>
      </c>
      <c r="G250" s="147">
        <v>7</v>
      </c>
      <c r="H250" s="822"/>
      <c r="I250" s="822"/>
      <c r="J250" s="822"/>
      <c r="K250" s="822"/>
      <c r="L250" s="822"/>
      <c r="M250" s="822"/>
      <c r="N250" s="822"/>
      <c r="O250" s="822"/>
      <c r="P250" s="822"/>
      <c r="Q250" s="822"/>
      <c r="R250" s="822"/>
      <c r="S250" s="822"/>
      <c r="T250" s="822"/>
      <c r="U250" s="822"/>
      <c r="V250" s="822"/>
      <c r="W250" s="822"/>
      <c r="X250" s="822"/>
      <c r="Y250" s="54">
        <v>5250</v>
      </c>
      <c r="Z250" s="822"/>
      <c r="AA250" s="822"/>
      <c r="AB250" s="822"/>
      <c r="AC250" s="822"/>
      <c r="AD250" s="822"/>
      <c r="AE250" s="54">
        <v>45.01</v>
      </c>
      <c r="AF250" s="822"/>
      <c r="AG250" s="54">
        <v>5295.01</v>
      </c>
      <c r="AH250" s="54">
        <v>0</v>
      </c>
    </row>
    <row r="251" spans="1:34" ht="15.75" thickBot="1" x14ac:dyDescent="0.3">
      <c r="A251" s="51" t="s">
        <v>953</v>
      </c>
      <c r="B251" s="51" t="s">
        <v>34</v>
      </c>
      <c r="C251" s="51" t="s">
        <v>437</v>
      </c>
      <c r="D251" s="51" t="s">
        <v>318</v>
      </c>
      <c r="E251" s="51" t="s">
        <v>265</v>
      </c>
      <c r="F251" s="51" t="s">
        <v>266</v>
      </c>
      <c r="G251" s="147">
        <v>7</v>
      </c>
      <c r="H251" s="54">
        <v>316844</v>
      </c>
      <c r="I251" s="822"/>
      <c r="J251" s="822"/>
      <c r="K251" s="822"/>
      <c r="L251" s="822"/>
      <c r="M251" s="822"/>
      <c r="N251" s="822"/>
      <c r="O251" s="822"/>
      <c r="P251" s="822"/>
      <c r="Q251" s="822"/>
      <c r="R251" s="822"/>
      <c r="S251" s="822"/>
      <c r="T251" s="822"/>
      <c r="U251" s="822"/>
      <c r="V251" s="822"/>
      <c r="W251" s="822"/>
      <c r="X251" s="822"/>
      <c r="Y251" s="54">
        <v>1204.01</v>
      </c>
      <c r="Z251" s="822"/>
      <c r="AA251" s="822"/>
      <c r="AB251" s="822"/>
      <c r="AC251" s="822"/>
      <c r="AD251" s="822"/>
      <c r="AE251" s="54">
        <v>3.34</v>
      </c>
      <c r="AF251" s="822"/>
      <c r="AG251" s="54">
        <v>1207.3499999999999</v>
      </c>
      <c r="AH251" s="54">
        <v>0</v>
      </c>
    </row>
    <row r="252" spans="1:34" ht="15.75" thickBot="1" x14ac:dyDescent="0.3">
      <c r="A252" s="51" t="s">
        <v>953</v>
      </c>
      <c r="B252" s="51" t="s">
        <v>34</v>
      </c>
      <c r="C252" s="51" t="s">
        <v>437</v>
      </c>
      <c r="D252" s="51" t="s">
        <v>318</v>
      </c>
      <c r="E252" s="51" t="s">
        <v>621</v>
      </c>
      <c r="F252" s="51" t="s">
        <v>970</v>
      </c>
      <c r="G252" s="147">
        <v>7</v>
      </c>
      <c r="H252" s="822"/>
      <c r="I252" s="822"/>
      <c r="J252" s="822"/>
      <c r="K252" s="822"/>
      <c r="L252" s="822"/>
      <c r="M252" s="822"/>
      <c r="N252" s="822"/>
      <c r="O252" s="822"/>
      <c r="P252" s="822"/>
      <c r="Q252" s="822"/>
      <c r="R252" s="822"/>
      <c r="S252" s="822"/>
      <c r="T252" s="822"/>
      <c r="U252" s="822"/>
      <c r="V252" s="822"/>
      <c r="W252" s="822"/>
      <c r="X252" s="822"/>
      <c r="Y252" s="822"/>
      <c r="Z252" s="822"/>
      <c r="AA252" s="822"/>
      <c r="AB252" s="822"/>
      <c r="AC252" s="822"/>
      <c r="AD252" s="822"/>
      <c r="AE252" s="54">
        <v>0.86</v>
      </c>
      <c r="AF252" s="822"/>
      <c r="AG252" s="54">
        <v>311.37</v>
      </c>
      <c r="AH252" s="149">
        <v>310.51</v>
      </c>
    </row>
    <row r="253" spans="1:34" ht="15.75" thickBot="1" x14ac:dyDescent="0.3">
      <c r="A253" s="51" t="s">
        <v>953</v>
      </c>
      <c r="B253" s="51" t="s">
        <v>34</v>
      </c>
      <c r="C253" s="51" t="s">
        <v>437</v>
      </c>
      <c r="D253" s="51" t="s">
        <v>318</v>
      </c>
      <c r="E253" s="51" t="s">
        <v>325</v>
      </c>
      <c r="F253" s="51" t="s">
        <v>974</v>
      </c>
      <c r="G253" s="147">
        <v>1</v>
      </c>
      <c r="H253" s="822"/>
      <c r="I253" s="822"/>
      <c r="J253" s="822"/>
      <c r="K253" s="822"/>
      <c r="L253" s="822"/>
      <c r="M253" s="822"/>
      <c r="N253" s="822"/>
      <c r="O253" s="822"/>
      <c r="P253" s="822"/>
      <c r="Q253" s="822"/>
      <c r="R253" s="822"/>
      <c r="S253" s="822"/>
      <c r="T253" s="822"/>
      <c r="U253" s="822"/>
      <c r="V253" s="822"/>
      <c r="W253" s="54">
        <v>4.72</v>
      </c>
      <c r="X253" s="822"/>
      <c r="Y253" s="822"/>
      <c r="Z253" s="822"/>
      <c r="AA253" s="822"/>
      <c r="AB253" s="822"/>
      <c r="AC253" s="822"/>
      <c r="AD253" s="822"/>
      <c r="AE253" s="54">
        <v>0.28000000000000003</v>
      </c>
      <c r="AF253" s="822"/>
      <c r="AG253" s="54">
        <v>5</v>
      </c>
      <c r="AH253" s="54">
        <v>0</v>
      </c>
    </row>
    <row r="254" spans="1:34" ht="15.75" thickBot="1" x14ac:dyDescent="0.3">
      <c r="A254" s="51" t="s">
        <v>953</v>
      </c>
      <c r="B254" s="51" t="s">
        <v>34</v>
      </c>
      <c r="C254" s="51" t="s">
        <v>437</v>
      </c>
      <c r="D254" s="51" t="s">
        <v>318</v>
      </c>
      <c r="E254" s="51" t="s">
        <v>268</v>
      </c>
      <c r="F254" s="51" t="s">
        <v>971</v>
      </c>
      <c r="G254" s="147">
        <v>7</v>
      </c>
      <c r="H254" s="822"/>
      <c r="I254" s="822"/>
      <c r="J254" s="822"/>
      <c r="K254" s="822"/>
      <c r="L254" s="822"/>
      <c r="M254" s="822"/>
      <c r="N254" s="822"/>
      <c r="O254" s="822"/>
      <c r="P254" s="822"/>
      <c r="Q254" s="822"/>
      <c r="R254" s="822"/>
      <c r="S254" s="822"/>
      <c r="T254" s="822"/>
      <c r="U254" s="822"/>
      <c r="V254" s="822"/>
      <c r="W254" s="822"/>
      <c r="X254" s="822"/>
      <c r="Y254" s="822"/>
      <c r="Z254" s="822"/>
      <c r="AA254" s="822"/>
      <c r="AB254" s="822"/>
      <c r="AC254" s="54">
        <v>3850</v>
      </c>
      <c r="AD254" s="822"/>
      <c r="AE254" s="54">
        <v>33</v>
      </c>
      <c r="AF254" s="822"/>
      <c r="AG254" s="54">
        <v>3883</v>
      </c>
      <c r="AH254" s="54">
        <v>0</v>
      </c>
    </row>
    <row r="255" spans="1:34" ht="15.75" thickBot="1" x14ac:dyDescent="0.3">
      <c r="A255" s="51" t="s">
        <v>953</v>
      </c>
      <c r="B255" s="51" t="s">
        <v>34</v>
      </c>
      <c r="C255" s="51" t="s">
        <v>437</v>
      </c>
      <c r="D255" s="51" t="s">
        <v>318</v>
      </c>
      <c r="E255" s="51" t="s">
        <v>914</v>
      </c>
      <c r="F255" s="51" t="s">
        <v>266</v>
      </c>
      <c r="G255" s="147">
        <v>7</v>
      </c>
      <c r="H255" s="822"/>
      <c r="I255" s="822"/>
      <c r="J255" s="822"/>
      <c r="K255" s="822"/>
      <c r="L255" s="822"/>
      <c r="M255" s="822"/>
      <c r="N255" s="822"/>
      <c r="O255" s="822"/>
      <c r="P255" s="822"/>
      <c r="Q255" s="822"/>
      <c r="R255" s="822"/>
      <c r="S255" s="822"/>
      <c r="T255" s="822"/>
      <c r="U255" s="822"/>
      <c r="V255" s="822"/>
      <c r="W255" s="822"/>
      <c r="X255" s="822"/>
      <c r="Y255" s="54">
        <v>10099.32</v>
      </c>
      <c r="Z255" s="822"/>
      <c r="AA255" s="822"/>
      <c r="AB255" s="822"/>
      <c r="AC255" s="822"/>
      <c r="AD255" s="822"/>
      <c r="AE255" s="54">
        <v>55.39</v>
      </c>
      <c r="AF255" s="822"/>
      <c r="AG255" s="54">
        <v>10154.709999999999</v>
      </c>
      <c r="AH255" s="54">
        <v>0</v>
      </c>
    </row>
    <row r="256" spans="1:34" ht="15.75" thickBot="1" x14ac:dyDescent="0.3">
      <c r="A256" s="51" t="s">
        <v>953</v>
      </c>
      <c r="B256" s="51" t="s">
        <v>34</v>
      </c>
      <c r="C256" s="51" t="s">
        <v>437</v>
      </c>
      <c r="D256" s="51" t="s">
        <v>319</v>
      </c>
      <c r="E256" s="51" t="s">
        <v>109</v>
      </c>
      <c r="F256" s="51" t="s">
        <v>986</v>
      </c>
      <c r="G256" s="148">
        <v>1</v>
      </c>
      <c r="H256" s="823"/>
      <c r="I256" s="823"/>
      <c r="J256" s="823"/>
      <c r="K256" s="823"/>
      <c r="L256" s="823"/>
      <c r="M256" s="823"/>
      <c r="N256" s="823"/>
      <c r="O256" s="823"/>
      <c r="P256" s="823"/>
      <c r="Q256" s="823"/>
      <c r="R256" s="823"/>
      <c r="S256" s="823"/>
      <c r="T256" s="823"/>
      <c r="U256" s="823"/>
      <c r="V256" s="823"/>
      <c r="W256" s="823"/>
      <c r="X256" s="823"/>
      <c r="Y256" s="56">
        <v>0.47</v>
      </c>
      <c r="Z256" s="823"/>
      <c r="AA256" s="823"/>
      <c r="AB256" s="823"/>
      <c r="AC256" s="823"/>
      <c r="AD256" s="823"/>
      <c r="AE256" s="56">
        <v>0.01</v>
      </c>
      <c r="AF256" s="823"/>
      <c r="AG256" s="56">
        <v>0.48</v>
      </c>
      <c r="AH256" s="56">
        <v>0</v>
      </c>
    </row>
    <row r="257" spans="1:34" ht="15.75" thickBot="1" x14ac:dyDescent="0.3">
      <c r="A257" s="51" t="s">
        <v>953</v>
      </c>
      <c r="B257" s="51" t="s">
        <v>34</v>
      </c>
      <c r="C257" s="51" t="s">
        <v>437</v>
      </c>
      <c r="D257" s="51" t="s">
        <v>319</v>
      </c>
      <c r="E257" s="51" t="s">
        <v>109</v>
      </c>
      <c r="F257" s="51" t="s">
        <v>968</v>
      </c>
      <c r="G257" s="147">
        <v>2</v>
      </c>
      <c r="H257" s="822"/>
      <c r="I257" s="822"/>
      <c r="J257" s="822"/>
      <c r="K257" s="822"/>
      <c r="L257" s="822"/>
      <c r="M257" s="822"/>
      <c r="N257" s="822"/>
      <c r="O257" s="822"/>
      <c r="P257" s="822"/>
      <c r="Q257" s="822"/>
      <c r="R257" s="822"/>
      <c r="S257" s="822"/>
      <c r="T257" s="822"/>
      <c r="U257" s="822"/>
      <c r="V257" s="822"/>
      <c r="W257" s="822"/>
      <c r="X257" s="822"/>
      <c r="Y257" s="54">
        <v>48.14</v>
      </c>
      <c r="Z257" s="822"/>
      <c r="AA257" s="822"/>
      <c r="AB257" s="822"/>
      <c r="AC257" s="822"/>
      <c r="AD257" s="822"/>
      <c r="AE257" s="54">
        <v>1.19</v>
      </c>
      <c r="AF257" s="822"/>
      <c r="AG257" s="54">
        <v>49.33</v>
      </c>
      <c r="AH257" s="54">
        <v>0</v>
      </c>
    </row>
    <row r="258" spans="1:34" ht="15.75" thickBot="1" x14ac:dyDescent="0.3">
      <c r="A258" s="51" t="s">
        <v>953</v>
      </c>
      <c r="B258" s="51" t="s">
        <v>34</v>
      </c>
      <c r="C258" s="51" t="s">
        <v>437</v>
      </c>
      <c r="D258" s="51" t="s">
        <v>319</v>
      </c>
      <c r="E258" s="51" t="s">
        <v>269</v>
      </c>
      <c r="F258" s="51" t="s">
        <v>364</v>
      </c>
      <c r="G258" s="147">
        <v>1</v>
      </c>
      <c r="H258" s="822"/>
      <c r="I258" s="822"/>
      <c r="J258" s="822"/>
      <c r="K258" s="822"/>
      <c r="L258" s="822"/>
      <c r="M258" s="822"/>
      <c r="N258" s="822"/>
      <c r="O258" s="822"/>
      <c r="P258" s="822"/>
      <c r="Q258" s="822"/>
      <c r="R258" s="822"/>
      <c r="S258" s="822"/>
      <c r="T258" s="822"/>
      <c r="U258" s="822"/>
      <c r="V258" s="822"/>
      <c r="W258" s="822"/>
      <c r="X258" s="822"/>
      <c r="Y258" s="822"/>
      <c r="Z258" s="822"/>
      <c r="AA258" s="54">
        <v>196.76</v>
      </c>
      <c r="AB258" s="822"/>
      <c r="AC258" s="822"/>
      <c r="AD258" s="822"/>
      <c r="AE258" s="54">
        <v>5.9</v>
      </c>
      <c r="AF258" s="822"/>
      <c r="AG258" s="54">
        <v>202.66</v>
      </c>
      <c r="AH258" s="54">
        <v>0</v>
      </c>
    </row>
    <row r="259" spans="1:34" ht="15.75" thickBot="1" x14ac:dyDescent="0.3">
      <c r="A259" s="51" t="s">
        <v>953</v>
      </c>
      <c r="B259" s="51" t="s">
        <v>34</v>
      </c>
      <c r="C259" s="51" t="s">
        <v>437</v>
      </c>
      <c r="D259" s="51" t="s">
        <v>319</v>
      </c>
      <c r="E259" s="51" t="s">
        <v>272</v>
      </c>
      <c r="F259" s="51" t="s">
        <v>969</v>
      </c>
      <c r="G259" s="147">
        <v>2</v>
      </c>
      <c r="H259" s="822"/>
      <c r="I259" s="822"/>
      <c r="J259" s="822"/>
      <c r="K259" s="822"/>
      <c r="L259" s="822"/>
      <c r="M259" s="822"/>
      <c r="N259" s="822"/>
      <c r="O259" s="822"/>
      <c r="P259" s="822"/>
      <c r="Q259" s="822"/>
      <c r="R259" s="822"/>
      <c r="S259" s="822"/>
      <c r="T259" s="822"/>
      <c r="U259" s="822"/>
      <c r="V259" s="822"/>
      <c r="W259" s="822"/>
      <c r="X259" s="822"/>
      <c r="Y259" s="54">
        <v>1500</v>
      </c>
      <c r="Z259" s="822"/>
      <c r="AA259" s="822"/>
      <c r="AB259" s="822"/>
      <c r="AC259" s="822"/>
      <c r="AD259" s="822"/>
      <c r="AE259" s="54">
        <v>22.51</v>
      </c>
      <c r="AF259" s="822"/>
      <c r="AG259" s="54">
        <v>1522.51</v>
      </c>
      <c r="AH259" s="54">
        <v>0</v>
      </c>
    </row>
    <row r="260" spans="1:34" ht="15.75" thickBot="1" x14ac:dyDescent="0.3">
      <c r="A260" s="51" t="s">
        <v>953</v>
      </c>
      <c r="B260" s="51" t="s">
        <v>34</v>
      </c>
      <c r="C260" s="51" t="s">
        <v>437</v>
      </c>
      <c r="D260" s="51" t="s">
        <v>319</v>
      </c>
      <c r="E260" s="51" t="s">
        <v>265</v>
      </c>
      <c r="F260" s="51" t="s">
        <v>270</v>
      </c>
      <c r="G260" s="147">
        <v>1</v>
      </c>
      <c r="H260" s="54">
        <v>981</v>
      </c>
      <c r="I260" s="822"/>
      <c r="J260" s="822"/>
      <c r="K260" s="822"/>
      <c r="L260" s="822"/>
      <c r="M260" s="822"/>
      <c r="N260" s="822"/>
      <c r="O260" s="822"/>
      <c r="P260" s="822"/>
      <c r="Q260" s="822"/>
      <c r="R260" s="822"/>
      <c r="S260" s="822"/>
      <c r="T260" s="822"/>
      <c r="U260" s="822"/>
      <c r="V260" s="822"/>
      <c r="W260" s="822"/>
      <c r="X260" s="822"/>
      <c r="Y260" s="822"/>
      <c r="Z260" s="54">
        <v>3.73</v>
      </c>
      <c r="AA260" s="822"/>
      <c r="AB260" s="822"/>
      <c r="AC260" s="822"/>
      <c r="AD260" s="822"/>
      <c r="AE260" s="54">
        <v>0.11</v>
      </c>
      <c r="AF260" s="822"/>
      <c r="AG260" s="54">
        <v>3.84</v>
      </c>
      <c r="AH260" s="54">
        <v>0</v>
      </c>
    </row>
    <row r="261" spans="1:34" ht="15.75" thickBot="1" x14ac:dyDescent="0.3">
      <c r="A261" s="51" t="s">
        <v>953</v>
      </c>
      <c r="B261" s="51" t="s">
        <v>34</v>
      </c>
      <c r="C261" s="51" t="s">
        <v>437</v>
      </c>
      <c r="D261" s="51" t="s">
        <v>319</v>
      </c>
      <c r="E261" s="51" t="s">
        <v>265</v>
      </c>
      <c r="F261" s="51" t="s">
        <v>266</v>
      </c>
      <c r="G261" s="148">
        <v>2</v>
      </c>
      <c r="H261" s="56">
        <v>100287</v>
      </c>
      <c r="I261" s="823"/>
      <c r="J261" s="823"/>
      <c r="K261" s="823"/>
      <c r="L261" s="823"/>
      <c r="M261" s="823"/>
      <c r="N261" s="823"/>
      <c r="O261" s="823"/>
      <c r="P261" s="823"/>
      <c r="Q261" s="823"/>
      <c r="R261" s="823"/>
      <c r="S261" s="823"/>
      <c r="T261" s="823"/>
      <c r="U261" s="823"/>
      <c r="V261" s="823"/>
      <c r="W261" s="823"/>
      <c r="X261" s="823"/>
      <c r="Y261" s="56">
        <v>381.09</v>
      </c>
      <c r="Z261" s="823"/>
      <c r="AA261" s="823"/>
      <c r="AB261" s="823"/>
      <c r="AC261" s="823"/>
      <c r="AD261" s="823"/>
      <c r="AE261" s="56">
        <v>9.39</v>
      </c>
      <c r="AF261" s="823"/>
      <c r="AG261" s="56">
        <v>390.48</v>
      </c>
      <c r="AH261" s="56">
        <v>0</v>
      </c>
    </row>
    <row r="262" spans="1:34" ht="15.75" thickBot="1" x14ac:dyDescent="0.3">
      <c r="A262" s="51" t="s">
        <v>953</v>
      </c>
      <c r="B262" s="51" t="s">
        <v>34</v>
      </c>
      <c r="C262" s="51" t="s">
        <v>437</v>
      </c>
      <c r="D262" s="51" t="s">
        <v>319</v>
      </c>
      <c r="E262" s="51" t="s">
        <v>621</v>
      </c>
      <c r="F262" s="51" t="s">
        <v>970</v>
      </c>
      <c r="G262" s="148">
        <v>2</v>
      </c>
      <c r="H262" s="823"/>
      <c r="I262" s="823"/>
      <c r="J262" s="823"/>
      <c r="K262" s="823"/>
      <c r="L262" s="823"/>
      <c r="M262" s="823"/>
      <c r="N262" s="823"/>
      <c r="O262" s="823"/>
      <c r="P262" s="823"/>
      <c r="Q262" s="823"/>
      <c r="R262" s="823"/>
      <c r="S262" s="823"/>
      <c r="T262" s="823"/>
      <c r="U262" s="823"/>
      <c r="V262" s="823"/>
      <c r="W262" s="823"/>
      <c r="X262" s="823"/>
      <c r="Y262" s="823"/>
      <c r="Z262" s="823"/>
      <c r="AA262" s="823"/>
      <c r="AB262" s="823"/>
      <c r="AC262" s="823"/>
      <c r="AD262" s="823"/>
      <c r="AE262" s="56">
        <v>2.42</v>
      </c>
      <c r="AF262" s="823"/>
      <c r="AG262" s="56">
        <v>100.7</v>
      </c>
      <c r="AH262" s="149">
        <v>98.28</v>
      </c>
    </row>
    <row r="263" spans="1:34" ht="15.75" thickBot="1" x14ac:dyDescent="0.3">
      <c r="A263" s="51" t="s">
        <v>953</v>
      </c>
      <c r="B263" s="51" t="s">
        <v>34</v>
      </c>
      <c r="C263" s="51" t="s">
        <v>437</v>
      </c>
      <c r="D263" s="51" t="s">
        <v>319</v>
      </c>
      <c r="E263" s="51" t="s">
        <v>916</v>
      </c>
      <c r="F263" s="51" t="s">
        <v>982</v>
      </c>
      <c r="G263" s="148">
        <v>1</v>
      </c>
      <c r="H263" s="823"/>
      <c r="I263" s="823"/>
      <c r="J263" s="823"/>
      <c r="K263" s="823"/>
      <c r="L263" s="823"/>
      <c r="M263" s="823"/>
      <c r="N263" s="823"/>
      <c r="O263" s="823"/>
      <c r="P263" s="823"/>
      <c r="Q263" s="823"/>
      <c r="R263" s="823"/>
      <c r="S263" s="823"/>
      <c r="T263" s="823"/>
      <c r="U263" s="823"/>
      <c r="V263" s="823"/>
      <c r="W263" s="823"/>
      <c r="X263" s="823"/>
      <c r="Y263" s="823"/>
      <c r="Z263" s="823"/>
      <c r="AA263" s="823"/>
      <c r="AB263" s="823"/>
      <c r="AC263" s="823"/>
      <c r="AD263" s="823"/>
      <c r="AE263" s="56">
        <v>0.03</v>
      </c>
      <c r="AF263" s="823"/>
      <c r="AG263" s="56">
        <v>0.99</v>
      </c>
      <c r="AH263" s="149">
        <v>0.96</v>
      </c>
    </row>
    <row r="264" spans="1:34" ht="15.75" thickBot="1" x14ac:dyDescent="0.3">
      <c r="A264" s="51" t="s">
        <v>953</v>
      </c>
      <c r="B264" s="51" t="s">
        <v>34</v>
      </c>
      <c r="C264" s="51" t="s">
        <v>437</v>
      </c>
      <c r="D264" s="51" t="s">
        <v>319</v>
      </c>
      <c r="E264" s="51" t="s">
        <v>271</v>
      </c>
      <c r="F264" s="51" t="s">
        <v>985</v>
      </c>
      <c r="G264" s="148">
        <v>1</v>
      </c>
      <c r="H264" s="823"/>
      <c r="I264" s="823"/>
      <c r="J264" s="823"/>
      <c r="K264" s="823"/>
      <c r="L264" s="823"/>
      <c r="M264" s="823"/>
      <c r="N264" s="823"/>
      <c r="O264" s="823"/>
      <c r="P264" s="823"/>
      <c r="Q264" s="823"/>
      <c r="R264" s="823"/>
      <c r="S264" s="823"/>
      <c r="T264" s="823"/>
      <c r="U264" s="823"/>
      <c r="V264" s="823"/>
      <c r="W264" s="823"/>
      <c r="X264" s="823"/>
      <c r="Y264" s="823"/>
      <c r="Z264" s="56">
        <v>2.0099999999999998</v>
      </c>
      <c r="AA264" s="823"/>
      <c r="AB264" s="823"/>
      <c r="AC264" s="823"/>
      <c r="AD264" s="823"/>
      <c r="AE264" s="56">
        <v>0.06</v>
      </c>
      <c r="AF264" s="823"/>
      <c r="AG264" s="56">
        <v>2.0699999999999998</v>
      </c>
      <c r="AH264" s="56">
        <v>0</v>
      </c>
    </row>
    <row r="265" spans="1:34" ht="15.75" thickBot="1" x14ac:dyDescent="0.3">
      <c r="A265" s="51" t="s">
        <v>953</v>
      </c>
      <c r="B265" s="51" t="s">
        <v>34</v>
      </c>
      <c r="C265" s="51" t="s">
        <v>437</v>
      </c>
      <c r="D265" s="51" t="s">
        <v>319</v>
      </c>
      <c r="E265" s="51" t="s">
        <v>325</v>
      </c>
      <c r="F265" s="51" t="s">
        <v>974</v>
      </c>
      <c r="G265" s="148">
        <v>1</v>
      </c>
      <c r="H265" s="823"/>
      <c r="I265" s="823"/>
      <c r="J265" s="823"/>
      <c r="K265" s="823"/>
      <c r="L265" s="823"/>
      <c r="M265" s="823"/>
      <c r="N265" s="823"/>
      <c r="O265" s="823"/>
      <c r="P265" s="823"/>
      <c r="Q265" s="823"/>
      <c r="R265" s="823"/>
      <c r="S265" s="823"/>
      <c r="T265" s="823"/>
      <c r="U265" s="823"/>
      <c r="V265" s="823"/>
      <c r="W265" s="56">
        <v>14.23</v>
      </c>
      <c r="X265" s="823"/>
      <c r="Y265" s="823"/>
      <c r="Z265" s="823"/>
      <c r="AA265" s="823"/>
      <c r="AB265" s="823"/>
      <c r="AC265" s="823"/>
      <c r="AD265" s="823"/>
      <c r="AE265" s="56">
        <v>0</v>
      </c>
      <c r="AF265" s="823"/>
      <c r="AG265" s="56">
        <v>14.23</v>
      </c>
      <c r="AH265" s="56">
        <v>0</v>
      </c>
    </row>
    <row r="266" spans="1:34" ht="15.75" thickBot="1" x14ac:dyDescent="0.3">
      <c r="A266" s="51" t="s">
        <v>953</v>
      </c>
      <c r="B266" s="51" t="s">
        <v>34</v>
      </c>
      <c r="C266" s="51" t="s">
        <v>437</v>
      </c>
      <c r="D266" s="51" t="s">
        <v>319</v>
      </c>
      <c r="E266" s="51" t="s">
        <v>268</v>
      </c>
      <c r="F266" s="51" t="s">
        <v>971</v>
      </c>
      <c r="G266" s="148">
        <v>2</v>
      </c>
      <c r="H266" s="823"/>
      <c r="I266" s="823"/>
      <c r="J266" s="823"/>
      <c r="K266" s="823"/>
      <c r="L266" s="823"/>
      <c r="M266" s="823"/>
      <c r="N266" s="823"/>
      <c r="O266" s="823"/>
      <c r="P266" s="823"/>
      <c r="Q266" s="823"/>
      <c r="R266" s="823"/>
      <c r="S266" s="823"/>
      <c r="T266" s="823"/>
      <c r="U266" s="823"/>
      <c r="V266" s="823"/>
      <c r="W266" s="823"/>
      <c r="X266" s="823"/>
      <c r="Y266" s="823"/>
      <c r="Z266" s="823"/>
      <c r="AA266" s="823"/>
      <c r="AB266" s="823"/>
      <c r="AC266" s="56">
        <v>1100</v>
      </c>
      <c r="AD266" s="823"/>
      <c r="AE266" s="56">
        <v>16.5</v>
      </c>
      <c r="AF266" s="823"/>
      <c r="AG266" s="56">
        <v>1116.5</v>
      </c>
      <c r="AH266" s="56">
        <v>0</v>
      </c>
    </row>
    <row r="267" spans="1:34" ht="15.75" thickBot="1" x14ac:dyDescent="0.3">
      <c r="A267" s="51" t="s">
        <v>953</v>
      </c>
      <c r="B267" s="51" t="s">
        <v>34</v>
      </c>
      <c r="C267" s="51" t="s">
        <v>437</v>
      </c>
      <c r="D267" s="51" t="s">
        <v>319</v>
      </c>
      <c r="E267" s="51" t="s">
        <v>914</v>
      </c>
      <c r="F267" s="51" t="s">
        <v>266</v>
      </c>
      <c r="G267" s="148">
        <v>2</v>
      </c>
      <c r="H267" s="823"/>
      <c r="I267" s="823"/>
      <c r="J267" s="823"/>
      <c r="K267" s="823"/>
      <c r="L267" s="823"/>
      <c r="M267" s="823"/>
      <c r="N267" s="823"/>
      <c r="O267" s="823"/>
      <c r="P267" s="823"/>
      <c r="Q267" s="823"/>
      <c r="R267" s="823"/>
      <c r="S267" s="823"/>
      <c r="T267" s="823"/>
      <c r="U267" s="823"/>
      <c r="V267" s="823"/>
      <c r="W267" s="823"/>
      <c r="X267" s="823"/>
      <c r="Y267" s="56">
        <v>3486.08</v>
      </c>
      <c r="Z267" s="823"/>
      <c r="AA267" s="823"/>
      <c r="AB267" s="823"/>
      <c r="AC267" s="823"/>
      <c r="AD267" s="823"/>
      <c r="AE267" s="56">
        <v>78.91</v>
      </c>
      <c r="AF267" s="823"/>
      <c r="AG267" s="56">
        <v>3564.99</v>
      </c>
      <c r="AH267" s="56">
        <v>0</v>
      </c>
    </row>
    <row r="268" spans="1:34" ht="15.75" thickBot="1" x14ac:dyDescent="0.3">
      <c r="A268" s="51" t="s">
        <v>953</v>
      </c>
      <c r="B268" s="51" t="s">
        <v>34</v>
      </c>
      <c r="C268" s="51" t="s">
        <v>437</v>
      </c>
      <c r="D268" s="51" t="s">
        <v>319</v>
      </c>
      <c r="E268" s="51" t="s">
        <v>329</v>
      </c>
      <c r="F268" s="51" t="s">
        <v>975</v>
      </c>
      <c r="G268" s="148">
        <v>1</v>
      </c>
      <c r="H268" s="823"/>
      <c r="I268" s="823"/>
      <c r="J268" s="823"/>
      <c r="K268" s="823"/>
      <c r="L268" s="823"/>
      <c r="M268" s="823"/>
      <c r="N268" s="823"/>
      <c r="O268" s="823"/>
      <c r="P268" s="823"/>
      <c r="Q268" s="823"/>
      <c r="R268" s="823"/>
      <c r="S268" s="823"/>
      <c r="T268" s="823"/>
      <c r="U268" s="823"/>
      <c r="V268" s="823"/>
      <c r="W268" s="823"/>
      <c r="X268" s="823"/>
      <c r="Y268" s="56">
        <v>59.02</v>
      </c>
      <c r="Z268" s="823"/>
      <c r="AA268" s="823"/>
      <c r="AB268" s="823"/>
      <c r="AC268" s="823"/>
      <c r="AD268" s="56">
        <v>59.02</v>
      </c>
      <c r="AE268" s="56">
        <v>1.77</v>
      </c>
      <c r="AF268" s="823"/>
      <c r="AG268" s="56">
        <v>60.79</v>
      </c>
      <c r="AH268" s="149">
        <v>-59.02</v>
      </c>
    </row>
    <row r="269" spans="1:34" ht="15.75" thickBot="1" x14ac:dyDescent="0.3">
      <c r="A269" s="51" t="s">
        <v>953</v>
      </c>
      <c r="B269" s="51" t="s">
        <v>34</v>
      </c>
      <c r="C269" s="51" t="s">
        <v>437</v>
      </c>
      <c r="D269" s="51" t="s">
        <v>319</v>
      </c>
      <c r="E269" s="51" t="s">
        <v>330</v>
      </c>
      <c r="F269" s="51" t="s">
        <v>976</v>
      </c>
      <c r="G269" s="148">
        <v>1</v>
      </c>
      <c r="H269" s="823"/>
      <c r="I269" s="823"/>
      <c r="J269" s="823"/>
      <c r="K269" s="823"/>
      <c r="L269" s="823"/>
      <c r="M269" s="823"/>
      <c r="N269" s="823"/>
      <c r="O269" s="823"/>
      <c r="P269" s="823"/>
      <c r="Q269" s="823"/>
      <c r="R269" s="823"/>
      <c r="S269" s="823"/>
      <c r="T269" s="823"/>
      <c r="U269" s="823"/>
      <c r="V269" s="823"/>
      <c r="W269" s="823"/>
      <c r="X269" s="823"/>
      <c r="Y269" s="56">
        <v>137.83000000000001</v>
      </c>
      <c r="Z269" s="823"/>
      <c r="AA269" s="823"/>
      <c r="AB269" s="823"/>
      <c r="AC269" s="823"/>
      <c r="AD269" s="823"/>
      <c r="AE269" s="56">
        <v>4.1399999999999997</v>
      </c>
      <c r="AF269" s="823"/>
      <c r="AG269" s="56">
        <v>141.97</v>
      </c>
      <c r="AH269" s="56">
        <v>0</v>
      </c>
    </row>
    <row r="270" spans="1:34" ht="15.75" thickBot="1" x14ac:dyDescent="0.3">
      <c r="A270" s="51" t="s">
        <v>953</v>
      </c>
      <c r="B270" s="51" t="s">
        <v>31</v>
      </c>
      <c r="C270" s="51" t="s">
        <v>835</v>
      </c>
      <c r="D270" s="51" t="s">
        <v>320</v>
      </c>
      <c r="E270" s="51" t="s">
        <v>357</v>
      </c>
      <c r="F270" s="51" t="s">
        <v>984</v>
      </c>
      <c r="G270" s="148">
        <v>1</v>
      </c>
      <c r="H270" s="823"/>
      <c r="I270" s="823"/>
      <c r="J270" s="823"/>
      <c r="K270" s="823"/>
      <c r="L270" s="823"/>
      <c r="M270" s="823"/>
      <c r="N270" s="823"/>
      <c r="O270" s="823"/>
      <c r="P270" s="823"/>
      <c r="Q270" s="823"/>
      <c r="R270" s="823"/>
      <c r="S270" s="823"/>
      <c r="T270" s="823"/>
      <c r="U270" s="823"/>
      <c r="V270" s="823"/>
      <c r="W270" s="823"/>
      <c r="X270" s="56">
        <v>-701.57</v>
      </c>
      <c r="Y270" s="823"/>
      <c r="Z270" s="823"/>
      <c r="AA270" s="823"/>
      <c r="AB270" s="823"/>
      <c r="AC270" s="823"/>
      <c r="AD270" s="823"/>
      <c r="AE270" s="56">
        <v>-64.400000000000006</v>
      </c>
      <c r="AF270" s="823"/>
      <c r="AG270" s="56">
        <v>-765.97</v>
      </c>
      <c r="AH270" s="56">
        <v>0</v>
      </c>
    </row>
    <row r="271" spans="1:34" ht="15.75" thickBot="1" x14ac:dyDescent="0.3">
      <c r="A271" s="51" t="s">
        <v>953</v>
      </c>
      <c r="B271" s="51" t="s">
        <v>31</v>
      </c>
      <c r="C271" s="51" t="s">
        <v>835</v>
      </c>
      <c r="D271" s="51" t="s">
        <v>320</v>
      </c>
      <c r="E271" s="51" t="s">
        <v>272</v>
      </c>
      <c r="F271" s="51" t="s">
        <v>969</v>
      </c>
      <c r="G271" s="148">
        <v>2</v>
      </c>
      <c r="H271" s="823"/>
      <c r="I271" s="823"/>
      <c r="J271" s="823"/>
      <c r="K271" s="823"/>
      <c r="L271" s="823"/>
      <c r="M271" s="823"/>
      <c r="N271" s="823"/>
      <c r="O271" s="823"/>
      <c r="P271" s="823"/>
      <c r="Q271" s="823"/>
      <c r="R271" s="823"/>
      <c r="S271" s="823"/>
      <c r="T271" s="823"/>
      <c r="U271" s="823"/>
      <c r="V271" s="823"/>
      <c r="W271" s="823"/>
      <c r="X271" s="823"/>
      <c r="Y271" s="56">
        <v>1527.68</v>
      </c>
      <c r="Z271" s="823"/>
      <c r="AA271" s="823"/>
      <c r="AB271" s="823"/>
      <c r="AC271" s="823"/>
      <c r="AD271" s="823"/>
      <c r="AE271" s="56">
        <v>115.95</v>
      </c>
      <c r="AF271" s="823"/>
      <c r="AG271" s="56">
        <v>1643.63</v>
      </c>
      <c r="AH271" s="56">
        <v>0</v>
      </c>
    </row>
    <row r="272" spans="1:34" ht="15.75" thickBot="1" x14ac:dyDescent="0.3">
      <c r="A272" s="51" t="s">
        <v>953</v>
      </c>
      <c r="B272" s="51" t="s">
        <v>31</v>
      </c>
      <c r="C272" s="51" t="s">
        <v>835</v>
      </c>
      <c r="D272" s="51" t="s">
        <v>320</v>
      </c>
      <c r="E272" s="51" t="s">
        <v>265</v>
      </c>
      <c r="F272" s="51" t="s">
        <v>266</v>
      </c>
      <c r="G272" s="148">
        <v>2</v>
      </c>
      <c r="H272" s="56">
        <v>2000</v>
      </c>
      <c r="I272" s="56">
        <v>94457</v>
      </c>
      <c r="J272" s="823"/>
      <c r="K272" s="823"/>
      <c r="L272" s="823"/>
      <c r="M272" s="823"/>
      <c r="N272" s="823"/>
      <c r="O272" s="823"/>
      <c r="P272" s="823"/>
      <c r="Q272" s="823"/>
      <c r="R272" s="823"/>
      <c r="S272" s="823"/>
      <c r="T272" s="823"/>
      <c r="U272" s="823"/>
      <c r="V272" s="823"/>
      <c r="W272" s="823"/>
      <c r="X272" s="823"/>
      <c r="Y272" s="56">
        <v>16429.21</v>
      </c>
      <c r="Z272" s="823"/>
      <c r="AA272" s="823"/>
      <c r="AB272" s="823"/>
      <c r="AC272" s="823"/>
      <c r="AD272" s="823"/>
      <c r="AE272" s="56">
        <v>1418.49</v>
      </c>
      <c r="AF272" s="823"/>
      <c r="AG272" s="56">
        <v>17847.7</v>
      </c>
      <c r="AH272" s="56">
        <v>0</v>
      </c>
    </row>
    <row r="273" spans="1:34" ht="15.75" thickBot="1" x14ac:dyDescent="0.3">
      <c r="A273" s="51" t="s">
        <v>953</v>
      </c>
      <c r="B273" s="51" t="s">
        <v>31</v>
      </c>
      <c r="C273" s="51" t="s">
        <v>835</v>
      </c>
      <c r="D273" s="51" t="s">
        <v>320</v>
      </c>
      <c r="E273" s="51" t="s">
        <v>620</v>
      </c>
      <c r="F273" s="51" t="s">
        <v>978</v>
      </c>
      <c r="G273" s="148">
        <v>2</v>
      </c>
      <c r="H273" s="823"/>
      <c r="I273" s="823"/>
      <c r="J273" s="823"/>
      <c r="K273" s="823"/>
      <c r="L273" s="823"/>
      <c r="M273" s="823"/>
      <c r="N273" s="823"/>
      <c r="O273" s="823"/>
      <c r="P273" s="823"/>
      <c r="Q273" s="823"/>
      <c r="R273" s="823"/>
      <c r="S273" s="823"/>
      <c r="T273" s="823"/>
      <c r="U273" s="823"/>
      <c r="V273" s="823"/>
      <c r="W273" s="823"/>
      <c r="X273" s="823"/>
      <c r="Y273" s="823"/>
      <c r="Z273" s="823"/>
      <c r="AA273" s="823"/>
      <c r="AB273" s="823"/>
      <c r="AC273" s="823"/>
      <c r="AD273" s="823"/>
      <c r="AE273" s="56">
        <v>16.850000000000001</v>
      </c>
      <c r="AF273" s="823"/>
      <c r="AG273" s="56">
        <v>238.89</v>
      </c>
      <c r="AH273" s="149">
        <v>222.04</v>
      </c>
    </row>
    <row r="274" spans="1:34" ht="15.75" thickBot="1" x14ac:dyDescent="0.3">
      <c r="A274" s="51" t="s">
        <v>953</v>
      </c>
      <c r="B274" s="51" t="s">
        <v>31</v>
      </c>
      <c r="C274" s="51" t="s">
        <v>835</v>
      </c>
      <c r="D274" s="51" t="s">
        <v>320</v>
      </c>
      <c r="E274" s="51" t="s">
        <v>621</v>
      </c>
      <c r="F274" s="51" t="s">
        <v>970</v>
      </c>
      <c r="G274" s="148">
        <v>2</v>
      </c>
      <c r="H274" s="823"/>
      <c r="I274" s="823"/>
      <c r="J274" s="823"/>
      <c r="K274" s="823"/>
      <c r="L274" s="823"/>
      <c r="M274" s="823"/>
      <c r="N274" s="823"/>
      <c r="O274" s="823"/>
      <c r="P274" s="823"/>
      <c r="Q274" s="823"/>
      <c r="R274" s="823"/>
      <c r="S274" s="823"/>
      <c r="T274" s="823"/>
      <c r="U274" s="823"/>
      <c r="V274" s="823"/>
      <c r="W274" s="823"/>
      <c r="X274" s="823"/>
      <c r="Y274" s="823"/>
      <c r="Z274" s="823"/>
      <c r="AA274" s="823"/>
      <c r="AB274" s="823"/>
      <c r="AC274" s="823"/>
      <c r="AD274" s="823"/>
      <c r="AE274" s="56">
        <v>97.51</v>
      </c>
      <c r="AF274" s="823"/>
      <c r="AG274" s="56">
        <v>1226.06</v>
      </c>
      <c r="AH274" s="149">
        <v>1128.55</v>
      </c>
    </row>
    <row r="275" spans="1:34" ht="15.75" thickBot="1" x14ac:dyDescent="0.3">
      <c r="A275" s="51" t="s">
        <v>953</v>
      </c>
      <c r="B275" s="51" t="s">
        <v>31</v>
      </c>
      <c r="C275" s="51" t="s">
        <v>835</v>
      </c>
      <c r="D275" s="51" t="s">
        <v>320</v>
      </c>
      <c r="E275" s="51" t="s">
        <v>273</v>
      </c>
      <c r="F275" s="51" t="s">
        <v>979</v>
      </c>
      <c r="G275" s="148">
        <v>2</v>
      </c>
      <c r="H275" s="823"/>
      <c r="I275" s="823"/>
      <c r="J275" s="823"/>
      <c r="K275" s="823"/>
      <c r="L275" s="823"/>
      <c r="M275" s="823"/>
      <c r="N275" s="823"/>
      <c r="O275" s="823"/>
      <c r="P275" s="823"/>
      <c r="Q275" s="823"/>
      <c r="R275" s="823"/>
      <c r="S275" s="823"/>
      <c r="T275" s="823"/>
      <c r="U275" s="823"/>
      <c r="V275" s="823"/>
      <c r="W275" s="823"/>
      <c r="X275" s="823"/>
      <c r="Y275" s="56">
        <v>8300.1200000000008</v>
      </c>
      <c r="Z275" s="823"/>
      <c r="AA275" s="823"/>
      <c r="AB275" s="823"/>
      <c r="AC275" s="823"/>
      <c r="AD275" s="823"/>
      <c r="AE275" s="56">
        <v>717.16</v>
      </c>
      <c r="AF275" s="823"/>
      <c r="AG275" s="56">
        <v>9017.2800000000007</v>
      </c>
      <c r="AH275" s="56">
        <v>0</v>
      </c>
    </row>
    <row r="276" spans="1:34" ht="15.75" thickBot="1" x14ac:dyDescent="0.3">
      <c r="A276" s="51" t="s">
        <v>953</v>
      </c>
      <c r="B276" s="51" t="s">
        <v>31</v>
      </c>
      <c r="C276" s="51" t="s">
        <v>835</v>
      </c>
      <c r="D276" s="51" t="s">
        <v>320</v>
      </c>
      <c r="E276" s="51" t="s">
        <v>268</v>
      </c>
      <c r="F276" s="51" t="s">
        <v>971</v>
      </c>
      <c r="G276" s="148">
        <v>2</v>
      </c>
      <c r="H276" s="823"/>
      <c r="I276" s="823"/>
      <c r="J276" s="823"/>
      <c r="K276" s="823"/>
      <c r="L276" s="823"/>
      <c r="M276" s="823"/>
      <c r="N276" s="823"/>
      <c r="O276" s="823"/>
      <c r="P276" s="823"/>
      <c r="Q276" s="823"/>
      <c r="R276" s="823"/>
      <c r="S276" s="823"/>
      <c r="T276" s="823"/>
      <c r="U276" s="823"/>
      <c r="V276" s="823"/>
      <c r="W276" s="823"/>
      <c r="X276" s="823"/>
      <c r="Y276" s="823"/>
      <c r="Z276" s="823"/>
      <c r="AA276" s="823"/>
      <c r="AB276" s="823"/>
      <c r="AC276" s="56">
        <v>1100</v>
      </c>
      <c r="AD276" s="823"/>
      <c r="AE276" s="56">
        <v>83.49</v>
      </c>
      <c r="AF276" s="823"/>
      <c r="AG276" s="56">
        <v>1183.49</v>
      </c>
      <c r="AH276" s="56">
        <v>0</v>
      </c>
    </row>
    <row r="277" spans="1:34" ht="15.75" thickBot="1" x14ac:dyDescent="0.3">
      <c r="A277" s="51" t="s">
        <v>953</v>
      </c>
      <c r="B277" s="51" t="s">
        <v>491</v>
      </c>
      <c r="C277" s="51" t="s">
        <v>492</v>
      </c>
      <c r="D277" s="51" t="s">
        <v>320</v>
      </c>
      <c r="E277" s="51" t="s">
        <v>109</v>
      </c>
      <c r="F277" s="51" t="s">
        <v>968</v>
      </c>
      <c r="G277" s="147">
        <v>6</v>
      </c>
      <c r="H277" s="822"/>
      <c r="I277" s="822"/>
      <c r="J277" s="822"/>
      <c r="K277" s="822"/>
      <c r="L277" s="822"/>
      <c r="M277" s="822"/>
      <c r="N277" s="822"/>
      <c r="O277" s="822"/>
      <c r="P277" s="822"/>
      <c r="Q277" s="822"/>
      <c r="R277" s="822"/>
      <c r="S277" s="822"/>
      <c r="T277" s="822"/>
      <c r="U277" s="822"/>
      <c r="V277" s="822"/>
      <c r="W277" s="822"/>
      <c r="X277" s="822"/>
      <c r="Y277" s="54">
        <v>99.9</v>
      </c>
      <c r="Z277" s="822"/>
      <c r="AA277" s="822"/>
      <c r="AB277" s="822"/>
      <c r="AC277" s="822"/>
      <c r="AD277" s="822"/>
      <c r="AE277" s="54">
        <v>2.66</v>
      </c>
      <c r="AF277" s="822"/>
      <c r="AG277" s="54">
        <v>102.56</v>
      </c>
      <c r="AH277" s="54">
        <v>0</v>
      </c>
    </row>
    <row r="278" spans="1:34" ht="15.75" thickBot="1" x14ac:dyDescent="0.3">
      <c r="A278" s="51" t="s">
        <v>953</v>
      </c>
      <c r="B278" s="51" t="s">
        <v>491</v>
      </c>
      <c r="C278" s="51" t="s">
        <v>492</v>
      </c>
      <c r="D278" s="51" t="s">
        <v>320</v>
      </c>
      <c r="E278" s="51" t="s">
        <v>272</v>
      </c>
      <c r="F278" s="51" t="s">
        <v>969</v>
      </c>
      <c r="G278" s="147">
        <v>6</v>
      </c>
      <c r="H278" s="822"/>
      <c r="I278" s="822"/>
      <c r="J278" s="822"/>
      <c r="K278" s="822"/>
      <c r="L278" s="822"/>
      <c r="M278" s="822"/>
      <c r="N278" s="822"/>
      <c r="O278" s="822"/>
      <c r="P278" s="822"/>
      <c r="Q278" s="822"/>
      <c r="R278" s="822"/>
      <c r="S278" s="822"/>
      <c r="T278" s="822"/>
      <c r="U278" s="822"/>
      <c r="V278" s="822"/>
      <c r="W278" s="822"/>
      <c r="X278" s="822"/>
      <c r="Y278" s="54">
        <v>4583.04</v>
      </c>
      <c r="Z278" s="822"/>
      <c r="AA278" s="822"/>
      <c r="AB278" s="822"/>
      <c r="AC278" s="822"/>
      <c r="AD278" s="822"/>
      <c r="AE278" s="54">
        <v>138.86000000000001</v>
      </c>
      <c r="AF278" s="822"/>
      <c r="AG278" s="54">
        <v>4721.8999999999996</v>
      </c>
      <c r="AH278" s="54">
        <v>0</v>
      </c>
    </row>
    <row r="279" spans="1:34" ht="15.75" thickBot="1" x14ac:dyDescent="0.3">
      <c r="A279" s="51" t="s">
        <v>953</v>
      </c>
      <c r="B279" s="51" t="s">
        <v>491</v>
      </c>
      <c r="C279" s="51" t="s">
        <v>492</v>
      </c>
      <c r="D279" s="51" t="s">
        <v>320</v>
      </c>
      <c r="E279" s="51" t="s">
        <v>265</v>
      </c>
      <c r="F279" s="51" t="s">
        <v>266</v>
      </c>
      <c r="G279" s="147">
        <v>6</v>
      </c>
      <c r="H279" s="54">
        <v>6000</v>
      </c>
      <c r="I279" s="54">
        <v>202097</v>
      </c>
      <c r="J279" s="822"/>
      <c r="K279" s="822"/>
      <c r="L279" s="822"/>
      <c r="M279" s="822"/>
      <c r="N279" s="822"/>
      <c r="O279" s="822"/>
      <c r="P279" s="822"/>
      <c r="Q279" s="822"/>
      <c r="R279" s="822"/>
      <c r="S279" s="822"/>
      <c r="T279" s="822"/>
      <c r="U279" s="822"/>
      <c r="V279" s="822"/>
      <c r="W279" s="822"/>
      <c r="X279" s="822"/>
      <c r="Y279" s="54">
        <v>35528.75</v>
      </c>
      <c r="Z279" s="822"/>
      <c r="AA279" s="822"/>
      <c r="AB279" s="822"/>
      <c r="AC279" s="822"/>
      <c r="AD279" s="822"/>
      <c r="AE279" s="54">
        <v>947.57</v>
      </c>
      <c r="AF279" s="822"/>
      <c r="AG279" s="54">
        <v>36476.32</v>
      </c>
      <c r="AH279" s="54">
        <v>0</v>
      </c>
    </row>
    <row r="280" spans="1:34" ht="15.75" thickBot="1" x14ac:dyDescent="0.3">
      <c r="A280" s="51" t="s">
        <v>953</v>
      </c>
      <c r="B280" s="51" t="s">
        <v>491</v>
      </c>
      <c r="C280" s="51" t="s">
        <v>492</v>
      </c>
      <c r="D280" s="51" t="s">
        <v>320</v>
      </c>
      <c r="E280" s="51" t="s">
        <v>620</v>
      </c>
      <c r="F280" s="51" t="s">
        <v>978</v>
      </c>
      <c r="G280" s="147">
        <v>6</v>
      </c>
      <c r="H280" s="822"/>
      <c r="I280" s="822"/>
      <c r="J280" s="822"/>
      <c r="K280" s="822"/>
      <c r="L280" s="822"/>
      <c r="M280" s="822"/>
      <c r="N280" s="822"/>
      <c r="O280" s="822"/>
      <c r="P280" s="822"/>
      <c r="Q280" s="822"/>
      <c r="R280" s="822"/>
      <c r="S280" s="822"/>
      <c r="T280" s="822"/>
      <c r="U280" s="822"/>
      <c r="V280" s="822"/>
      <c r="W280" s="822"/>
      <c r="X280" s="822"/>
      <c r="Y280" s="822"/>
      <c r="Z280" s="822"/>
      <c r="AA280" s="822"/>
      <c r="AB280" s="822"/>
      <c r="AC280" s="822"/>
      <c r="AD280" s="822"/>
      <c r="AE280" s="54">
        <v>20.18</v>
      </c>
      <c r="AF280" s="822"/>
      <c r="AG280" s="54">
        <v>686.3</v>
      </c>
      <c r="AH280" s="149">
        <v>666.12</v>
      </c>
    </row>
    <row r="281" spans="1:34" ht="15.75" thickBot="1" x14ac:dyDescent="0.3">
      <c r="A281" s="51" t="s">
        <v>953</v>
      </c>
      <c r="B281" s="51" t="s">
        <v>491</v>
      </c>
      <c r="C281" s="51" t="s">
        <v>492</v>
      </c>
      <c r="D281" s="51" t="s">
        <v>320</v>
      </c>
      <c r="E281" s="51" t="s">
        <v>621</v>
      </c>
      <c r="F281" s="51" t="s">
        <v>970</v>
      </c>
      <c r="G281" s="147">
        <v>6</v>
      </c>
      <c r="H281" s="822"/>
      <c r="I281" s="822"/>
      <c r="J281" s="822"/>
      <c r="K281" s="822"/>
      <c r="L281" s="822"/>
      <c r="M281" s="822"/>
      <c r="N281" s="822"/>
      <c r="O281" s="822"/>
      <c r="P281" s="822"/>
      <c r="Q281" s="822"/>
      <c r="R281" s="822"/>
      <c r="S281" s="822"/>
      <c r="T281" s="822"/>
      <c r="U281" s="822"/>
      <c r="V281" s="822"/>
      <c r="W281" s="822"/>
      <c r="X281" s="822"/>
      <c r="Y281" s="822"/>
      <c r="Z281" s="822"/>
      <c r="AA281" s="822"/>
      <c r="AB281" s="822"/>
      <c r="AC281" s="822"/>
      <c r="AD281" s="822"/>
      <c r="AE281" s="54">
        <v>64.86</v>
      </c>
      <c r="AF281" s="822"/>
      <c r="AG281" s="54">
        <v>2499.6</v>
      </c>
      <c r="AH281" s="149">
        <v>2434.7399999999998</v>
      </c>
    </row>
    <row r="282" spans="1:34" ht="15.75" thickBot="1" x14ac:dyDescent="0.3">
      <c r="A282" s="51" t="s">
        <v>953</v>
      </c>
      <c r="B282" s="51" t="s">
        <v>491</v>
      </c>
      <c r="C282" s="51" t="s">
        <v>492</v>
      </c>
      <c r="D282" s="51" t="s">
        <v>320</v>
      </c>
      <c r="E282" s="51" t="s">
        <v>273</v>
      </c>
      <c r="F282" s="51" t="s">
        <v>979</v>
      </c>
      <c r="G282" s="147">
        <v>6</v>
      </c>
      <c r="H282" s="822"/>
      <c r="I282" s="822"/>
      <c r="J282" s="822"/>
      <c r="K282" s="822"/>
      <c r="L282" s="822"/>
      <c r="M282" s="822"/>
      <c r="N282" s="822"/>
      <c r="O282" s="822"/>
      <c r="P282" s="822"/>
      <c r="Q282" s="822"/>
      <c r="R282" s="822"/>
      <c r="S282" s="822"/>
      <c r="T282" s="822"/>
      <c r="U282" s="822"/>
      <c r="V282" s="822"/>
      <c r="W282" s="822"/>
      <c r="X282" s="822"/>
      <c r="Y282" s="54">
        <v>17906.75</v>
      </c>
      <c r="Z282" s="822"/>
      <c r="AA282" s="822"/>
      <c r="AB282" s="822"/>
      <c r="AC282" s="822"/>
      <c r="AD282" s="822"/>
      <c r="AE282" s="54">
        <v>477.03</v>
      </c>
      <c r="AF282" s="822"/>
      <c r="AG282" s="54">
        <v>18383.78</v>
      </c>
      <c r="AH282" s="54">
        <v>0</v>
      </c>
    </row>
    <row r="283" spans="1:34" ht="15.75" thickBot="1" x14ac:dyDescent="0.3">
      <c r="A283" s="51" t="s">
        <v>953</v>
      </c>
      <c r="B283" s="51" t="s">
        <v>491</v>
      </c>
      <c r="C283" s="51" t="s">
        <v>492</v>
      </c>
      <c r="D283" s="51" t="s">
        <v>320</v>
      </c>
      <c r="E283" s="51" t="s">
        <v>268</v>
      </c>
      <c r="F283" s="51" t="s">
        <v>971</v>
      </c>
      <c r="G283" s="147">
        <v>6</v>
      </c>
      <c r="H283" s="822"/>
      <c r="I283" s="822"/>
      <c r="J283" s="822"/>
      <c r="K283" s="822"/>
      <c r="L283" s="822"/>
      <c r="M283" s="822"/>
      <c r="N283" s="822"/>
      <c r="O283" s="822"/>
      <c r="P283" s="822"/>
      <c r="Q283" s="822"/>
      <c r="R283" s="822"/>
      <c r="S283" s="822"/>
      <c r="T283" s="822"/>
      <c r="U283" s="822"/>
      <c r="V283" s="822"/>
      <c r="W283" s="822"/>
      <c r="X283" s="822"/>
      <c r="Y283" s="822"/>
      <c r="Z283" s="822"/>
      <c r="AA283" s="822"/>
      <c r="AB283" s="822"/>
      <c r="AC283" s="54">
        <v>3300</v>
      </c>
      <c r="AD283" s="822"/>
      <c r="AE283" s="54">
        <v>99.99</v>
      </c>
      <c r="AF283" s="822"/>
      <c r="AG283" s="54">
        <v>3399.99</v>
      </c>
      <c r="AH283" s="54">
        <v>0</v>
      </c>
    </row>
    <row r="284" spans="1:34" ht="15.75" thickBot="1" x14ac:dyDescent="0.3">
      <c r="A284" s="51" t="s">
        <v>953</v>
      </c>
      <c r="B284" s="51" t="s">
        <v>52</v>
      </c>
      <c r="C284" s="51" t="s">
        <v>355</v>
      </c>
      <c r="D284" s="51" t="s">
        <v>320</v>
      </c>
      <c r="E284" s="51" t="s">
        <v>269</v>
      </c>
      <c r="F284" s="51" t="s">
        <v>972</v>
      </c>
      <c r="G284" s="148">
        <v>2</v>
      </c>
      <c r="H284" s="823"/>
      <c r="I284" s="823"/>
      <c r="J284" s="823"/>
      <c r="K284" s="823"/>
      <c r="L284" s="823"/>
      <c r="M284" s="823"/>
      <c r="N284" s="823"/>
      <c r="O284" s="823"/>
      <c r="P284" s="823"/>
      <c r="Q284" s="823"/>
      <c r="R284" s="823"/>
      <c r="S284" s="823"/>
      <c r="T284" s="823"/>
      <c r="U284" s="823"/>
      <c r="V284" s="823"/>
      <c r="W284" s="823"/>
      <c r="X284" s="823"/>
      <c r="Y284" s="823"/>
      <c r="Z284" s="56">
        <v>-1850.95</v>
      </c>
      <c r="AA284" s="823"/>
      <c r="AB284" s="823"/>
      <c r="AC284" s="823"/>
      <c r="AD284" s="823"/>
      <c r="AE284" s="56">
        <v>0</v>
      </c>
      <c r="AF284" s="823"/>
      <c r="AG284" s="56">
        <v>-1850.95</v>
      </c>
      <c r="AH284" s="56">
        <v>0</v>
      </c>
    </row>
    <row r="285" spans="1:34" ht="15.75" thickBot="1" x14ac:dyDescent="0.3">
      <c r="A285" s="51" t="s">
        <v>953</v>
      </c>
      <c r="B285" s="51" t="s">
        <v>52</v>
      </c>
      <c r="C285" s="51" t="s">
        <v>355</v>
      </c>
      <c r="D285" s="51" t="s">
        <v>320</v>
      </c>
      <c r="E285" s="51" t="s">
        <v>271</v>
      </c>
      <c r="F285" s="51" t="s">
        <v>980</v>
      </c>
      <c r="G285" s="148">
        <v>1</v>
      </c>
      <c r="H285" s="823"/>
      <c r="I285" s="823"/>
      <c r="J285" s="823"/>
      <c r="K285" s="823"/>
      <c r="L285" s="823"/>
      <c r="M285" s="823"/>
      <c r="N285" s="823"/>
      <c r="O285" s="823"/>
      <c r="P285" s="823"/>
      <c r="Q285" s="823"/>
      <c r="R285" s="823"/>
      <c r="S285" s="823"/>
      <c r="T285" s="823"/>
      <c r="U285" s="823"/>
      <c r="V285" s="823"/>
      <c r="W285" s="823"/>
      <c r="X285" s="823"/>
      <c r="Y285" s="823"/>
      <c r="Z285" s="823"/>
      <c r="AA285" s="56">
        <v>49.41</v>
      </c>
      <c r="AB285" s="823"/>
      <c r="AC285" s="823"/>
      <c r="AD285" s="823"/>
      <c r="AE285" s="56">
        <v>0</v>
      </c>
      <c r="AF285" s="823"/>
      <c r="AG285" s="56">
        <v>49.41</v>
      </c>
      <c r="AH285" s="56">
        <v>0</v>
      </c>
    </row>
    <row r="286" spans="1:34" ht="15.75" thickBot="1" x14ac:dyDescent="0.3">
      <c r="A286" s="51" t="s">
        <v>953</v>
      </c>
      <c r="B286" s="51" t="s">
        <v>52</v>
      </c>
      <c r="C286" s="51" t="s">
        <v>355</v>
      </c>
      <c r="D286" s="51" t="s">
        <v>320</v>
      </c>
      <c r="E286" s="51" t="s">
        <v>268</v>
      </c>
      <c r="F286" s="51" t="s">
        <v>971</v>
      </c>
      <c r="G286" s="148">
        <v>2</v>
      </c>
      <c r="H286" s="823"/>
      <c r="I286" s="823"/>
      <c r="J286" s="823"/>
      <c r="K286" s="823"/>
      <c r="L286" s="823"/>
      <c r="M286" s="823"/>
      <c r="N286" s="823"/>
      <c r="O286" s="823"/>
      <c r="P286" s="823"/>
      <c r="Q286" s="823"/>
      <c r="R286" s="823"/>
      <c r="S286" s="823"/>
      <c r="T286" s="823"/>
      <c r="U286" s="823"/>
      <c r="V286" s="823"/>
      <c r="W286" s="823"/>
      <c r="X286" s="823"/>
      <c r="Y286" s="823"/>
      <c r="Z286" s="823"/>
      <c r="AA286" s="823"/>
      <c r="AB286" s="823"/>
      <c r="AC286" s="56">
        <v>675</v>
      </c>
      <c r="AD286" s="823"/>
      <c r="AE286" s="56">
        <v>0</v>
      </c>
      <c r="AF286" s="823"/>
      <c r="AG286" s="56">
        <v>675</v>
      </c>
      <c r="AH286" s="56">
        <v>0</v>
      </c>
    </row>
    <row r="287" spans="1:34" ht="15.75" thickBot="1" x14ac:dyDescent="0.3">
      <c r="A287" s="51" t="s">
        <v>953</v>
      </c>
      <c r="B287" s="51" t="s">
        <v>53</v>
      </c>
      <c r="C287" s="51" t="s">
        <v>836</v>
      </c>
      <c r="D287" s="51" t="s">
        <v>320</v>
      </c>
      <c r="E287" s="51" t="s">
        <v>356</v>
      </c>
      <c r="F287" s="51" t="s">
        <v>337</v>
      </c>
      <c r="G287" s="147">
        <v>1</v>
      </c>
      <c r="H287" s="822"/>
      <c r="I287" s="822"/>
      <c r="J287" s="822"/>
      <c r="K287" s="822"/>
      <c r="L287" s="822"/>
      <c r="M287" s="54">
        <v>574.79999999999995</v>
      </c>
      <c r="N287" s="822"/>
      <c r="O287" s="822"/>
      <c r="P287" s="822"/>
      <c r="Q287" s="822"/>
      <c r="R287" s="822"/>
      <c r="S287" s="822"/>
      <c r="T287" s="822"/>
      <c r="U287" s="822"/>
      <c r="V287" s="822"/>
      <c r="W287" s="822"/>
      <c r="X287" s="822"/>
      <c r="Y287" s="822"/>
      <c r="Z287" s="822"/>
      <c r="AA287" s="822"/>
      <c r="AB287" s="822"/>
      <c r="AC287" s="822"/>
      <c r="AD287" s="822"/>
      <c r="AE287" s="54">
        <v>0</v>
      </c>
      <c r="AF287" s="822"/>
      <c r="AG287" s="54">
        <v>574.79999999999995</v>
      </c>
      <c r="AH287" s="54">
        <v>0</v>
      </c>
    </row>
    <row r="288" spans="1:34" ht="15.75" thickBot="1" x14ac:dyDescent="0.3">
      <c r="A288" s="51" t="s">
        <v>953</v>
      </c>
      <c r="B288" s="51" t="s">
        <v>53</v>
      </c>
      <c r="C288" s="51" t="s">
        <v>836</v>
      </c>
      <c r="D288" s="51" t="s">
        <v>320</v>
      </c>
      <c r="E288" s="51" t="s">
        <v>272</v>
      </c>
      <c r="F288" s="51" t="s">
        <v>969</v>
      </c>
      <c r="G288" s="147">
        <v>1</v>
      </c>
      <c r="H288" s="822"/>
      <c r="I288" s="822"/>
      <c r="J288" s="822"/>
      <c r="K288" s="822"/>
      <c r="L288" s="822"/>
      <c r="M288" s="822"/>
      <c r="N288" s="822"/>
      <c r="O288" s="822"/>
      <c r="P288" s="822"/>
      <c r="Q288" s="822"/>
      <c r="R288" s="822"/>
      <c r="S288" s="822"/>
      <c r="T288" s="822"/>
      <c r="U288" s="822"/>
      <c r="V288" s="822"/>
      <c r="W288" s="822"/>
      <c r="X288" s="822"/>
      <c r="Y288" s="54">
        <v>500</v>
      </c>
      <c r="Z288" s="822"/>
      <c r="AA288" s="822"/>
      <c r="AB288" s="822"/>
      <c r="AC288" s="822"/>
      <c r="AD288" s="822"/>
      <c r="AE288" s="54">
        <v>0</v>
      </c>
      <c r="AF288" s="822"/>
      <c r="AG288" s="54">
        <v>500</v>
      </c>
      <c r="AH288" s="54">
        <v>0</v>
      </c>
    </row>
    <row r="289" spans="1:34" ht="15.75" thickBot="1" x14ac:dyDescent="0.3">
      <c r="A289" s="51" t="s">
        <v>953</v>
      </c>
      <c r="B289" s="51" t="s">
        <v>53</v>
      </c>
      <c r="C289" s="51" t="s">
        <v>836</v>
      </c>
      <c r="D289" s="51" t="s">
        <v>320</v>
      </c>
      <c r="E289" s="51" t="s">
        <v>265</v>
      </c>
      <c r="F289" s="51" t="s">
        <v>266</v>
      </c>
      <c r="G289" s="147">
        <v>1</v>
      </c>
      <c r="H289" s="54">
        <v>88148</v>
      </c>
      <c r="I289" s="822"/>
      <c r="J289" s="822"/>
      <c r="K289" s="822"/>
      <c r="L289" s="822"/>
      <c r="M289" s="822"/>
      <c r="N289" s="822"/>
      <c r="O289" s="822"/>
      <c r="P289" s="822"/>
      <c r="Q289" s="822"/>
      <c r="R289" s="822"/>
      <c r="S289" s="822"/>
      <c r="T289" s="822"/>
      <c r="U289" s="822"/>
      <c r="V289" s="822"/>
      <c r="W289" s="822"/>
      <c r="X289" s="822"/>
      <c r="Y289" s="54">
        <v>9382.4699999999993</v>
      </c>
      <c r="Z289" s="822"/>
      <c r="AA289" s="822"/>
      <c r="AB289" s="822"/>
      <c r="AC289" s="822"/>
      <c r="AD289" s="822"/>
      <c r="AE289" s="54">
        <v>0</v>
      </c>
      <c r="AF289" s="822"/>
      <c r="AG289" s="54">
        <v>9382.4699999999993</v>
      </c>
      <c r="AH289" s="54">
        <v>0</v>
      </c>
    </row>
    <row r="290" spans="1:34" ht="15.75" thickBot="1" x14ac:dyDescent="0.3">
      <c r="A290" s="51" t="s">
        <v>953</v>
      </c>
      <c r="B290" s="51" t="s">
        <v>53</v>
      </c>
      <c r="C290" s="51" t="s">
        <v>836</v>
      </c>
      <c r="D290" s="51" t="s">
        <v>320</v>
      </c>
      <c r="E290" s="51" t="s">
        <v>620</v>
      </c>
      <c r="F290" s="51" t="s">
        <v>978</v>
      </c>
      <c r="G290" s="147">
        <v>1</v>
      </c>
      <c r="H290" s="822"/>
      <c r="I290" s="822"/>
      <c r="J290" s="822"/>
      <c r="K290" s="822"/>
      <c r="L290" s="822"/>
      <c r="M290" s="822"/>
      <c r="N290" s="822"/>
      <c r="O290" s="822"/>
      <c r="P290" s="822"/>
      <c r="Q290" s="822"/>
      <c r="R290" s="822"/>
      <c r="S290" s="822"/>
      <c r="T290" s="822"/>
      <c r="U290" s="822"/>
      <c r="V290" s="822"/>
      <c r="W290" s="822"/>
      <c r="X290" s="822"/>
      <c r="Y290" s="822"/>
      <c r="Z290" s="822"/>
      <c r="AA290" s="822"/>
      <c r="AB290" s="822"/>
      <c r="AC290" s="822"/>
      <c r="AD290" s="822"/>
      <c r="AE290" s="54">
        <v>0</v>
      </c>
      <c r="AF290" s="822"/>
      <c r="AG290" s="54">
        <v>111.02</v>
      </c>
      <c r="AH290" s="149">
        <v>111.02</v>
      </c>
    </row>
    <row r="291" spans="1:34" ht="15.75" thickBot="1" x14ac:dyDescent="0.3">
      <c r="A291" s="51" t="s">
        <v>953</v>
      </c>
      <c r="B291" s="51" t="s">
        <v>53</v>
      </c>
      <c r="C291" s="51" t="s">
        <v>836</v>
      </c>
      <c r="D291" s="51" t="s">
        <v>320</v>
      </c>
      <c r="E291" s="51" t="s">
        <v>621</v>
      </c>
      <c r="F291" s="51" t="s">
        <v>970</v>
      </c>
      <c r="G291" s="147">
        <v>1</v>
      </c>
      <c r="H291" s="822"/>
      <c r="I291" s="822"/>
      <c r="J291" s="822"/>
      <c r="K291" s="822"/>
      <c r="L291" s="822"/>
      <c r="M291" s="822"/>
      <c r="N291" s="822"/>
      <c r="O291" s="822"/>
      <c r="P291" s="822"/>
      <c r="Q291" s="822"/>
      <c r="R291" s="822"/>
      <c r="S291" s="822"/>
      <c r="T291" s="822"/>
      <c r="U291" s="822"/>
      <c r="V291" s="822"/>
      <c r="W291" s="822"/>
      <c r="X291" s="822"/>
      <c r="Y291" s="822"/>
      <c r="Z291" s="822"/>
      <c r="AA291" s="822"/>
      <c r="AB291" s="822"/>
      <c r="AC291" s="822"/>
      <c r="AD291" s="822"/>
      <c r="AE291" s="54">
        <v>0</v>
      </c>
      <c r="AF291" s="822"/>
      <c r="AG291" s="54">
        <v>1031.33</v>
      </c>
      <c r="AH291" s="149">
        <v>1031.33</v>
      </c>
    </row>
    <row r="292" spans="1:34" ht="15.75" thickBot="1" x14ac:dyDescent="0.3">
      <c r="A292" s="51" t="s">
        <v>953</v>
      </c>
      <c r="B292" s="51" t="s">
        <v>53</v>
      </c>
      <c r="C292" s="51" t="s">
        <v>836</v>
      </c>
      <c r="D292" s="51" t="s">
        <v>320</v>
      </c>
      <c r="E292" s="51" t="s">
        <v>273</v>
      </c>
      <c r="F292" s="51" t="s">
        <v>979</v>
      </c>
      <c r="G292" s="147">
        <v>1</v>
      </c>
      <c r="H292" s="822"/>
      <c r="I292" s="822"/>
      <c r="J292" s="822"/>
      <c r="K292" s="822"/>
      <c r="L292" s="822"/>
      <c r="M292" s="822"/>
      <c r="N292" s="822"/>
      <c r="O292" s="822"/>
      <c r="P292" s="822"/>
      <c r="Q292" s="822"/>
      <c r="R292" s="822"/>
      <c r="S292" s="822"/>
      <c r="T292" s="822"/>
      <c r="U292" s="822"/>
      <c r="V292" s="822"/>
      <c r="W292" s="822"/>
      <c r="X292" s="822"/>
      <c r="Y292" s="54">
        <v>7585.14</v>
      </c>
      <c r="Z292" s="822"/>
      <c r="AA292" s="822"/>
      <c r="AB292" s="822"/>
      <c r="AC292" s="822"/>
      <c r="AD292" s="822"/>
      <c r="AE292" s="54">
        <v>0</v>
      </c>
      <c r="AF292" s="822"/>
      <c r="AG292" s="54">
        <v>7585.14</v>
      </c>
      <c r="AH292" s="54">
        <v>0</v>
      </c>
    </row>
    <row r="293" spans="1:34" ht="15.75" thickBot="1" x14ac:dyDescent="0.3">
      <c r="A293" s="51" t="s">
        <v>953</v>
      </c>
      <c r="B293" s="51" t="s">
        <v>53</v>
      </c>
      <c r="C293" s="51" t="s">
        <v>836</v>
      </c>
      <c r="D293" s="51" t="s">
        <v>320</v>
      </c>
      <c r="E293" s="51" t="s">
        <v>268</v>
      </c>
      <c r="F293" s="51" t="s">
        <v>971</v>
      </c>
      <c r="G293" s="147">
        <v>1</v>
      </c>
      <c r="H293" s="822"/>
      <c r="I293" s="822"/>
      <c r="J293" s="822"/>
      <c r="K293" s="822"/>
      <c r="L293" s="822"/>
      <c r="M293" s="822"/>
      <c r="N293" s="822"/>
      <c r="O293" s="822"/>
      <c r="P293" s="822"/>
      <c r="Q293" s="822"/>
      <c r="R293" s="822"/>
      <c r="S293" s="822"/>
      <c r="T293" s="822"/>
      <c r="U293" s="822"/>
      <c r="V293" s="822"/>
      <c r="W293" s="822"/>
      <c r="X293" s="822"/>
      <c r="Y293" s="822"/>
      <c r="Z293" s="822"/>
      <c r="AA293" s="822"/>
      <c r="AB293" s="822"/>
      <c r="AC293" s="54">
        <v>550</v>
      </c>
      <c r="AD293" s="822"/>
      <c r="AE293" s="54">
        <v>0</v>
      </c>
      <c r="AF293" s="822"/>
      <c r="AG293" s="54">
        <v>550</v>
      </c>
      <c r="AH293" s="54">
        <v>0</v>
      </c>
    </row>
    <row r="294" spans="1:34" ht="15.75" thickBot="1" x14ac:dyDescent="0.3">
      <c r="A294" s="51" t="s">
        <v>953</v>
      </c>
      <c r="B294" s="51" t="s">
        <v>36</v>
      </c>
      <c r="C294" s="51" t="s">
        <v>438</v>
      </c>
      <c r="D294" s="51" t="s">
        <v>320</v>
      </c>
      <c r="E294" s="51" t="s">
        <v>269</v>
      </c>
      <c r="F294" s="51" t="s">
        <v>972</v>
      </c>
      <c r="G294" s="148">
        <v>2</v>
      </c>
      <c r="H294" s="823"/>
      <c r="I294" s="823"/>
      <c r="J294" s="823"/>
      <c r="K294" s="823"/>
      <c r="L294" s="823"/>
      <c r="M294" s="823"/>
      <c r="N294" s="823"/>
      <c r="O294" s="823"/>
      <c r="P294" s="823"/>
      <c r="Q294" s="823"/>
      <c r="R294" s="823"/>
      <c r="S294" s="823"/>
      <c r="T294" s="823"/>
      <c r="U294" s="823"/>
      <c r="V294" s="823"/>
      <c r="W294" s="823"/>
      <c r="X294" s="823"/>
      <c r="Y294" s="823"/>
      <c r="Z294" s="56">
        <v>-2076.17</v>
      </c>
      <c r="AA294" s="823"/>
      <c r="AB294" s="823"/>
      <c r="AC294" s="823"/>
      <c r="AD294" s="823"/>
      <c r="AE294" s="56">
        <v>-124.57</v>
      </c>
      <c r="AF294" s="823"/>
      <c r="AG294" s="56">
        <v>-2200.7399999999998</v>
      </c>
      <c r="AH294" s="56">
        <v>0</v>
      </c>
    </row>
    <row r="295" spans="1:34" ht="15.75" thickBot="1" x14ac:dyDescent="0.3">
      <c r="A295" s="51" t="s">
        <v>953</v>
      </c>
      <c r="B295" s="51" t="s">
        <v>36</v>
      </c>
      <c r="C295" s="51" t="s">
        <v>438</v>
      </c>
      <c r="D295" s="51" t="s">
        <v>320</v>
      </c>
      <c r="E295" s="51" t="s">
        <v>272</v>
      </c>
      <c r="F295" s="51" t="s">
        <v>969</v>
      </c>
      <c r="G295" s="148">
        <v>48</v>
      </c>
      <c r="H295" s="823"/>
      <c r="I295" s="823"/>
      <c r="J295" s="823"/>
      <c r="K295" s="823"/>
      <c r="L295" s="823"/>
      <c r="M295" s="823"/>
      <c r="N295" s="823"/>
      <c r="O295" s="823"/>
      <c r="P295" s="823"/>
      <c r="Q295" s="823"/>
      <c r="R295" s="823"/>
      <c r="S295" s="823"/>
      <c r="T295" s="823"/>
      <c r="U295" s="823"/>
      <c r="V295" s="823"/>
      <c r="W295" s="823"/>
      <c r="X295" s="823"/>
      <c r="Y295" s="56">
        <v>35250</v>
      </c>
      <c r="Z295" s="823"/>
      <c r="AA295" s="823"/>
      <c r="AB295" s="823"/>
      <c r="AC295" s="823"/>
      <c r="AD295" s="823"/>
      <c r="AE295" s="56">
        <v>1559.26</v>
      </c>
      <c r="AF295" s="823"/>
      <c r="AG295" s="56">
        <v>36809.26</v>
      </c>
      <c r="AH295" s="56">
        <v>0</v>
      </c>
    </row>
    <row r="296" spans="1:34" ht="15.75" thickBot="1" x14ac:dyDescent="0.3">
      <c r="A296" s="51" t="s">
        <v>953</v>
      </c>
      <c r="B296" s="51" t="s">
        <v>36</v>
      </c>
      <c r="C296" s="51" t="s">
        <v>438</v>
      </c>
      <c r="D296" s="51" t="s">
        <v>320</v>
      </c>
      <c r="E296" s="51" t="s">
        <v>265</v>
      </c>
      <c r="F296" s="51" t="s">
        <v>266</v>
      </c>
      <c r="G296" s="148">
        <v>49</v>
      </c>
      <c r="H296" s="56">
        <v>6674007</v>
      </c>
      <c r="I296" s="823"/>
      <c r="J296" s="823"/>
      <c r="K296" s="823"/>
      <c r="L296" s="823"/>
      <c r="M296" s="823"/>
      <c r="N296" s="823"/>
      <c r="O296" s="823"/>
      <c r="P296" s="823"/>
      <c r="Q296" s="823"/>
      <c r="R296" s="823"/>
      <c r="S296" s="823"/>
      <c r="T296" s="823"/>
      <c r="U296" s="823"/>
      <c r="V296" s="823"/>
      <c r="W296" s="823"/>
      <c r="X296" s="823"/>
      <c r="Y296" s="56">
        <v>25361.23</v>
      </c>
      <c r="Z296" s="823"/>
      <c r="AA296" s="823"/>
      <c r="AB296" s="823"/>
      <c r="AC296" s="823"/>
      <c r="AD296" s="823"/>
      <c r="AE296" s="56">
        <v>1012.71</v>
      </c>
      <c r="AF296" s="823"/>
      <c r="AG296" s="56">
        <v>26373.94</v>
      </c>
      <c r="AH296" s="56">
        <v>0</v>
      </c>
    </row>
    <row r="297" spans="1:34" ht="15.75" thickBot="1" x14ac:dyDescent="0.3">
      <c r="A297" s="51" t="s">
        <v>953</v>
      </c>
      <c r="B297" s="51" t="s">
        <v>36</v>
      </c>
      <c r="C297" s="51" t="s">
        <v>438</v>
      </c>
      <c r="D297" s="51" t="s">
        <v>320</v>
      </c>
      <c r="E297" s="51" t="s">
        <v>265</v>
      </c>
      <c r="F297" s="51" t="s">
        <v>266</v>
      </c>
      <c r="G297" s="147">
        <v>1</v>
      </c>
      <c r="H297" s="54">
        <v>-38875</v>
      </c>
      <c r="I297" s="822"/>
      <c r="J297" s="822"/>
      <c r="K297" s="822"/>
      <c r="L297" s="822"/>
      <c r="M297" s="822"/>
      <c r="N297" s="822"/>
      <c r="O297" s="822"/>
      <c r="P297" s="822"/>
      <c r="Q297" s="822"/>
      <c r="R297" s="822"/>
      <c r="S297" s="822"/>
      <c r="T297" s="822"/>
      <c r="U297" s="822"/>
      <c r="V297" s="822"/>
      <c r="W297" s="822"/>
      <c r="X297" s="822"/>
      <c r="Y297" s="54">
        <v>-147.72</v>
      </c>
      <c r="Z297" s="822"/>
      <c r="AA297" s="822"/>
      <c r="AB297" s="822"/>
      <c r="AC297" s="822"/>
      <c r="AD297" s="822"/>
      <c r="AE297" s="54">
        <v>-13.56</v>
      </c>
      <c r="AF297" s="822"/>
      <c r="AG297" s="54">
        <v>-161.28</v>
      </c>
      <c r="AH297" s="54">
        <v>0</v>
      </c>
    </row>
    <row r="298" spans="1:34" ht="15.75" thickBot="1" x14ac:dyDescent="0.3">
      <c r="A298" s="51" t="s">
        <v>953</v>
      </c>
      <c r="B298" s="51" t="s">
        <v>36</v>
      </c>
      <c r="C298" s="51" t="s">
        <v>438</v>
      </c>
      <c r="D298" s="51" t="s">
        <v>320</v>
      </c>
      <c r="E298" s="51" t="s">
        <v>621</v>
      </c>
      <c r="F298" s="51" t="s">
        <v>970</v>
      </c>
      <c r="G298" s="147">
        <v>49</v>
      </c>
      <c r="H298" s="822"/>
      <c r="I298" s="822"/>
      <c r="J298" s="822"/>
      <c r="K298" s="822"/>
      <c r="L298" s="822"/>
      <c r="M298" s="822"/>
      <c r="N298" s="822"/>
      <c r="O298" s="822"/>
      <c r="P298" s="822"/>
      <c r="Q298" s="822"/>
      <c r="R298" s="822"/>
      <c r="S298" s="822"/>
      <c r="T298" s="822"/>
      <c r="U298" s="822"/>
      <c r="V298" s="822"/>
      <c r="W298" s="822"/>
      <c r="X298" s="822"/>
      <c r="Y298" s="822"/>
      <c r="Z298" s="822"/>
      <c r="AA298" s="822"/>
      <c r="AB298" s="822"/>
      <c r="AC298" s="822"/>
      <c r="AD298" s="822"/>
      <c r="AE298" s="54">
        <v>262.33</v>
      </c>
      <c r="AF298" s="822"/>
      <c r="AG298" s="54">
        <v>6815.3</v>
      </c>
      <c r="AH298" s="149">
        <v>6552.97</v>
      </c>
    </row>
    <row r="299" spans="1:34" ht="15.75" thickBot="1" x14ac:dyDescent="0.3">
      <c r="A299" s="51" t="s">
        <v>953</v>
      </c>
      <c r="B299" s="51" t="s">
        <v>36</v>
      </c>
      <c r="C299" s="51" t="s">
        <v>438</v>
      </c>
      <c r="D299" s="51" t="s">
        <v>320</v>
      </c>
      <c r="E299" s="51" t="s">
        <v>621</v>
      </c>
      <c r="F299" s="51" t="s">
        <v>970</v>
      </c>
      <c r="G299" s="148">
        <v>1</v>
      </c>
      <c r="H299" s="823"/>
      <c r="I299" s="823"/>
      <c r="J299" s="823"/>
      <c r="K299" s="823"/>
      <c r="L299" s="823"/>
      <c r="M299" s="823"/>
      <c r="N299" s="823"/>
      <c r="O299" s="823"/>
      <c r="P299" s="823"/>
      <c r="Q299" s="823"/>
      <c r="R299" s="823"/>
      <c r="S299" s="823"/>
      <c r="T299" s="823"/>
      <c r="U299" s="823"/>
      <c r="V299" s="823"/>
      <c r="W299" s="823"/>
      <c r="X299" s="823"/>
      <c r="Y299" s="823"/>
      <c r="Z299" s="823"/>
      <c r="AA299" s="823"/>
      <c r="AB299" s="823"/>
      <c r="AC299" s="823"/>
      <c r="AD299" s="823"/>
      <c r="AE299" s="56">
        <v>-1.71</v>
      </c>
      <c r="AF299" s="823"/>
      <c r="AG299" s="56">
        <v>-20.37</v>
      </c>
      <c r="AH299" s="149">
        <v>-18.66</v>
      </c>
    </row>
    <row r="300" spans="1:34" ht="15.75" thickBot="1" x14ac:dyDescent="0.3">
      <c r="A300" s="51" t="s">
        <v>953</v>
      </c>
      <c r="B300" s="51" t="s">
        <v>36</v>
      </c>
      <c r="C300" s="51" t="s">
        <v>438</v>
      </c>
      <c r="D300" s="51" t="s">
        <v>320</v>
      </c>
      <c r="E300" s="51" t="s">
        <v>271</v>
      </c>
      <c r="F300" s="51" t="s">
        <v>980</v>
      </c>
      <c r="G300" s="148">
        <v>1</v>
      </c>
      <c r="H300" s="823"/>
      <c r="I300" s="823"/>
      <c r="J300" s="823"/>
      <c r="K300" s="823"/>
      <c r="L300" s="823"/>
      <c r="M300" s="823"/>
      <c r="N300" s="823"/>
      <c r="O300" s="823"/>
      <c r="P300" s="823"/>
      <c r="Q300" s="823"/>
      <c r="R300" s="823"/>
      <c r="S300" s="823"/>
      <c r="T300" s="823"/>
      <c r="U300" s="823"/>
      <c r="V300" s="823"/>
      <c r="W300" s="823"/>
      <c r="X300" s="823"/>
      <c r="Y300" s="823"/>
      <c r="Z300" s="823"/>
      <c r="AA300" s="56">
        <v>23.16</v>
      </c>
      <c r="AB300" s="823"/>
      <c r="AC300" s="823"/>
      <c r="AD300" s="823"/>
      <c r="AE300" s="56">
        <v>1.39</v>
      </c>
      <c r="AF300" s="823"/>
      <c r="AG300" s="56">
        <v>24.55</v>
      </c>
      <c r="AH300" s="56">
        <v>0</v>
      </c>
    </row>
    <row r="301" spans="1:34" ht="15.75" thickBot="1" x14ac:dyDescent="0.3">
      <c r="A301" s="51" t="s">
        <v>953</v>
      </c>
      <c r="B301" s="51" t="s">
        <v>36</v>
      </c>
      <c r="C301" s="51" t="s">
        <v>438</v>
      </c>
      <c r="D301" s="51" t="s">
        <v>320</v>
      </c>
      <c r="E301" s="51" t="s">
        <v>325</v>
      </c>
      <c r="F301" s="51" t="s">
        <v>974</v>
      </c>
      <c r="G301" s="148">
        <v>18</v>
      </c>
      <c r="H301" s="823"/>
      <c r="I301" s="823"/>
      <c r="J301" s="823"/>
      <c r="K301" s="823"/>
      <c r="L301" s="823"/>
      <c r="M301" s="823"/>
      <c r="N301" s="823"/>
      <c r="O301" s="823"/>
      <c r="P301" s="823"/>
      <c r="Q301" s="823"/>
      <c r="R301" s="823"/>
      <c r="S301" s="823"/>
      <c r="T301" s="823"/>
      <c r="U301" s="823"/>
      <c r="V301" s="823"/>
      <c r="W301" s="56">
        <v>147.5</v>
      </c>
      <c r="X301" s="823"/>
      <c r="Y301" s="823"/>
      <c r="Z301" s="823"/>
      <c r="AA301" s="823"/>
      <c r="AB301" s="823"/>
      <c r="AC301" s="823"/>
      <c r="AD301" s="823"/>
      <c r="AE301" s="56">
        <v>8.15</v>
      </c>
      <c r="AF301" s="823"/>
      <c r="AG301" s="56">
        <v>155.65</v>
      </c>
      <c r="AH301" s="56">
        <v>0</v>
      </c>
    </row>
    <row r="302" spans="1:34" ht="15.75" thickBot="1" x14ac:dyDescent="0.3">
      <c r="A302" s="51" t="s">
        <v>953</v>
      </c>
      <c r="B302" s="51" t="s">
        <v>36</v>
      </c>
      <c r="C302" s="51" t="s">
        <v>438</v>
      </c>
      <c r="D302" s="51" t="s">
        <v>320</v>
      </c>
      <c r="E302" s="51" t="s">
        <v>268</v>
      </c>
      <c r="F302" s="51" t="s">
        <v>971</v>
      </c>
      <c r="G302" s="148">
        <v>48</v>
      </c>
      <c r="H302" s="823"/>
      <c r="I302" s="823"/>
      <c r="J302" s="823"/>
      <c r="K302" s="823"/>
      <c r="L302" s="823"/>
      <c r="M302" s="823"/>
      <c r="N302" s="823"/>
      <c r="O302" s="823"/>
      <c r="P302" s="823"/>
      <c r="Q302" s="823"/>
      <c r="R302" s="823"/>
      <c r="S302" s="823"/>
      <c r="T302" s="823"/>
      <c r="U302" s="823"/>
      <c r="V302" s="823"/>
      <c r="W302" s="823"/>
      <c r="X302" s="823"/>
      <c r="Y302" s="823"/>
      <c r="Z302" s="823"/>
      <c r="AA302" s="823"/>
      <c r="AB302" s="823"/>
      <c r="AC302" s="56">
        <v>25850</v>
      </c>
      <c r="AD302" s="823"/>
      <c r="AE302" s="56">
        <v>1143.45</v>
      </c>
      <c r="AF302" s="823"/>
      <c r="AG302" s="56">
        <v>26993.45</v>
      </c>
      <c r="AH302" s="56">
        <v>0</v>
      </c>
    </row>
    <row r="303" spans="1:34" ht="15.75" thickBot="1" x14ac:dyDescent="0.3">
      <c r="A303" s="51" t="s">
        <v>953</v>
      </c>
      <c r="B303" s="51" t="s">
        <v>36</v>
      </c>
      <c r="C303" s="51" t="s">
        <v>438</v>
      </c>
      <c r="D303" s="51" t="s">
        <v>320</v>
      </c>
      <c r="E303" s="51" t="s">
        <v>914</v>
      </c>
      <c r="F303" s="51" t="s">
        <v>266</v>
      </c>
      <c r="G303" s="148">
        <v>49</v>
      </c>
      <c r="H303" s="823"/>
      <c r="I303" s="823"/>
      <c r="J303" s="823"/>
      <c r="K303" s="823"/>
      <c r="L303" s="823"/>
      <c r="M303" s="823"/>
      <c r="N303" s="823"/>
      <c r="O303" s="823"/>
      <c r="P303" s="823"/>
      <c r="Q303" s="823"/>
      <c r="R303" s="823"/>
      <c r="S303" s="823"/>
      <c r="T303" s="823"/>
      <c r="U303" s="823"/>
      <c r="V303" s="823"/>
      <c r="W303" s="823"/>
      <c r="X303" s="823"/>
      <c r="Y303" s="56">
        <v>313720.92</v>
      </c>
      <c r="Z303" s="823"/>
      <c r="AA303" s="823"/>
      <c r="AB303" s="823"/>
      <c r="AC303" s="823"/>
      <c r="AD303" s="823"/>
      <c r="AE303" s="56">
        <v>14115.77</v>
      </c>
      <c r="AF303" s="823"/>
      <c r="AG303" s="56">
        <v>327836.69</v>
      </c>
      <c r="AH303" s="56">
        <v>0</v>
      </c>
    </row>
    <row r="304" spans="1:34" ht="15.75" thickBot="1" x14ac:dyDescent="0.3">
      <c r="A304" s="51" t="s">
        <v>953</v>
      </c>
      <c r="B304" s="51" t="s">
        <v>36</v>
      </c>
      <c r="C304" s="51" t="s">
        <v>438</v>
      </c>
      <c r="D304" s="51" t="s">
        <v>320</v>
      </c>
      <c r="E304" s="51" t="s">
        <v>329</v>
      </c>
      <c r="F304" s="51" t="s">
        <v>975</v>
      </c>
      <c r="G304" s="148">
        <v>2</v>
      </c>
      <c r="H304" s="823"/>
      <c r="I304" s="823"/>
      <c r="J304" s="823"/>
      <c r="K304" s="823"/>
      <c r="L304" s="823"/>
      <c r="M304" s="823"/>
      <c r="N304" s="823"/>
      <c r="O304" s="823"/>
      <c r="P304" s="823"/>
      <c r="Q304" s="823"/>
      <c r="R304" s="823"/>
      <c r="S304" s="823"/>
      <c r="T304" s="823"/>
      <c r="U304" s="823"/>
      <c r="V304" s="823"/>
      <c r="W304" s="823"/>
      <c r="X304" s="823"/>
      <c r="Y304" s="56">
        <v>342.45</v>
      </c>
      <c r="Z304" s="823"/>
      <c r="AA304" s="823"/>
      <c r="AB304" s="823"/>
      <c r="AC304" s="823"/>
      <c r="AD304" s="56">
        <v>342.45</v>
      </c>
      <c r="AE304" s="56">
        <v>20.55</v>
      </c>
      <c r="AF304" s="823"/>
      <c r="AG304" s="56">
        <v>363</v>
      </c>
      <c r="AH304" s="149">
        <v>-342.45</v>
      </c>
    </row>
    <row r="305" spans="1:34" ht="15.75" thickBot="1" x14ac:dyDescent="0.3">
      <c r="A305" s="51" t="s">
        <v>953</v>
      </c>
      <c r="B305" s="51" t="s">
        <v>36</v>
      </c>
      <c r="C305" s="51" t="s">
        <v>438</v>
      </c>
      <c r="D305" s="51" t="s">
        <v>320</v>
      </c>
      <c r="E305" s="51" t="s">
        <v>330</v>
      </c>
      <c r="F305" s="51" t="s">
        <v>976</v>
      </c>
      <c r="G305" s="148">
        <v>2</v>
      </c>
      <c r="H305" s="823"/>
      <c r="I305" s="823"/>
      <c r="J305" s="823"/>
      <c r="K305" s="823"/>
      <c r="L305" s="823"/>
      <c r="M305" s="823"/>
      <c r="N305" s="823"/>
      <c r="O305" s="823"/>
      <c r="P305" s="823"/>
      <c r="Q305" s="823"/>
      <c r="R305" s="823"/>
      <c r="S305" s="823"/>
      <c r="T305" s="823"/>
      <c r="U305" s="823"/>
      <c r="V305" s="823"/>
      <c r="W305" s="823"/>
      <c r="X305" s="823"/>
      <c r="Y305" s="56">
        <v>799.69</v>
      </c>
      <c r="Z305" s="823"/>
      <c r="AA305" s="823"/>
      <c r="AB305" s="823"/>
      <c r="AC305" s="823"/>
      <c r="AD305" s="823"/>
      <c r="AE305" s="56">
        <v>47.98</v>
      </c>
      <c r="AF305" s="823"/>
      <c r="AG305" s="56">
        <v>847.67</v>
      </c>
      <c r="AH305" s="56">
        <v>0</v>
      </c>
    </row>
    <row r="306" spans="1:34" ht="15.75" thickBot="1" x14ac:dyDescent="0.3">
      <c r="A306" s="51" t="s">
        <v>953</v>
      </c>
      <c r="B306" s="51" t="s">
        <v>36</v>
      </c>
      <c r="C306" s="51" t="s">
        <v>438</v>
      </c>
      <c r="D306" s="51" t="s">
        <v>319</v>
      </c>
      <c r="E306" s="51" t="s">
        <v>272</v>
      </c>
      <c r="F306" s="51" t="s">
        <v>969</v>
      </c>
      <c r="G306" s="147">
        <v>2</v>
      </c>
      <c r="H306" s="822"/>
      <c r="I306" s="822"/>
      <c r="J306" s="822"/>
      <c r="K306" s="822"/>
      <c r="L306" s="822"/>
      <c r="M306" s="822"/>
      <c r="N306" s="822"/>
      <c r="O306" s="822"/>
      <c r="P306" s="822"/>
      <c r="Q306" s="822"/>
      <c r="R306" s="822"/>
      <c r="S306" s="822"/>
      <c r="T306" s="822"/>
      <c r="U306" s="822"/>
      <c r="V306" s="822"/>
      <c r="W306" s="822"/>
      <c r="X306" s="822"/>
      <c r="Y306" s="54">
        <v>1500</v>
      </c>
      <c r="Z306" s="822"/>
      <c r="AA306" s="822"/>
      <c r="AB306" s="822"/>
      <c r="AC306" s="822"/>
      <c r="AD306" s="822"/>
      <c r="AE306" s="54">
        <v>0</v>
      </c>
      <c r="AF306" s="822"/>
      <c r="AG306" s="54">
        <v>1500</v>
      </c>
      <c r="AH306" s="54">
        <v>0</v>
      </c>
    </row>
    <row r="307" spans="1:34" ht="15.75" thickBot="1" x14ac:dyDescent="0.3">
      <c r="A307" s="51" t="s">
        <v>953</v>
      </c>
      <c r="B307" s="51" t="s">
        <v>36</v>
      </c>
      <c r="C307" s="51" t="s">
        <v>438</v>
      </c>
      <c r="D307" s="51" t="s">
        <v>319</v>
      </c>
      <c r="E307" s="51" t="s">
        <v>265</v>
      </c>
      <c r="F307" s="51" t="s">
        <v>266</v>
      </c>
      <c r="G307" s="147">
        <v>2</v>
      </c>
      <c r="H307" s="54">
        <v>289103</v>
      </c>
      <c r="I307" s="822"/>
      <c r="J307" s="822"/>
      <c r="K307" s="822"/>
      <c r="L307" s="822"/>
      <c r="M307" s="822"/>
      <c r="N307" s="822"/>
      <c r="O307" s="822"/>
      <c r="P307" s="822"/>
      <c r="Q307" s="822"/>
      <c r="R307" s="822"/>
      <c r="S307" s="822"/>
      <c r="T307" s="822"/>
      <c r="U307" s="822"/>
      <c r="V307" s="822"/>
      <c r="W307" s="822"/>
      <c r="X307" s="822"/>
      <c r="Y307" s="54">
        <v>1098.5999999999999</v>
      </c>
      <c r="Z307" s="822"/>
      <c r="AA307" s="822"/>
      <c r="AB307" s="822"/>
      <c r="AC307" s="822"/>
      <c r="AD307" s="822"/>
      <c r="AE307" s="54">
        <v>0</v>
      </c>
      <c r="AF307" s="822"/>
      <c r="AG307" s="54">
        <v>1098.5999999999999</v>
      </c>
      <c r="AH307" s="54">
        <v>0</v>
      </c>
    </row>
    <row r="308" spans="1:34" ht="15.75" thickBot="1" x14ac:dyDescent="0.3">
      <c r="A308" s="51" t="s">
        <v>953</v>
      </c>
      <c r="B308" s="51" t="s">
        <v>36</v>
      </c>
      <c r="C308" s="51" t="s">
        <v>438</v>
      </c>
      <c r="D308" s="51" t="s">
        <v>319</v>
      </c>
      <c r="E308" s="51" t="s">
        <v>621</v>
      </c>
      <c r="F308" s="51" t="s">
        <v>970</v>
      </c>
      <c r="G308" s="147">
        <v>2</v>
      </c>
      <c r="H308" s="822"/>
      <c r="I308" s="822"/>
      <c r="J308" s="822"/>
      <c r="K308" s="822"/>
      <c r="L308" s="822"/>
      <c r="M308" s="822"/>
      <c r="N308" s="822"/>
      <c r="O308" s="822"/>
      <c r="P308" s="822"/>
      <c r="Q308" s="822"/>
      <c r="R308" s="822"/>
      <c r="S308" s="822"/>
      <c r="T308" s="822"/>
      <c r="U308" s="822"/>
      <c r="V308" s="822"/>
      <c r="W308" s="822"/>
      <c r="X308" s="822"/>
      <c r="Y308" s="822"/>
      <c r="Z308" s="822"/>
      <c r="AA308" s="822"/>
      <c r="AB308" s="822"/>
      <c r="AC308" s="822"/>
      <c r="AD308" s="822"/>
      <c r="AE308" s="54">
        <v>0</v>
      </c>
      <c r="AF308" s="822"/>
      <c r="AG308" s="54">
        <v>283.32</v>
      </c>
      <c r="AH308" s="149">
        <v>283.32</v>
      </c>
    </row>
    <row r="309" spans="1:34" ht="15.75" thickBot="1" x14ac:dyDescent="0.3">
      <c r="A309" s="51" t="s">
        <v>953</v>
      </c>
      <c r="B309" s="51" t="s">
        <v>36</v>
      </c>
      <c r="C309" s="51" t="s">
        <v>438</v>
      </c>
      <c r="D309" s="51" t="s">
        <v>319</v>
      </c>
      <c r="E309" s="51" t="s">
        <v>325</v>
      </c>
      <c r="F309" s="51" t="s">
        <v>974</v>
      </c>
      <c r="G309" s="147">
        <v>1</v>
      </c>
      <c r="H309" s="822"/>
      <c r="I309" s="822"/>
      <c r="J309" s="822"/>
      <c r="K309" s="822"/>
      <c r="L309" s="822"/>
      <c r="M309" s="822"/>
      <c r="N309" s="822"/>
      <c r="O309" s="822"/>
      <c r="P309" s="822"/>
      <c r="Q309" s="822"/>
      <c r="R309" s="822"/>
      <c r="S309" s="822"/>
      <c r="T309" s="822"/>
      <c r="U309" s="822"/>
      <c r="V309" s="822"/>
      <c r="W309" s="54">
        <v>3.54</v>
      </c>
      <c r="X309" s="822"/>
      <c r="Y309" s="822"/>
      <c r="Z309" s="822"/>
      <c r="AA309" s="822"/>
      <c r="AB309" s="822"/>
      <c r="AC309" s="822"/>
      <c r="AD309" s="822"/>
      <c r="AE309" s="54">
        <v>0</v>
      </c>
      <c r="AF309" s="822"/>
      <c r="AG309" s="54">
        <v>3.54</v>
      </c>
      <c r="AH309" s="54">
        <v>0</v>
      </c>
    </row>
    <row r="310" spans="1:34" ht="15.75" thickBot="1" x14ac:dyDescent="0.3">
      <c r="A310" s="51" t="s">
        <v>953</v>
      </c>
      <c r="B310" s="51" t="s">
        <v>36</v>
      </c>
      <c r="C310" s="51" t="s">
        <v>438</v>
      </c>
      <c r="D310" s="51" t="s">
        <v>319</v>
      </c>
      <c r="E310" s="51" t="s">
        <v>268</v>
      </c>
      <c r="F310" s="51" t="s">
        <v>971</v>
      </c>
      <c r="G310" s="147">
        <v>2</v>
      </c>
      <c r="H310" s="822"/>
      <c r="I310" s="822"/>
      <c r="J310" s="822"/>
      <c r="K310" s="822"/>
      <c r="L310" s="822"/>
      <c r="M310" s="822"/>
      <c r="N310" s="822"/>
      <c r="O310" s="822"/>
      <c r="P310" s="822"/>
      <c r="Q310" s="822"/>
      <c r="R310" s="822"/>
      <c r="S310" s="822"/>
      <c r="T310" s="822"/>
      <c r="U310" s="822"/>
      <c r="V310" s="822"/>
      <c r="W310" s="822"/>
      <c r="X310" s="822"/>
      <c r="Y310" s="822"/>
      <c r="Z310" s="822"/>
      <c r="AA310" s="822"/>
      <c r="AB310" s="822"/>
      <c r="AC310" s="54">
        <v>1100</v>
      </c>
      <c r="AD310" s="822"/>
      <c r="AE310" s="54">
        <v>0</v>
      </c>
      <c r="AF310" s="822"/>
      <c r="AG310" s="54">
        <v>1100</v>
      </c>
      <c r="AH310" s="54">
        <v>0</v>
      </c>
    </row>
    <row r="311" spans="1:34" ht="15.75" thickBot="1" x14ac:dyDescent="0.3">
      <c r="A311" s="51" t="s">
        <v>953</v>
      </c>
      <c r="B311" s="51" t="s">
        <v>36</v>
      </c>
      <c r="C311" s="51" t="s">
        <v>438</v>
      </c>
      <c r="D311" s="51" t="s">
        <v>319</v>
      </c>
      <c r="E311" s="51" t="s">
        <v>914</v>
      </c>
      <c r="F311" s="51" t="s">
        <v>266</v>
      </c>
      <c r="G311" s="147">
        <v>2</v>
      </c>
      <c r="H311" s="822"/>
      <c r="I311" s="822"/>
      <c r="J311" s="822"/>
      <c r="K311" s="822"/>
      <c r="L311" s="822"/>
      <c r="M311" s="822"/>
      <c r="N311" s="822"/>
      <c r="O311" s="822"/>
      <c r="P311" s="822"/>
      <c r="Q311" s="822"/>
      <c r="R311" s="822"/>
      <c r="S311" s="822"/>
      <c r="T311" s="822"/>
      <c r="U311" s="822"/>
      <c r="V311" s="822"/>
      <c r="W311" s="822"/>
      <c r="X311" s="822"/>
      <c r="Y311" s="54">
        <v>18788.36</v>
      </c>
      <c r="Z311" s="822"/>
      <c r="AA311" s="822"/>
      <c r="AB311" s="822"/>
      <c r="AC311" s="822"/>
      <c r="AD311" s="822"/>
      <c r="AE311" s="54">
        <v>0</v>
      </c>
      <c r="AF311" s="822"/>
      <c r="AG311" s="54">
        <v>18788.36</v>
      </c>
      <c r="AH311" s="54">
        <v>0</v>
      </c>
    </row>
    <row r="312" spans="1:34" ht="15.75" thickBot="1" x14ac:dyDescent="0.3">
      <c r="A312" s="51" t="s">
        <v>953</v>
      </c>
      <c r="B312" s="51" t="s">
        <v>447</v>
      </c>
      <c r="C312" s="51" t="s">
        <v>494</v>
      </c>
      <c r="D312" s="51" t="s">
        <v>320</v>
      </c>
      <c r="E312" s="51" t="s">
        <v>109</v>
      </c>
      <c r="F312" s="51" t="s">
        <v>968</v>
      </c>
      <c r="G312" s="147">
        <v>15</v>
      </c>
      <c r="H312" s="822"/>
      <c r="I312" s="822"/>
      <c r="J312" s="822"/>
      <c r="K312" s="822"/>
      <c r="L312" s="822"/>
      <c r="M312" s="822"/>
      <c r="N312" s="822"/>
      <c r="O312" s="822"/>
      <c r="P312" s="822"/>
      <c r="Q312" s="822"/>
      <c r="R312" s="822"/>
      <c r="S312" s="822"/>
      <c r="T312" s="822"/>
      <c r="U312" s="822"/>
      <c r="V312" s="822"/>
      <c r="W312" s="822"/>
      <c r="X312" s="822"/>
      <c r="Y312" s="54">
        <v>366.29</v>
      </c>
      <c r="Z312" s="822"/>
      <c r="AA312" s="822"/>
      <c r="AB312" s="822"/>
      <c r="AC312" s="822"/>
      <c r="AD312" s="822"/>
      <c r="AE312" s="54">
        <v>17</v>
      </c>
      <c r="AF312" s="822"/>
      <c r="AG312" s="54">
        <v>383.29</v>
      </c>
      <c r="AH312" s="54">
        <v>0</v>
      </c>
    </row>
    <row r="313" spans="1:34" ht="15.75" thickBot="1" x14ac:dyDescent="0.3">
      <c r="A313" s="51" t="s">
        <v>953</v>
      </c>
      <c r="B313" s="51" t="s">
        <v>447</v>
      </c>
      <c r="C313" s="51" t="s">
        <v>494</v>
      </c>
      <c r="D313" s="51" t="s">
        <v>320</v>
      </c>
      <c r="E313" s="51" t="s">
        <v>356</v>
      </c>
      <c r="F313" s="51" t="s">
        <v>337</v>
      </c>
      <c r="G313" s="147">
        <v>4</v>
      </c>
      <c r="H313" s="822"/>
      <c r="I313" s="822"/>
      <c r="J313" s="822"/>
      <c r="K313" s="822"/>
      <c r="L313" s="822"/>
      <c r="M313" s="54">
        <v>453.92</v>
      </c>
      <c r="N313" s="822"/>
      <c r="O313" s="822"/>
      <c r="P313" s="822"/>
      <c r="Q313" s="822"/>
      <c r="R313" s="822"/>
      <c r="S313" s="822"/>
      <c r="T313" s="822"/>
      <c r="U313" s="822"/>
      <c r="V313" s="822"/>
      <c r="W313" s="822"/>
      <c r="X313" s="822"/>
      <c r="Y313" s="822"/>
      <c r="Z313" s="822"/>
      <c r="AA313" s="822"/>
      <c r="AB313" s="822"/>
      <c r="AC313" s="822"/>
      <c r="AD313" s="822"/>
      <c r="AE313" s="54">
        <v>10.47</v>
      </c>
      <c r="AF313" s="822"/>
      <c r="AG313" s="54">
        <v>464.39</v>
      </c>
      <c r="AH313" s="54">
        <v>0</v>
      </c>
    </row>
    <row r="314" spans="1:34" ht="15.75" thickBot="1" x14ac:dyDescent="0.3">
      <c r="A314" s="51" t="s">
        <v>953</v>
      </c>
      <c r="B314" s="51" t="s">
        <v>447</v>
      </c>
      <c r="C314" s="51" t="s">
        <v>494</v>
      </c>
      <c r="D314" s="51" t="s">
        <v>320</v>
      </c>
      <c r="E314" s="51" t="s">
        <v>272</v>
      </c>
      <c r="F314" s="51" t="s">
        <v>969</v>
      </c>
      <c r="G314" s="147">
        <v>15</v>
      </c>
      <c r="H314" s="822"/>
      <c r="I314" s="822"/>
      <c r="J314" s="822"/>
      <c r="K314" s="822"/>
      <c r="L314" s="822"/>
      <c r="M314" s="822"/>
      <c r="N314" s="822"/>
      <c r="O314" s="822"/>
      <c r="P314" s="822"/>
      <c r="Q314" s="822"/>
      <c r="R314" s="822"/>
      <c r="S314" s="822"/>
      <c r="T314" s="822"/>
      <c r="U314" s="822"/>
      <c r="V314" s="822"/>
      <c r="W314" s="822"/>
      <c r="X314" s="822"/>
      <c r="Y314" s="54">
        <v>11250</v>
      </c>
      <c r="Z314" s="822"/>
      <c r="AA314" s="822"/>
      <c r="AB314" s="822"/>
      <c r="AC314" s="822"/>
      <c r="AD314" s="822"/>
      <c r="AE314" s="54">
        <v>499.05</v>
      </c>
      <c r="AF314" s="822"/>
      <c r="AG314" s="54">
        <v>11749.05</v>
      </c>
      <c r="AH314" s="54">
        <v>0</v>
      </c>
    </row>
    <row r="315" spans="1:34" ht="15.75" thickBot="1" x14ac:dyDescent="0.3">
      <c r="A315" s="51" t="s">
        <v>953</v>
      </c>
      <c r="B315" s="51" t="s">
        <v>447</v>
      </c>
      <c r="C315" s="51" t="s">
        <v>494</v>
      </c>
      <c r="D315" s="51" t="s">
        <v>320</v>
      </c>
      <c r="E315" s="51" t="s">
        <v>265</v>
      </c>
      <c r="F315" s="51" t="s">
        <v>266</v>
      </c>
      <c r="G315" s="147">
        <v>15</v>
      </c>
      <c r="H315" s="54">
        <v>770428</v>
      </c>
      <c r="I315" s="822"/>
      <c r="J315" s="822"/>
      <c r="K315" s="822"/>
      <c r="L315" s="822"/>
      <c r="M315" s="822"/>
      <c r="N315" s="822"/>
      <c r="O315" s="822"/>
      <c r="P315" s="822"/>
      <c r="Q315" s="822"/>
      <c r="R315" s="822"/>
      <c r="S315" s="822"/>
      <c r="T315" s="822"/>
      <c r="U315" s="822"/>
      <c r="V315" s="822"/>
      <c r="W315" s="822"/>
      <c r="X315" s="822"/>
      <c r="Y315" s="54">
        <v>2927.62</v>
      </c>
      <c r="Z315" s="822"/>
      <c r="AA315" s="822"/>
      <c r="AB315" s="822"/>
      <c r="AC315" s="822"/>
      <c r="AD315" s="822"/>
      <c r="AE315" s="54">
        <v>136.26</v>
      </c>
      <c r="AF315" s="822"/>
      <c r="AG315" s="54">
        <v>3063.88</v>
      </c>
      <c r="AH315" s="54">
        <v>0</v>
      </c>
    </row>
    <row r="316" spans="1:34" ht="15.75" thickBot="1" x14ac:dyDescent="0.3">
      <c r="A316" s="51" t="s">
        <v>953</v>
      </c>
      <c r="B316" s="51" t="s">
        <v>447</v>
      </c>
      <c r="C316" s="51" t="s">
        <v>494</v>
      </c>
      <c r="D316" s="51" t="s">
        <v>320</v>
      </c>
      <c r="E316" s="51" t="s">
        <v>621</v>
      </c>
      <c r="F316" s="51" t="s">
        <v>970</v>
      </c>
      <c r="G316" s="147">
        <v>15</v>
      </c>
      <c r="H316" s="822"/>
      <c r="I316" s="822"/>
      <c r="J316" s="822"/>
      <c r="K316" s="822"/>
      <c r="L316" s="822"/>
      <c r="M316" s="822"/>
      <c r="N316" s="822"/>
      <c r="O316" s="822"/>
      <c r="P316" s="822"/>
      <c r="Q316" s="822"/>
      <c r="R316" s="822"/>
      <c r="S316" s="822"/>
      <c r="T316" s="822"/>
      <c r="U316" s="822"/>
      <c r="V316" s="822"/>
      <c r="W316" s="822"/>
      <c r="X316" s="822"/>
      <c r="Y316" s="822"/>
      <c r="Z316" s="822"/>
      <c r="AA316" s="822"/>
      <c r="AB316" s="822"/>
      <c r="AC316" s="822"/>
      <c r="AD316" s="822"/>
      <c r="AE316" s="54">
        <v>33.9</v>
      </c>
      <c r="AF316" s="822"/>
      <c r="AG316" s="54">
        <v>768.39</v>
      </c>
      <c r="AH316" s="149">
        <v>734.49</v>
      </c>
    </row>
    <row r="317" spans="1:34" ht="15.75" thickBot="1" x14ac:dyDescent="0.3">
      <c r="A317" s="51" t="s">
        <v>953</v>
      </c>
      <c r="B317" s="51" t="s">
        <v>447</v>
      </c>
      <c r="C317" s="51" t="s">
        <v>494</v>
      </c>
      <c r="D317" s="51" t="s">
        <v>320</v>
      </c>
      <c r="E317" s="51" t="s">
        <v>325</v>
      </c>
      <c r="F317" s="51" t="s">
        <v>974</v>
      </c>
      <c r="G317" s="147">
        <v>9</v>
      </c>
      <c r="H317" s="822"/>
      <c r="I317" s="822"/>
      <c r="J317" s="822"/>
      <c r="K317" s="822"/>
      <c r="L317" s="822"/>
      <c r="M317" s="822"/>
      <c r="N317" s="822"/>
      <c r="O317" s="822"/>
      <c r="P317" s="822"/>
      <c r="Q317" s="822"/>
      <c r="R317" s="822"/>
      <c r="S317" s="822"/>
      <c r="T317" s="822"/>
      <c r="U317" s="822"/>
      <c r="V317" s="822"/>
      <c r="W317" s="54">
        <v>75.849999999999994</v>
      </c>
      <c r="X317" s="822"/>
      <c r="Y317" s="822"/>
      <c r="Z317" s="822"/>
      <c r="AA317" s="822"/>
      <c r="AB317" s="822"/>
      <c r="AC317" s="822"/>
      <c r="AD317" s="822"/>
      <c r="AE317" s="54">
        <v>0.43</v>
      </c>
      <c r="AF317" s="822"/>
      <c r="AG317" s="54">
        <v>76.28</v>
      </c>
      <c r="AH317" s="54">
        <v>0</v>
      </c>
    </row>
    <row r="318" spans="1:34" ht="15.75" thickBot="1" x14ac:dyDescent="0.3">
      <c r="A318" s="51" t="s">
        <v>953</v>
      </c>
      <c r="B318" s="51" t="s">
        <v>447</v>
      </c>
      <c r="C318" s="51" t="s">
        <v>494</v>
      </c>
      <c r="D318" s="51" t="s">
        <v>320</v>
      </c>
      <c r="E318" s="51" t="s">
        <v>268</v>
      </c>
      <c r="F318" s="51" t="s">
        <v>971</v>
      </c>
      <c r="G318" s="147">
        <v>15</v>
      </c>
      <c r="H318" s="822"/>
      <c r="I318" s="822"/>
      <c r="J318" s="822"/>
      <c r="K318" s="822"/>
      <c r="L318" s="822"/>
      <c r="M318" s="822"/>
      <c r="N318" s="822"/>
      <c r="O318" s="822"/>
      <c r="P318" s="822"/>
      <c r="Q318" s="822"/>
      <c r="R318" s="822"/>
      <c r="S318" s="822"/>
      <c r="T318" s="822"/>
      <c r="U318" s="822"/>
      <c r="V318" s="822"/>
      <c r="W318" s="822"/>
      <c r="X318" s="822"/>
      <c r="Y318" s="822"/>
      <c r="Z318" s="822"/>
      <c r="AA318" s="822"/>
      <c r="AB318" s="822"/>
      <c r="AC318" s="54">
        <v>8250</v>
      </c>
      <c r="AD318" s="822"/>
      <c r="AE318" s="54">
        <v>365.97</v>
      </c>
      <c r="AF318" s="822"/>
      <c r="AG318" s="54">
        <v>8615.9699999999993</v>
      </c>
      <c r="AH318" s="54">
        <v>0</v>
      </c>
    </row>
    <row r="319" spans="1:34" ht="15.75" thickBot="1" x14ac:dyDescent="0.3">
      <c r="A319" s="51" t="s">
        <v>953</v>
      </c>
      <c r="B319" s="51" t="s">
        <v>447</v>
      </c>
      <c r="C319" s="51" t="s">
        <v>494</v>
      </c>
      <c r="D319" s="51" t="s">
        <v>320</v>
      </c>
      <c r="E319" s="51" t="s">
        <v>914</v>
      </c>
      <c r="F319" s="51" t="s">
        <v>266</v>
      </c>
      <c r="G319" s="147">
        <v>15</v>
      </c>
      <c r="H319" s="822"/>
      <c r="I319" s="822"/>
      <c r="J319" s="822"/>
      <c r="K319" s="822"/>
      <c r="L319" s="822"/>
      <c r="M319" s="822"/>
      <c r="N319" s="822"/>
      <c r="O319" s="822"/>
      <c r="P319" s="822"/>
      <c r="Q319" s="822"/>
      <c r="R319" s="822"/>
      <c r="S319" s="822"/>
      <c r="T319" s="822"/>
      <c r="U319" s="822"/>
      <c r="V319" s="822"/>
      <c r="W319" s="822"/>
      <c r="X319" s="822"/>
      <c r="Y319" s="54">
        <v>26853.43</v>
      </c>
      <c r="Z319" s="822"/>
      <c r="AA319" s="822"/>
      <c r="AB319" s="822"/>
      <c r="AC319" s="822"/>
      <c r="AD319" s="822"/>
      <c r="AE319" s="54">
        <v>1134.3499999999999</v>
      </c>
      <c r="AF319" s="822"/>
      <c r="AG319" s="54">
        <v>27987.78</v>
      </c>
      <c r="AH319" s="54">
        <v>0</v>
      </c>
    </row>
    <row r="320" spans="1:34" ht="15.75" thickBot="1" x14ac:dyDescent="0.3">
      <c r="A320" s="51" t="s">
        <v>953</v>
      </c>
      <c r="B320" s="51" t="s">
        <v>38</v>
      </c>
      <c r="C320" s="51" t="s">
        <v>39</v>
      </c>
      <c r="D320" s="51" t="s">
        <v>320</v>
      </c>
      <c r="E320" s="51" t="s">
        <v>269</v>
      </c>
      <c r="F320" s="51" t="s">
        <v>972</v>
      </c>
      <c r="G320" s="148">
        <v>3</v>
      </c>
      <c r="H320" s="823"/>
      <c r="I320" s="823"/>
      <c r="J320" s="823"/>
      <c r="K320" s="823"/>
      <c r="L320" s="823"/>
      <c r="M320" s="823"/>
      <c r="N320" s="823"/>
      <c r="O320" s="823"/>
      <c r="P320" s="823"/>
      <c r="Q320" s="823"/>
      <c r="R320" s="823"/>
      <c r="S320" s="823"/>
      <c r="T320" s="823"/>
      <c r="U320" s="823"/>
      <c r="V320" s="823"/>
      <c r="W320" s="823"/>
      <c r="X320" s="823"/>
      <c r="Y320" s="823"/>
      <c r="Z320" s="56">
        <v>-55895.07</v>
      </c>
      <c r="AA320" s="823"/>
      <c r="AB320" s="823"/>
      <c r="AC320" s="823"/>
      <c r="AD320" s="823"/>
      <c r="AE320" s="56">
        <v>0</v>
      </c>
      <c r="AF320" s="823"/>
      <c r="AG320" s="56">
        <v>-55895.07</v>
      </c>
      <c r="AH320" s="56">
        <v>0</v>
      </c>
    </row>
    <row r="321" spans="1:34" ht="15.75" thickBot="1" x14ac:dyDescent="0.3">
      <c r="A321" s="51" t="s">
        <v>953</v>
      </c>
      <c r="B321" s="51" t="s">
        <v>38</v>
      </c>
      <c r="C321" s="51" t="s">
        <v>39</v>
      </c>
      <c r="D321" s="51" t="s">
        <v>320</v>
      </c>
      <c r="E321" s="51" t="s">
        <v>269</v>
      </c>
      <c r="F321" s="51" t="s">
        <v>364</v>
      </c>
      <c r="G321" s="147">
        <v>1</v>
      </c>
      <c r="H321" s="822"/>
      <c r="I321" s="822"/>
      <c r="J321" s="822"/>
      <c r="K321" s="822"/>
      <c r="L321" s="822"/>
      <c r="M321" s="822"/>
      <c r="N321" s="822"/>
      <c r="O321" s="822"/>
      <c r="P321" s="822"/>
      <c r="Q321" s="822"/>
      <c r="R321" s="822"/>
      <c r="S321" s="822"/>
      <c r="T321" s="822"/>
      <c r="U321" s="822"/>
      <c r="V321" s="822"/>
      <c r="W321" s="822"/>
      <c r="X321" s="822"/>
      <c r="Y321" s="822"/>
      <c r="Z321" s="822"/>
      <c r="AA321" s="54">
        <v>2121.64</v>
      </c>
      <c r="AB321" s="822"/>
      <c r="AC321" s="822"/>
      <c r="AD321" s="822"/>
      <c r="AE321" s="54">
        <v>0</v>
      </c>
      <c r="AF321" s="822"/>
      <c r="AG321" s="54">
        <v>2121.64</v>
      </c>
      <c r="AH321" s="54">
        <v>0</v>
      </c>
    </row>
    <row r="322" spans="1:34" ht="15.75" thickBot="1" x14ac:dyDescent="0.3">
      <c r="A322" s="51" t="s">
        <v>953</v>
      </c>
      <c r="B322" s="51" t="s">
        <v>38</v>
      </c>
      <c r="C322" s="51" t="s">
        <v>39</v>
      </c>
      <c r="D322" s="51" t="s">
        <v>320</v>
      </c>
      <c r="E322" s="51" t="s">
        <v>271</v>
      </c>
      <c r="F322" s="51" t="s">
        <v>980</v>
      </c>
      <c r="G322" s="147">
        <v>3</v>
      </c>
      <c r="H322" s="822"/>
      <c r="I322" s="822"/>
      <c r="J322" s="822"/>
      <c r="K322" s="822"/>
      <c r="L322" s="822"/>
      <c r="M322" s="822"/>
      <c r="N322" s="822"/>
      <c r="O322" s="822"/>
      <c r="P322" s="822"/>
      <c r="Q322" s="822"/>
      <c r="R322" s="822"/>
      <c r="S322" s="822"/>
      <c r="T322" s="822"/>
      <c r="U322" s="822"/>
      <c r="V322" s="822"/>
      <c r="W322" s="822"/>
      <c r="X322" s="822"/>
      <c r="Y322" s="822"/>
      <c r="Z322" s="822"/>
      <c r="AA322" s="54">
        <v>949.56</v>
      </c>
      <c r="AB322" s="822"/>
      <c r="AC322" s="822"/>
      <c r="AD322" s="822"/>
      <c r="AE322" s="54">
        <v>0</v>
      </c>
      <c r="AF322" s="822"/>
      <c r="AG322" s="54">
        <v>949.56</v>
      </c>
      <c r="AH322" s="54">
        <v>0</v>
      </c>
    </row>
    <row r="323" spans="1:34" ht="15.75" thickBot="1" x14ac:dyDescent="0.3">
      <c r="A323" s="51" t="s">
        <v>953</v>
      </c>
      <c r="B323" s="51" t="s">
        <v>38</v>
      </c>
      <c r="C323" s="51" t="s">
        <v>39</v>
      </c>
      <c r="D323" s="51" t="s">
        <v>320</v>
      </c>
      <c r="E323" s="51" t="s">
        <v>268</v>
      </c>
      <c r="F323" s="51" t="s">
        <v>971</v>
      </c>
      <c r="G323" s="147">
        <v>3</v>
      </c>
      <c r="H323" s="822"/>
      <c r="I323" s="822"/>
      <c r="J323" s="822"/>
      <c r="K323" s="822"/>
      <c r="L323" s="822"/>
      <c r="M323" s="822"/>
      <c r="N323" s="822"/>
      <c r="O323" s="822"/>
      <c r="P323" s="822"/>
      <c r="Q323" s="822"/>
      <c r="R323" s="822"/>
      <c r="S323" s="822"/>
      <c r="T323" s="822"/>
      <c r="U323" s="822"/>
      <c r="V323" s="822"/>
      <c r="W323" s="822"/>
      <c r="X323" s="822"/>
      <c r="Y323" s="822"/>
      <c r="Z323" s="822"/>
      <c r="AA323" s="822"/>
      <c r="AB323" s="822"/>
      <c r="AC323" s="54">
        <v>5325</v>
      </c>
      <c r="AD323" s="822"/>
      <c r="AE323" s="54">
        <v>0</v>
      </c>
      <c r="AF323" s="822"/>
      <c r="AG323" s="54">
        <v>5325</v>
      </c>
      <c r="AH323" s="54">
        <v>0</v>
      </c>
    </row>
    <row r="324" spans="1:34" ht="15.75" thickBot="1" x14ac:dyDescent="0.3">
      <c r="A324" s="51" t="s">
        <v>953</v>
      </c>
      <c r="B324" s="51" t="s">
        <v>38</v>
      </c>
      <c r="C324" s="51" t="s">
        <v>39</v>
      </c>
      <c r="D324" s="51" t="s">
        <v>320</v>
      </c>
      <c r="E324" s="51" t="s">
        <v>329</v>
      </c>
      <c r="F324" s="51" t="s">
        <v>975</v>
      </c>
      <c r="G324" s="147">
        <v>3</v>
      </c>
      <c r="H324" s="822"/>
      <c r="I324" s="822"/>
      <c r="J324" s="822"/>
      <c r="K324" s="822"/>
      <c r="L324" s="822"/>
      <c r="M324" s="822"/>
      <c r="N324" s="822"/>
      <c r="O324" s="822"/>
      <c r="P324" s="822"/>
      <c r="Q324" s="822"/>
      <c r="R324" s="822"/>
      <c r="S324" s="822"/>
      <c r="T324" s="822"/>
      <c r="U324" s="822"/>
      <c r="V324" s="822"/>
      <c r="W324" s="822"/>
      <c r="X324" s="822"/>
      <c r="Y324" s="54">
        <v>8329.68</v>
      </c>
      <c r="Z324" s="822"/>
      <c r="AA324" s="822"/>
      <c r="AB324" s="822"/>
      <c r="AC324" s="822"/>
      <c r="AD324" s="54">
        <v>8329.68</v>
      </c>
      <c r="AE324" s="54">
        <v>0</v>
      </c>
      <c r="AF324" s="822"/>
      <c r="AG324" s="54">
        <v>8329.68</v>
      </c>
      <c r="AH324" s="149">
        <v>-8329.68</v>
      </c>
    </row>
    <row r="325" spans="1:34" ht="15.75" thickBot="1" x14ac:dyDescent="0.3">
      <c r="A325" s="51" t="s">
        <v>953</v>
      </c>
      <c r="B325" s="51" t="s">
        <v>38</v>
      </c>
      <c r="C325" s="51" t="s">
        <v>39</v>
      </c>
      <c r="D325" s="51" t="s">
        <v>320</v>
      </c>
      <c r="E325" s="51" t="s">
        <v>330</v>
      </c>
      <c r="F325" s="51" t="s">
        <v>976</v>
      </c>
      <c r="G325" s="147">
        <v>3</v>
      </c>
      <c r="H325" s="822"/>
      <c r="I325" s="822"/>
      <c r="J325" s="822"/>
      <c r="K325" s="822"/>
      <c r="L325" s="822"/>
      <c r="M325" s="822"/>
      <c r="N325" s="822"/>
      <c r="O325" s="822"/>
      <c r="P325" s="822"/>
      <c r="Q325" s="822"/>
      <c r="R325" s="822"/>
      <c r="S325" s="822"/>
      <c r="T325" s="822"/>
      <c r="U325" s="822"/>
      <c r="V325" s="822"/>
      <c r="W325" s="822"/>
      <c r="X325" s="822"/>
      <c r="Y325" s="54">
        <v>19451.32</v>
      </c>
      <c r="Z325" s="822"/>
      <c r="AA325" s="822"/>
      <c r="AB325" s="822"/>
      <c r="AC325" s="822"/>
      <c r="AD325" s="822"/>
      <c r="AE325" s="54">
        <v>0</v>
      </c>
      <c r="AF325" s="822"/>
      <c r="AG325" s="54">
        <v>19451.32</v>
      </c>
      <c r="AH325" s="54">
        <v>0</v>
      </c>
    </row>
    <row r="326" spans="1:34" ht="15.75" thickBot="1" x14ac:dyDescent="0.3">
      <c r="A326" s="51" t="s">
        <v>954</v>
      </c>
      <c r="B326" s="51" t="s">
        <v>34</v>
      </c>
      <c r="C326" s="51" t="s">
        <v>437</v>
      </c>
      <c r="D326" s="51" t="s">
        <v>318</v>
      </c>
      <c r="E326" s="51" t="s">
        <v>109</v>
      </c>
      <c r="F326" s="51" t="s">
        <v>968</v>
      </c>
      <c r="G326" s="147">
        <v>7</v>
      </c>
      <c r="H326" s="822"/>
      <c r="I326" s="822"/>
      <c r="J326" s="822"/>
      <c r="K326" s="822"/>
      <c r="L326" s="822"/>
      <c r="M326" s="822"/>
      <c r="N326" s="822"/>
      <c r="O326" s="822"/>
      <c r="P326" s="822"/>
      <c r="Q326" s="822"/>
      <c r="R326" s="822"/>
      <c r="S326" s="822"/>
      <c r="T326" s="822"/>
      <c r="U326" s="822"/>
      <c r="V326" s="822"/>
      <c r="W326" s="822"/>
      <c r="X326" s="822"/>
      <c r="Y326" s="54">
        <v>125.74</v>
      </c>
      <c r="Z326" s="822"/>
      <c r="AA326" s="822"/>
      <c r="AB326" s="822"/>
      <c r="AC326" s="822"/>
      <c r="AD326" s="822"/>
      <c r="AE326" s="54">
        <v>0.42</v>
      </c>
      <c r="AF326" s="822"/>
      <c r="AG326" s="54">
        <v>126.16</v>
      </c>
      <c r="AH326" s="54">
        <v>0</v>
      </c>
    </row>
    <row r="327" spans="1:34" ht="15.75" thickBot="1" x14ac:dyDescent="0.3">
      <c r="A327" s="51" t="s">
        <v>954</v>
      </c>
      <c r="B327" s="51" t="s">
        <v>34</v>
      </c>
      <c r="C327" s="51" t="s">
        <v>437</v>
      </c>
      <c r="D327" s="51" t="s">
        <v>318</v>
      </c>
      <c r="E327" s="51" t="s">
        <v>272</v>
      </c>
      <c r="F327" s="51" t="s">
        <v>969</v>
      </c>
      <c r="G327" s="147">
        <v>7</v>
      </c>
      <c r="H327" s="822"/>
      <c r="I327" s="822"/>
      <c r="J327" s="822"/>
      <c r="K327" s="822"/>
      <c r="L327" s="822"/>
      <c r="M327" s="822"/>
      <c r="N327" s="822"/>
      <c r="O327" s="822"/>
      <c r="P327" s="822"/>
      <c r="Q327" s="822"/>
      <c r="R327" s="822"/>
      <c r="S327" s="822"/>
      <c r="T327" s="822"/>
      <c r="U327" s="822"/>
      <c r="V327" s="822"/>
      <c r="W327" s="822"/>
      <c r="X327" s="822"/>
      <c r="Y327" s="54">
        <v>5250</v>
      </c>
      <c r="Z327" s="822"/>
      <c r="AA327" s="822"/>
      <c r="AB327" s="822"/>
      <c r="AC327" s="822"/>
      <c r="AD327" s="822"/>
      <c r="AE327" s="54">
        <v>45</v>
      </c>
      <c r="AF327" s="822"/>
      <c r="AG327" s="54">
        <v>5295</v>
      </c>
      <c r="AH327" s="54">
        <v>0</v>
      </c>
    </row>
    <row r="328" spans="1:34" ht="15.75" thickBot="1" x14ac:dyDescent="0.3">
      <c r="A328" s="51" t="s">
        <v>954</v>
      </c>
      <c r="B328" s="51" t="s">
        <v>34</v>
      </c>
      <c r="C328" s="51" t="s">
        <v>437</v>
      </c>
      <c r="D328" s="51" t="s">
        <v>318</v>
      </c>
      <c r="E328" s="51" t="s">
        <v>265</v>
      </c>
      <c r="F328" s="51" t="s">
        <v>266</v>
      </c>
      <c r="G328" s="147">
        <v>7</v>
      </c>
      <c r="H328" s="54">
        <v>261954</v>
      </c>
      <c r="I328" s="822"/>
      <c r="J328" s="822"/>
      <c r="K328" s="822"/>
      <c r="L328" s="822"/>
      <c r="M328" s="822"/>
      <c r="N328" s="822"/>
      <c r="O328" s="822"/>
      <c r="P328" s="822"/>
      <c r="Q328" s="822"/>
      <c r="R328" s="822"/>
      <c r="S328" s="822"/>
      <c r="T328" s="822"/>
      <c r="U328" s="822"/>
      <c r="V328" s="822"/>
      <c r="W328" s="822"/>
      <c r="X328" s="822"/>
      <c r="Y328" s="54">
        <v>995.43</v>
      </c>
      <c r="Z328" s="822"/>
      <c r="AA328" s="822"/>
      <c r="AB328" s="822"/>
      <c r="AC328" s="822"/>
      <c r="AD328" s="822"/>
      <c r="AE328" s="54">
        <v>3.29</v>
      </c>
      <c r="AF328" s="822"/>
      <c r="AG328" s="54">
        <v>998.72</v>
      </c>
      <c r="AH328" s="54">
        <v>0</v>
      </c>
    </row>
    <row r="329" spans="1:34" ht="15.75" thickBot="1" x14ac:dyDescent="0.3">
      <c r="A329" s="51" t="s">
        <v>954</v>
      </c>
      <c r="B329" s="51" t="s">
        <v>34</v>
      </c>
      <c r="C329" s="51" t="s">
        <v>437</v>
      </c>
      <c r="D329" s="51" t="s">
        <v>318</v>
      </c>
      <c r="E329" s="51" t="s">
        <v>621</v>
      </c>
      <c r="F329" s="51" t="s">
        <v>970</v>
      </c>
      <c r="G329" s="147">
        <v>7</v>
      </c>
      <c r="H329" s="822"/>
      <c r="I329" s="822"/>
      <c r="J329" s="822"/>
      <c r="K329" s="822"/>
      <c r="L329" s="822"/>
      <c r="M329" s="822"/>
      <c r="N329" s="822"/>
      <c r="O329" s="822"/>
      <c r="P329" s="822"/>
      <c r="Q329" s="822"/>
      <c r="R329" s="822"/>
      <c r="S329" s="822"/>
      <c r="T329" s="822"/>
      <c r="U329" s="822"/>
      <c r="V329" s="822"/>
      <c r="W329" s="822"/>
      <c r="X329" s="822"/>
      <c r="Y329" s="822"/>
      <c r="Z329" s="822"/>
      <c r="AA329" s="822"/>
      <c r="AB329" s="822"/>
      <c r="AC329" s="822"/>
      <c r="AD329" s="822"/>
      <c r="AE329" s="54">
        <v>0.85</v>
      </c>
      <c r="AF329" s="822"/>
      <c r="AG329" s="54">
        <v>257.56</v>
      </c>
      <c r="AH329" s="149">
        <v>256.70999999999998</v>
      </c>
    </row>
    <row r="330" spans="1:34" ht="15.75" thickBot="1" x14ac:dyDescent="0.3">
      <c r="A330" s="51" t="s">
        <v>954</v>
      </c>
      <c r="B330" s="51" t="s">
        <v>34</v>
      </c>
      <c r="C330" s="51" t="s">
        <v>437</v>
      </c>
      <c r="D330" s="51" t="s">
        <v>318</v>
      </c>
      <c r="E330" s="51" t="s">
        <v>325</v>
      </c>
      <c r="F330" s="51" t="s">
        <v>974</v>
      </c>
      <c r="G330" s="147">
        <v>1</v>
      </c>
      <c r="H330" s="822"/>
      <c r="I330" s="822"/>
      <c r="J330" s="822"/>
      <c r="K330" s="822"/>
      <c r="L330" s="822"/>
      <c r="M330" s="822"/>
      <c r="N330" s="822"/>
      <c r="O330" s="822"/>
      <c r="P330" s="822"/>
      <c r="Q330" s="822"/>
      <c r="R330" s="822"/>
      <c r="S330" s="822"/>
      <c r="T330" s="822"/>
      <c r="U330" s="822"/>
      <c r="V330" s="822"/>
      <c r="W330" s="54">
        <v>3.36</v>
      </c>
      <c r="X330" s="822"/>
      <c r="Y330" s="822"/>
      <c r="Z330" s="822"/>
      <c r="AA330" s="822"/>
      <c r="AB330" s="822"/>
      <c r="AC330" s="822"/>
      <c r="AD330" s="822"/>
      <c r="AE330" s="54">
        <v>0.2</v>
      </c>
      <c r="AF330" s="822"/>
      <c r="AG330" s="54">
        <v>3.56</v>
      </c>
      <c r="AH330" s="54">
        <v>0</v>
      </c>
    </row>
    <row r="331" spans="1:34" ht="15.75" thickBot="1" x14ac:dyDescent="0.3">
      <c r="A331" s="51" t="s">
        <v>954</v>
      </c>
      <c r="B331" s="51" t="s">
        <v>34</v>
      </c>
      <c r="C331" s="51" t="s">
        <v>437</v>
      </c>
      <c r="D331" s="51" t="s">
        <v>318</v>
      </c>
      <c r="E331" s="51" t="s">
        <v>268</v>
      </c>
      <c r="F331" s="51" t="s">
        <v>971</v>
      </c>
      <c r="G331" s="147">
        <v>7</v>
      </c>
      <c r="H331" s="822"/>
      <c r="I331" s="822"/>
      <c r="J331" s="822"/>
      <c r="K331" s="822"/>
      <c r="L331" s="822"/>
      <c r="M331" s="822"/>
      <c r="N331" s="822"/>
      <c r="O331" s="822"/>
      <c r="P331" s="822"/>
      <c r="Q331" s="822"/>
      <c r="R331" s="822"/>
      <c r="S331" s="822"/>
      <c r="T331" s="822"/>
      <c r="U331" s="822"/>
      <c r="V331" s="822"/>
      <c r="W331" s="822"/>
      <c r="X331" s="822"/>
      <c r="Y331" s="822"/>
      <c r="Z331" s="822"/>
      <c r="AA331" s="822"/>
      <c r="AB331" s="822"/>
      <c r="AC331" s="54">
        <v>3850</v>
      </c>
      <c r="AD331" s="822"/>
      <c r="AE331" s="54">
        <v>33</v>
      </c>
      <c r="AF331" s="822"/>
      <c r="AG331" s="54">
        <v>3883</v>
      </c>
      <c r="AH331" s="54">
        <v>0</v>
      </c>
    </row>
    <row r="332" spans="1:34" ht="15.75" thickBot="1" x14ac:dyDescent="0.3">
      <c r="A332" s="51" t="s">
        <v>954</v>
      </c>
      <c r="B332" s="51" t="s">
        <v>34</v>
      </c>
      <c r="C332" s="51" t="s">
        <v>437</v>
      </c>
      <c r="D332" s="51" t="s">
        <v>318</v>
      </c>
      <c r="E332" s="51" t="s">
        <v>914</v>
      </c>
      <c r="F332" s="51" t="s">
        <v>266</v>
      </c>
      <c r="G332" s="147">
        <v>7</v>
      </c>
      <c r="H332" s="822"/>
      <c r="I332" s="822"/>
      <c r="J332" s="822"/>
      <c r="K332" s="822"/>
      <c r="L332" s="822"/>
      <c r="M332" s="822"/>
      <c r="N332" s="822"/>
      <c r="O332" s="822"/>
      <c r="P332" s="822"/>
      <c r="Q332" s="822"/>
      <c r="R332" s="822"/>
      <c r="S332" s="822"/>
      <c r="T332" s="822"/>
      <c r="U332" s="822"/>
      <c r="V332" s="822"/>
      <c r="W332" s="822"/>
      <c r="X332" s="822"/>
      <c r="Y332" s="54">
        <v>10099.32</v>
      </c>
      <c r="Z332" s="822"/>
      <c r="AA332" s="822"/>
      <c r="AB332" s="822"/>
      <c r="AC332" s="822"/>
      <c r="AD332" s="822"/>
      <c r="AE332" s="54">
        <v>55.39</v>
      </c>
      <c r="AF332" s="822"/>
      <c r="AG332" s="54">
        <v>10154.709999999999</v>
      </c>
      <c r="AH332" s="54">
        <v>0</v>
      </c>
    </row>
    <row r="333" spans="1:34" ht="15.75" thickBot="1" x14ac:dyDescent="0.3">
      <c r="A333" s="51" t="s">
        <v>954</v>
      </c>
      <c r="B333" s="51" t="s">
        <v>34</v>
      </c>
      <c r="C333" s="51" t="s">
        <v>437</v>
      </c>
      <c r="D333" s="51" t="s">
        <v>319</v>
      </c>
      <c r="E333" s="51" t="s">
        <v>109</v>
      </c>
      <c r="F333" s="51" t="s">
        <v>986</v>
      </c>
      <c r="G333" s="148">
        <v>1</v>
      </c>
      <c r="H333" s="823"/>
      <c r="I333" s="823"/>
      <c r="J333" s="823"/>
      <c r="K333" s="823"/>
      <c r="L333" s="823"/>
      <c r="M333" s="823"/>
      <c r="N333" s="823"/>
      <c r="O333" s="823"/>
      <c r="P333" s="823"/>
      <c r="Q333" s="823"/>
      <c r="R333" s="823"/>
      <c r="S333" s="823"/>
      <c r="T333" s="823"/>
      <c r="U333" s="823"/>
      <c r="V333" s="823"/>
      <c r="W333" s="823"/>
      <c r="X333" s="823"/>
      <c r="Y333" s="56">
        <v>3.4</v>
      </c>
      <c r="Z333" s="823"/>
      <c r="AA333" s="823"/>
      <c r="AB333" s="823"/>
      <c r="AC333" s="823"/>
      <c r="AD333" s="823"/>
      <c r="AE333" s="56">
        <v>0.1</v>
      </c>
      <c r="AF333" s="823"/>
      <c r="AG333" s="56">
        <v>3.5</v>
      </c>
      <c r="AH333" s="56">
        <v>0</v>
      </c>
    </row>
    <row r="334" spans="1:34" ht="15.75" thickBot="1" x14ac:dyDescent="0.3">
      <c r="A334" s="51" t="s">
        <v>954</v>
      </c>
      <c r="B334" s="51" t="s">
        <v>34</v>
      </c>
      <c r="C334" s="51" t="s">
        <v>437</v>
      </c>
      <c r="D334" s="51" t="s">
        <v>319</v>
      </c>
      <c r="E334" s="51" t="s">
        <v>109</v>
      </c>
      <c r="F334" s="51" t="s">
        <v>968</v>
      </c>
      <c r="G334" s="147">
        <v>2</v>
      </c>
      <c r="H334" s="822"/>
      <c r="I334" s="822"/>
      <c r="J334" s="822"/>
      <c r="K334" s="822"/>
      <c r="L334" s="822"/>
      <c r="M334" s="822"/>
      <c r="N334" s="822"/>
      <c r="O334" s="822"/>
      <c r="P334" s="822"/>
      <c r="Q334" s="822"/>
      <c r="R334" s="822"/>
      <c r="S334" s="822"/>
      <c r="T334" s="822"/>
      <c r="U334" s="822"/>
      <c r="V334" s="822"/>
      <c r="W334" s="822"/>
      <c r="X334" s="822"/>
      <c r="Y334" s="54">
        <v>34.409999999999997</v>
      </c>
      <c r="Z334" s="822"/>
      <c r="AA334" s="822"/>
      <c r="AB334" s="822"/>
      <c r="AC334" s="822"/>
      <c r="AD334" s="822"/>
      <c r="AE334" s="54">
        <v>0.75</v>
      </c>
      <c r="AF334" s="822"/>
      <c r="AG334" s="54">
        <v>35.159999999999997</v>
      </c>
      <c r="AH334" s="54">
        <v>0</v>
      </c>
    </row>
    <row r="335" spans="1:34" ht="15.75" thickBot="1" x14ac:dyDescent="0.3">
      <c r="A335" s="51" t="s">
        <v>954</v>
      </c>
      <c r="B335" s="51" t="s">
        <v>34</v>
      </c>
      <c r="C335" s="51" t="s">
        <v>437</v>
      </c>
      <c r="D335" s="51" t="s">
        <v>319</v>
      </c>
      <c r="E335" s="51" t="s">
        <v>269</v>
      </c>
      <c r="F335" s="51" t="s">
        <v>364</v>
      </c>
      <c r="G335" s="147">
        <v>1</v>
      </c>
      <c r="H335" s="822"/>
      <c r="I335" s="822"/>
      <c r="J335" s="822"/>
      <c r="K335" s="822"/>
      <c r="L335" s="822"/>
      <c r="M335" s="822"/>
      <c r="N335" s="822"/>
      <c r="O335" s="822"/>
      <c r="P335" s="822"/>
      <c r="Q335" s="822"/>
      <c r="R335" s="822"/>
      <c r="S335" s="822"/>
      <c r="T335" s="822"/>
      <c r="U335" s="822"/>
      <c r="V335" s="822"/>
      <c r="W335" s="822"/>
      <c r="X335" s="822"/>
      <c r="Y335" s="822"/>
      <c r="Z335" s="822"/>
      <c r="AA335" s="54">
        <v>1393.82</v>
      </c>
      <c r="AB335" s="822"/>
      <c r="AC335" s="822"/>
      <c r="AD335" s="822"/>
      <c r="AE335" s="54">
        <v>41.81</v>
      </c>
      <c r="AF335" s="822"/>
      <c r="AG335" s="54">
        <v>1435.63</v>
      </c>
      <c r="AH335" s="54">
        <v>0</v>
      </c>
    </row>
    <row r="336" spans="1:34" ht="15.75" thickBot="1" x14ac:dyDescent="0.3">
      <c r="A336" s="51" t="s">
        <v>954</v>
      </c>
      <c r="B336" s="51" t="s">
        <v>34</v>
      </c>
      <c r="C336" s="51" t="s">
        <v>437</v>
      </c>
      <c r="D336" s="51" t="s">
        <v>319</v>
      </c>
      <c r="E336" s="51" t="s">
        <v>272</v>
      </c>
      <c r="F336" s="51" t="s">
        <v>969</v>
      </c>
      <c r="G336" s="147">
        <v>2</v>
      </c>
      <c r="H336" s="822"/>
      <c r="I336" s="822"/>
      <c r="J336" s="822"/>
      <c r="K336" s="822"/>
      <c r="L336" s="822"/>
      <c r="M336" s="822"/>
      <c r="N336" s="822"/>
      <c r="O336" s="822"/>
      <c r="P336" s="822"/>
      <c r="Q336" s="822"/>
      <c r="R336" s="822"/>
      <c r="S336" s="822"/>
      <c r="T336" s="822"/>
      <c r="U336" s="822"/>
      <c r="V336" s="822"/>
      <c r="W336" s="822"/>
      <c r="X336" s="822"/>
      <c r="Y336" s="54">
        <v>1500</v>
      </c>
      <c r="Z336" s="822"/>
      <c r="AA336" s="822"/>
      <c r="AB336" s="822"/>
      <c r="AC336" s="822"/>
      <c r="AD336" s="822"/>
      <c r="AE336" s="54">
        <v>22.5</v>
      </c>
      <c r="AF336" s="822"/>
      <c r="AG336" s="54">
        <v>1522.5</v>
      </c>
      <c r="AH336" s="54">
        <v>0</v>
      </c>
    </row>
    <row r="337" spans="1:34" ht="15.75" thickBot="1" x14ac:dyDescent="0.3">
      <c r="A337" s="51" t="s">
        <v>954</v>
      </c>
      <c r="B337" s="51" t="s">
        <v>34</v>
      </c>
      <c r="C337" s="51" t="s">
        <v>437</v>
      </c>
      <c r="D337" s="51" t="s">
        <v>319</v>
      </c>
      <c r="E337" s="51" t="s">
        <v>265</v>
      </c>
      <c r="F337" s="51" t="s">
        <v>270</v>
      </c>
      <c r="G337" s="147">
        <v>1</v>
      </c>
      <c r="H337" s="54">
        <v>7076</v>
      </c>
      <c r="I337" s="822"/>
      <c r="J337" s="822"/>
      <c r="K337" s="822"/>
      <c r="L337" s="822"/>
      <c r="M337" s="822"/>
      <c r="N337" s="822"/>
      <c r="O337" s="822"/>
      <c r="P337" s="822"/>
      <c r="Q337" s="822"/>
      <c r="R337" s="822"/>
      <c r="S337" s="822"/>
      <c r="T337" s="822"/>
      <c r="U337" s="822"/>
      <c r="V337" s="822"/>
      <c r="W337" s="822"/>
      <c r="X337" s="822"/>
      <c r="Y337" s="822"/>
      <c r="Z337" s="54">
        <v>26.89</v>
      </c>
      <c r="AA337" s="822"/>
      <c r="AB337" s="822"/>
      <c r="AC337" s="822"/>
      <c r="AD337" s="822"/>
      <c r="AE337" s="54">
        <v>0.81</v>
      </c>
      <c r="AF337" s="822"/>
      <c r="AG337" s="54">
        <v>27.7</v>
      </c>
      <c r="AH337" s="54">
        <v>0</v>
      </c>
    </row>
    <row r="338" spans="1:34" ht="15.75" thickBot="1" x14ac:dyDescent="0.3">
      <c r="A338" s="51" t="s">
        <v>954</v>
      </c>
      <c r="B338" s="51" t="s">
        <v>34</v>
      </c>
      <c r="C338" s="51" t="s">
        <v>437</v>
      </c>
      <c r="D338" s="51" t="s">
        <v>319</v>
      </c>
      <c r="E338" s="51" t="s">
        <v>265</v>
      </c>
      <c r="F338" s="51" t="s">
        <v>266</v>
      </c>
      <c r="G338" s="148">
        <v>2</v>
      </c>
      <c r="H338" s="56">
        <v>71692</v>
      </c>
      <c r="I338" s="823"/>
      <c r="J338" s="823"/>
      <c r="K338" s="823"/>
      <c r="L338" s="823"/>
      <c r="M338" s="823"/>
      <c r="N338" s="823"/>
      <c r="O338" s="823"/>
      <c r="P338" s="823"/>
      <c r="Q338" s="823"/>
      <c r="R338" s="823"/>
      <c r="S338" s="823"/>
      <c r="T338" s="823"/>
      <c r="U338" s="823"/>
      <c r="V338" s="823"/>
      <c r="W338" s="823"/>
      <c r="X338" s="823"/>
      <c r="Y338" s="56">
        <v>272.43</v>
      </c>
      <c r="Z338" s="823"/>
      <c r="AA338" s="823"/>
      <c r="AB338" s="823"/>
      <c r="AC338" s="823"/>
      <c r="AD338" s="823"/>
      <c r="AE338" s="56">
        <v>5.94</v>
      </c>
      <c r="AF338" s="823"/>
      <c r="AG338" s="56">
        <v>278.37</v>
      </c>
      <c r="AH338" s="56">
        <v>0</v>
      </c>
    </row>
    <row r="339" spans="1:34" ht="15.75" thickBot="1" x14ac:dyDescent="0.3">
      <c r="A339" s="51" t="s">
        <v>954</v>
      </c>
      <c r="B339" s="51" t="s">
        <v>34</v>
      </c>
      <c r="C339" s="51" t="s">
        <v>437</v>
      </c>
      <c r="D339" s="51" t="s">
        <v>319</v>
      </c>
      <c r="E339" s="51" t="s">
        <v>621</v>
      </c>
      <c r="F339" s="51" t="s">
        <v>970</v>
      </c>
      <c r="G339" s="148">
        <v>2</v>
      </c>
      <c r="H339" s="823"/>
      <c r="I339" s="823"/>
      <c r="J339" s="823"/>
      <c r="K339" s="823"/>
      <c r="L339" s="823"/>
      <c r="M339" s="823"/>
      <c r="N339" s="823"/>
      <c r="O339" s="823"/>
      <c r="P339" s="823"/>
      <c r="Q339" s="823"/>
      <c r="R339" s="823"/>
      <c r="S339" s="823"/>
      <c r="T339" s="823"/>
      <c r="U339" s="823"/>
      <c r="V339" s="823"/>
      <c r="W339" s="823"/>
      <c r="X339" s="823"/>
      <c r="Y339" s="823"/>
      <c r="Z339" s="823"/>
      <c r="AA339" s="823"/>
      <c r="AB339" s="823"/>
      <c r="AC339" s="823"/>
      <c r="AD339" s="823"/>
      <c r="AE339" s="56">
        <v>1.53</v>
      </c>
      <c r="AF339" s="823"/>
      <c r="AG339" s="56">
        <v>71.790000000000006</v>
      </c>
      <c r="AH339" s="149">
        <v>70.260000000000005</v>
      </c>
    </row>
    <row r="340" spans="1:34" ht="15.75" thickBot="1" x14ac:dyDescent="0.3">
      <c r="A340" s="51" t="s">
        <v>954</v>
      </c>
      <c r="B340" s="51" t="s">
        <v>34</v>
      </c>
      <c r="C340" s="51" t="s">
        <v>437</v>
      </c>
      <c r="D340" s="51" t="s">
        <v>319</v>
      </c>
      <c r="E340" s="51" t="s">
        <v>916</v>
      </c>
      <c r="F340" s="51" t="s">
        <v>982</v>
      </c>
      <c r="G340" s="148">
        <v>1</v>
      </c>
      <c r="H340" s="823"/>
      <c r="I340" s="823"/>
      <c r="J340" s="823"/>
      <c r="K340" s="823"/>
      <c r="L340" s="823"/>
      <c r="M340" s="823"/>
      <c r="N340" s="823"/>
      <c r="O340" s="823"/>
      <c r="P340" s="823"/>
      <c r="Q340" s="823"/>
      <c r="R340" s="823"/>
      <c r="S340" s="823"/>
      <c r="T340" s="823"/>
      <c r="U340" s="823"/>
      <c r="V340" s="823"/>
      <c r="W340" s="823"/>
      <c r="X340" s="823"/>
      <c r="Y340" s="823"/>
      <c r="Z340" s="823"/>
      <c r="AA340" s="823"/>
      <c r="AB340" s="823"/>
      <c r="AC340" s="823"/>
      <c r="AD340" s="823"/>
      <c r="AE340" s="56">
        <v>0.21</v>
      </c>
      <c r="AF340" s="823"/>
      <c r="AG340" s="56">
        <v>7.14</v>
      </c>
      <c r="AH340" s="149">
        <v>6.93</v>
      </c>
    </row>
    <row r="341" spans="1:34" ht="15.75" thickBot="1" x14ac:dyDescent="0.3">
      <c r="A341" s="51" t="s">
        <v>954</v>
      </c>
      <c r="B341" s="51" t="s">
        <v>34</v>
      </c>
      <c r="C341" s="51" t="s">
        <v>437</v>
      </c>
      <c r="D341" s="51" t="s">
        <v>319</v>
      </c>
      <c r="E341" s="51" t="s">
        <v>271</v>
      </c>
      <c r="F341" s="51" t="s">
        <v>985</v>
      </c>
      <c r="G341" s="148">
        <v>1</v>
      </c>
      <c r="H341" s="823"/>
      <c r="I341" s="823"/>
      <c r="J341" s="823"/>
      <c r="K341" s="823"/>
      <c r="L341" s="823"/>
      <c r="M341" s="823"/>
      <c r="N341" s="823"/>
      <c r="O341" s="823"/>
      <c r="P341" s="823"/>
      <c r="Q341" s="823"/>
      <c r="R341" s="823"/>
      <c r="S341" s="823"/>
      <c r="T341" s="823"/>
      <c r="U341" s="823"/>
      <c r="V341" s="823"/>
      <c r="W341" s="823"/>
      <c r="X341" s="823"/>
      <c r="Y341" s="823"/>
      <c r="Z341" s="56">
        <v>5.42</v>
      </c>
      <c r="AA341" s="823"/>
      <c r="AB341" s="823"/>
      <c r="AC341" s="823"/>
      <c r="AD341" s="823"/>
      <c r="AE341" s="56">
        <v>0.16</v>
      </c>
      <c r="AF341" s="823"/>
      <c r="AG341" s="56">
        <v>5.58</v>
      </c>
      <c r="AH341" s="56">
        <v>0</v>
      </c>
    </row>
    <row r="342" spans="1:34" ht="15.75" thickBot="1" x14ac:dyDescent="0.3">
      <c r="A342" s="51" t="s">
        <v>954</v>
      </c>
      <c r="B342" s="51" t="s">
        <v>34</v>
      </c>
      <c r="C342" s="51" t="s">
        <v>437</v>
      </c>
      <c r="D342" s="51" t="s">
        <v>319</v>
      </c>
      <c r="E342" s="51" t="s">
        <v>325</v>
      </c>
      <c r="F342" s="51" t="s">
        <v>974</v>
      </c>
      <c r="G342" s="148">
        <v>1</v>
      </c>
      <c r="H342" s="823"/>
      <c r="I342" s="823"/>
      <c r="J342" s="823"/>
      <c r="K342" s="823"/>
      <c r="L342" s="823"/>
      <c r="M342" s="823"/>
      <c r="N342" s="823"/>
      <c r="O342" s="823"/>
      <c r="P342" s="823"/>
      <c r="Q342" s="823"/>
      <c r="R342" s="823"/>
      <c r="S342" s="823"/>
      <c r="T342" s="823"/>
      <c r="U342" s="823"/>
      <c r="V342" s="823"/>
      <c r="W342" s="56">
        <v>10.09</v>
      </c>
      <c r="X342" s="823"/>
      <c r="Y342" s="823"/>
      <c r="Z342" s="823"/>
      <c r="AA342" s="823"/>
      <c r="AB342" s="823"/>
      <c r="AC342" s="823"/>
      <c r="AD342" s="823"/>
      <c r="AE342" s="56">
        <v>0</v>
      </c>
      <c r="AF342" s="823"/>
      <c r="AG342" s="56">
        <v>10.09</v>
      </c>
      <c r="AH342" s="56">
        <v>0</v>
      </c>
    </row>
    <row r="343" spans="1:34" ht="15.75" thickBot="1" x14ac:dyDescent="0.3">
      <c r="A343" s="51" t="s">
        <v>954</v>
      </c>
      <c r="B343" s="51" t="s">
        <v>34</v>
      </c>
      <c r="C343" s="51" t="s">
        <v>437</v>
      </c>
      <c r="D343" s="51" t="s">
        <v>319</v>
      </c>
      <c r="E343" s="51" t="s">
        <v>268</v>
      </c>
      <c r="F343" s="51" t="s">
        <v>971</v>
      </c>
      <c r="G343" s="148">
        <v>2</v>
      </c>
      <c r="H343" s="823"/>
      <c r="I343" s="823"/>
      <c r="J343" s="823"/>
      <c r="K343" s="823"/>
      <c r="L343" s="823"/>
      <c r="M343" s="823"/>
      <c r="N343" s="823"/>
      <c r="O343" s="823"/>
      <c r="P343" s="823"/>
      <c r="Q343" s="823"/>
      <c r="R343" s="823"/>
      <c r="S343" s="823"/>
      <c r="T343" s="823"/>
      <c r="U343" s="823"/>
      <c r="V343" s="823"/>
      <c r="W343" s="823"/>
      <c r="X343" s="823"/>
      <c r="Y343" s="823"/>
      <c r="Z343" s="823"/>
      <c r="AA343" s="823"/>
      <c r="AB343" s="823"/>
      <c r="AC343" s="56">
        <v>1100</v>
      </c>
      <c r="AD343" s="823"/>
      <c r="AE343" s="56">
        <v>16.5</v>
      </c>
      <c r="AF343" s="823"/>
      <c r="AG343" s="56">
        <v>1116.5</v>
      </c>
      <c r="AH343" s="56">
        <v>0</v>
      </c>
    </row>
    <row r="344" spans="1:34" ht="15.75" thickBot="1" x14ac:dyDescent="0.3">
      <c r="A344" s="51" t="s">
        <v>954</v>
      </c>
      <c r="B344" s="51" t="s">
        <v>34</v>
      </c>
      <c r="C344" s="51" t="s">
        <v>437</v>
      </c>
      <c r="D344" s="51" t="s">
        <v>319</v>
      </c>
      <c r="E344" s="51" t="s">
        <v>914</v>
      </c>
      <c r="F344" s="51" t="s">
        <v>266</v>
      </c>
      <c r="G344" s="148">
        <v>2</v>
      </c>
      <c r="H344" s="823"/>
      <c r="I344" s="823"/>
      <c r="J344" s="823"/>
      <c r="K344" s="823"/>
      <c r="L344" s="823"/>
      <c r="M344" s="823"/>
      <c r="N344" s="823"/>
      <c r="O344" s="823"/>
      <c r="P344" s="823"/>
      <c r="Q344" s="823"/>
      <c r="R344" s="823"/>
      <c r="S344" s="823"/>
      <c r="T344" s="823"/>
      <c r="U344" s="823"/>
      <c r="V344" s="823"/>
      <c r="W344" s="823"/>
      <c r="X344" s="823"/>
      <c r="Y344" s="56">
        <v>3486.08</v>
      </c>
      <c r="Z344" s="823"/>
      <c r="AA344" s="823"/>
      <c r="AB344" s="823"/>
      <c r="AC344" s="823"/>
      <c r="AD344" s="823"/>
      <c r="AE344" s="56">
        <v>78.91</v>
      </c>
      <c r="AF344" s="823"/>
      <c r="AG344" s="56">
        <v>3564.99</v>
      </c>
      <c r="AH344" s="56">
        <v>0</v>
      </c>
    </row>
    <row r="345" spans="1:34" ht="15.75" thickBot="1" x14ac:dyDescent="0.3">
      <c r="A345" s="51" t="s">
        <v>954</v>
      </c>
      <c r="B345" s="51" t="s">
        <v>34</v>
      </c>
      <c r="C345" s="51" t="s">
        <v>437</v>
      </c>
      <c r="D345" s="51" t="s">
        <v>319</v>
      </c>
      <c r="E345" s="51" t="s">
        <v>329</v>
      </c>
      <c r="F345" s="51" t="s">
        <v>975</v>
      </c>
      <c r="G345" s="148">
        <v>1</v>
      </c>
      <c r="H345" s="823"/>
      <c r="I345" s="823"/>
      <c r="J345" s="823"/>
      <c r="K345" s="823"/>
      <c r="L345" s="823"/>
      <c r="M345" s="823"/>
      <c r="N345" s="823"/>
      <c r="O345" s="823"/>
      <c r="P345" s="823"/>
      <c r="Q345" s="823"/>
      <c r="R345" s="823"/>
      <c r="S345" s="823"/>
      <c r="T345" s="823"/>
      <c r="U345" s="823"/>
      <c r="V345" s="823"/>
      <c r="W345" s="823"/>
      <c r="X345" s="823"/>
      <c r="Y345" s="56">
        <v>51.09</v>
      </c>
      <c r="Z345" s="823"/>
      <c r="AA345" s="823"/>
      <c r="AB345" s="823"/>
      <c r="AC345" s="823"/>
      <c r="AD345" s="56">
        <v>51.09</v>
      </c>
      <c r="AE345" s="56">
        <v>1.53</v>
      </c>
      <c r="AF345" s="823"/>
      <c r="AG345" s="56">
        <v>52.62</v>
      </c>
      <c r="AH345" s="149">
        <v>-51.09</v>
      </c>
    </row>
    <row r="346" spans="1:34" ht="15.75" thickBot="1" x14ac:dyDescent="0.3">
      <c r="A346" s="51" t="s">
        <v>954</v>
      </c>
      <c r="B346" s="51" t="s">
        <v>34</v>
      </c>
      <c r="C346" s="51" t="s">
        <v>437</v>
      </c>
      <c r="D346" s="51" t="s">
        <v>319</v>
      </c>
      <c r="E346" s="51" t="s">
        <v>330</v>
      </c>
      <c r="F346" s="51" t="s">
        <v>976</v>
      </c>
      <c r="G346" s="148">
        <v>1</v>
      </c>
      <c r="H346" s="823"/>
      <c r="I346" s="823"/>
      <c r="J346" s="823"/>
      <c r="K346" s="823"/>
      <c r="L346" s="823"/>
      <c r="M346" s="823"/>
      <c r="N346" s="823"/>
      <c r="O346" s="823"/>
      <c r="P346" s="823"/>
      <c r="Q346" s="823"/>
      <c r="R346" s="823"/>
      <c r="S346" s="823"/>
      <c r="T346" s="823"/>
      <c r="U346" s="823"/>
      <c r="V346" s="823"/>
      <c r="W346" s="823"/>
      <c r="X346" s="823"/>
      <c r="Y346" s="56">
        <v>119.3</v>
      </c>
      <c r="Z346" s="823"/>
      <c r="AA346" s="823"/>
      <c r="AB346" s="823"/>
      <c r="AC346" s="823"/>
      <c r="AD346" s="823"/>
      <c r="AE346" s="56">
        <v>3.58</v>
      </c>
      <c r="AF346" s="823"/>
      <c r="AG346" s="56">
        <v>122.88</v>
      </c>
      <c r="AH346" s="56">
        <v>0</v>
      </c>
    </row>
    <row r="347" spans="1:34" ht="15.75" thickBot="1" x14ac:dyDescent="0.3">
      <c r="A347" s="51" t="s">
        <v>954</v>
      </c>
      <c r="B347" s="51" t="s">
        <v>31</v>
      </c>
      <c r="C347" s="51" t="s">
        <v>835</v>
      </c>
      <c r="D347" s="51" t="s">
        <v>320</v>
      </c>
      <c r="E347" s="51" t="s">
        <v>357</v>
      </c>
      <c r="F347" s="51" t="s">
        <v>984</v>
      </c>
      <c r="G347" s="148">
        <v>1</v>
      </c>
      <c r="H347" s="823"/>
      <c r="I347" s="823"/>
      <c r="J347" s="823"/>
      <c r="K347" s="823"/>
      <c r="L347" s="823"/>
      <c r="M347" s="823"/>
      <c r="N347" s="823"/>
      <c r="O347" s="823"/>
      <c r="P347" s="823"/>
      <c r="Q347" s="823"/>
      <c r="R347" s="823"/>
      <c r="S347" s="823"/>
      <c r="T347" s="823"/>
      <c r="U347" s="823"/>
      <c r="V347" s="823"/>
      <c r="W347" s="823"/>
      <c r="X347" s="56">
        <v>-954.91</v>
      </c>
      <c r="Y347" s="823"/>
      <c r="Z347" s="823"/>
      <c r="AA347" s="823"/>
      <c r="AB347" s="823"/>
      <c r="AC347" s="823"/>
      <c r="AD347" s="823"/>
      <c r="AE347" s="56">
        <v>-87.66</v>
      </c>
      <c r="AF347" s="823"/>
      <c r="AG347" s="56">
        <v>-1042.57</v>
      </c>
      <c r="AH347" s="56">
        <v>0</v>
      </c>
    </row>
    <row r="348" spans="1:34" ht="15.75" thickBot="1" x14ac:dyDescent="0.3">
      <c r="A348" s="51" t="s">
        <v>954</v>
      </c>
      <c r="B348" s="51" t="s">
        <v>31</v>
      </c>
      <c r="C348" s="51" t="s">
        <v>835</v>
      </c>
      <c r="D348" s="51" t="s">
        <v>320</v>
      </c>
      <c r="E348" s="51" t="s">
        <v>272</v>
      </c>
      <c r="F348" s="51" t="s">
        <v>969</v>
      </c>
      <c r="G348" s="148">
        <v>2</v>
      </c>
      <c r="H348" s="823"/>
      <c r="I348" s="823"/>
      <c r="J348" s="823"/>
      <c r="K348" s="823"/>
      <c r="L348" s="823"/>
      <c r="M348" s="823"/>
      <c r="N348" s="823"/>
      <c r="O348" s="823"/>
      <c r="P348" s="823"/>
      <c r="Q348" s="823"/>
      <c r="R348" s="823"/>
      <c r="S348" s="823"/>
      <c r="T348" s="823"/>
      <c r="U348" s="823"/>
      <c r="V348" s="823"/>
      <c r="W348" s="823"/>
      <c r="X348" s="823"/>
      <c r="Y348" s="56">
        <v>1478.4</v>
      </c>
      <c r="Z348" s="823"/>
      <c r="AA348" s="823"/>
      <c r="AB348" s="823"/>
      <c r="AC348" s="823"/>
      <c r="AD348" s="823"/>
      <c r="AE348" s="56">
        <v>112.21</v>
      </c>
      <c r="AF348" s="823"/>
      <c r="AG348" s="56">
        <v>1590.61</v>
      </c>
      <c r="AH348" s="56">
        <v>0</v>
      </c>
    </row>
    <row r="349" spans="1:34" ht="15.75" thickBot="1" x14ac:dyDescent="0.3">
      <c r="A349" s="51" t="s">
        <v>954</v>
      </c>
      <c r="B349" s="51" t="s">
        <v>31</v>
      </c>
      <c r="C349" s="51" t="s">
        <v>835</v>
      </c>
      <c r="D349" s="51" t="s">
        <v>320</v>
      </c>
      <c r="E349" s="51" t="s">
        <v>265</v>
      </c>
      <c r="F349" s="51" t="s">
        <v>266</v>
      </c>
      <c r="G349" s="148">
        <v>2</v>
      </c>
      <c r="H349" s="56">
        <v>2000</v>
      </c>
      <c r="I349" s="56">
        <v>112707</v>
      </c>
      <c r="J349" s="823"/>
      <c r="K349" s="823"/>
      <c r="L349" s="823"/>
      <c r="M349" s="823"/>
      <c r="N349" s="823"/>
      <c r="O349" s="823"/>
      <c r="P349" s="823"/>
      <c r="Q349" s="823"/>
      <c r="R349" s="823"/>
      <c r="S349" s="823"/>
      <c r="T349" s="823"/>
      <c r="U349" s="823"/>
      <c r="V349" s="823"/>
      <c r="W349" s="823"/>
      <c r="X349" s="823"/>
      <c r="Y349" s="56">
        <v>19518.740000000002</v>
      </c>
      <c r="Z349" s="823"/>
      <c r="AA349" s="823"/>
      <c r="AB349" s="823"/>
      <c r="AC349" s="823"/>
      <c r="AD349" s="823"/>
      <c r="AE349" s="56">
        <v>1759.55</v>
      </c>
      <c r="AF349" s="823"/>
      <c r="AG349" s="56">
        <v>21278.29</v>
      </c>
      <c r="AH349" s="56">
        <v>0</v>
      </c>
    </row>
    <row r="350" spans="1:34" ht="15.75" thickBot="1" x14ac:dyDescent="0.3">
      <c r="A350" s="51" t="s">
        <v>954</v>
      </c>
      <c r="B350" s="51" t="s">
        <v>31</v>
      </c>
      <c r="C350" s="51" t="s">
        <v>835</v>
      </c>
      <c r="D350" s="51" t="s">
        <v>320</v>
      </c>
      <c r="E350" s="51" t="s">
        <v>620</v>
      </c>
      <c r="F350" s="51" t="s">
        <v>978</v>
      </c>
      <c r="G350" s="148">
        <v>2</v>
      </c>
      <c r="H350" s="823"/>
      <c r="I350" s="823"/>
      <c r="J350" s="823"/>
      <c r="K350" s="823"/>
      <c r="L350" s="823"/>
      <c r="M350" s="823"/>
      <c r="N350" s="823"/>
      <c r="O350" s="823"/>
      <c r="P350" s="823"/>
      <c r="Q350" s="823"/>
      <c r="R350" s="823"/>
      <c r="S350" s="823"/>
      <c r="T350" s="823"/>
      <c r="U350" s="823"/>
      <c r="V350" s="823"/>
      <c r="W350" s="823"/>
      <c r="X350" s="823"/>
      <c r="Y350" s="823"/>
      <c r="Z350" s="823"/>
      <c r="AA350" s="823"/>
      <c r="AB350" s="823"/>
      <c r="AC350" s="823"/>
      <c r="AD350" s="823"/>
      <c r="AE350" s="56">
        <v>16.850000000000001</v>
      </c>
      <c r="AF350" s="823"/>
      <c r="AG350" s="56">
        <v>238.89</v>
      </c>
      <c r="AH350" s="149">
        <v>222.04</v>
      </c>
    </row>
    <row r="351" spans="1:34" ht="15.75" thickBot="1" x14ac:dyDescent="0.3">
      <c r="A351" s="51" t="s">
        <v>954</v>
      </c>
      <c r="B351" s="51" t="s">
        <v>31</v>
      </c>
      <c r="C351" s="51" t="s">
        <v>835</v>
      </c>
      <c r="D351" s="51" t="s">
        <v>320</v>
      </c>
      <c r="E351" s="51" t="s">
        <v>621</v>
      </c>
      <c r="F351" s="51" t="s">
        <v>970</v>
      </c>
      <c r="G351" s="148">
        <v>2</v>
      </c>
      <c r="H351" s="823"/>
      <c r="I351" s="823"/>
      <c r="J351" s="823"/>
      <c r="K351" s="823"/>
      <c r="L351" s="823"/>
      <c r="M351" s="823"/>
      <c r="N351" s="823"/>
      <c r="O351" s="823"/>
      <c r="P351" s="823"/>
      <c r="Q351" s="823"/>
      <c r="R351" s="823"/>
      <c r="S351" s="823"/>
      <c r="T351" s="823"/>
      <c r="U351" s="823"/>
      <c r="V351" s="823"/>
      <c r="W351" s="823"/>
      <c r="X351" s="823"/>
      <c r="Y351" s="823"/>
      <c r="Z351" s="823"/>
      <c r="AA351" s="823"/>
      <c r="AB351" s="823"/>
      <c r="AC351" s="823"/>
      <c r="AD351" s="823"/>
      <c r="AE351" s="56">
        <v>121.08</v>
      </c>
      <c r="AF351" s="823"/>
      <c r="AG351" s="56">
        <v>1463.15</v>
      </c>
      <c r="AH351" s="149">
        <v>1342.07</v>
      </c>
    </row>
    <row r="352" spans="1:34" ht="15.75" thickBot="1" x14ac:dyDescent="0.3">
      <c r="A352" s="51" t="s">
        <v>954</v>
      </c>
      <c r="B352" s="51" t="s">
        <v>31</v>
      </c>
      <c r="C352" s="51" t="s">
        <v>835</v>
      </c>
      <c r="D352" s="51" t="s">
        <v>320</v>
      </c>
      <c r="E352" s="51" t="s">
        <v>273</v>
      </c>
      <c r="F352" s="51" t="s">
        <v>979</v>
      </c>
      <c r="G352" s="148">
        <v>2</v>
      </c>
      <c r="H352" s="823"/>
      <c r="I352" s="823"/>
      <c r="J352" s="823"/>
      <c r="K352" s="823"/>
      <c r="L352" s="823"/>
      <c r="M352" s="823"/>
      <c r="N352" s="823"/>
      <c r="O352" s="823"/>
      <c r="P352" s="823"/>
      <c r="Q352" s="823"/>
      <c r="R352" s="823"/>
      <c r="S352" s="823"/>
      <c r="T352" s="823"/>
      <c r="U352" s="823"/>
      <c r="V352" s="823"/>
      <c r="W352" s="823"/>
      <c r="X352" s="823"/>
      <c r="Y352" s="56">
        <v>9870.5400000000009</v>
      </c>
      <c r="Z352" s="823"/>
      <c r="AA352" s="823"/>
      <c r="AB352" s="823"/>
      <c r="AC352" s="823"/>
      <c r="AD352" s="823"/>
      <c r="AE352" s="56">
        <v>890.52</v>
      </c>
      <c r="AF352" s="823"/>
      <c r="AG352" s="56">
        <v>10761.06</v>
      </c>
      <c r="AH352" s="56">
        <v>0</v>
      </c>
    </row>
    <row r="353" spans="1:34" ht="15.75" thickBot="1" x14ac:dyDescent="0.3">
      <c r="A353" s="51" t="s">
        <v>954</v>
      </c>
      <c r="B353" s="51" t="s">
        <v>31</v>
      </c>
      <c r="C353" s="51" t="s">
        <v>835</v>
      </c>
      <c r="D353" s="51" t="s">
        <v>320</v>
      </c>
      <c r="E353" s="51" t="s">
        <v>268</v>
      </c>
      <c r="F353" s="51" t="s">
        <v>971</v>
      </c>
      <c r="G353" s="148">
        <v>2</v>
      </c>
      <c r="H353" s="823"/>
      <c r="I353" s="823"/>
      <c r="J353" s="823"/>
      <c r="K353" s="823"/>
      <c r="L353" s="823"/>
      <c r="M353" s="823"/>
      <c r="N353" s="823"/>
      <c r="O353" s="823"/>
      <c r="P353" s="823"/>
      <c r="Q353" s="823"/>
      <c r="R353" s="823"/>
      <c r="S353" s="823"/>
      <c r="T353" s="823"/>
      <c r="U353" s="823"/>
      <c r="V353" s="823"/>
      <c r="W353" s="823"/>
      <c r="X353" s="823"/>
      <c r="Y353" s="823"/>
      <c r="Z353" s="823"/>
      <c r="AA353" s="823"/>
      <c r="AB353" s="823"/>
      <c r="AC353" s="56">
        <v>1100</v>
      </c>
      <c r="AD353" s="823"/>
      <c r="AE353" s="56">
        <v>83.49</v>
      </c>
      <c r="AF353" s="823"/>
      <c r="AG353" s="56">
        <v>1183.49</v>
      </c>
      <c r="AH353" s="56">
        <v>0</v>
      </c>
    </row>
    <row r="354" spans="1:34" ht="15.75" thickBot="1" x14ac:dyDescent="0.3">
      <c r="A354" s="51" t="s">
        <v>954</v>
      </c>
      <c r="B354" s="51" t="s">
        <v>491</v>
      </c>
      <c r="C354" s="51" t="s">
        <v>492</v>
      </c>
      <c r="D354" s="51" t="s">
        <v>320</v>
      </c>
      <c r="E354" s="51" t="s">
        <v>109</v>
      </c>
      <c r="F354" s="51" t="s">
        <v>968</v>
      </c>
      <c r="G354" s="147">
        <v>6</v>
      </c>
      <c r="H354" s="822"/>
      <c r="I354" s="822"/>
      <c r="J354" s="822"/>
      <c r="K354" s="822"/>
      <c r="L354" s="822"/>
      <c r="M354" s="822"/>
      <c r="N354" s="822"/>
      <c r="O354" s="822"/>
      <c r="P354" s="822"/>
      <c r="Q354" s="822"/>
      <c r="R354" s="822"/>
      <c r="S354" s="822"/>
      <c r="T354" s="822"/>
      <c r="U354" s="822"/>
      <c r="V354" s="822"/>
      <c r="W354" s="822"/>
      <c r="X354" s="822"/>
      <c r="Y354" s="54">
        <v>91.09</v>
      </c>
      <c r="Z354" s="822"/>
      <c r="AA354" s="822"/>
      <c r="AB354" s="822"/>
      <c r="AC354" s="822"/>
      <c r="AD354" s="822"/>
      <c r="AE354" s="54">
        <v>3.7</v>
      </c>
      <c r="AF354" s="822"/>
      <c r="AG354" s="54">
        <v>94.79</v>
      </c>
      <c r="AH354" s="54">
        <v>0</v>
      </c>
    </row>
    <row r="355" spans="1:34" ht="15.75" thickBot="1" x14ac:dyDescent="0.3">
      <c r="A355" s="51" t="s">
        <v>954</v>
      </c>
      <c r="B355" s="51" t="s">
        <v>491</v>
      </c>
      <c r="C355" s="51" t="s">
        <v>492</v>
      </c>
      <c r="D355" s="51" t="s">
        <v>320</v>
      </c>
      <c r="E355" s="51" t="s">
        <v>272</v>
      </c>
      <c r="F355" s="51" t="s">
        <v>969</v>
      </c>
      <c r="G355" s="147">
        <v>6</v>
      </c>
      <c r="H355" s="822"/>
      <c r="I355" s="822"/>
      <c r="J355" s="822"/>
      <c r="K355" s="822"/>
      <c r="L355" s="822"/>
      <c r="M355" s="822"/>
      <c r="N355" s="822"/>
      <c r="O355" s="822"/>
      <c r="P355" s="822"/>
      <c r="Q355" s="822"/>
      <c r="R355" s="822"/>
      <c r="S355" s="822"/>
      <c r="T355" s="822"/>
      <c r="U355" s="822"/>
      <c r="V355" s="822"/>
      <c r="W355" s="822"/>
      <c r="X355" s="822"/>
      <c r="Y355" s="54">
        <v>4435.2</v>
      </c>
      <c r="Z355" s="822"/>
      <c r="AA355" s="822"/>
      <c r="AB355" s="822"/>
      <c r="AC355" s="822"/>
      <c r="AD355" s="822"/>
      <c r="AE355" s="54">
        <v>134.38999999999999</v>
      </c>
      <c r="AF355" s="822"/>
      <c r="AG355" s="54">
        <v>4569.59</v>
      </c>
      <c r="AH355" s="54">
        <v>0</v>
      </c>
    </row>
    <row r="356" spans="1:34" ht="15.75" thickBot="1" x14ac:dyDescent="0.3">
      <c r="A356" s="51" t="s">
        <v>954</v>
      </c>
      <c r="B356" s="51" t="s">
        <v>491</v>
      </c>
      <c r="C356" s="51" t="s">
        <v>492</v>
      </c>
      <c r="D356" s="51" t="s">
        <v>320</v>
      </c>
      <c r="E356" s="51" t="s">
        <v>265</v>
      </c>
      <c r="F356" s="51" t="s">
        <v>266</v>
      </c>
      <c r="G356" s="147">
        <v>6</v>
      </c>
      <c r="H356" s="54">
        <v>6000</v>
      </c>
      <c r="I356" s="54">
        <v>183798</v>
      </c>
      <c r="J356" s="822"/>
      <c r="K356" s="822"/>
      <c r="L356" s="822"/>
      <c r="M356" s="822"/>
      <c r="N356" s="822"/>
      <c r="O356" s="822"/>
      <c r="P356" s="822"/>
      <c r="Q356" s="822"/>
      <c r="R356" s="822"/>
      <c r="S356" s="822"/>
      <c r="T356" s="822"/>
      <c r="U356" s="822"/>
      <c r="V356" s="822"/>
      <c r="W356" s="822"/>
      <c r="X356" s="822"/>
      <c r="Y356" s="54">
        <v>32430.9</v>
      </c>
      <c r="Z356" s="822"/>
      <c r="AA356" s="822"/>
      <c r="AB356" s="822"/>
      <c r="AC356" s="822"/>
      <c r="AD356" s="822"/>
      <c r="AE356" s="54">
        <v>1312.92</v>
      </c>
      <c r="AF356" s="822"/>
      <c r="AG356" s="54">
        <v>33743.82</v>
      </c>
      <c r="AH356" s="54">
        <v>0</v>
      </c>
    </row>
    <row r="357" spans="1:34" ht="15.75" thickBot="1" x14ac:dyDescent="0.3">
      <c r="A357" s="51" t="s">
        <v>954</v>
      </c>
      <c r="B357" s="51" t="s">
        <v>491</v>
      </c>
      <c r="C357" s="51" t="s">
        <v>492</v>
      </c>
      <c r="D357" s="51" t="s">
        <v>320</v>
      </c>
      <c r="E357" s="51" t="s">
        <v>620</v>
      </c>
      <c r="F357" s="51" t="s">
        <v>978</v>
      </c>
      <c r="G357" s="147">
        <v>6</v>
      </c>
      <c r="H357" s="822"/>
      <c r="I357" s="822"/>
      <c r="J357" s="822"/>
      <c r="K357" s="822"/>
      <c r="L357" s="822"/>
      <c r="M357" s="822"/>
      <c r="N357" s="822"/>
      <c r="O357" s="822"/>
      <c r="P357" s="822"/>
      <c r="Q357" s="822"/>
      <c r="R357" s="822"/>
      <c r="S357" s="822"/>
      <c r="T357" s="822"/>
      <c r="U357" s="822"/>
      <c r="V357" s="822"/>
      <c r="W357" s="822"/>
      <c r="X357" s="822"/>
      <c r="Y357" s="822"/>
      <c r="Z357" s="822"/>
      <c r="AA357" s="822"/>
      <c r="AB357" s="822"/>
      <c r="AC357" s="822"/>
      <c r="AD357" s="822"/>
      <c r="AE357" s="54">
        <v>20.18</v>
      </c>
      <c r="AF357" s="822"/>
      <c r="AG357" s="54">
        <v>686.3</v>
      </c>
      <c r="AH357" s="149">
        <v>666.12</v>
      </c>
    </row>
    <row r="358" spans="1:34" ht="15.75" thickBot="1" x14ac:dyDescent="0.3">
      <c r="A358" s="51" t="s">
        <v>954</v>
      </c>
      <c r="B358" s="51" t="s">
        <v>491</v>
      </c>
      <c r="C358" s="51" t="s">
        <v>492</v>
      </c>
      <c r="D358" s="51" t="s">
        <v>320</v>
      </c>
      <c r="E358" s="51" t="s">
        <v>621</v>
      </c>
      <c r="F358" s="51" t="s">
        <v>970</v>
      </c>
      <c r="G358" s="147">
        <v>6</v>
      </c>
      <c r="H358" s="822"/>
      <c r="I358" s="822"/>
      <c r="J358" s="822"/>
      <c r="K358" s="822"/>
      <c r="L358" s="822"/>
      <c r="M358" s="822"/>
      <c r="N358" s="822"/>
      <c r="O358" s="822"/>
      <c r="P358" s="822"/>
      <c r="Q358" s="822"/>
      <c r="R358" s="822"/>
      <c r="S358" s="822"/>
      <c r="T358" s="822"/>
      <c r="U358" s="822"/>
      <c r="V358" s="822"/>
      <c r="W358" s="822"/>
      <c r="X358" s="822"/>
      <c r="Y358" s="822"/>
      <c r="Z358" s="822"/>
      <c r="AA358" s="822"/>
      <c r="AB358" s="822"/>
      <c r="AC358" s="822"/>
      <c r="AD358" s="822"/>
      <c r="AE358" s="54">
        <v>90.11</v>
      </c>
      <c r="AF358" s="822"/>
      <c r="AG358" s="54">
        <v>2310.75</v>
      </c>
      <c r="AH358" s="149">
        <v>2220.64</v>
      </c>
    </row>
    <row r="359" spans="1:34" ht="15.75" thickBot="1" x14ac:dyDescent="0.3">
      <c r="A359" s="51" t="s">
        <v>954</v>
      </c>
      <c r="B359" s="51" t="s">
        <v>491</v>
      </c>
      <c r="C359" s="51" t="s">
        <v>492</v>
      </c>
      <c r="D359" s="51" t="s">
        <v>320</v>
      </c>
      <c r="E359" s="51" t="s">
        <v>273</v>
      </c>
      <c r="F359" s="51" t="s">
        <v>979</v>
      </c>
      <c r="G359" s="147">
        <v>6</v>
      </c>
      <c r="H359" s="822"/>
      <c r="I359" s="822"/>
      <c r="J359" s="822"/>
      <c r="K359" s="822"/>
      <c r="L359" s="822"/>
      <c r="M359" s="822"/>
      <c r="N359" s="822"/>
      <c r="O359" s="822"/>
      <c r="P359" s="822"/>
      <c r="Q359" s="822"/>
      <c r="R359" s="822"/>
      <c r="S359" s="822"/>
      <c r="T359" s="822"/>
      <c r="U359" s="822"/>
      <c r="V359" s="822"/>
      <c r="W359" s="822"/>
      <c r="X359" s="822"/>
      <c r="Y359" s="54">
        <v>16332.11</v>
      </c>
      <c r="Z359" s="822"/>
      <c r="AA359" s="822"/>
      <c r="AB359" s="822"/>
      <c r="AC359" s="822"/>
      <c r="AD359" s="822"/>
      <c r="AE359" s="54">
        <v>662.72</v>
      </c>
      <c r="AF359" s="822"/>
      <c r="AG359" s="54">
        <v>16994.830000000002</v>
      </c>
      <c r="AH359" s="54">
        <v>0</v>
      </c>
    </row>
    <row r="360" spans="1:34" ht="15.75" thickBot="1" x14ac:dyDescent="0.3">
      <c r="A360" s="51" t="s">
        <v>954</v>
      </c>
      <c r="B360" s="51" t="s">
        <v>491</v>
      </c>
      <c r="C360" s="51" t="s">
        <v>492</v>
      </c>
      <c r="D360" s="51" t="s">
        <v>320</v>
      </c>
      <c r="E360" s="51" t="s">
        <v>268</v>
      </c>
      <c r="F360" s="51" t="s">
        <v>971</v>
      </c>
      <c r="G360" s="147">
        <v>6</v>
      </c>
      <c r="H360" s="822"/>
      <c r="I360" s="822"/>
      <c r="J360" s="822"/>
      <c r="K360" s="822"/>
      <c r="L360" s="822"/>
      <c r="M360" s="822"/>
      <c r="N360" s="822"/>
      <c r="O360" s="822"/>
      <c r="P360" s="822"/>
      <c r="Q360" s="822"/>
      <c r="R360" s="822"/>
      <c r="S360" s="822"/>
      <c r="T360" s="822"/>
      <c r="U360" s="822"/>
      <c r="V360" s="822"/>
      <c r="W360" s="822"/>
      <c r="X360" s="822"/>
      <c r="Y360" s="822"/>
      <c r="Z360" s="822"/>
      <c r="AA360" s="822"/>
      <c r="AB360" s="822"/>
      <c r="AC360" s="54">
        <v>3300</v>
      </c>
      <c r="AD360" s="822"/>
      <c r="AE360" s="54">
        <v>99.99</v>
      </c>
      <c r="AF360" s="822"/>
      <c r="AG360" s="54">
        <v>3399.99</v>
      </c>
      <c r="AH360" s="54">
        <v>0</v>
      </c>
    </row>
    <row r="361" spans="1:34" ht="15.75" thickBot="1" x14ac:dyDescent="0.3">
      <c r="A361" s="51" t="s">
        <v>954</v>
      </c>
      <c r="B361" s="51" t="s">
        <v>52</v>
      </c>
      <c r="C361" s="51" t="s">
        <v>355</v>
      </c>
      <c r="D361" s="51" t="s">
        <v>320</v>
      </c>
      <c r="E361" s="51" t="s">
        <v>269</v>
      </c>
      <c r="F361" s="51" t="s">
        <v>972</v>
      </c>
      <c r="G361" s="148">
        <v>2</v>
      </c>
      <c r="H361" s="823"/>
      <c r="I361" s="823"/>
      <c r="J361" s="823"/>
      <c r="K361" s="823"/>
      <c r="L361" s="823"/>
      <c r="M361" s="823"/>
      <c r="N361" s="823"/>
      <c r="O361" s="823"/>
      <c r="P361" s="823"/>
      <c r="Q361" s="823"/>
      <c r="R361" s="823"/>
      <c r="S361" s="823"/>
      <c r="T361" s="823"/>
      <c r="U361" s="823"/>
      <c r="V361" s="823"/>
      <c r="W361" s="823"/>
      <c r="X361" s="823"/>
      <c r="Y361" s="823"/>
      <c r="Z361" s="56">
        <v>-8262.84</v>
      </c>
      <c r="AA361" s="823"/>
      <c r="AB361" s="823"/>
      <c r="AC361" s="823"/>
      <c r="AD361" s="823"/>
      <c r="AE361" s="56">
        <v>0</v>
      </c>
      <c r="AF361" s="823"/>
      <c r="AG361" s="56">
        <v>-8262.84</v>
      </c>
      <c r="AH361" s="56">
        <v>0</v>
      </c>
    </row>
    <row r="362" spans="1:34" ht="15.75" thickBot="1" x14ac:dyDescent="0.3">
      <c r="A362" s="51" t="s">
        <v>954</v>
      </c>
      <c r="B362" s="51" t="s">
        <v>52</v>
      </c>
      <c r="C362" s="51" t="s">
        <v>355</v>
      </c>
      <c r="D362" s="51" t="s">
        <v>320</v>
      </c>
      <c r="E362" s="51" t="s">
        <v>271</v>
      </c>
      <c r="F362" s="51" t="s">
        <v>980</v>
      </c>
      <c r="G362" s="148">
        <v>2</v>
      </c>
      <c r="H362" s="823"/>
      <c r="I362" s="823"/>
      <c r="J362" s="823"/>
      <c r="K362" s="823"/>
      <c r="L362" s="823"/>
      <c r="M362" s="823"/>
      <c r="N362" s="823"/>
      <c r="O362" s="823"/>
      <c r="P362" s="823"/>
      <c r="Q362" s="823"/>
      <c r="R362" s="823"/>
      <c r="S362" s="823"/>
      <c r="T362" s="823"/>
      <c r="U362" s="823"/>
      <c r="V362" s="823"/>
      <c r="W362" s="823"/>
      <c r="X362" s="823"/>
      <c r="Y362" s="823"/>
      <c r="Z362" s="823"/>
      <c r="AA362" s="56">
        <v>75.44</v>
      </c>
      <c r="AB362" s="823"/>
      <c r="AC362" s="823"/>
      <c r="AD362" s="823"/>
      <c r="AE362" s="56">
        <v>0</v>
      </c>
      <c r="AF362" s="823"/>
      <c r="AG362" s="56">
        <v>75.44</v>
      </c>
      <c r="AH362" s="56">
        <v>0</v>
      </c>
    </row>
    <row r="363" spans="1:34" ht="15.75" thickBot="1" x14ac:dyDescent="0.3">
      <c r="A363" s="51" t="s">
        <v>954</v>
      </c>
      <c r="B363" s="51" t="s">
        <v>52</v>
      </c>
      <c r="C363" s="51" t="s">
        <v>355</v>
      </c>
      <c r="D363" s="51" t="s">
        <v>320</v>
      </c>
      <c r="E363" s="51" t="s">
        <v>268</v>
      </c>
      <c r="F363" s="51" t="s">
        <v>971</v>
      </c>
      <c r="G363" s="148">
        <v>2</v>
      </c>
      <c r="H363" s="823"/>
      <c r="I363" s="823"/>
      <c r="J363" s="823"/>
      <c r="K363" s="823"/>
      <c r="L363" s="823"/>
      <c r="M363" s="823"/>
      <c r="N363" s="823"/>
      <c r="O363" s="823"/>
      <c r="P363" s="823"/>
      <c r="Q363" s="823"/>
      <c r="R363" s="823"/>
      <c r="S363" s="823"/>
      <c r="T363" s="823"/>
      <c r="U363" s="823"/>
      <c r="V363" s="823"/>
      <c r="W363" s="823"/>
      <c r="X363" s="823"/>
      <c r="Y363" s="823"/>
      <c r="Z363" s="823"/>
      <c r="AA363" s="823"/>
      <c r="AB363" s="823"/>
      <c r="AC363" s="56">
        <v>675</v>
      </c>
      <c r="AD363" s="823"/>
      <c r="AE363" s="56">
        <v>0</v>
      </c>
      <c r="AF363" s="823"/>
      <c r="AG363" s="56">
        <v>675</v>
      </c>
      <c r="AH363" s="56">
        <v>0</v>
      </c>
    </row>
    <row r="364" spans="1:34" ht="15.75" thickBot="1" x14ac:dyDescent="0.3">
      <c r="A364" s="51" t="s">
        <v>954</v>
      </c>
      <c r="B364" s="51" t="s">
        <v>53</v>
      </c>
      <c r="C364" s="51" t="s">
        <v>836</v>
      </c>
      <c r="D364" s="51" t="s">
        <v>320</v>
      </c>
      <c r="E364" s="51" t="s">
        <v>356</v>
      </c>
      <c r="F364" s="51" t="s">
        <v>337</v>
      </c>
      <c r="G364" s="147">
        <v>1</v>
      </c>
      <c r="H364" s="822"/>
      <c r="I364" s="822"/>
      <c r="J364" s="822"/>
      <c r="K364" s="822"/>
      <c r="L364" s="822"/>
      <c r="M364" s="54">
        <v>1196.6300000000001</v>
      </c>
      <c r="N364" s="822"/>
      <c r="O364" s="822"/>
      <c r="P364" s="822"/>
      <c r="Q364" s="822"/>
      <c r="R364" s="822"/>
      <c r="S364" s="822"/>
      <c r="T364" s="822"/>
      <c r="U364" s="822"/>
      <c r="V364" s="822"/>
      <c r="W364" s="822"/>
      <c r="X364" s="822"/>
      <c r="Y364" s="822"/>
      <c r="Z364" s="822"/>
      <c r="AA364" s="822"/>
      <c r="AB364" s="822"/>
      <c r="AC364" s="822"/>
      <c r="AD364" s="822"/>
      <c r="AE364" s="54">
        <v>0</v>
      </c>
      <c r="AF364" s="822"/>
      <c r="AG364" s="54">
        <v>1196.6300000000001</v>
      </c>
      <c r="AH364" s="54">
        <v>0</v>
      </c>
    </row>
    <row r="365" spans="1:34" ht="15.75" thickBot="1" x14ac:dyDescent="0.3">
      <c r="A365" s="51" t="s">
        <v>954</v>
      </c>
      <c r="B365" s="51" t="s">
        <v>53</v>
      </c>
      <c r="C365" s="51" t="s">
        <v>836</v>
      </c>
      <c r="D365" s="51" t="s">
        <v>320</v>
      </c>
      <c r="E365" s="51" t="s">
        <v>272</v>
      </c>
      <c r="F365" s="51" t="s">
        <v>969</v>
      </c>
      <c r="G365" s="147">
        <v>1</v>
      </c>
      <c r="H365" s="822"/>
      <c r="I365" s="822"/>
      <c r="J365" s="822"/>
      <c r="K365" s="822"/>
      <c r="L365" s="822"/>
      <c r="M365" s="822"/>
      <c r="N365" s="822"/>
      <c r="O365" s="822"/>
      <c r="P365" s="822"/>
      <c r="Q365" s="822"/>
      <c r="R365" s="822"/>
      <c r="S365" s="822"/>
      <c r="T365" s="822"/>
      <c r="U365" s="822"/>
      <c r="V365" s="822"/>
      <c r="W365" s="822"/>
      <c r="X365" s="822"/>
      <c r="Y365" s="54">
        <v>500</v>
      </c>
      <c r="Z365" s="822"/>
      <c r="AA365" s="822"/>
      <c r="AB365" s="822"/>
      <c r="AC365" s="822"/>
      <c r="AD365" s="822"/>
      <c r="AE365" s="54">
        <v>0</v>
      </c>
      <c r="AF365" s="822"/>
      <c r="AG365" s="54">
        <v>500</v>
      </c>
      <c r="AH365" s="54">
        <v>0</v>
      </c>
    </row>
    <row r="366" spans="1:34" ht="15.75" thickBot="1" x14ac:dyDescent="0.3">
      <c r="A366" s="51" t="s">
        <v>954</v>
      </c>
      <c r="B366" s="51" t="s">
        <v>53</v>
      </c>
      <c r="C366" s="51" t="s">
        <v>836</v>
      </c>
      <c r="D366" s="51" t="s">
        <v>320</v>
      </c>
      <c r="E366" s="51" t="s">
        <v>265</v>
      </c>
      <c r="F366" s="51" t="s">
        <v>266</v>
      </c>
      <c r="G366" s="147">
        <v>1</v>
      </c>
      <c r="H366" s="54">
        <v>189660</v>
      </c>
      <c r="I366" s="822"/>
      <c r="J366" s="822"/>
      <c r="K366" s="822"/>
      <c r="L366" s="822"/>
      <c r="M366" s="822"/>
      <c r="N366" s="822"/>
      <c r="O366" s="822"/>
      <c r="P366" s="822"/>
      <c r="Q366" s="822"/>
      <c r="R366" s="822"/>
      <c r="S366" s="822"/>
      <c r="T366" s="822"/>
      <c r="U366" s="822"/>
      <c r="V366" s="822"/>
      <c r="W366" s="822"/>
      <c r="X366" s="822"/>
      <c r="Y366" s="54">
        <v>20187.41</v>
      </c>
      <c r="Z366" s="822"/>
      <c r="AA366" s="822"/>
      <c r="AB366" s="822"/>
      <c r="AC366" s="822"/>
      <c r="AD366" s="822"/>
      <c r="AE366" s="54">
        <v>0</v>
      </c>
      <c r="AF366" s="822"/>
      <c r="AG366" s="54">
        <v>20187.41</v>
      </c>
      <c r="AH366" s="54">
        <v>0</v>
      </c>
    </row>
    <row r="367" spans="1:34" ht="15.75" thickBot="1" x14ac:dyDescent="0.3">
      <c r="A367" s="51" t="s">
        <v>954</v>
      </c>
      <c r="B367" s="51" t="s">
        <v>53</v>
      </c>
      <c r="C367" s="51" t="s">
        <v>836</v>
      </c>
      <c r="D367" s="51" t="s">
        <v>320</v>
      </c>
      <c r="E367" s="51" t="s">
        <v>620</v>
      </c>
      <c r="F367" s="51" t="s">
        <v>978</v>
      </c>
      <c r="G367" s="147">
        <v>1</v>
      </c>
      <c r="H367" s="822"/>
      <c r="I367" s="822"/>
      <c r="J367" s="822"/>
      <c r="K367" s="822"/>
      <c r="L367" s="822"/>
      <c r="M367" s="822"/>
      <c r="N367" s="822"/>
      <c r="O367" s="822"/>
      <c r="P367" s="822"/>
      <c r="Q367" s="822"/>
      <c r="R367" s="822"/>
      <c r="S367" s="822"/>
      <c r="T367" s="822"/>
      <c r="U367" s="822"/>
      <c r="V367" s="822"/>
      <c r="W367" s="822"/>
      <c r="X367" s="822"/>
      <c r="Y367" s="822"/>
      <c r="Z367" s="822"/>
      <c r="AA367" s="822"/>
      <c r="AB367" s="822"/>
      <c r="AC367" s="822"/>
      <c r="AD367" s="822"/>
      <c r="AE367" s="54">
        <v>0</v>
      </c>
      <c r="AF367" s="822"/>
      <c r="AG367" s="54">
        <v>111.02</v>
      </c>
      <c r="AH367" s="149">
        <v>111.02</v>
      </c>
    </row>
    <row r="368" spans="1:34" ht="15.75" thickBot="1" x14ac:dyDescent="0.3">
      <c r="A368" s="51" t="s">
        <v>954</v>
      </c>
      <c r="B368" s="51" t="s">
        <v>53</v>
      </c>
      <c r="C368" s="51" t="s">
        <v>836</v>
      </c>
      <c r="D368" s="51" t="s">
        <v>320</v>
      </c>
      <c r="E368" s="51" t="s">
        <v>621</v>
      </c>
      <c r="F368" s="51" t="s">
        <v>970</v>
      </c>
      <c r="G368" s="147">
        <v>1</v>
      </c>
      <c r="H368" s="822"/>
      <c r="I368" s="822"/>
      <c r="J368" s="822"/>
      <c r="K368" s="822"/>
      <c r="L368" s="822"/>
      <c r="M368" s="822"/>
      <c r="N368" s="822"/>
      <c r="O368" s="822"/>
      <c r="P368" s="822"/>
      <c r="Q368" s="822"/>
      <c r="R368" s="822"/>
      <c r="S368" s="822"/>
      <c r="T368" s="822"/>
      <c r="U368" s="822"/>
      <c r="V368" s="822"/>
      <c r="W368" s="822"/>
      <c r="X368" s="822"/>
      <c r="Y368" s="822"/>
      <c r="Z368" s="822"/>
      <c r="AA368" s="822"/>
      <c r="AB368" s="822"/>
      <c r="AC368" s="822"/>
      <c r="AD368" s="822"/>
      <c r="AE368" s="54">
        <v>0</v>
      </c>
      <c r="AF368" s="822"/>
      <c r="AG368" s="54">
        <v>2219.02</v>
      </c>
      <c r="AH368" s="149">
        <v>2219.02</v>
      </c>
    </row>
    <row r="369" spans="1:34" ht="15.75" thickBot="1" x14ac:dyDescent="0.3">
      <c r="A369" s="51" t="s">
        <v>954</v>
      </c>
      <c r="B369" s="51" t="s">
        <v>53</v>
      </c>
      <c r="C369" s="51" t="s">
        <v>836</v>
      </c>
      <c r="D369" s="51" t="s">
        <v>320</v>
      </c>
      <c r="E369" s="51" t="s">
        <v>273</v>
      </c>
      <c r="F369" s="51" t="s">
        <v>979</v>
      </c>
      <c r="G369" s="147">
        <v>1</v>
      </c>
      <c r="H369" s="822"/>
      <c r="I369" s="822"/>
      <c r="J369" s="822"/>
      <c r="K369" s="822"/>
      <c r="L369" s="822"/>
      <c r="M369" s="822"/>
      <c r="N369" s="822"/>
      <c r="O369" s="822"/>
      <c r="P369" s="822"/>
      <c r="Q369" s="822"/>
      <c r="R369" s="822"/>
      <c r="S369" s="822"/>
      <c r="T369" s="822"/>
      <c r="U369" s="822"/>
      <c r="V369" s="822"/>
      <c r="W369" s="822"/>
      <c r="X369" s="822"/>
      <c r="Y369" s="54">
        <v>16320.24</v>
      </c>
      <c r="Z369" s="822"/>
      <c r="AA369" s="822"/>
      <c r="AB369" s="822"/>
      <c r="AC369" s="822"/>
      <c r="AD369" s="822"/>
      <c r="AE369" s="54">
        <v>0</v>
      </c>
      <c r="AF369" s="822"/>
      <c r="AG369" s="54">
        <v>16320.24</v>
      </c>
      <c r="AH369" s="54">
        <v>0</v>
      </c>
    </row>
    <row r="370" spans="1:34" ht="15.75" thickBot="1" x14ac:dyDescent="0.3">
      <c r="A370" s="51" t="s">
        <v>954</v>
      </c>
      <c r="B370" s="51" t="s">
        <v>53</v>
      </c>
      <c r="C370" s="51" t="s">
        <v>836</v>
      </c>
      <c r="D370" s="51" t="s">
        <v>320</v>
      </c>
      <c r="E370" s="51" t="s">
        <v>268</v>
      </c>
      <c r="F370" s="51" t="s">
        <v>971</v>
      </c>
      <c r="G370" s="147">
        <v>1</v>
      </c>
      <c r="H370" s="822"/>
      <c r="I370" s="822"/>
      <c r="J370" s="822"/>
      <c r="K370" s="822"/>
      <c r="L370" s="822"/>
      <c r="M370" s="822"/>
      <c r="N370" s="822"/>
      <c r="O370" s="822"/>
      <c r="P370" s="822"/>
      <c r="Q370" s="822"/>
      <c r="R370" s="822"/>
      <c r="S370" s="822"/>
      <c r="T370" s="822"/>
      <c r="U370" s="822"/>
      <c r="V370" s="822"/>
      <c r="W370" s="822"/>
      <c r="X370" s="822"/>
      <c r="Y370" s="822"/>
      <c r="Z370" s="822"/>
      <c r="AA370" s="822"/>
      <c r="AB370" s="822"/>
      <c r="AC370" s="54">
        <v>550</v>
      </c>
      <c r="AD370" s="822"/>
      <c r="AE370" s="54">
        <v>0</v>
      </c>
      <c r="AF370" s="822"/>
      <c r="AG370" s="54">
        <v>550</v>
      </c>
      <c r="AH370" s="54">
        <v>0</v>
      </c>
    </row>
    <row r="371" spans="1:34" ht="15.75" thickBot="1" x14ac:dyDescent="0.3">
      <c r="A371" s="51" t="s">
        <v>954</v>
      </c>
      <c r="B371" s="51" t="s">
        <v>36</v>
      </c>
      <c r="C371" s="51" t="s">
        <v>438</v>
      </c>
      <c r="D371" s="51" t="s">
        <v>320</v>
      </c>
      <c r="E371" s="51" t="s">
        <v>269</v>
      </c>
      <c r="F371" s="51" t="s">
        <v>972</v>
      </c>
      <c r="G371" s="148">
        <v>2</v>
      </c>
      <c r="H371" s="823"/>
      <c r="I371" s="823"/>
      <c r="J371" s="823"/>
      <c r="K371" s="823"/>
      <c r="L371" s="823"/>
      <c r="M371" s="823"/>
      <c r="N371" s="823"/>
      <c r="O371" s="823"/>
      <c r="P371" s="823"/>
      <c r="Q371" s="823"/>
      <c r="R371" s="823"/>
      <c r="S371" s="823"/>
      <c r="T371" s="823"/>
      <c r="U371" s="823"/>
      <c r="V371" s="823"/>
      <c r="W371" s="823"/>
      <c r="X371" s="823"/>
      <c r="Y371" s="823"/>
      <c r="Z371" s="56">
        <v>-1589.01</v>
      </c>
      <c r="AA371" s="823"/>
      <c r="AB371" s="823"/>
      <c r="AC371" s="823"/>
      <c r="AD371" s="823"/>
      <c r="AE371" s="56">
        <v>-95.33</v>
      </c>
      <c r="AF371" s="823"/>
      <c r="AG371" s="56">
        <v>-1684.34</v>
      </c>
      <c r="AH371" s="56">
        <v>0</v>
      </c>
    </row>
    <row r="372" spans="1:34" ht="15.75" thickBot="1" x14ac:dyDescent="0.3">
      <c r="A372" s="51" t="s">
        <v>954</v>
      </c>
      <c r="B372" s="51" t="s">
        <v>36</v>
      </c>
      <c r="C372" s="51" t="s">
        <v>438</v>
      </c>
      <c r="D372" s="51" t="s">
        <v>320</v>
      </c>
      <c r="E372" s="51" t="s">
        <v>272</v>
      </c>
      <c r="F372" s="51" t="s">
        <v>969</v>
      </c>
      <c r="G372" s="148">
        <v>48</v>
      </c>
      <c r="H372" s="823"/>
      <c r="I372" s="823"/>
      <c r="J372" s="823"/>
      <c r="K372" s="823"/>
      <c r="L372" s="823"/>
      <c r="M372" s="823"/>
      <c r="N372" s="823"/>
      <c r="O372" s="823"/>
      <c r="P372" s="823"/>
      <c r="Q372" s="823"/>
      <c r="R372" s="823"/>
      <c r="S372" s="823"/>
      <c r="T372" s="823"/>
      <c r="U372" s="823"/>
      <c r="V372" s="823"/>
      <c r="W372" s="823"/>
      <c r="X372" s="823"/>
      <c r="Y372" s="56">
        <v>36000</v>
      </c>
      <c r="Z372" s="823"/>
      <c r="AA372" s="823"/>
      <c r="AB372" s="823"/>
      <c r="AC372" s="823"/>
      <c r="AD372" s="823"/>
      <c r="AE372" s="56">
        <v>1604.23</v>
      </c>
      <c r="AF372" s="823"/>
      <c r="AG372" s="56">
        <v>37604.230000000003</v>
      </c>
      <c r="AH372" s="56">
        <v>0</v>
      </c>
    </row>
    <row r="373" spans="1:34" ht="15.75" thickBot="1" x14ac:dyDescent="0.3">
      <c r="A373" s="51" t="s">
        <v>954</v>
      </c>
      <c r="B373" s="51" t="s">
        <v>36</v>
      </c>
      <c r="C373" s="51" t="s">
        <v>438</v>
      </c>
      <c r="D373" s="51" t="s">
        <v>320</v>
      </c>
      <c r="E373" s="51" t="s">
        <v>265</v>
      </c>
      <c r="F373" s="51" t="s">
        <v>266</v>
      </c>
      <c r="G373" s="148">
        <v>48</v>
      </c>
      <c r="H373" s="56">
        <v>6738584</v>
      </c>
      <c r="I373" s="823"/>
      <c r="J373" s="823"/>
      <c r="K373" s="823"/>
      <c r="L373" s="823"/>
      <c r="M373" s="823"/>
      <c r="N373" s="823"/>
      <c r="O373" s="823"/>
      <c r="P373" s="823"/>
      <c r="Q373" s="823"/>
      <c r="R373" s="823"/>
      <c r="S373" s="823"/>
      <c r="T373" s="823"/>
      <c r="U373" s="823"/>
      <c r="V373" s="823"/>
      <c r="W373" s="823"/>
      <c r="X373" s="823"/>
      <c r="Y373" s="56">
        <v>25606.62</v>
      </c>
      <c r="Z373" s="823"/>
      <c r="AA373" s="823"/>
      <c r="AB373" s="823"/>
      <c r="AC373" s="823"/>
      <c r="AD373" s="823"/>
      <c r="AE373" s="56">
        <v>980.23</v>
      </c>
      <c r="AF373" s="823"/>
      <c r="AG373" s="56">
        <v>26586.85</v>
      </c>
      <c r="AH373" s="56">
        <v>0</v>
      </c>
    </row>
    <row r="374" spans="1:34" ht="15.75" thickBot="1" x14ac:dyDescent="0.3">
      <c r="A374" s="51" t="s">
        <v>954</v>
      </c>
      <c r="B374" s="51" t="s">
        <v>36</v>
      </c>
      <c r="C374" s="51" t="s">
        <v>438</v>
      </c>
      <c r="D374" s="51" t="s">
        <v>320</v>
      </c>
      <c r="E374" s="51" t="s">
        <v>621</v>
      </c>
      <c r="F374" s="51" t="s">
        <v>970</v>
      </c>
      <c r="G374" s="148">
        <v>48</v>
      </c>
      <c r="H374" s="823"/>
      <c r="I374" s="823"/>
      <c r="J374" s="823"/>
      <c r="K374" s="823"/>
      <c r="L374" s="823"/>
      <c r="M374" s="823"/>
      <c r="N374" s="823"/>
      <c r="O374" s="823"/>
      <c r="P374" s="823"/>
      <c r="Q374" s="823"/>
      <c r="R374" s="823"/>
      <c r="S374" s="823"/>
      <c r="T374" s="823"/>
      <c r="U374" s="823"/>
      <c r="V374" s="823"/>
      <c r="W374" s="823"/>
      <c r="X374" s="823"/>
      <c r="Y374" s="823"/>
      <c r="Z374" s="823"/>
      <c r="AA374" s="823"/>
      <c r="AB374" s="823"/>
      <c r="AC374" s="823"/>
      <c r="AD374" s="823"/>
      <c r="AE374" s="56">
        <v>252.81</v>
      </c>
      <c r="AF374" s="823"/>
      <c r="AG374" s="56">
        <v>6856.6</v>
      </c>
      <c r="AH374" s="149">
        <v>6603.79</v>
      </c>
    </row>
    <row r="375" spans="1:34" ht="15.75" thickBot="1" x14ac:dyDescent="0.3">
      <c r="A375" s="51" t="s">
        <v>954</v>
      </c>
      <c r="B375" s="51" t="s">
        <v>36</v>
      </c>
      <c r="C375" s="51" t="s">
        <v>438</v>
      </c>
      <c r="D375" s="51" t="s">
        <v>320</v>
      </c>
      <c r="E375" s="51" t="s">
        <v>271</v>
      </c>
      <c r="F375" s="51" t="s">
        <v>980</v>
      </c>
      <c r="G375" s="148">
        <v>2</v>
      </c>
      <c r="H375" s="823"/>
      <c r="I375" s="823"/>
      <c r="J375" s="823"/>
      <c r="K375" s="823"/>
      <c r="L375" s="823"/>
      <c r="M375" s="823"/>
      <c r="N375" s="823"/>
      <c r="O375" s="823"/>
      <c r="P375" s="823"/>
      <c r="Q375" s="823"/>
      <c r="R375" s="823"/>
      <c r="S375" s="823"/>
      <c r="T375" s="823"/>
      <c r="U375" s="823"/>
      <c r="V375" s="823"/>
      <c r="W375" s="823"/>
      <c r="X375" s="823"/>
      <c r="Y375" s="823"/>
      <c r="Z375" s="823"/>
      <c r="AA375" s="56">
        <v>27.94</v>
      </c>
      <c r="AB375" s="823"/>
      <c r="AC375" s="823"/>
      <c r="AD375" s="823"/>
      <c r="AE375" s="56">
        <v>1.68</v>
      </c>
      <c r="AF375" s="823"/>
      <c r="AG375" s="56">
        <v>29.62</v>
      </c>
      <c r="AH375" s="56">
        <v>0</v>
      </c>
    </row>
    <row r="376" spans="1:34" ht="15.75" thickBot="1" x14ac:dyDescent="0.3">
      <c r="A376" s="51" t="s">
        <v>954</v>
      </c>
      <c r="B376" s="51" t="s">
        <v>36</v>
      </c>
      <c r="C376" s="51" t="s">
        <v>438</v>
      </c>
      <c r="D376" s="51" t="s">
        <v>320</v>
      </c>
      <c r="E376" s="51" t="s">
        <v>325</v>
      </c>
      <c r="F376" s="51" t="s">
        <v>974</v>
      </c>
      <c r="G376" s="148">
        <v>17</v>
      </c>
      <c r="H376" s="823"/>
      <c r="I376" s="823"/>
      <c r="J376" s="823"/>
      <c r="K376" s="823"/>
      <c r="L376" s="823"/>
      <c r="M376" s="823"/>
      <c r="N376" s="823"/>
      <c r="O376" s="823"/>
      <c r="P376" s="823"/>
      <c r="Q376" s="823"/>
      <c r="R376" s="823"/>
      <c r="S376" s="823"/>
      <c r="T376" s="823"/>
      <c r="U376" s="823"/>
      <c r="V376" s="823"/>
      <c r="W376" s="56">
        <v>110.4</v>
      </c>
      <c r="X376" s="823"/>
      <c r="Y376" s="823"/>
      <c r="Z376" s="823"/>
      <c r="AA376" s="823"/>
      <c r="AB376" s="823"/>
      <c r="AC376" s="823"/>
      <c r="AD376" s="823"/>
      <c r="AE376" s="56">
        <v>7.52</v>
      </c>
      <c r="AF376" s="823"/>
      <c r="AG376" s="56">
        <v>117.92</v>
      </c>
      <c r="AH376" s="56">
        <v>0</v>
      </c>
    </row>
    <row r="377" spans="1:34" ht="15.75" thickBot="1" x14ac:dyDescent="0.3">
      <c r="A377" s="51" t="s">
        <v>954</v>
      </c>
      <c r="B377" s="51" t="s">
        <v>36</v>
      </c>
      <c r="C377" s="51" t="s">
        <v>438</v>
      </c>
      <c r="D377" s="51" t="s">
        <v>320</v>
      </c>
      <c r="E377" s="51" t="s">
        <v>268</v>
      </c>
      <c r="F377" s="51" t="s">
        <v>971</v>
      </c>
      <c r="G377" s="148">
        <v>48</v>
      </c>
      <c r="H377" s="823"/>
      <c r="I377" s="823"/>
      <c r="J377" s="823"/>
      <c r="K377" s="823"/>
      <c r="L377" s="823"/>
      <c r="M377" s="823"/>
      <c r="N377" s="823"/>
      <c r="O377" s="823"/>
      <c r="P377" s="823"/>
      <c r="Q377" s="823"/>
      <c r="R377" s="823"/>
      <c r="S377" s="823"/>
      <c r="T377" s="823"/>
      <c r="U377" s="823"/>
      <c r="V377" s="823"/>
      <c r="W377" s="823"/>
      <c r="X377" s="823"/>
      <c r="Y377" s="823"/>
      <c r="Z377" s="823"/>
      <c r="AA377" s="823"/>
      <c r="AB377" s="823"/>
      <c r="AC377" s="56">
        <v>26400</v>
      </c>
      <c r="AD377" s="823"/>
      <c r="AE377" s="56">
        <v>1176.45</v>
      </c>
      <c r="AF377" s="823"/>
      <c r="AG377" s="56">
        <v>27576.45</v>
      </c>
      <c r="AH377" s="56">
        <v>0</v>
      </c>
    </row>
    <row r="378" spans="1:34" ht="15.75" thickBot="1" x14ac:dyDescent="0.3">
      <c r="A378" s="51" t="s">
        <v>954</v>
      </c>
      <c r="B378" s="51" t="s">
        <v>36</v>
      </c>
      <c r="C378" s="51" t="s">
        <v>438</v>
      </c>
      <c r="D378" s="51" t="s">
        <v>320</v>
      </c>
      <c r="E378" s="51" t="s">
        <v>914</v>
      </c>
      <c r="F378" s="51" t="s">
        <v>266</v>
      </c>
      <c r="G378" s="148">
        <v>48</v>
      </c>
      <c r="H378" s="823"/>
      <c r="I378" s="823"/>
      <c r="J378" s="823"/>
      <c r="K378" s="823"/>
      <c r="L378" s="823"/>
      <c r="M378" s="823"/>
      <c r="N378" s="823"/>
      <c r="O378" s="823"/>
      <c r="P378" s="823"/>
      <c r="Q378" s="823"/>
      <c r="R378" s="823"/>
      <c r="S378" s="823"/>
      <c r="T378" s="823"/>
      <c r="U378" s="823"/>
      <c r="V378" s="823"/>
      <c r="W378" s="823"/>
      <c r="X378" s="823"/>
      <c r="Y378" s="56">
        <v>319800.65999999997</v>
      </c>
      <c r="Z378" s="823"/>
      <c r="AA378" s="823"/>
      <c r="AB378" s="823"/>
      <c r="AC378" s="823"/>
      <c r="AD378" s="823"/>
      <c r="AE378" s="56">
        <v>14362.54</v>
      </c>
      <c r="AF378" s="823"/>
      <c r="AG378" s="56">
        <v>334163.20000000001</v>
      </c>
      <c r="AH378" s="56">
        <v>0</v>
      </c>
    </row>
    <row r="379" spans="1:34" ht="15.75" thickBot="1" x14ac:dyDescent="0.3">
      <c r="A379" s="51" t="s">
        <v>954</v>
      </c>
      <c r="B379" s="51" t="s">
        <v>36</v>
      </c>
      <c r="C379" s="51" t="s">
        <v>438</v>
      </c>
      <c r="D379" s="51" t="s">
        <v>320</v>
      </c>
      <c r="E379" s="51" t="s">
        <v>329</v>
      </c>
      <c r="F379" s="51" t="s">
        <v>975</v>
      </c>
      <c r="G379" s="148">
        <v>2</v>
      </c>
      <c r="H379" s="823"/>
      <c r="I379" s="823"/>
      <c r="J379" s="823"/>
      <c r="K379" s="823"/>
      <c r="L379" s="823"/>
      <c r="M379" s="823"/>
      <c r="N379" s="823"/>
      <c r="O379" s="823"/>
      <c r="P379" s="823"/>
      <c r="Q379" s="823"/>
      <c r="R379" s="823"/>
      <c r="S379" s="823"/>
      <c r="T379" s="823"/>
      <c r="U379" s="823"/>
      <c r="V379" s="823"/>
      <c r="W379" s="823"/>
      <c r="X379" s="823"/>
      <c r="Y379" s="56">
        <v>369.68</v>
      </c>
      <c r="Z379" s="823"/>
      <c r="AA379" s="823"/>
      <c r="AB379" s="823"/>
      <c r="AC379" s="823"/>
      <c r="AD379" s="56">
        <v>369.68</v>
      </c>
      <c r="AE379" s="56">
        <v>22.18</v>
      </c>
      <c r="AF379" s="823"/>
      <c r="AG379" s="56">
        <v>391.86</v>
      </c>
      <c r="AH379" s="149">
        <v>-369.68</v>
      </c>
    </row>
    <row r="380" spans="1:34" ht="15.75" thickBot="1" x14ac:dyDescent="0.3">
      <c r="A380" s="51" t="s">
        <v>954</v>
      </c>
      <c r="B380" s="51" t="s">
        <v>36</v>
      </c>
      <c r="C380" s="51" t="s">
        <v>438</v>
      </c>
      <c r="D380" s="51" t="s">
        <v>320</v>
      </c>
      <c r="E380" s="51" t="s">
        <v>330</v>
      </c>
      <c r="F380" s="51" t="s">
        <v>976</v>
      </c>
      <c r="G380" s="148">
        <v>2</v>
      </c>
      <c r="H380" s="823"/>
      <c r="I380" s="823"/>
      <c r="J380" s="823"/>
      <c r="K380" s="823"/>
      <c r="L380" s="823"/>
      <c r="M380" s="823"/>
      <c r="N380" s="823"/>
      <c r="O380" s="823"/>
      <c r="P380" s="823"/>
      <c r="Q380" s="823"/>
      <c r="R380" s="823"/>
      <c r="S380" s="823"/>
      <c r="T380" s="823"/>
      <c r="U380" s="823"/>
      <c r="V380" s="823"/>
      <c r="W380" s="823"/>
      <c r="X380" s="823"/>
      <c r="Y380" s="56">
        <v>863.3</v>
      </c>
      <c r="Z380" s="823"/>
      <c r="AA380" s="823"/>
      <c r="AB380" s="823"/>
      <c r="AC380" s="823"/>
      <c r="AD380" s="823"/>
      <c r="AE380" s="56">
        <v>51.79</v>
      </c>
      <c r="AF380" s="823"/>
      <c r="AG380" s="56">
        <v>915.09</v>
      </c>
      <c r="AH380" s="56">
        <v>0</v>
      </c>
    </row>
    <row r="381" spans="1:34" ht="15.75" thickBot="1" x14ac:dyDescent="0.3">
      <c r="A381" s="51" t="s">
        <v>954</v>
      </c>
      <c r="B381" s="51" t="s">
        <v>36</v>
      </c>
      <c r="C381" s="51" t="s">
        <v>438</v>
      </c>
      <c r="D381" s="51" t="s">
        <v>319</v>
      </c>
      <c r="E381" s="51" t="s">
        <v>272</v>
      </c>
      <c r="F381" s="51" t="s">
        <v>969</v>
      </c>
      <c r="G381" s="147">
        <v>2</v>
      </c>
      <c r="H381" s="822"/>
      <c r="I381" s="822"/>
      <c r="J381" s="822"/>
      <c r="K381" s="822"/>
      <c r="L381" s="822"/>
      <c r="M381" s="822"/>
      <c r="N381" s="822"/>
      <c r="O381" s="822"/>
      <c r="P381" s="822"/>
      <c r="Q381" s="822"/>
      <c r="R381" s="822"/>
      <c r="S381" s="822"/>
      <c r="T381" s="822"/>
      <c r="U381" s="822"/>
      <c r="V381" s="822"/>
      <c r="W381" s="822"/>
      <c r="X381" s="822"/>
      <c r="Y381" s="54">
        <v>1500</v>
      </c>
      <c r="Z381" s="822"/>
      <c r="AA381" s="822"/>
      <c r="AB381" s="822"/>
      <c r="AC381" s="822"/>
      <c r="AD381" s="822"/>
      <c r="AE381" s="54">
        <v>0</v>
      </c>
      <c r="AF381" s="822"/>
      <c r="AG381" s="54">
        <v>1500</v>
      </c>
      <c r="AH381" s="54">
        <v>0</v>
      </c>
    </row>
    <row r="382" spans="1:34" ht="15.75" thickBot="1" x14ac:dyDescent="0.3">
      <c r="A382" s="51" t="s">
        <v>954</v>
      </c>
      <c r="B382" s="51" t="s">
        <v>36</v>
      </c>
      <c r="C382" s="51" t="s">
        <v>438</v>
      </c>
      <c r="D382" s="51" t="s">
        <v>319</v>
      </c>
      <c r="E382" s="51" t="s">
        <v>265</v>
      </c>
      <c r="F382" s="51" t="s">
        <v>266</v>
      </c>
      <c r="G382" s="147">
        <v>2</v>
      </c>
      <c r="H382" s="54">
        <v>253826</v>
      </c>
      <c r="I382" s="822"/>
      <c r="J382" s="822"/>
      <c r="K382" s="822"/>
      <c r="L382" s="822"/>
      <c r="M382" s="822"/>
      <c r="N382" s="822"/>
      <c r="O382" s="822"/>
      <c r="P382" s="822"/>
      <c r="Q382" s="822"/>
      <c r="R382" s="822"/>
      <c r="S382" s="822"/>
      <c r="T382" s="822"/>
      <c r="U382" s="822"/>
      <c r="V382" s="822"/>
      <c r="W382" s="822"/>
      <c r="X382" s="822"/>
      <c r="Y382" s="54">
        <v>964.54</v>
      </c>
      <c r="Z382" s="822"/>
      <c r="AA382" s="822"/>
      <c r="AB382" s="822"/>
      <c r="AC382" s="822"/>
      <c r="AD382" s="822"/>
      <c r="AE382" s="54">
        <v>0</v>
      </c>
      <c r="AF382" s="822"/>
      <c r="AG382" s="54">
        <v>964.54</v>
      </c>
      <c r="AH382" s="54">
        <v>0</v>
      </c>
    </row>
    <row r="383" spans="1:34" ht="15.75" thickBot="1" x14ac:dyDescent="0.3">
      <c r="A383" s="51" t="s">
        <v>954</v>
      </c>
      <c r="B383" s="51" t="s">
        <v>36</v>
      </c>
      <c r="C383" s="51" t="s">
        <v>438</v>
      </c>
      <c r="D383" s="51" t="s">
        <v>319</v>
      </c>
      <c r="E383" s="51" t="s">
        <v>621</v>
      </c>
      <c r="F383" s="51" t="s">
        <v>970</v>
      </c>
      <c r="G383" s="147">
        <v>2</v>
      </c>
      <c r="H383" s="822"/>
      <c r="I383" s="822"/>
      <c r="J383" s="822"/>
      <c r="K383" s="822"/>
      <c r="L383" s="822"/>
      <c r="M383" s="822"/>
      <c r="N383" s="822"/>
      <c r="O383" s="822"/>
      <c r="P383" s="822"/>
      <c r="Q383" s="822"/>
      <c r="R383" s="822"/>
      <c r="S383" s="822"/>
      <c r="T383" s="822"/>
      <c r="U383" s="822"/>
      <c r="V383" s="822"/>
      <c r="W383" s="822"/>
      <c r="X383" s="822"/>
      <c r="Y383" s="822"/>
      <c r="Z383" s="822"/>
      <c r="AA383" s="822"/>
      <c r="AB383" s="822"/>
      <c r="AC383" s="822"/>
      <c r="AD383" s="822"/>
      <c r="AE383" s="54">
        <v>0</v>
      </c>
      <c r="AF383" s="822"/>
      <c r="AG383" s="54">
        <v>248.75</v>
      </c>
      <c r="AH383" s="149">
        <v>248.75</v>
      </c>
    </row>
    <row r="384" spans="1:34" ht="15.75" thickBot="1" x14ac:dyDescent="0.3">
      <c r="A384" s="51" t="s">
        <v>954</v>
      </c>
      <c r="B384" s="51" t="s">
        <v>36</v>
      </c>
      <c r="C384" s="51" t="s">
        <v>438</v>
      </c>
      <c r="D384" s="51" t="s">
        <v>319</v>
      </c>
      <c r="E384" s="51" t="s">
        <v>325</v>
      </c>
      <c r="F384" s="51" t="s">
        <v>974</v>
      </c>
      <c r="G384" s="147">
        <v>1</v>
      </c>
      <c r="H384" s="822"/>
      <c r="I384" s="822"/>
      <c r="J384" s="822"/>
      <c r="K384" s="822"/>
      <c r="L384" s="822"/>
      <c r="M384" s="822"/>
      <c r="N384" s="822"/>
      <c r="O384" s="822"/>
      <c r="P384" s="822"/>
      <c r="Q384" s="822"/>
      <c r="R384" s="822"/>
      <c r="S384" s="822"/>
      <c r="T384" s="822"/>
      <c r="U384" s="822"/>
      <c r="V384" s="822"/>
      <c r="W384" s="54">
        <v>4.28</v>
      </c>
      <c r="X384" s="822"/>
      <c r="Y384" s="822"/>
      <c r="Z384" s="822"/>
      <c r="AA384" s="822"/>
      <c r="AB384" s="822"/>
      <c r="AC384" s="822"/>
      <c r="AD384" s="822"/>
      <c r="AE384" s="54">
        <v>0</v>
      </c>
      <c r="AF384" s="822"/>
      <c r="AG384" s="54">
        <v>4.28</v>
      </c>
      <c r="AH384" s="54">
        <v>0</v>
      </c>
    </row>
    <row r="385" spans="1:34" ht="15.75" thickBot="1" x14ac:dyDescent="0.3">
      <c r="A385" s="51" t="s">
        <v>954</v>
      </c>
      <c r="B385" s="51" t="s">
        <v>36</v>
      </c>
      <c r="C385" s="51" t="s">
        <v>438</v>
      </c>
      <c r="D385" s="51" t="s">
        <v>319</v>
      </c>
      <c r="E385" s="51" t="s">
        <v>268</v>
      </c>
      <c r="F385" s="51" t="s">
        <v>971</v>
      </c>
      <c r="G385" s="147">
        <v>2</v>
      </c>
      <c r="H385" s="822"/>
      <c r="I385" s="822"/>
      <c r="J385" s="822"/>
      <c r="K385" s="822"/>
      <c r="L385" s="822"/>
      <c r="M385" s="822"/>
      <c r="N385" s="822"/>
      <c r="O385" s="822"/>
      <c r="P385" s="822"/>
      <c r="Q385" s="822"/>
      <c r="R385" s="822"/>
      <c r="S385" s="822"/>
      <c r="T385" s="822"/>
      <c r="U385" s="822"/>
      <c r="V385" s="822"/>
      <c r="W385" s="822"/>
      <c r="X385" s="822"/>
      <c r="Y385" s="822"/>
      <c r="Z385" s="822"/>
      <c r="AA385" s="822"/>
      <c r="AB385" s="822"/>
      <c r="AC385" s="54">
        <v>1100</v>
      </c>
      <c r="AD385" s="822"/>
      <c r="AE385" s="54">
        <v>0</v>
      </c>
      <c r="AF385" s="822"/>
      <c r="AG385" s="54">
        <v>1100</v>
      </c>
      <c r="AH385" s="54">
        <v>0</v>
      </c>
    </row>
    <row r="386" spans="1:34" ht="15.75" thickBot="1" x14ac:dyDescent="0.3">
      <c r="A386" s="51" t="s">
        <v>954</v>
      </c>
      <c r="B386" s="51" t="s">
        <v>36</v>
      </c>
      <c r="C386" s="51" t="s">
        <v>438</v>
      </c>
      <c r="D386" s="51" t="s">
        <v>319</v>
      </c>
      <c r="E386" s="51" t="s">
        <v>914</v>
      </c>
      <c r="F386" s="51" t="s">
        <v>266</v>
      </c>
      <c r="G386" s="147">
        <v>2</v>
      </c>
      <c r="H386" s="822"/>
      <c r="I386" s="822"/>
      <c r="J386" s="822"/>
      <c r="K386" s="822"/>
      <c r="L386" s="822"/>
      <c r="M386" s="822"/>
      <c r="N386" s="822"/>
      <c r="O386" s="822"/>
      <c r="P386" s="822"/>
      <c r="Q386" s="822"/>
      <c r="R386" s="822"/>
      <c r="S386" s="822"/>
      <c r="T386" s="822"/>
      <c r="U386" s="822"/>
      <c r="V386" s="822"/>
      <c r="W386" s="822"/>
      <c r="X386" s="822"/>
      <c r="Y386" s="54">
        <v>18788.36</v>
      </c>
      <c r="Z386" s="822"/>
      <c r="AA386" s="822"/>
      <c r="AB386" s="822"/>
      <c r="AC386" s="822"/>
      <c r="AD386" s="822"/>
      <c r="AE386" s="54">
        <v>0</v>
      </c>
      <c r="AF386" s="822"/>
      <c r="AG386" s="54">
        <v>18788.36</v>
      </c>
      <c r="AH386" s="54">
        <v>0</v>
      </c>
    </row>
    <row r="387" spans="1:34" ht="15.75" thickBot="1" x14ac:dyDescent="0.3">
      <c r="A387" s="51" t="s">
        <v>954</v>
      </c>
      <c r="B387" s="51" t="s">
        <v>447</v>
      </c>
      <c r="C387" s="51" t="s">
        <v>494</v>
      </c>
      <c r="D387" s="51" t="s">
        <v>320</v>
      </c>
      <c r="E387" s="51" t="s">
        <v>109</v>
      </c>
      <c r="F387" s="51" t="s">
        <v>968</v>
      </c>
      <c r="G387" s="147">
        <v>15</v>
      </c>
      <c r="H387" s="822"/>
      <c r="I387" s="822"/>
      <c r="J387" s="822"/>
      <c r="K387" s="822"/>
      <c r="L387" s="822"/>
      <c r="M387" s="822"/>
      <c r="N387" s="822"/>
      <c r="O387" s="822"/>
      <c r="P387" s="822"/>
      <c r="Q387" s="822"/>
      <c r="R387" s="822"/>
      <c r="S387" s="822"/>
      <c r="T387" s="822"/>
      <c r="U387" s="822"/>
      <c r="V387" s="822"/>
      <c r="W387" s="822"/>
      <c r="X387" s="822"/>
      <c r="Y387" s="54">
        <v>329.98</v>
      </c>
      <c r="Z387" s="822"/>
      <c r="AA387" s="822"/>
      <c r="AB387" s="822"/>
      <c r="AC387" s="822"/>
      <c r="AD387" s="822"/>
      <c r="AE387" s="54">
        <v>14.08</v>
      </c>
      <c r="AF387" s="822"/>
      <c r="AG387" s="54">
        <v>344.06</v>
      </c>
      <c r="AH387" s="54">
        <v>0</v>
      </c>
    </row>
    <row r="388" spans="1:34" ht="15.75" thickBot="1" x14ac:dyDescent="0.3">
      <c r="A388" s="51" t="s">
        <v>954</v>
      </c>
      <c r="B388" s="51" t="s">
        <v>447</v>
      </c>
      <c r="C388" s="51" t="s">
        <v>494</v>
      </c>
      <c r="D388" s="51" t="s">
        <v>320</v>
      </c>
      <c r="E388" s="51" t="s">
        <v>356</v>
      </c>
      <c r="F388" s="51" t="s">
        <v>337</v>
      </c>
      <c r="G388" s="147">
        <v>4</v>
      </c>
      <c r="H388" s="822"/>
      <c r="I388" s="822"/>
      <c r="J388" s="822"/>
      <c r="K388" s="822"/>
      <c r="L388" s="822"/>
      <c r="M388" s="54">
        <v>442.48</v>
      </c>
      <c r="N388" s="822"/>
      <c r="O388" s="822"/>
      <c r="P388" s="822"/>
      <c r="Q388" s="822"/>
      <c r="R388" s="822"/>
      <c r="S388" s="822"/>
      <c r="T388" s="822"/>
      <c r="U388" s="822"/>
      <c r="V388" s="822"/>
      <c r="W388" s="822"/>
      <c r="X388" s="822"/>
      <c r="Y388" s="822"/>
      <c r="Z388" s="822"/>
      <c r="AA388" s="822"/>
      <c r="AB388" s="822"/>
      <c r="AC388" s="822"/>
      <c r="AD388" s="822"/>
      <c r="AE388" s="54">
        <v>10.39</v>
      </c>
      <c r="AF388" s="822"/>
      <c r="AG388" s="54">
        <v>452.87</v>
      </c>
      <c r="AH388" s="54">
        <v>0</v>
      </c>
    </row>
    <row r="389" spans="1:34" ht="15.75" thickBot="1" x14ac:dyDescent="0.3">
      <c r="A389" s="51" t="s">
        <v>954</v>
      </c>
      <c r="B389" s="51" t="s">
        <v>447</v>
      </c>
      <c r="C389" s="51" t="s">
        <v>494</v>
      </c>
      <c r="D389" s="51" t="s">
        <v>320</v>
      </c>
      <c r="E389" s="51" t="s">
        <v>272</v>
      </c>
      <c r="F389" s="51" t="s">
        <v>969</v>
      </c>
      <c r="G389" s="147">
        <v>15</v>
      </c>
      <c r="H389" s="822"/>
      <c r="I389" s="822"/>
      <c r="J389" s="822"/>
      <c r="K389" s="822"/>
      <c r="L389" s="822"/>
      <c r="M389" s="822"/>
      <c r="N389" s="822"/>
      <c r="O389" s="822"/>
      <c r="P389" s="822"/>
      <c r="Q389" s="822"/>
      <c r="R389" s="822"/>
      <c r="S389" s="822"/>
      <c r="T389" s="822"/>
      <c r="U389" s="822"/>
      <c r="V389" s="822"/>
      <c r="W389" s="822"/>
      <c r="X389" s="822"/>
      <c r="Y389" s="54">
        <v>11250</v>
      </c>
      <c r="Z389" s="822"/>
      <c r="AA389" s="822"/>
      <c r="AB389" s="822"/>
      <c r="AC389" s="822"/>
      <c r="AD389" s="822"/>
      <c r="AE389" s="54">
        <v>499.03</v>
      </c>
      <c r="AF389" s="822"/>
      <c r="AG389" s="54">
        <v>11749.03</v>
      </c>
      <c r="AH389" s="54">
        <v>0</v>
      </c>
    </row>
    <row r="390" spans="1:34" ht="15.75" thickBot="1" x14ac:dyDescent="0.3">
      <c r="A390" s="51" t="s">
        <v>954</v>
      </c>
      <c r="B390" s="51" t="s">
        <v>447</v>
      </c>
      <c r="C390" s="51" t="s">
        <v>494</v>
      </c>
      <c r="D390" s="51" t="s">
        <v>320</v>
      </c>
      <c r="E390" s="51" t="s">
        <v>265</v>
      </c>
      <c r="F390" s="51" t="s">
        <v>266</v>
      </c>
      <c r="G390" s="147">
        <v>15</v>
      </c>
      <c r="H390" s="54">
        <v>687485</v>
      </c>
      <c r="I390" s="822"/>
      <c r="J390" s="822"/>
      <c r="K390" s="822"/>
      <c r="L390" s="822"/>
      <c r="M390" s="822"/>
      <c r="N390" s="822"/>
      <c r="O390" s="822"/>
      <c r="P390" s="822"/>
      <c r="Q390" s="822"/>
      <c r="R390" s="822"/>
      <c r="S390" s="822"/>
      <c r="T390" s="822"/>
      <c r="U390" s="822"/>
      <c r="V390" s="822"/>
      <c r="W390" s="822"/>
      <c r="X390" s="822"/>
      <c r="Y390" s="54">
        <v>2612.4499999999998</v>
      </c>
      <c r="Z390" s="822"/>
      <c r="AA390" s="822"/>
      <c r="AB390" s="822"/>
      <c r="AC390" s="822"/>
      <c r="AD390" s="822"/>
      <c r="AE390" s="54">
        <v>111.62</v>
      </c>
      <c r="AF390" s="822"/>
      <c r="AG390" s="54">
        <v>2724.07</v>
      </c>
      <c r="AH390" s="54">
        <v>0</v>
      </c>
    </row>
    <row r="391" spans="1:34" ht="15.75" thickBot="1" x14ac:dyDescent="0.3">
      <c r="A391" s="51" t="s">
        <v>954</v>
      </c>
      <c r="B391" s="51" t="s">
        <v>447</v>
      </c>
      <c r="C391" s="51" t="s">
        <v>494</v>
      </c>
      <c r="D391" s="51" t="s">
        <v>320</v>
      </c>
      <c r="E391" s="51" t="s">
        <v>621</v>
      </c>
      <c r="F391" s="51" t="s">
        <v>970</v>
      </c>
      <c r="G391" s="147">
        <v>15</v>
      </c>
      <c r="H391" s="822"/>
      <c r="I391" s="822"/>
      <c r="J391" s="822"/>
      <c r="K391" s="822"/>
      <c r="L391" s="822"/>
      <c r="M391" s="822"/>
      <c r="N391" s="822"/>
      <c r="O391" s="822"/>
      <c r="P391" s="822"/>
      <c r="Q391" s="822"/>
      <c r="R391" s="822"/>
      <c r="S391" s="822"/>
      <c r="T391" s="822"/>
      <c r="U391" s="822"/>
      <c r="V391" s="822"/>
      <c r="W391" s="822"/>
      <c r="X391" s="822"/>
      <c r="Y391" s="822"/>
      <c r="Z391" s="822"/>
      <c r="AA391" s="822"/>
      <c r="AB391" s="822"/>
      <c r="AC391" s="822"/>
      <c r="AD391" s="822"/>
      <c r="AE391" s="54">
        <v>28.78</v>
      </c>
      <c r="AF391" s="822"/>
      <c r="AG391" s="54">
        <v>702.52</v>
      </c>
      <c r="AH391" s="149">
        <v>673.74</v>
      </c>
    </row>
    <row r="392" spans="1:34" ht="15.75" thickBot="1" x14ac:dyDescent="0.3">
      <c r="A392" s="51" t="s">
        <v>954</v>
      </c>
      <c r="B392" s="51" t="s">
        <v>447</v>
      </c>
      <c r="C392" s="51" t="s">
        <v>494</v>
      </c>
      <c r="D392" s="51" t="s">
        <v>320</v>
      </c>
      <c r="E392" s="51" t="s">
        <v>325</v>
      </c>
      <c r="F392" s="51" t="s">
        <v>974</v>
      </c>
      <c r="G392" s="147">
        <v>10</v>
      </c>
      <c r="H392" s="822"/>
      <c r="I392" s="822"/>
      <c r="J392" s="822"/>
      <c r="K392" s="822"/>
      <c r="L392" s="822"/>
      <c r="M392" s="822"/>
      <c r="N392" s="822"/>
      <c r="O392" s="822"/>
      <c r="P392" s="822"/>
      <c r="Q392" s="822"/>
      <c r="R392" s="822"/>
      <c r="S392" s="822"/>
      <c r="T392" s="822"/>
      <c r="U392" s="822"/>
      <c r="V392" s="822"/>
      <c r="W392" s="54">
        <v>96.98</v>
      </c>
      <c r="X392" s="822"/>
      <c r="Y392" s="822"/>
      <c r="Z392" s="822"/>
      <c r="AA392" s="822"/>
      <c r="AB392" s="822"/>
      <c r="AC392" s="822"/>
      <c r="AD392" s="822"/>
      <c r="AE392" s="54">
        <v>1.69</v>
      </c>
      <c r="AF392" s="822"/>
      <c r="AG392" s="54">
        <v>98.67</v>
      </c>
      <c r="AH392" s="54">
        <v>0</v>
      </c>
    </row>
    <row r="393" spans="1:34" ht="15.75" thickBot="1" x14ac:dyDescent="0.3">
      <c r="A393" s="51" t="s">
        <v>954</v>
      </c>
      <c r="B393" s="51" t="s">
        <v>447</v>
      </c>
      <c r="C393" s="51" t="s">
        <v>494</v>
      </c>
      <c r="D393" s="51" t="s">
        <v>320</v>
      </c>
      <c r="E393" s="51" t="s">
        <v>268</v>
      </c>
      <c r="F393" s="51" t="s">
        <v>971</v>
      </c>
      <c r="G393" s="147">
        <v>15</v>
      </c>
      <c r="H393" s="822"/>
      <c r="I393" s="822"/>
      <c r="J393" s="822"/>
      <c r="K393" s="822"/>
      <c r="L393" s="822"/>
      <c r="M393" s="822"/>
      <c r="N393" s="822"/>
      <c r="O393" s="822"/>
      <c r="P393" s="822"/>
      <c r="Q393" s="822"/>
      <c r="R393" s="822"/>
      <c r="S393" s="822"/>
      <c r="T393" s="822"/>
      <c r="U393" s="822"/>
      <c r="V393" s="822"/>
      <c r="W393" s="822"/>
      <c r="X393" s="822"/>
      <c r="Y393" s="822"/>
      <c r="Z393" s="822"/>
      <c r="AA393" s="822"/>
      <c r="AB393" s="822"/>
      <c r="AC393" s="54">
        <v>8250</v>
      </c>
      <c r="AD393" s="822"/>
      <c r="AE393" s="54">
        <v>365.97</v>
      </c>
      <c r="AF393" s="822"/>
      <c r="AG393" s="54">
        <v>8615.9699999999993</v>
      </c>
      <c r="AH393" s="54">
        <v>0</v>
      </c>
    </row>
    <row r="394" spans="1:34" ht="15.75" thickBot="1" x14ac:dyDescent="0.3">
      <c r="A394" s="51" t="s">
        <v>954</v>
      </c>
      <c r="B394" s="51" t="s">
        <v>447</v>
      </c>
      <c r="C394" s="51" t="s">
        <v>494</v>
      </c>
      <c r="D394" s="51" t="s">
        <v>320</v>
      </c>
      <c r="E394" s="51" t="s">
        <v>914</v>
      </c>
      <c r="F394" s="51" t="s">
        <v>266</v>
      </c>
      <c r="G394" s="147">
        <v>15</v>
      </c>
      <c r="H394" s="822"/>
      <c r="I394" s="822"/>
      <c r="J394" s="822"/>
      <c r="K394" s="822"/>
      <c r="L394" s="822"/>
      <c r="M394" s="822"/>
      <c r="N394" s="822"/>
      <c r="O394" s="822"/>
      <c r="P394" s="822"/>
      <c r="Q394" s="822"/>
      <c r="R394" s="822"/>
      <c r="S394" s="822"/>
      <c r="T394" s="822"/>
      <c r="U394" s="822"/>
      <c r="V394" s="822"/>
      <c r="W394" s="822"/>
      <c r="X394" s="822"/>
      <c r="Y394" s="54">
        <v>26171.279999999999</v>
      </c>
      <c r="Z394" s="822"/>
      <c r="AA394" s="822"/>
      <c r="AB394" s="822"/>
      <c r="AC394" s="822"/>
      <c r="AD394" s="822"/>
      <c r="AE394" s="54">
        <v>1096.1500000000001</v>
      </c>
      <c r="AF394" s="822"/>
      <c r="AG394" s="54">
        <v>27267.43</v>
      </c>
      <c r="AH394" s="54">
        <v>0</v>
      </c>
    </row>
    <row r="395" spans="1:34" ht="15.75" thickBot="1" x14ac:dyDescent="0.3">
      <c r="A395" s="51" t="s">
        <v>954</v>
      </c>
      <c r="B395" s="51" t="s">
        <v>38</v>
      </c>
      <c r="C395" s="51" t="s">
        <v>39</v>
      </c>
      <c r="D395" s="51" t="s">
        <v>320</v>
      </c>
      <c r="E395" s="51" t="s">
        <v>269</v>
      </c>
      <c r="F395" s="51" t="s">
        <v>972</v>
      </c>
      <c r="G395" s="148">
        <v>1</v>
      </c>
      <c r="H395" s="823"/>
      <c r="I395" s="823"/>
      <c r="J395" s="823"/>
      <c r="K395" s="823"/>
      <c r="L395" s="823"/>
      <c r="M395" s="823"/>
      <c r="N395" s="823"/>
      <c r="O395" s="823"/>
      <c r="P395" s="823"/>
      <c r="Q395" s="823"/>
      <c r="R395" s="823"/>
      <c r="S395" s="823"/>
      <c r="T395" s="823"/>
      <c r="U395" s="823"/>
      <c r="V395" s="823"/>
      <c r="W395" s="823"/>
      <c r="X395" s="823"/>
      <c r="Y395" s="823"/>
      <c r="Z395" s="56">
        <v>-18660.490000000002</v>
      </c>
      <c r="AA395" s="823"/>
      <c r="AB395" s="823"/>
      <c r="AC395" s="823"/>
      <c r="AD395" s="823"/>
      <c r="AE395" s="56">
        <v>0</v>
      </c>
      <c r="AF395" s="823"/>
      <c r="AG395" s="56">
        <v>-18660.490000000002</v>
      </c>
      <c r="AH395" s="56">
        <v>0</v>
      </c>
    </row>
    <row r="396" spans="1:34" ht="15.75" thickBot="1" x14ac:dyDescent="0.3">
      <c r="A396" s="51" t="s">
        <v>954</v>
      </c>
      <c r="B396" s="51" t="s">
        <v>38</v>
      </c>
      <c r="C396" s="51" t="s">
        <v>39</v>
      </c>
      <c r="D396" s="51" t="s">
        <v>320</v>
      </c>
      <c r="E396" s="51" t="s">
        <v>269</v>
      </c>
      <c r="F396" s="51" t="s">
        <v>364</v>
      </c>
      <c r="G396" s="147">
        <v>2</v>
      </c>
      <c r="H396" s="822"/>
      <c r="I396" s="822"/>
      <c r="J396" s="822"/>
      <c r="K396" s="822"/>
      <c r="L396" s="822"/>
      <c r="M396" s="822"/>
      <c r="N396" s="822"/>
      <c r="O396" s="822"/>
      <c r="P396" s="822"/>
      <c r="Q396" s="822"/>
      <c r="R396" s="822"/>
      <c r="S396" s="822"/>
      <c r="T396" s="822"/>
      <c r="U396" s="822"/>
      <c r="V396" s="822"/>
      <c r="W396" s="822"/>
      <c r="X396" s="822"/>
      <c r="Y396" s="822"/>
      <c r="Z396" s="822"/>
      <c r="AA396" s="54">
        <v>13530.84</v>
      </c>
      <c r="AB396" s="822"/>
      <c r="AC396" s="822"/>
      <c r="AD396" s="822"/>
      <c r="AE396" s="54">
        <v>0</v>
      </c>
      <c r="AF396" s="822"/>
      <c r="AG396" s="54">
        <v>13530.84</v>
      </c>
      <c r="AH396" s="54">
        <v>0</v>
      </c>
    </row>
    <row r="397" spans="1:34" ht="15.75" thickBot="1" x14ac:dyDescent="0.3">
      <c r="A397" s="51" t="s">
        <v>954</v>
      </c>
      <c r="B397" s="51" t="s">
        <v>38</v>
      </c>
      <c r="C397" s="51" t="s">
        <v>39</v>
      </c>
      <c r="D397" s="51" t="s">
        <v>320</v>
      </c>
      <c r="E397" s="51" t="s">
        <v>271</v>
      </c>
      <c r="F397" s="51" t="s">
        <v>980</v>
      </c>
      <c r="G397" s="147">
        <v>1</v>
      </c>
      <c r="H397" s="822"/>
      <c r="I397" s="822"/>
      <c r="J397" s="822"/>
      <c r="K397" s="822"/>
      <c r="L397" s="822"/>
      <c r="M397" s="822"/>
      <c r="N397" s="822"/>
      <c r="O397" s="822"/>
      <c r="P397" s="822"/>
      <c r="Q397" s="822"/>
      <c r="R397" s="822"/>
      <c r="S397" s="822"/>
      <c r="T397" s="822"/>
      <c r="U397" s="822"/>
      <c r="V397" s="822"/>
      <c r="W397" s="822"/>
      <c r="X397" s="822"/>
      <c r="Y397" s="822"/>
      <c r="Z397" s="822"/>
      <c r="AA397" s="54">
        <v>621.62</v>
      </c>
      <c r="AB397" s="822"/>
      <c r="AC397" s="822"/>
      <c r="AD397" s="822"/>
      <c r="AE397" s="54">
        <v>0</v>
      </c>
      <c r="AF397" s="822"/>
      <c r="AG397" s="54">
        <v>621.62</v>
      </c>
      <c r="AH397" s="54">
        <v>0</v>
      </c>
    </row>
    <row r="398" spans="1:34" ht="15.75" thickBot="1" x14ac:dyDescent="0.3">
      <c r="A398" s="51" t="s">
        <v>954</v>
      </c>
      <c r="B398" s="51" t="s">
        <v>38</v>
      </c>
      <c r="C398" s="51" t="s">
        <v>39</v>
      </c>
      <c r="D398" s="51" t="s">
        <v>320</v>
      </c>
      <c r="E398" s="51" t="s">
        <v>271</v>
      </c>
      <c r="F398" s="51" t="s">
        <v>985</v>
      </c>
      <c r="G398" s="148">
        <v>2</v>
      </c>
      <c r="H398" s="823"/>
      <c r="I398" s="823"/>
      <c r="J398" s="823"/>
      <c r="K398" s="823"/>
      <c r="L398" s="823"/>
      <c r="M398" s="823"/>
      <c r="N398" s="823"/>
      <c r="O398" s="823"/>
      <c r="P398" s="823"/>
      <c r="Q398" s="823"/>
      <c r="R398" s="823"/>
      <c r="S398" s="823"/>
      <c r="T398" s="823"/>
      <c r="U398" s="823"/>
      <c r="V398" s="823"/>
      <c r="W398" s="823"/>
      <c r="X398" s="823"/>
      <c r="Y398" s="823"/>
      <c r="Z398" s="56">
        <v>737.58</v>
      </c>
      <c r="AA398" s="823"/>
      <c r="AB398" s="823"/>
      <c r="AC398" s="823"/>
      <c r="AD398" s="823"/>
      <c r="AE398" s="56">
        <v>0</v>
      </c>
      <c r="AF398" s="823"/>
      <c r="AG398" s="56">
        <v>737.58</v>
      </c>
      <c r="AH398" s="56">
        <v>0</v>
      </c>
    </row>
    <row r="399" spans="1:34" ht="15.75" thickBot="1" x14ac:dyDescent="0.3">
      <c r="A399" s="51" t="s">
        <v>954</v>
      </c>
      <c r="B399" s="51" t="s">
        <v>38</v>
      </c>
      <c r="C399" s="51" t="s">
        <v>39</v>
      </c>
      <c r="D399" s="51" t="s">
        <v>320</v>
      </c>
      <c r="E399" s="51" t="s">
        <v>268</v>
      </c>
      <c r="F399" s="51" t="s">
        <v>971</v>
      </c>
      <c r="G399" s="148">
        <v>3</v>
      </c>
      <c r="H399" s="823"/>
      <c r="I399" s="823"/>
      <c r="J399" s="823"/>
      <c r="K399" s="823"/>
      <c r="L399" s="823"/>
      <c r="M399" s="823"/>
      <c r="N399" s="823"/>
      <c r="O399" s="823"/>
      <c r="P399" s="823"/>
      <c r="Q399" s="823"/>
      <c r="R399" s="823"/>
      <c r="S399" s="823"/>
      <c r="T399" s="823"/>
      <c r="U399" s="823"/>
      <c r="V399" s="823"/>
      <c r="W399" s="823"/>
      <c r="X399" s="823"/>
      <c r="Y399" s="823"/>
      <c r="Z399" s="823"/>
      <c r="AA399" s="823"/>
      <c r="AB399" s="823"/>
      <c r="AC399" s="56">
        <v>5325</v>
      </c>
      <c r="AD399" s="823"/>
      <c r="AE399" s="56">
        <v>0</v>
      </c>
      <c r="AF399" s="823"/>
      <c r="AG399" s="56">
        <v>5325</v>
      </c>
      <c r="AH399" s="56">
        <v>0</v>
      </c>
    </row>
    <row r="400" spans="1:34" ht="15.75" thickBot="1" x14ac:dyDescent="0.3">
      <c r="A400" s="51" t="s">
        <v>954</v>
      </c>
      <c r="B400" s="51" t="s">
        <v>38</v>
      </c>
      <c r="C400" s="51" t="s">
        <v>39</v>
      </c>
      <c r="D400" s="51" t="s">
        <v>320</v>
      </c>
      <c r="E400" s="51" t="s">
        <v>329</v>
      </c>
      <c r="F400" s="51" t="s">
        <v>975</v>
      </c>
      <c r="G400" s="148">
        <v>3</v>
      </c>
      <c r="H400" s="823"/>
      <c r="I400" s="823"/>
      <c r="J400" s="823"/>
      <c r="K400" s="823"/>
      <c r="L400" s="823"/>
      <c r="M400" s="823"/>
      <c r="N400" s="823"/>
      <c r="O400" s="823"/>
      <c r="P400" s="823"/>
      <c r="Q400" s="823"/>
      <c r="R400" s="823"/>
      <c r="S400" s="823"/>
      <c r="T400" s="823"/>
      <c r="U400" s="823"/>
      <c r="V400" s="823"/>
      <c r="W400" s="823"/>
      <c r="X400" s="823"/>
      <c r="Y400" s="56">
        <v>6755.3</v>
      </c>
      <c r="Z400" s="823"/>
      <c r="AA400" s="823"/>
      <c r="AB400" s="823"/>
      <c r="AC400" s="823"/>
      <c r="AD400" s="56">
        <v>6755.3</v>
      </c>
      <c r="AE400" s="56">
        <v>0</v>
      </c>
      <c r="AF400" s="823"/>
      <c r="AG400" s="56">
        <v>6755.3</v>
      </c>
      <c r="AH400" s="149">
        <v>-6755.3</v>
      </c>
    </row>
    <row r="401" spans="1:34" ht="15.75" thickBot="1" x14ac:dyDescent="0.3">
      <c r="A401" s="51" t="s">
        <v>954</v>
      </c>
      <c r="B401" s="51" t="s">
        <v>38</v>
      </c>
      <c r="C401" s="51" t="s">
        <v>39</v>
      </c>
      <c r="D401" s="51" t="s">
        <v>320</v>
      </c>
      <c r="E401" s="51" t="s">
        <v>330</v>
      </c>
      <c r="F401" s="51" t="s">
        <v>976</v>
      </c>
      <c r="G401" s="148">
        <v>3</v>
      </c>
      <c r="H401" s="823"/>
      <c r="I401" s="823"/>
      <c r="J401" s="823"/>
      <c r="K401" s="823"/>
      <c r="L401" s="823"/>
      <c r="M401" s="823"/>
      <c r="N401" s="823"/>
      <c r="O401" s="823"/>
      <c r="P401" s="823"/>
      <c r="Q401" s="823"/>
      <c r="R401" s="823"/>
      <c r="S401" s="823"/>
      <c r="T401" s="823"/>
      <c r="U401" s="823"/>
      <c r="V401" s="823"/>
      <c r="W401" s="823"/>
      <c r="X401" s="823"/>
      <c r="Y401" s="56">
        <v>15774.83</v>
      </c>
      <c r="Z401" s="823"/>
      <c r="AA401" s="823"/>
      <c r="AB401" s="823"/>
      <c r="AC401" s="823"/>
      <c r="AD401" s="823"/>
      <c r="AE401" s="56">
        <v>0</v>
      </c>
      <c r="AF401" s="823"/>
      <c r="AG401" s="56">
        <v>15774.83</v>
      </c>
      <c r="AH401" s="56">
        <v>0</v>
      </c>
    </row>
    <row r="402" spans="1:34" ht="15.75" thickBot="1" x14ac:dyDescent="0.3">
      <c r="A402" s="51" t="s">
        <v>1022</v>
      </c>
      <c r="B402" s="51" t="s">
        <v>34</v>
      </c>
      <c r="C402" s="51" t="s">
        <v>437</v>
      </c>
      <c r="D402" s="51" t="s">
        <v>318</v>
      </c>
      <c r="E402" s="51" t="s">
        <v>109</v>
      </c>
      <c r="F402" s="51" t="s">
        <v>968</v>
      </c>
      <c r="G402" s="147">
        <v>7</v>
      </c>
      <c r="H402" s="822"/>
      <c r="I402" s="822"/>
      <c r="J402" s="822"/>
      <c r="K402" s="822"/>
      <c r="L402" s="822"/>
      <c r="M402" s="822"/>
      <c r="N402" s="822"/>
      <c r="O402" s="822"/>
      <c r="P402" s="822"/>
      <c r="Q402" s="822"/>
      <c r="R402" s="822"/>
      <c r="S402" s="822"/>
      <c r="T402" s="822"/>
      <c r="U402" s="822"/>
      <c r="V402" s="822"/>
      <c r="W402" s="822"/>
      <c r="X402" s="822"/>
      <c r="Y402" s="54">
        <v>120.5</v>
      </c>
      <c r="Z402" s="822"/>
      <c r="AA402" s="822"/>
      <c r="AB402" s="822"/>
      <c r="AC402" s="822"/>
      <c r="AD402" s="822"/>
      <c r="AE402" s="54">
        <v>0.41</v>
      </c>
      <c r="AF402" s="822"/>
      <c r="AG402" s="54">
        <v>120.91</v>
      </c>
      <c r="AH402" s="54">
        <v>0</v>
      </c>
    </row>
    <row r="403" spans="1:34" ht="15.75" thickBot="1" x14ac:dyDescent="0.3">
      <c r="A403" s="51" t="s">
        <v>1022</v>
      </c>
      <c r="B403" s="51" t="s">
        <v>34</v>
      </c>
      <c r="C403" s="51" t="s">
        <v>437</v>
      </c>
      <c r="D403" s="51" t="s">
        <v>318</v>
      </c>
      <c r="E403" s="51" t="s">
        <v>272</v>
      </c>
      <c r="F403" s="51" t="s">
        <v>969</v>
      </c>
      <c r="G403" s="147">
        <v>7</v>
      </c>
      <c r="H403" s="822"/>
      <c r="I403" s="822"/>
      <c r="J403" s="822"/>
      <c r="K403" s="822"/>
      <c r="L403" s="822"/>
      <c r="M403" s="822"/>
      <c r="N403" s="822"/>
      <c r="O403" s="822"/>
      <c r="P403" s="822"/>
      <c r="Q403" s="822"/>
      <c r="R403" s="822"/>
      <c r="S403" s="822"/>
      <c r="T403" s="822"/>
      <c r="U403" s="822"/>
      <c r="V403" s="822"/>
      <c r="W403" s="822"/>
      <c r="X403" s="822"/>
      <c r="Y403" s="54">
        <v>5250</v>
      </c>
      <c r="Z403" s="822"/>
      <c r="AA403" s="822"/>
      <c r="AB403" s="822"/>
      <c r="AC403" s="822"/>
      <c r="AD403" s="822"/>
      <c r="AE403" s="54">
        <v>44.99</v>
      </c>
      <c r="AF403" s="822"/>
      <c r="AG403" s="54">
        <v>5294.99</v>
      </c>
      <c r="AH403" s="54">
        <v>0</v>
      </c>
    </row>
    <row r="404" spans="1:34" ht="15.75" thickBot="1" x14ac:dyDescent="0.3">
      <c r="A404" s="51" t="s">
        <v>1022</v>
      </c>
      <c r="B404" s="51" t="s">
        <v>34</v>
      </c>
      <c r="C404" s="51" t="s">
        <v>437</v>
      </c>
      <c r="D404" s="51" t="s">
        <v>318</v>
      </c>
      <c r="E404" s="51" t="s">
        <v>265</v>
      </c>
      <c r="F404" s="51" t="s">
        <v>266</v>
      </c>
      <c r="G404" s="147">
        <v>7</v>
      </c>
      <c r="H404" s="54">
        <v>251027</v>
      </c>
      <c r="I404" s="822"/>
      <c r="J404" s="822"/>
      <c r="K404" s="822"/>
      <c r="L404" s="822"/>
      <c r="M404" s="822"/>
      <c r="N404" s="822"/>
      <c r="O404" s="822"/>
      <c r="P404" s="822"/>
      <c r="Q404" s="822"/>
      <c r="R404" s="822"/>
      <c r="S404" s="822"/>
      <c r="T404" s="822"/>
      <c r="U404" s="822"/>
      <c r="V404" s="822"/>
      <c r="W404" s="822"/>
      <c r="X404" s="822"/>
      <c r="Y404" s="54">
        <v>953.91</v>
      </c>
      <c r="Z404" s="822"/>
      <c r="AA404" s="822"/>
      <c r="AB404" s="822"/>
      <c r="AC404" s="822"/>
      <c r="AD404" s="822"/>
      <c r="AE404" s="54">
        <v>3.21</v>
      </c>
      <c r="AF404" s="822"/>
      <c r="AG404" s="54">
        <v>957.12</v>
      </c>
      <c r="AH404" s="54">
        <v>0</v>
      </c>
    </row>
    <row r="405" spans="1:34" ht="15.75" thickBot="1" x14ac:dyDescent="0.3">
      <c r="A405" s="51" t="s">
        <v>1022</v>
      </c>
      <c r="B405" s="51" t="s">
        <v>34</v>
      </c>
      <c r="C405" s="51" t="s">
        <v>437</v>
      </c>
      <c r="D405" s="51" t="s">
        <v>318</v>
      </c>
      <c r="E405" s="51" t="s">
        <v>621</v>
      </c>
      <c r="F405" s="51" t="s">
        <v>970</v>
      </c>
      <c r="G405" s="147">
        <v>7</v>
      </c>
      <c r="H405" s="822"/>
      <c r="I405" s="822"/>
      <c r="J405" s="822"/>
      <c r="K405" s="822"/>
      <c r="L405" s="822"/>
      <c r="M405" s="822"/>
      <c r="N405" s="822"/>
      <c r="O405" s="822"/>
      <c r="P405" s="822"/>
      <c r="Q405" s="822"/>
      <c r="R405" s="822"/>
      <c r="S405" s="822"/>
      <c r="T405" s="822"/>
      <c r="U405" s="822"/>
      <c r="V405" s="822"/>
      <c r="W405" s="822"/>
      <c r="X405" s="822"/>
      <c r="Y405" s="822"/>
      <c r="Z405" s="822"/>
      <c r="AA405" s="822"/>
      <c r="AB405" s="822"/>
      <c r="AC405" s="822"/>
      <c r="AD405" s="822"/>
      <c r="AE405" s="54">
        <v>0.83</v>
      </c>
      <c r="AF405" s="822"/>
      <c r="AG405" s="54">
        <v>246.83</v>
      </c>
      <c r="AH405" s="149">
        <v>246</v>
      </c>
    </row>
    <row r="406" spans="1:34" ht="15.75" thickBot="1" x14ac:dyDescent="0.3">
      <c r="A406" s="51" t="s">
        <v>1022</v>
      </c>
      <c r="B406" s="51" t="s">
        <v>34</v>
      </c>
      <c r="C406" s="51" t="s">
        <v>437</v>
      </c>
      <c r="D406" s="51" t="s">
        <v>318</v>
      </c>
      <c r="E406" s="51" t="s">
        <v>325</v>
      </c>
      <c r="F406" s="51" t="s">
        <v>974</v>
      </c>
      <c r="G406" s="147">
        <v>2</v>
      </c>
      <c r="H406" s="822"/>
      <c r="I406" s="822"/>
      <c r="J406" s="822"/>
      <c r="K406" s="822"/>
      <c r="L406" s="822"/>
      <c r="M406" s="822"/>
      <c r="N406" s="822"/>
      <c r="O406" s="822"/>
      <c r="P406" s="822"/>
      <c r="Q406" s="822"/>
      <c r="R406" s="822"/>
      <c r="S406" s="822"/>
      <c r="T406" s="822"/>
      <c r="U406" s="822"/>
      <c r="V406" s="822"/>
      <c r="W406" s="54">
        <v>11.15</v>
      </c>
      <c r="X406" s="822"/>
      <c r="Y406" s="822"/>
      <c r="Z406" s="822"/>
      <c r="AA406" s="822"/>
      <c r="AB406" s="822"/>
      <c r="AC406" s="822"/>
      <c r="AD406" s="822"/>
      <c r="AE406" s="54">
        <v>0.34</v>
      </c>
      <c r="AF406" s="822"/>
      <c r="AG406" s="54">
        <v>11.49</v>
      </c>
      <c r="AH406" s="54">
        <v>0</v>
      </c>
    </row>
    <row r="407" spans="1:34" ht="15.75" thickBot="1" x14ac:dyDescent="0.3">
      <c r="A407" s="51" t="s">
        <v>1022</v>
      </c>
      <c r="B407" s="51" t="s">
        <v>34</v>
      </c>
      <c r="C407" s="51" t="s">
        <v>437</v>
      </c>
      <c r="D407" s="51" t="s">
        <v>318</v>
      </c>
      <c r="E407" s="51" t="s">
        <v>268</v>
      </c>
      <c r="F407" s="51" t="s">
        <v>971</v>
      </c>
      <c r="G407" s="147">
        <v>7</v>
      </c>
      <c r="H407" s="822"/>
      <c r="I407" s="822"/>
      <c r="J407" s="822"/>
      <c r="K407" s="822"/>
      <c r="L407" s="822"/>
      <c r="M407" s="822"/>
      <c r="N407" s="822"/>
      <c r="O407" s="822"/>
      <c r="P407" s="822"/>
      <c r="Q407" s="822"/>
      <c r="R407" s="822"/>
      <c r="S407" s="822"/>
      <c r="T407" s="822"/>
      <c r="U407" s="822"/>
      <c r="V407" s="822"/>
      <c r="W407" s="822"/>
      <c r="X407" s="822"/>
      <c r="Y407" s="822"/>
      <c r="Z407" s="822"/>
      <c r="AA407" s="822"/>
      <c r="AB407" s="822"/>
      <c r="AC407" s="54">
        <v>3850</v>
      </c>
      <c r="AD407" s="822"/>
      <c r="AE407" s="54">
        <v>33</v>
      </c>
      <c r="AF407" s="822"/>
      <c r="AG407" s="54">
        <v>3883</v>
      </c>
      <c r="AH407" s="54">
        <v>0</v>
      </c>
    </row>
    <row r="408" spans="1:34" ht="15.75" thickBot="1" x14ac:dyDescent="0.3">
      <c r="A408" s="51" t="s">
        <v>1022</v>
      </c>
      <c r="B408" s="51" t="s">
        <v>34</v>
      </c>
      <c r="C408" s="51" t="s">
        <v>437</v>
      </c>
      <c r="D408" s="51" t="s">
        <v>318</v>
      </c>
      <c r="E408" s="51" t="s">
        <v>914</v>
      </c>
      <c r="F408" s="51" t="s">
        <v>266</v>
      </c>
      <c r="G408" s="147">
        <v>7</v>
      </c>
      <c r="H408" s="822"/>
      <c r="I408" s="822"/>
      <c r="J408" s="822"/>
      <c r="K408" s="822"/>
      <c r="L408" s="822"/>
      <c r="M408" s="822"/>
      <c r="N408" s="822"/>
      <c r="O408" s="822"/>
      <c r="P408" s="822"/>
      <c r="Q408" s="822"/>
      <c r="R408" s="822"/>
      <c r="S408" s="822"/>
      <c r="T408" s="822"/>
      <c r="U408" s="822"/>
      <c r="V408" s="822"/>
      <c r="W408" s="822"/>
      <c r="X408" s="822"/>
      <c r="Y408" s="54">
        <v>10099.32</v>
      </c>
      <c r="Z408" s="822"/>
      <c r="AA408" s="822"/>
      <c r="AB408" s="822"/>
      <c r="AC408" s="822"/>
      <c r="AD408" s="822"/>
      <c r="AE408" s="54">
        <v>55.39</v>
      </c>
      <c r="AF408" s="822"/>
      <c r="AG408" s="54">
        <v>10154.709999999999</v>
      </c>
      <c r="AH408" s="54">
        <v>0</v>
      </c>
    </row>
    <row r="409" spans="1:34" ht="15.75" thickBot="1" x14ac:dyDescent="0.3">
      <c r="A409" s="51" t="s">
        <v>1022</v>
      </c>
      <c r="B409" s="51" t="s">
        <v>34</v>
      </c>
      <c r="C409" s="51" t="s">
        <v>437</v>
      </c>
      <c r="D409" s="51" t="s">
        <v>319</v>
      </c>
      <c r="E409" s="51" t="s">
        <v>109</v>
      </c>
      <c r="F409" s="51" t="s">
        <v>968</v>
      </c>
      <c r="G409" s="148">
        <v>2</v>
      </c>
      <c r="H409" s="823"/>
      <c r="I409" s="823"/>
      <c r="J409" s="823"/>
      <c r="K409" s="823"/>
      <c r="L409" s="823"/>
      <c r="M409" s="823"/>
      <c r="N409" s="823"/>
      <c r="O409" s="823"/>
      <c r="P409" s="823"/>
      <c r="Q409" s="823"/>
      <c r="R409" s="823"/>
      <c r="S409" s="823"/>
      <c r="T409" s="823"/>
      <c r="U409" s="823"/>
      <c r="V409" s="823"/>
      <c r="W409" s="823"/>
      <c r="X409" s="823"/>
      <c r="Y409" s="56">
        <v>37.159999999999997</v>
      </c>
      <c r="Z409" s="823"/>
      <c r="AA409" s="823"/>
      <c r="AB409" s="823"/>
      <c r="AC409" s="823"/>
      <c r="AD409" s="823"/>
      <c r="AE409" s="56">
        <v>0.83</v>
      </c>
      <c r="AF409" s="823"/>
      <c r="AG409" s="56">
        <v>37.99</v>
      </c>
      <c r="AH409" s="56">
        <v>0</v>
      </c>
    </row>
    <row r="410" spans="1:34" ht="15.75" thickBot="1" x14ac:dyDescent="0.3">
      <c r="A410" s="51" t="s">
        <v>1022</v>
      </c>
      <c r="B410" s="51" t="s">
        <v>34</v>
      </c>
      <c r="C410" s="51" t="s">
        <v>437</v>
      </c>
      <c r="D410" s="51" t="s">
        <v>319</v>
      </c>
      <c r="E410" s="51" t="s">
        <v>269</v>
      </c>
      <c r="F410" s="51" t="s">
        <v>1023</v>
      </c>
      <c r="G410" s="148">
        <v>1</v>
      </c>
      <c r="H410" s="823"/>
      <c r="I410" s="823"/>
      <c r="J410" s="823"/>
      <c r="K410" s="823"/>
      <c r="L410" s="823"/>
      <c r="M410" s="823"/>
      <c r="N410" s="823"/>
      <c r="O410" s="823"/>
      <c r="P410" s="823"/>
      <c r="Q410" s="823"/>
      <c r="R410" s="823"/>
      <c r="S410" s="823"/>
      <c r="T410" s="823"/>
      <c r="U410" s="823"/>
      <c r="V410" s="823"/>
      <c r="W410" s="823"/>
      <c r="X410" s="823"/>
      <c r="Y410" s="823"/>
      <c r="Z410" s="56">
        <v>-141.75</v>
      </c>
      <c r="AA410" s="823"/>
      <c r="AB410" s="823"/>
      <c r="AC410" s="823"/>
      <c r="AD410" s="823"/>
      <c r="AE410" s="56">
        <v>-4.25</v>
      </c>
      <c r="AF410" s="823"/>
      <c r="AG410" s="56">
        <v>-146</v>
      </c>
      <c r="AH410" s="56">
        <v>0</v>
      </c>
    </row>
    <row r="411" spans="1:34" ht="15.75" thickBot="1" x14ac:dyDescent="0.3">
      <c r="A411" s="51" t="s">
        <v>1022</v>
      </c>
      <c r="B411" s="51" t="s">
        <v>34</v>
      </c>
      <c r="C411" s="51" t="s">
        <v>437</v>
      </c>
      <c r="D411" s="51" t="s">
        <v>319</v>
      </c>
      <c r="E411" s="51" t="s">
        <v>272</v>
      </c>
      <c r="F411" s="51" t="s">
        <v>969</v>
      </c>
      <c r="G411" s="148">
        <v>2</v>
      </c>
      <c r="H411" s="823"/>
      <c r="I411" s="823"/>
      <c r="J411" s="823"/>
      <c r="K411" s="823"/>
      <c r="L411" s="823"/>
      <c r="M411" s="823"/>
      <c r="N411" s="823"/>
      <c r="O411" s="823"/>
      <c r="P411" s="823"/>
      <c r="Q411" s="823"/>
      <c r="R411" s="823"/>
      <c r="S411" s="823"/>
      <c r="T411" s="823"/>
      <c r="U411" s="823"/>
      <c r="V411" s="823"/>
      <c r="W411" s="823"/>
      <c r="X411" s="823"/>
      <c r="Y411" s="56">
        <v>1500</v>
      </c>
      <c r="Z411" s="823"/>
      <c r="AA411" s="823"/>
      <c r="AB411" s="823"/>
      <c r="AC411" s="823"/>
      <c r="AD411" s="823"/>
      <c r="AE411" s="56">
        <v>22.49</v>
      </c>
      <c r="AF411" s="823"/>
      <c r="AG411" s="56">
        <v>1522.49</v>
      </c>
      <c r="AH411" s="56">
        <v>0</v>
      </c>
    </row>
    <row r="412" spans="1:34" ht="15.75" thickBot="1" x14ac:dyDescent="0.3">
      <c r="A412" s="51" t="s">
        <v>1022</v>
      </c>
      <c r="B412" s="51" t="s">
        <v>34</v>
      </c>
      <c r="C412" s="51" t="s">
        <v>437</v>
      </c>
      <c r="D412" s="51" t="s">
        <v>319</v>
      </c>
      <c r="E412" s="51" t="s">
        <v>265</v>
      </c>
      <c r="F412" s="51" t="s">
        <v>266</v>
      </c>
      <c r="G412" s="148">
        <v>2</v>
      </c>
      <c r="H412" s="56">
        <v>77422</v>
      </c>
      <c r="I412" s="823"/>
      <c r="J412" s="823"/>
      <c r="K412" s="823"/>
      <c r="L412" s="823"/>
      <c r="M412" s="823"/>
      <c r="N412" s="823"/>
      <c r="O412" s="823"/>
      <c r="P412" s="823"/>
      <c r="Q412" s="823"/>
      <c r="R412" s="823"/>
      <c r="S412" s="823"/>
      <c r="T412" s="823"/>
      <c r="U412" s="823"/>
      <c r="V412" s="823"/>
      <c r="W412" s="823"/>
      <c r="X412" s="823"/>
      <c r="Y412" s="56">
        <v>294.2</v>
      </c>
      <c r="Z412" s="823"/>
      <c r="AA412" s="823"/>
      <c r="AB412" s="823"/>
      <c r="AC412" s="823"/>
      <c r="AD412" s="823"/>
      <c r="AE412" s="56">
        <v>6.54</v>
      </c>
      <c r="AF412" s="823"/>
      <c r="AG412" s="56">
        <v>300.74</v>
      </c>
      <c r="AH412" s="56">
        <v>0</v>
      </c>
    </row>
    <row r="413" spans="1:34" ht="15.75" thickBot="1" x14ac:dyDescent="0.3">
      <c r="A413" s="51" t="s">
        <v>1022</v>
      </c>
      <c r="B413" s="51" t="s">
        <v>34</v>
      </c>
      <c r="C413" s="51" t="s">
        <v>437</v>
      </c>
      <c r="D413" s="51" t="s">
        <v>319</v>
      </c>
      <c r="E413" s="51" t="s">
        <v>621</v>
      </c>
      <c r="F413" s="51" t="s">
        <v>970</v>
      </c>
      <c r="G413" s="148">
        <v>2</v>
      </c>
      <c r="H413" s="823"/>
      <c r="I413" s="823"/>
      <c r="J413" s="823"/>
      <c r="K413" s="823"/>
      <c r="L413" s="823"/>
      <c r="M413" s="823"/>
      <c r="N413" s="823"/>
      <c r="O413" s="823"/>
      <c r="P413" s="823"/>
      <c r="Q413" s="823"/>
      <c r="R413" s="823"/>
      <c r="S413" s="823"/>
      <c r="T413" s="823"/>
      <c r="U413" s="823"/>
      <c r="V413" s="823"/>
      <c r="W413" s="823"/>
      <c r="X413" s="823"/>
      <c r="Y413" s="823"/>
      <c r="Z413" s="823"/>
      <c r="AA413" s="823"/>
      <c r="AB413" s="823"/>
      <c r="AC413" s="823"/>
      <c r="AD413" s="823"/>
      <c r="AE413" s="56">
        <v>1.69</v>
      </c>
      <c r="AF413" s="823"/>
      <c r="AG413" s="56">
        <v>77.569999999999993</v>
      </c>
      <c r="AH413" s="149">
        <v>75.88</v>
      </c>
    </row>
    <row r="414" spans="1:34" ht="15.75" thickBot="1" x14ac:dyDescent="0.3">
      <c r="A414" s="51" t="s">
        <v>1022</v>
      </c>
      <c r="B414" s="51" t="s">
        <v>34</v>
      </c>
      <c r="C414" s="51" t="s">
        <v>437</v>
      </c>
      <c r="D414" s="51" t="s">
        <v>319</v>
      </c>
      <c r="E414" s="51" t="s">
        <v>271</v>
      </c>
      <c r="F414" s="51" t="s">
        <v>973</v>
      </c>
      <c r="G414" s="148">
        <v>1</v>
      </c>
      <c r="H414" s="823"/>
      <c r="I414" s="823"/>
      <c r="J414" s="823"/>
      <c r="K414" s="823"/>
      <c r="L414" s="823"/>
      <c r="M414" s="823"/>
      <c r="N414" s="823"/>
      <c r="O414" s="823"/>
      <c r="P414" s="823"/>
      <c r="Q414" s="823"/>
      <c r="R414" s="823"/>
      <c r="S414" s="823"/>
      <c r="T414" s="823"/>
      <c r="U414" s="823"/>
      <c r="V414" s="823"/>
      <c r="W414" s="823"/>
      <c r="X414" s="823"/>
      <c r="Y414" s="823"/>
      <c r="Z414" s="823"/>
      <c r="AA414" s="56">
        <v>-9.08</v>
      </c>
      <c r="AB414" s="823"/>
      <c r="AC414" s="823"/>
      <c r="AD414" s="823"/>
      <c r="AE414" s="56">
        <v>-0.27</v>
      </c>
      <c r="AF414" s="823"/>
      <c r="AG414" s="56">
        <v>-9.35</v>
      </c>
      <c r="AH414" s="56">
        <v>0</v>
      </c>
    </row>
    <row r="415" spans="1:34" ht="15.75" thickBot="1" x14ac:dyDescent="0.3">
      <c r="A415" s="51" t="s">
        <v>1022</v>
      </c>
      <c r="B415" s="51" t="s">
        <v>34</v>
      </c>
      <c r="C415" s="51" t="s">
        <v>437</v>
      </c>
      <c r="D415" s="51" t="s">
        <v>319</v>
      </c>
      <c r="E415" s="51" t="s">
        <v>325</v>
      </c>
      <c r="F415" s="51" t="s">
        <v>974</v>
      </c>
      <c r="G415" s="148">
        <v>1</v>
      </c>
      <c r="H415" s="823"/>
      <c r="I415" s="823"/>
      <c r="J415" s="823"/>
      <c r="K415" s="823"/>
      <c r="L415" s="823"/>
      <c r="M415" s="823"/>
      <c r="N415" s="823"/>
      <c r="O415" s="823"/>
      <c r="P415" s="823"/>
      <c r="Q415" s="823"/>
      <c r="R415" s="823"/>
      <c r="S415" s="823"/>
      <c r="T415" s="823"/>
      <c r="U415" s="823"/>
      <c r="V415" s="823"/>
      <c r="W415" s="56">
        <v>9.51</v>
      </c>
      <c r="X415" s="823"/>
      <c r="Y415" s="823"/>
      <c r="Z415" s="823"/>
      <c r="AA415" s="823"/>
      <c r="AB415" s="823"/>
      <c r="AC415" s="823"/>
      <c r="AD415" s="823"/>
      <c r="AE415" s="56">
        <v>0</v>
      </c>
      <c r="AF415" s="823"/>
      <c r="AG415" s="56">
        <v>9.51</v>
      </c>
      <c r="AH415" s="56">
        <v>0</v>
      </c>
    </row>
    <row r="416" spans="1:34" ht="15.75" thickBot="1" x14ac:dyDescent="0.3">
      <c r="A416" s="51" t="s">
        <v>1022</v>
      </c>
      <c r="B416" s="51" t="s">
        <v>34</v>
      </c>
      <c r="C416" s="51" t="s">
        <v>437</v>
      </c>
      <c r="D416" s="51" t="s">
        <v>319</v>
      </c>
      <c r="E416" s="51" t="s">
        <v>268</v>
      </c>
      <c r="F416" s="51" t="s">
        <v>971</v>
      </c>
      <c r="G416" s="148">
        <v>2</v>
      </c>
      <c r="H416" s="823"/>
      <c r="I416" s="823"/>
      <c r="J416" s="823"/>
      <c r="K416" s="823"/>
      <c r="L416" s="823"/>
      <c r="M416" s="823"/>
      <c r="N416" s="823"/>
      <c r="O416" s="823"/>
      <c r="P416" s="823"/>
      <c r="Q416" s="823"/>
      <c r="R416" s="823"/>
      <c r="S416" s="823"/>
      <c r="T416" s="823"/>
      <c r="U416" s="823"/>
      <c r="V416" s="823"/>
      <c r="W416" s="823"/>
      <c r="X416" s="823"/>
      <c r="Y416" s="823"/>
      <c r="Z416" s="823"/>
      <c r="AA416" s="823"/>
      <c r="AB416" s="823"/>
      <c r="AC416" s="56">
        <v>1100</v>
      </c>
      <c r="AD416" s="823"/>
      <c r="AE416" s="56">
        <v>16.5</v>
      </c>
      <c r="AF416" s="823"/>
      <c r="AG416" s="56">
        <v>1116.5</v>
      </c>
      <c r="AH416" s="56">
        <v>0</v>
      </c>
    </row>
    <row r="417" spans="1:34" ht="15.75" thickBot="1" x14ac:dyDescent="0.3">
      <c r="A417" s="51" t="s">
        <v>1022</v>
      </c>
      <c r="B417" s="51" t="s">
        <v>34</v>
      </c>
      <c r="C417" s="51" t="s">
        <v>437</v>
      </c>
      <c r="D417" s="51" t="s">
        <v>319</v>
      </c>
      <c r="E417" s="51" t="s">
        <v>914</v>
      </c>
      <c r="F417" s="51" t="s">
        <v>266</v>
      </c>
      <c r="G417" s="148">
        <v>2</v>
      </c>
      <c r="H417" s="823"/>
      <c r="I417" s="823"/>
      <c r="J417" s="823"/>
      <c r="K417" s="823"/>
      <c r="L417" s="823"/>
      <c r="M417" s="823"/>
      <c r="N417" s="823"/>
      <c r="O417" s="823"/>
      <c r="P417" s="823"/>
      <c r="Q417" s="823"/>
      <c r="R417" s="823"/>
      <c r="S417" s="823"/>
      <c r="T417" s="823"/>
      <c r="U417" s="823"/>
      <c r="V417" s="823"/>
      <c r="W417" s="823"/>
      <c r="X417" s="823"/>
      <c r="Y417" s="56">
        <v>3486.08</v>
      </c>
      <c r="Z417" s="823"/>
      <c r="AA417" s="823"/>
      <c r="AB417" s="823"/>
      <c r="AC417" s="823"/>
      <c r="AD417" s="823"/>
      <c r="AE417" s="56">
        <v>78.91</v>
      </c>
      <c r="AF417" s="823"/>
      <c r="AG417" s="56">
        <v>3564.99</v>
      </c>
      <c r="AH417" s="56">
        <v>0</v>
      </c>
    </row>
    <row r="418" spans="1:34" ht="15.75" thickBot="1" x14ac:dyDescent="0.3">
      <c r="A418" s="51" t="s">
        <v>1022</v>
      </c>
      <c r="B418" s="51" t="s">
        <v>34</v>
      </c>
      <c r="C418" s="51" t="s">
        <v>437</v>
      </c>
      <c r="D418" s="51" t="s">
        <v>319</v>
      </c>
      <c r="E418" s="51" t="s">
        <v>329</v>
      </c>
      <c r="F418" s="51" t="s">
        <v>975</v>
      </c>
      <c r="G418" s="148">
        <v>1</v>
      </c>
      <c r="H418" s="823"/>
      <c r="I418" s="823"/>
      <c r="J418" s="823"/>
      <c r="K418" s="823"/>
      <c r="L418" s="823"/>
      <c r="M418" s="823"/>
      <c r="N418" s="823"/>
      <c r="O418" s="823"/>
      <c r="P418" s="823"/>
      <c r="Q418" s="823"/>
      <c r="R418" s="823"/>
      <c r="S418" s="823"/>
      <c r="T418" s="823"/>
      <c r="U418" s="823"/>
      <c r="V418" s="823"/>
      <c r="W418" s="823"/>
      <c r="X418" s="823"/>
      <c r="Y418" s="56">
        <v>29.8</v>
      </c>
      <c r="Z418" s="823"/>
      <c r="AA418" s="823"/>
      <c r="AB418" s="823"/>
      <c r="AC418" s="823"/>
      <c r="AD418" s="56">
        <v>29.8</v>
      </c>
      <c r="AE418" s="56">
        <v>0.89</v>
      </c>
      <c r="AF418" s="823"/>
      <c r="AG418" s="56">
        <v>30.69</v>
      </c>
      <c r="AH418" s="149">
        <v>-29.8</v>
      </c>
    </row>
    <row r="419" spans="1:34" ht="15.75" thickBot="1" x14ac:dyDescent="0.3">
      <c r="A419" s="51" t="s">
        <v>1022</v>
      </c>
      <c r="B419" s="51" t="s">
        <v>34</v>
      </c>
      <c r="C419" s="51" t="s">
        <v>437</v>
      </c>
      <c r="D419" s="51" t="s">
        <v>319</v>
      </c>
      <c r="E419" s="51" t="s">
        <v>330</v>
      </c>
      <c r="F419" s="51" t="s">
        <v>976</v>
      </c>
      <c r="G419" s="148">
        <v>1</v>
      </c>
      <c r="H419" s="823"/>
      <c r="I419" s="823"/>
      <c r="J419" s="823"/>
      <c r="K419" s="823"/>
      <c r="L419" s="823"/>
      <c r="M419" s="823"/>
      <c r="N419" s="823"/>
      <c r="O419" s="823"/>
      <c r="P419" s="823"/>
      <c r="Q419" s="823"/>
      <c r="R419" s="823"/>
      <c r="S419" s="823"/>
      <c r="T419" s="823"/>
      <c r="U419" s="823"/>
      <c r="V419" s="823"/>
      <c r="W419" s="823"/>
      <c r="X419" s="823"/>
      <c r="Y419" s="56">
        <v>69.599999999999994</v>
      </c>
      <c r="Z419" s="823"/>
      <c r="AA419" s="823"/>
      <c r="AB419" s="823"/>
      <c r="AC419" s="823"/>
      <c r="AD419" s="823"/>
      <c r="AE419" s="56">
        <v>2.09</v>
      </c>
      <c r="AF419" s="823"/>
      <c r="AG419" s="56">
        <v>71.69</v>
      </c>
      <c r="AH419" s="56">
        <v>0</v>
      </c>
    </row>
    <row r="420" spans="1:34" ht="15.75" thickBot="1" x14ac:dyDescent="0.3">
      <c r="A420" s="51" t="s">
        <v>1022</v>
      </c>
      <c r="B420" s="51" t="s">
        <v>31</v>
      </c>
      <c r="C420" s="51" t="s">
        <v>835</v>
      </c>
      <c r="D420" s="51" t="s">
        <v>320</v>
      </c>
      <c r="E420" s="51" t="s">
        <v>357</v>
      </c>
      <c r="F420" s="51" t="s">
        <v>984</v>
      </c>
      <c r="G420" s="148">
        <v>1</v>
      </c>
      <c r="H420" s="823"/>
      <c r="I420" s="823"/>
      <c r="J420" s="823"/>
      <c r="K420" s="823"/>
      <c r="L420" s="823"/>
      <c r="M420" s="823"/>
      <c r="N420" s="823"/>
      <c r="O420" s="823"/>
      <c r="P420" s="823"/>
      <c r="Q420" s="823"/>
      <c r="R420" s="823"/>
      <c r="S420" s="823"/>
      <c r="T420" s="823"/>
      <c r="U420" s="823"/>
      <c r="V420" s="823"/>
      <c r="W420" s="823"/>
      <c r="X420" s="56">
        <v>-695.74</v>
      </c>
      <c r="Y420" s="823"/>
      <c r="Z420" s="823"/>
      <c r="AA420" s="823"/>
      <c r="AB420" s="823"/>
      <c r="AC420" s="823"/>
      <c r="AD420" s="823"/>
      <c r="AE420" s="56">
        <v>-63.87</v>
      </c>
      <c r="AF420" s="823"/>
      <c r="AG420" s="56">
        <v>-759.61</v>
      </c>
      <c r="AH420" s="56">
        <v>0</v>
      </c>
    </row>
    <row r="421" spans="1:34" ht="15.75" thickBot="1" x14ac:dyDescent="0.3">
      <c r="A421" s="51" t="s">
        <v>1022</v>
      </c>
      <c r="B421" s="51" t="s">
        <v>31</v>
      </c>
      <c r="C421" s="51" t="s">
        <v>835</v>
      </c>
      <c r="D421" s="51" t="s">
        <v>320</v>
      </c>
      <c r="E421" s="51" t="s">
        <v>272</v>
      </c>
      <c r="F421" s="51" t="s">
        <v>969</v>
      </c>
      <c r="G421" s="148">
        <v>2</v>
      </c>
      <c r="H421" s="823"/>
      <c r="I421" s="823"/>
      <c r="J421" s="823"/>
      <c r="K421" s="823"/>
      <c r="L421" s="823"/>
      <c r="M421" s="823"/>
      <c r="N421" s="823"/>
      <c r="O421" s="823"/>
      <c r="P421" s="823"/>
      <c r="Q421" s="823"/>
      <c r="R421" s="823"/>
      <c r="S421" s="823"/>
      <c r="T421" s="823"/>
      <c r="U421" s="823"/>
      <c r="V421" s="823"/>
      <c r="W421" s="823"/>
      <c r="X421" s="823"/>
      <c r="Y421" s="56">
        <v>1527.68</v>
      </c>
      <c r="Z421" s="823"/>
      <c r="AA421" s="823"/>
      <c r="AB421" s="823"/>
      <c r="AC421" s="823"/>
      <c r="AD421" s="823"/>
      <c r="AE421" s="56">
        <v>115.96</v>
      </c>
      <c r="AF421" s="823"/>
      <c r="AG421" s="56">
        <v>1643.64</v>
      </c>
      <c r="AH421" s="56">
        <v>0</v>
      </c>
    </row>
    <row r="422" spans="1:34" ht="15.75" thickBot="1" x14ac:dyDescent="0.3">
      <c r="A422" s="51" t="s">
        <v>1022</v>
      </c>
      <c r="B422" s="51" t="s">
        <v>31</v>
      </c>
      <c r="C422" s="51" t="s">
        <v>835</v>
      </c>
      <c r="D422" s="51" t="s">
        <v>320</v>
      </c>
      <c r="E422" s="51" t="s">
        <v>265</v>
      </c>
      <c r="F422" s="51" t="s">
        <v>266</v>
      </c>
      <c r="G422" s="148">
        <v>2</v>
      </c>
      <c r="H422" s="56">
        <v>2000</v>
      </c>
      <c r="I422" s="56">
        <v>80317</v>
      </c>
      <c r="J422" s="823"/>
      <c r="K422" s="823"/>
      <c r="L422" s="823"/>
      <c r="M422" s="823"/>
      <c r="N422" s="823"/>
      <c r="O422" s="823"/>
      <c r="P422" s="823"/>
      <c r="Q422" s="823"/>
      <c r="R422" s="823"/>
      <c r="S422" s="823"/>
      <c r="T422" s="823"/>
      <c r="U422" s="823"/>
      <c r="V422" s="823"/>
      <c r="W422" s="823"/>
      <c r="X422" s="823"/>
      <c r="Y422" s="56">
        <v>14035.44</v>
      </c>
      <c r="Z422" s="823"/>
      <c r="AA422" s="823"/>
      <c r="AB422" s="823"/>
      <c r="AC422" s="823"/>
      <c r="AD422" s="823"/>
      <c r="AE422" s="56">
        <v>1271.28</v>
      </c>
      <c r="AF422" s="823"/>
      <c r="AG422" s="56">
        <v>15306.72</v>
      </c>
      <c r="AH422" s="56">
        <v>0</v>
      </c>
    </row>
    <row r="423" spans="1:34" ht="15.75" thickBot="1" x14ac:dyDescent="0.3">
      <c r="A423" s="51" t="s">
        <v>1022</v>
      </c>
      <c r="B423" s="51" t="s">
        <v>31</v>
      </c>
      <c r="C423" s="51" t="s">
        <v>835</v>
      </c>
      <c r="D423" s="51" t="s">
        <v>320</v>
      </c>
      <c r="E423" s="51" t="s">
        <v>620</v>
      </c>
      <c r="F423" s="51" t="s">
        <v>978</v>
      </c>
      <c r="G423" s="148">
        <v>2</v>
      </c>
      <c r="H423" s="823"/>
      <c r="I423" s="823"/>
      <c r="J423" s="823"/>
      <c r="K423" s="823"/>
      <c r="L423" s="823"/>
      <c r="M423" s="823"/>
      <c r="N423" s="823"/>
      <c r="O423" s="823"/>
      <c r="P423" s="823"/>
      <c r="Q423" s="823"/>
      <c r="R423" s="823"/>
      <c r="S423" s="823"/>
      <c r="T423" s="823"/>
      <c r="U423" s="823"/>
      <c r="V423" s="823"/>
      <c r="W423" s="823"/>
      <c r="X423" s="823"/>
      <c r="Y423" s="823"/>
      <c r="Z423" s="823"/>
      <c r="AA423" s="823"/>
      <c r="AB423" s="823"/>
      <c r="AC423" s="823"/>
      <c r="AD423" s="823"/>
      <c r="AE423" s="56">
        <v>16.850000000000001</v>
      </c>
      <c r="AF423" s="823"/>
      <c r="AG423" s="56">
        <v>238.89</v>
      </c>
      <c r="AH423" s="149">
        <v>222.04</v>
      </c>
    </row>
    <row r="424" spans="1:34" ht="15.75" thickBot="1" x14ac:dyDescent="0.3">
      <c r="A424" s="51" t="s">
        <v>1022</v>
      </c>
      <c r="B424" s="51" t="s">
        <v>31</v>
      </c>
      <c r="C424" s="51" t="s">
        <v>835</v>
      </c>
      <c r="D424" s="51" t="s">
        <v>320</v>
      </c>
      <c r="E424" s="51" t="s">
        <v>621</v>
      </c>
      <c r="F424" s="51" t="s">
        <v>970</v>
      </c>
      <c r="G424" s="148">
        <v>2</v>
      </c>
      <c r="H424" s="823"/>
      <c r="I424" s="823"/>
      <c r="J424" s="823"/>
      <c r="K424" s="823"/>
      <c r="L424" s="823"/>
      <c r="M424" s="823"/>
      <c r="N424" s="823"/>
      <c r="O424" s="823"/>
      <c r="P424" s="823"/>
      <c r="Q424" s="823"/>
      <c r="R424" s="823"/>
      <c r="S424" s="823"/>
      <c r="T424" s="823"/>
      <c r="U424" s="823"/>
      <c r="V424" s="823"/>
      <c r="W424" s="823"/>
      <c r="X424" s="823"/>
      <c r="Y424" s="823"/>
      <c r="Z424" s="823"/>
      <c r="AA424" s="823"/>
      <c r="AB424" s="823"/>
      <c r="AC424" s="823"/>
      <c r="AD424" s="823"/>
      <c r="AE424" s="56">
        <v>87.33</v>
      </c>
      <c r="AF424" s="823"/>
      <c r="AG424" s="56">
        <v>1050.44</v>
      </c>
      <c r="AH424" s="149">
        <v>963.11</v>
      </c>
    </row>
    <row r="425" spans="1:34" ht="15.75" thickBot="1" x14ac:dyDescent="0.3">
      <c r="A425" s="51" t="s">
        <v>1022</v>
      </c>
      <c r="B425" s="51" t="s">
        <v>31</v>
      </c>
      <c r="C425" s="51" t="s">
        <v>835</v>
      </c>
      <c r="D425" s="51" t="s">
        <v>320</v>
      </c>
      <c r="E425" s="51" t="s">
        <v>273</v>
      </c>
      <c r="F425" s="51" t="s">
        <v>979</v>
      </c>
      <c r="G425" s="148">
        <v>2</v>
      </c>
      <c r="H425" s="823"/>
      <c r="I425" s="823"/>
      <c r="J425" s="823"/>
      <c r="K425" s="823"/>
      <c r="L425" s="823"/>
      <c r="M425" s="823"/>
      <c r="N425" s="823"/>
      <c r="O425" s="823"/>
      <c r="P425" s="823"/>
      <c r="Q425" s="823"/>
      <c r="R425" s="823"/>
      <c r="S425" s="823"/>
      <c r="T425" s="823"/>
      <c r="U425" s="823"/>
      <c r="V425" s="823"/>
      <c r="W425" s="823"/>
      <c r="X425" s="823"/>
      <c r="Y425" s="56">
        <v>7083.37</v>
      </c>
      <c r="Z425" s="823"/>
      <c r="AA425" s="823"/>
      <c r="AB425" s="823"/>
      <c r="AC425" s="823"/>
      <c r="AD425" s="823"/>
      <c r="AE425" s="56">
        <v>642.34</v>
      </c>
      <c r="AF425" s="823"/>
      <c r="AG425" s="56">
        <v>7725.71</v>
      </c>
      <c r="AH425" s="56">
        <v>0</v>
      </c>
    </row>
    <row r="426" spans="1:34" ht="15.75" thickBot="1" x14ac:dyDescent="0.3">
      <c r="A426" s="51" t="s">
        <v>1022</v>
      </c>
      <c r="B426" s="51" t="s">
        <v>31</v>
      </c>
      <c r="C426" s="51" t="s">
        <v>835</v>
      </c>
      <c r="D426" s="51" t="s">
        <v>320</v>
      </c>
      <c r="E426" s="51" t="s">
        <v>268</v>
      </c>
      <c r="F426" s="51" t="s">
        <v>971</v>
      </c>
      <c r="G426" s="148">
        <v>2</v>
      </c>
      <c r="H426" s="823"/>
      <c r="I426" s="823"/>
      <c r="J426" s="823"/>
      <c r="K426" s="823"/>
      <c r="L426" s="823"/>
      <c r="M426" s="823"/>
      <c r="N426" s="823"/>
      <c r="O426" s="823"/>
      <c r="P426" s="823"/>
      <c r="Q426" s="823"/>
      <c r="R426" s="823"/>
      <c r="S426" s="823"/>
      <c r="T426" s="823"/>
      <c r="U426" s="823"/>
      <c r="V426" s="823"/>
      <c r="W426" s="823"/>
      <c r="X426" s="823"/>
      <c r="Y426" s="823"/>
      <c r="Z426" s="823"/>
      <c r="AA426" s="823"/>
      <c r="AB426" s="823"/>
      <c r="AC426" s="56">
        <v>1100</v>
      </c>
      <c r="AD426" s="823"/>
      <c r="AE426" s="56">
        <v>83.49</v>
      </c>
      <c r="AF426" s="823"/>
      <c r="AG426" s="56">
        <v>1183.49</v>
      </c>
      <c r="AH426" s="56">
        <v>0</v>
      </c>
    </row>
    <row r="427" spans="1:34" ht="15.75" thickBot="1" x14ac:dyDescent="0.3">
      <c r="A427" s="51" t="s">
        <v>1022</v>
      </c>
      <c r="B427" s="51" t="s">
        <v>491</v>
      </c>
      <c r="C427" s="51" t="s">
        <v>492</v>
      </c>
      <c r="D427" s="51" t="s">
        <v>320</v>
      </c>
      <c r="E427" s="51" t="s">
        <v>109</v>
      </c>
      <c r="F427" s="51" t="s">
        <v>968</v>
      </c>
      <c r="G427" s="147">
        <v>5</v>
      </c>
      <c r="H427" s="822"/>
      <c r="I427" s="822"/>
      <c r="J427" s="822"/>
      <c r="K427" s="822"/>
      <c r="L427" s="822"/>
      <c r="M427" s="822"/>
      <c r="N427" s="822"/>
      <c r="O427" s="822"/>
      <c r="P427" s="822"/>
      <c r="Q427" s="822"/>
      <c r="R427" s="822"/>
      <c r="S427" s="822"/>
      <c r="T427" s="822"/>
      <c r="U427" s="822"/>
      <c r="V427" s="822"/>
      <c r="W427" s="822"/>
      <c r="X427" s="822"/>
      <c r="Y427" s="54">
        <v>108.99</v>
      </c>
      <c r="Z427" s="822"/>
      <c r="AA427" s="822"/>
      <c r="AB427" s="822"/>
      <c r="AC427" s="822"/>
      <c r="AD427" s="822"/>
      <c r="AE427" s="54">
        <v>2.63</v>
      </c>
      <c r="AF427" s="822"/>
      <c r="AG427" s="54">
        <v>111.62</v>
      </c>
      <c r="AH427" s="54">
        <v>0</v>
      </c>
    </row>
    <row r="428" spans="1:34" ht="15.75" thickBot="1" x14ac:dyDescent="0.3">
      <c r="A428" s="51" t="s">
        <v>1022</v>
      </c>
      <c r="B428" s="51" t="s">
        <v>491</v>
      </c>
      <c r="C428" s="51" t="s">
        <v>492</v>
      </c>
      <c r="D428" s="51" t="s">
        <v>320</v>
      </c>
      <c r="E428" s="51" t="s">
        <v>272</v>
      </c>
      <c r="F428" s="51" t="s">
        <v>969</v>
      </c>
      <c r="G428" s="147">
        <v>6</v>
      </c>
      <c r="H428" s="822"/>
      <c r="I428" s="822"/>
      <c r="J428" s="822"/>
      <c r="K428" s="822"/>
      <c r="L428" s="822"/>
      <c r="M428" s="822"/>
      <c r="N428" s="822"/>
      <c r="O428" s="822"/>
      <c r="P428" s="822"/>
      <c r="Q428" s="822"/>
      <c r="R428" s="822"/>
      <c r="S428" s="822"/>
      <c r="T428" s="822"/>
      <c r="U428" s="822"/>
      <c r="V428" s="822"/>
      <c r="W428" s="822"/>
      <c r="X428" s="822"/>
      <c r="Y428" s="54">
        <v>4583.04</v>
      </c>
      <c r="Z428" s="822"/>
      <c r="AA428" s="822"/>
      <c r="AB428" s="822"/>
      <c r="AC428" s="822"/>
      <c r="AD428" s="822"/>
      <c r="AE428" s="54">
        <v>138.87</v>
      </c>
      <c r="AF428" s="822"/>
      <c r="AG428" s="54">
        <v>4721.91</v>
      </c>
      <c r="AH428" s="54">
        <v>0</v>
      </c>
    </row>
    <row r="429" spans="1:34" ht="15.75" thickBot="1" x14ac:dyDescent="0.3">
      <c r="A429" s="51" t="s">
        <v>1022</v>
      </c>
      <c r="B429" s="51" t="s">
        <v>491</v>
      </c>
      <c r="C429" s="51" t="s">
        <v>492</v>
      </c>
      <c r="D429" s="51" t="s">
        <v>320</v>
      </c>
      <c r="E429" s="51" t="s">
        <v>265</v>
      </c>
      <c r="F429" s="51" t="s">
        <v>266</v>
      </c>
      <c r="G429" s="147">
        <v>5</v>
      </c>
      <c r="H429" s="54">
        <v>5000</v>
      </c>
      <c r="I429" s="54">
        <v>222066</v>
      </c>
      <c r="J429" s="822"/>
      <c r="K429" s="822"/>
      <c r="L429" s="822"/>
      <c r="M429" s="822"/>
      <c r="N429" s="822"/>
      <c r="O429" s="822"/>
      <c r="P429" s="822"/>
      <c r="Q429" s="822"/>
      <c r="R429" s="822"/>
      <c r="S429" s="822"/>
      <c r="T429" s="822"/>
      <c r="U429" s="822"/>
      <c r="V429" s="822"/>
      <c r="W429" s="822"/>
      <c r="X429" s="822"/>
      <c r="Y429" s="54">
        <v>38690.01</v>
      </c>
      <c r="Z429" s="822"/>
      <c r="AA429" s="822"/>
      <c r="AB429" s="822"/>
      <c r="AC429" s="822"/>
      <c r="AD429" s="822"/>
      <c r="AE429" s="54">
        <v>933.31</v>
      </c>
      <c r="AF429" s="822"/>
      <c r="AG429" s="54">
        <v>39623.32</v>
      </c>
      <c r="AH429" s="54">
        <v>0</v>
      </c>
    </row>
    <row r="430" spans="1:34" ht="15.75" thickBot="1" x14ac:dyDescent="0.3">
      <c r="A430" s="51" t="s">
        <v>1022</v>
      </c>
      <c r="B430" s="51" t="s">
        <v>491</v>
      </c>
      <c r="C430" s="51" t="s">
        <v>492</v>
      </c>
      <c r="D430" s="51" t="s">
        <v>320</v>
      </c>
      <c r="E430" s="51" t="s">
        <v>620</v>
      </c>
      <c r="F430" s="51" t="s">
        <v>978</v>
      </c>
      <c r="G430" s="147">
        <v>6</v>
      </c>
      <c r="H430" s="822"/>
      <c r="I430" s="822"/>
      <c r="J430" s="822"/>
      <c r="K430" s="822"/>
      <c r="L430" s="822"/>
      <c r="M430" s="822"/>
      <c r="N430" s="822"/>
      <c r="O430" s="822"/>
      <c r="P430" s="822"/>
      <c r="Q430" s="822"/>
      <c r="R430" s="822"/>
      <c r="S430" s="822"/>
      <c r="T430" s="822"/>
      <c r="U430" s="822"/>
      <c r="V430" s="822"/>
      <c r="W430" s="822"/>
      <c r="X430" s="822"/>
      <c r="Y430" s="822"/>
      <c r="Z430" s="822"/>
      <c r="AA430" s="822"/>
      <c r="AB430" s="822"/>
      <c r="AC430" s="822"/>
      <c r="AD430" s="822"/>
      <c r="AE430" s="54">
        <v>20.18</v>
      </c>
      <c r="AF430" s="822"/>
      <c r="AG430" s="54">
        <v>686.3</v>
      </c>
      <c r="AH430" s="149">
        <v>666.12</v>
      </c>
    </row>
    <row r="431" spans="1:34" ht="15.75" thickBot="1" x14ac:dyDescent="0.3">
      <c r="A431" s="51" t="s">
        <v>1022</v>
      </c>
      <c r="B431" s="51" t="s">
        <v>491</v>
      </c>
      <c r="C431" s="51" t="s">
        <v>492</v>
      </c>
      <c r="D431" s="51" t="s">
        <v>320</v>
      </c>
      <c r="E431" s="51" t="s">
        <v>621</v>
      </c>
      <c r="F431" s="51" t="s">
        <v>970</v>
      </c>
      <c r="G431" s="147">
        <v>5</v>
      </c>
      <c r="H431" s="822"/>
      <c r="I431" s="822"/>
      <c r="J431" s="822"/>
      <c r="K431" s="822"/>
      <c r="L431" s="822"/>
      <c r="M431" s="822"/>
      <c r="N431" s="822"/>
      <c r="O431" s="822"/>
      <c r="P431" s="822"/>
      <c r="Q431" s="822"/>
      <c r="R431" s="822"/>
      <c r="S431" s="822"/>
      <c r="T431" s="822"/>
      <c r="U431" s="822"/>
      <c r="V431" s="822"/>
      <c r="W431" s="822"/>
      <c r="X431" s="822"/>
      <c r="Y431" s="822"/>
      <c r="Z431" s="822"/>
      <c r="AA431" s="822"/>
      <c r="AB431" s="822"/>
      <c r="AC431" s="822"/>
      <c r="AD431" s="822"/>
      <c r="AE431" s="54">
        <v>63.98</v>
      </c>
      <c r="AF431" s="822"/>
      <c r="AG431" s="54">
        <v>2720.65</v>
      </c>
      <c r="AH431" s="149">
        <v>2656.67</v>
      </c>
    </row>
    <row r="432" spans="1:34" ht="15.75" thickBot="1" x14ac:dyDescent="0.3">
      <c r="A432" s="51" t="s">
        <v>1022</v>
      </c>
      <c r="B432" s="51" t="s">
        <v>491</v>
      </c>
      <c r="C432" s="51" t="s">
        <v>492</v>
      </c>
      <c r="D432" s="51" t="s">
        <v>320</v>
      </c>
      <c r="E432" s="51" t="s">
        <v>273</v>
      </c>
      <c r="F432" s="51" t="s">
        <v>979</v>
      </c>
      <c r="G432" s="147">
        <v>5</v>
      </c>
      <c r="H432" s="822"/>
      <c r="I432" s="822"/>
      <c r="J432" s="822"/>
      <c r="K432" s="822"/>
      <c r="L432" s="822"/>
      <c r="M432" s="822"/>
      <c r="N432" s="822"/>
      <c r="O432" s="822"/>
      <c r="P432" s="822"/>
      <c r="Q432" s="822"/>
      <c r="R432" s="822"/>
      <c r="S432" s="822"/>
      <c r="T432" s="822"/>
      <c r="U432" s="822"/>
      <c r="V432" s="822"/>
      <c r="W432" s="822"/>
      <c r="X432" s="822"/>
      <c r="Y432" s="54">
        <v>19539.03</v>
      </c>
      <c r="Z432" s="822"/>
      <c r="AA432" s="822"/>
      <c r="AB432" s="822"/>
      <c r="AC432" s="822"/>
      <c r="AD432" s="822"/>
      <c r="AE432" s="54">
        <v>470.55</v>
      </c>
      <c r="AF432" s="822"/>
      <c r="AG432" s="54">
        <v>20009.580000000002</v>
      </c>
      <c r="AH432" s="54">
        <v>0</v>
      </c>
    </row>
    <row r="433" spans="1:34" ht="15.75" thickBot="1" x14ac:dyDescent="0.3">
      <c r="A433" s="51" t="s">
        <v>1022</v>
      </c>
      <c r="B433" s="51" t="s">
        <v>491</v>
      </c>
      <c r="C433" s="51" t="s">
        <v>492</v>
      </c>
      <c r="D433" s="51" t="s">
        <v>320</v>
      </c>
      <c r="E433" s="51" t="s">
        <v>268</v>
      </c>
      <c r="F433" s="51" t="s">
        <v>971</v>
      </c>
      <c r="G433" s="147">
        <v>6</v>
      </c>
      <c r="H433" s="822"/>
      <c r="I433" s="822"/>
      <c r="J433" s="822"/>
      <c r="K433" s="822"/>
      <c r="L433" s="822"/>
      <c r="M433" s="822"/>
      <c r="N433" s="822"/>
      <c r="O433" s="822"/>
      <c r="P433" s="822"/>
      <c r="Q433" s="822"/>
      <c r="R433" s="822"/>
      <c r="S433" s="822"/>
      <c r="T433" s="822"/>
      <c r="U433" s="822"/>
      <c r="V433" s="822"/>
      <c r="W433" s="822"/>
      <c r="X433" s="822"/>
      <c r="Y433" s="822"/>
      <c r="Z433" s="822"/>
      <c r="AA433" s="822"/>
      <c r="AB433" s="822"/>
      <c r="AC433" s="54">
        <v>3300</v>
      </c>
      <c r="AD433" s="822"/>
      <c r="AE433" s="54">
        <v>99.99</v>
      </c>
      <c r="AF433" s="822"/>
      <c r="AG433" s="54">
        <v>3399.99</v>
      </c>
      <c r="AH433" s="54">
        <v>0</v>
      </c>
    </row>
    <row r="434" spans="1:34" ht="15.75" thickBot="1" x14ac:dyDescent="0.3">
      <c r="A434" s="51" t="s">
        <v>1022</v>
      </c>
      <c r="B434" s="51" t="s">
        <v>52</v>
      </c>
      <c r="C434" s="51" t="s">
        <v>355</v>
      </c>
      <c r="D434" s="51" t="s">
        <v>320</v>
      </c>
      <c r="E434" s="51" t="s">
        <v>269</v>
      </c>
      <c r="F434" s="51" t="s">
        <v>1023</v>
      </c>
      <c r="G434" s="148">
        <v>2</v>
      </c>
      <c r="H434" s="823"/>
      <c r="I434" s="823"/>
      <c r="J434" s="823"/>
      <c r="K434" s="823"/>
      <c r="L434" s="823"/>
      <c r="M434" s="823"/>
      <c r="N434" s="823"/>
      <c r="O434" s="823"/>
      <c r="P434" s="823"/>
      <c r="Q434" s="823"/>
      <c r="R434" s="823"/>
      <c r="S434" s="823"/>
      <c r="T434" s="823"/>
      <c r="U434" s="823"/>
      <c r="V434" s="823"/>
      <c r="W434" s="823"/>
      <c r="X434" s="823"/>
      <c r="Y434" s="823"/>
      <c r="Z434" s="56">
        <v>-4056.38</v>
      </c>
      <c r="AA434" s="823"/>
      <c r="AB434" s="823"/>
      <c r="AC434" s="823"/>
      <c r="AD434" s="823"/>
      <c r="AE434" s="56">
        <v>0</v>
      </c>
      <c r="AF434" s="823"/>
      <c r="AG434" s="56">
        <v>-4056.38</v>
      </c>
      <c r="AH434" s="56">
        <v>0</v>
      </c>
    </row>
    <row r="435" spans="1:34" ht="15.75" thickBot="1" x14ac:dyDescent="0.3">
      <c r="A435" s="51" t="s">
        <v>1022</v>
      </c>
      <c r="B435" s="51" t="s">
        <v>52</v>
      </c>
      <c r="C435" s="51" t="s">
        <v>355</v>
      </c>
      <c r="D435" s="51" t="s">
        <v>320</v>
      </c>
      <c r="E435" s="51" t="s">
        <v>271</v>
      </c>
      <c r="F435" s="51" t="s">
        <v>980</v>
      </c>
      <c r="G435" s="148">
        <v>2</v>
      </c>
      <c r="H435" s="823"/>
      <c r="I435" s="823"/>
      <c r="J435" s="823"/>
      <c r="K435" s="823"/>
      <c r="L435" s="823"/>
      <c r="M435" s="823"/>
      <c r="N435" s="823"/>
      <c r="O435" s="823"/>
      <c r="P435" s="823"/>
      <c r="Q435" s="823"/>
      <c r="R435" s="823"/>
      <c r="S435" s="823"/>
      <c r="T435" s="823"/>
      <c r="U435" s="823"/>
      <c r="V435" s="823"/>
      <c r="W435" s="823"/>
      <c r="X435" s="823"/>
      <c r="Y435" s="823"/>
      <c r="Z435" s="823"/>
      <c r="AA435" s="56">
        <v>46.9</v>
      </c>
      <c r="AB435" s="823"/>
      <c r="AC435" s="823"/>
      <c r="AD435" s="823"/>
      <c r="AE435" s="56">
        <v>0</v>
      </c>
      <c r="AF435" s="823"/>
      <c r="AG435" s="56">
        <v>46.9</v>
      </c>
      <c r="AH435" s="56">
        <v>0</v>
      </c>
    </row>
    <row r="436" spans="1:34" ht="15.75" thickBot="1" x14ac:dyDescent="0.3">
      <c r="A436" s="51" t="s">
        <v>1022</v>
      </c>
      <c r="B436" s="51" t="s">
        <v>52</v>
      </c>
      <c r="C436" s="51" t="s">
        <v>355</v>
      </c>
      <c r="D436" s="51" t="s">
        <v>320</v>
      </c>
      <c r="E436" s="51" t="s">
        <v>268</v>
      </c>
      <c r="F436" s="51" t="s">
        <v>971</v>
      </c>
      <c r="G436" s="148">
        <v>2</v>
      </c>
      <c r="H436" s="823"/>
      <c r="I436" s="823"/>
      <c r="J436" s="823"/>
      <c r="K436" s="823"/>
      <c r="L436" s="823"/>
      <c r="M436" s="823"/>
      <c r="N436" s="823"/>
      <c r="O436" s="823"/>
      <c r="P436" s="823"/>
      <c r="Q436" s="823"/>
      <c r="R436" s="823"/>
      <c r="S436" s="823"/>
      <c r="T436" s="823"/>
      <c r="U436" s="823"/>
      <c r="V436" s="823"/>
      <c r="W436" s="823"/>
      <c r="X436" s="823"/>
      <c r="Y436" s="823"/>
      <c r="Z436" s="823"/>
      <c r="AA436" s="823"/>
      <c r="AB436" s="823"/>
      <c r="AC436" s="56">
        <v>675</v>
      </c>
      <c r="AD436" s="823"/>
      <c r="AE436" s="56">
        <v>0</v>
      </c>
      <c r="AF436" s="823"/>
      <c r="AG436" s="56">
        <v>675</v>
      </c>
      <c r="AH436" s="56">
        <v>0</v>
      </c>
    </row>
    <row r="437" spans="1:34" ht="15.75" thickBot="1" x14ac:dyDescent="0.3">
      <c r="A437" s="51" t="s">
        <v>1022</v>
      </c>
      <c r="B437" s="51" t="s">
        <v>53</v>
      </c>
      <c r="C437" s="51" t="s">
        <v>836</v>
      </c>
      <c r="D437" s="51" t="s">
        <v>320</v>
      </c>
      <c r="E437" s="51" t="s">
        <v>356</v>
      </c>
      <c r="F437" s="51" t="s">
        <v>337</v>
      </c>
      <c r="G437" s="147">
        <v>1</v>
      </c>
      <c r="H437" s="822"/>
      <c r="I437" s="822"/>
      <c r="J437" s="822"/>
      <c r="K437" s="822"/>
      <c r="L437" s="822"/>
      <c r="M437" s="54">
        <v>35.99</v>
      </c>
      <c r="N437" s="822"/>
      <c r="O437" s="822"/>
      <c r="P437" s="822"/>
      <c r="Q437" s="822"/>
      <c r="R437" s="822"/>
      <c r="S437" s="822"/>
      <c r="T437" s="822"/>
      <c r="U437" s="822"/>
      <c r="V437" s="822"/>
      <c r="W437" s="822"/>
      <c r="X437" s="822"/>
      <c r="Y437" s="822"/>
      <c r="Z437" s="822"/>
      <c r="AA437" s="822"/>
      <c r="AB437" s="822"/>
      <c r="AC437" s="822"/>
      <c r="AD437" s="822"/>
      <c r="AE437" s="54">
        <v>0</v>
      </c>
      <c r="AF437" s="822"/>
      <c r="AG437" s="54">
        <v>35.99</v>
      </c>
      <c r="AH437" s="54">
        <v>0</v>
      </c>
    </row>
    <row r="438" spans="1:34" ht="15.75" thickBot="1" x14ac:dyDescent="0.3">
      <c r="A438" s="51" t="s">
        <v>1022</v>
      </c>
      <c r="B438" s="51" t="s">
        <v>53</v>
      </c>
      <c r="C438" s="51" t="s">
        <v>836</v>
      </c>
      <c r="D438" s="51" t="s">
        <v>320</v>
      </c>
      <c r="E438" s="51" t="s">
        <v>272</v>
      </c>
      <c r="F438" s="51" t="s">
        <v>969</v>
      </c>
      <c r="G438" s="147">
        <v>1</v>
      </c>
      <c r="H438" s="822"/>
      <c r="I438" s="822"/>
      <c r="J438" s="822"/>
      <c r="K438" s="822"/>
      <c r="L438" s="822"/>
      <c r="M438" s="822"/>
      <c r="N438" s="822"/>
      <c r="O438" s="822"/>
      <c r="P438" s="822"/>
      <c r="Q438" s="822"/>
      <c r="R438" s="822"/>
      <c r="S438" s="822"/>
      <c r="T438" s="822"/>
      <c r="U438" s="822"/>
      <c r="V438" s="822"/>
      <c r="W438" s="822"/>
      <c r="X438" s="822"/>
      <c r="Y438" s="54">
        <v>500</v>
      </c>
      <c r="Z438" s="822"/>
      <c r="AA438" s="822"/>
      <c r="AB438" s="822"/>
      <c r="AC438" s="822"/>
      <c r="AD438" s="822"/>
      <c r="AE438" s="54">
        <v>0</v>
      </c>
      <c r="AF438" s="822"/>
      <c r="AG438" s="54">
        <v>500</v>
      </c>
      <c r="AH438" s="54">
        <v>0</v>
      </c>
    </row>
    <row r="439" spans="1:34" ht="15.75" thickBot="1" x14ac:dyDescent="0.3">
      <c r="A439" s="51" t="s">
        <v>1022</v>
      </c>
      <c r="B439" s="51" t="s">
        <v>53</v>
      </c>
      <c r="C439" s="51" t="s">
        <v>836</v>
      </c>
      <c r="D439" s="51" t="s">
        <v>320</v>
      </c>
      <c r="E439" s="51" t="s">
        <v>265</v>
      </c>
      <c r="F439" s="51" t="s">
        <v>266</v>
      </c>
      <c r="G439" s="147">
        <v>1</v>
      </c>
      <c r="H439" s="54">
        <v>189</v>
      </c>
      <c r="I439" s="822"/>
      <c r="J439" s="822"/>
      <c r="K439" s="822"/>
      <c r="L439" s="822"/>
      <c r="M439" s="822"/>
      <c r="N439" s="822"/>
      <c r="O439" s="822"/>
      <c r="P439" s="822"/>
      <c r="Q439" s="822"/>
      <c r="R439" s="822"/>
      <c r="S439" s="822"/>
      <c r="T439" s="822"/>
      <c r="U439" s="822"/>
      <c r="V439" s="822"/>
      <c r="W439" s="822"/>
      <c r="X439" s="822"/>
      <c r="Y439" s="54">
        <v>20.12</v>
      </c>
      <c r="Z439" s="822"/>
      <c r="AA439" s="822"/>
      <c r="AB439" s="822"/>
      <c r="AC439" s="822"/>
      <c r="AD439" s="822"/>
      <c r="AE439" s="54">
        <v>0</v>
      </c>
      <c r="AF439" s="822"/>
      <c r="AG439" s="54">
        <v>20.12</v>
      </c>
      <c r="AH439" s="54">
        <v>0</v>
      </c>
    </row>
    <row r="440" spans="1:34" ht="15.75" thickBot="1" x14ac:dyDescent="0.3">
      <c r="A440" s="51" t="s">
        <v>1022</v>
      </c>
      <c r="B440" s="51" t="s">
        <v>53</v>
      </c>
      <c r="C440" s="51" t="s">
        <v>836</v>
      </c>
      <c r="D440" s="51" t="s">
        <v>320</v>
      </c>
      <c r="E440" s="51" t="s">
        <v>620</v>
      </c>
      <c r="F440" s="51" t="s">
        <v>978</v>
      </c>
      <c r="G440" s="147">
        <v>1</v>
      </c>
      <c r="H440" s="822"/>
      <c r="I440" s="822"/>
      <c r="J440" s="822"/>
      <c r="K440" s="822"/>
      <c r="L440" s="822"/>
      <c r="M440" s="822"/>
      <c r="N440" s="822"/>
      <c r="O440" s="822"/>
      <c r="P440" s="822"/>
      <c r="Q440" s="822"/>
      <c r="R440" s="822"/>
      <c r="S440" s="822"/>
      <c r="T440" s="822"/>
      <c r="U440" s="822"/>
      <c r="V440" s="822"/>
      <c r="W440" s="822"/>
      <c r="X440" s="822"/>
      <c r="Y440" s="822"/>
      <c r="Z440" s="822"/>
      <c r="AA440" s="822"/>
      <c r="AB440" s="822"/>
      <c r="AC440" s="822"/>
      <c r="AD440" s="822"/>
      <c r="AE440" s="54">
        <v>0</v>
      </c>
      <c r="AF440" s="822"/>
      <c r="AG440" s="54">
        <v>111.02</v>
      </c>
      <c r="AH440" s="149">
        <v>111.02</v>
      </c>
    </row>
    <row r="441" spans="1:34" ht="15.75" thickBot="1" x14ac:dyDescent="0.3">
      <c r="A441" s="51" t="s">
        <v>1022</v>
      </c>
      <c r="B441" s="51" t="s">
        <v>53</v>
      </c>
      <c r="C441" s="51" t="s">
        <v>836</v>
      </c>
      <c r="D441" s="51" t="s">
        <v>320</v>
      </c>
      <c r="E441" s="51" t="s">
        <v>621</v>
      </c>
      <c r="F441" s="51" t="s">
        <v>970</v>
      </c>
      <c r="G441" s="147">
        <v>1</v>
      </c>
      <c r="H441" s="822"/>
      <c r="I441" s="822"/>
      <c r="J441" s="822"/>
      <c r="K441" s="822"/>
      <c r="L441" s="822"/>
      <c r="M441" s="822"/>
      <c r="N441" s="822"/>
      <c r="O441" s="822"/>
      <c r="P441" s="822"/>
      <c r="Q441" s="822"/>
      <c r="R441" s="822"/>
      <c r="S441" s="822"/>
      <c r="T441" s="822"/>
      <c r="U441" s="822"/>
      <c r="V441" s="822"/>
      <c r="W441" s="822"/>
      <c r="X441" s="822"/>
      <c r="Y441" s="822"/>
      <c r="Z441" s="822"/>
      <c r="AA441" s="822"/>
      <c r="AB441" s="822"/>
      <c r="AC441" s="822"/>
      <c r="AD441" s="822"/>
      <c r="AE441" s="54">
        <v>0</v>
      </c>
      <c r="AF441" s="822"/>
      <c r="AG441" s="54">
        <v>2.21</v>
      </c>
      <c r="AH441" s="149">
        <v>2.21</v>
      </c>
    </row>
    <row r="442" spans="1:34" ht="15.75" thickBot="1" x14ac:dyDescent="0.3">
      <c r="A442" s="51" t="s">
        <v>1022</v>
      </c>
      <c r="B442" s="51" t="s">
        <v>53</v>
      </c>
      <c r="C442" s="51" t="s">
        <v>836</v>
      </c>
      <c r="D442" s="51" t="s">
        <v>320</v>
      </c>
      <c r="E442" s="51" t="s">
        <v>273</v>
      </c>
      <c r="F442" s="51" t="s">
        <v>979</v>
      </c>
      <c r="G442" s="147">
        <v>1</v>
      </c>
      <c r="H442" s="822"/>
      <c r="I442" s="822"/>
      <c r="J442" s="822"/>
      <c r="K442" s="822"/>
      <c r="L442" s="822"/>
      <c r="M442" s="822"/>
      <c r="N442" s="822"/>
      <c r="O442" s="822"/>
      <c r="P442" s="822"/>
      <c r="Q442" s="822"/>
      <c r="R442" s="822"/>
      <c r="S442" s="822"/>
      <c r="T442" s="822"/>
      <c r="U442" s="822"/>
      <c r="V442" s="822"/>
      <c r="W442" s="822"/>
      <c r="X442" s="822"/>
      <c r="Y442" s="54">
        <v>16.260000000000002</v>
      </c>
      <c r="Z442" s="822"/>
      <c r="AA442" s="822"/>
      <c r="AB442" s="822"/>
      <c r="AC442" s="822"/>
      <c r="AD442" s="822"/>
      <c r="AE442" s="54">
        <v>0</v>
      </c>
      <c r="AF442" s="822"/>
      <c r="AG442" s="54">
        <v>16.260000000000002</v>
      </c>
      <c r="AH442" s="54">
        <v>0</v>
      </c>
    </row>
    <row r="443" spans="1:34" ht="15.75" thickBot="1" x14ac:dyDescent="0.3">
      <c r="A443" s="51" t="s">
        <v>1022</v>
      </c>
      <c r="B443" s="51" t="s">
        <v>53</v>
      </c>
      <c r="C443" s="51" t="s">
        <v>836</v>
      </c>
      <c r="D443" s="51" t="s">
        <v>320</v>
      </c>
      <c r="E443" s="51" t="s">
        <v>268</v>
      </c>
      <c r="F443" s="51" t="s">
        <v>971</v>
      </c>
      <c r="G443" s="147">
        <v>1</v>
      </c>
      <c r="H443" s="822"/>
      <c r="I443" s="822"/>
      <c r="J443" s="822"/>
      <c r="K443" s="822"/>
      <c r="L443" s="822"/>
      <c r="M443" s="822"/>
      <c r="N443" s="822"/>
      <c r="O443" s="822"/>
      <c r="P443" s="822"/>
      <c r="Q443" s="822"/>
      <c r="R443" s="822"/>
      <c r="S443" s="822"/>
      <c r="T443" s="822"/>
      <c r="U443" s="822"/>
      <c r="V443" s="822"/>
      <c r="W443" s="822"/>
      <c r="X443" s="822"/>
      <c r="Y443" s="822"/>
      <c r="Z443" s="822"/>
      <c r="AA443" s="822"/>
      <c r="AB443" s="822"/>
      <c r="AC443" s="54">
        <v>550</v>
      </c>
      <c r="AD443" s="822"/>
      <c r="AE443" s="54">
        <v>0</v>
      </c>
      <c r="AF443" s="822"/>
      <c r="AG443" s="54">
        <v>550</v>
      </c>
      <c r="AH443" s="54">
        <v>0</v>
      </c>
    </row>
    <row r="444" spans="1:34" ht="15.75" thickBot="1" x14ac:dyDescent="0.3">
      <c r="A444" s="51" t="s">
        <v>1022</v>
      </c>
      <c r="B444" s="51" t="s">
        <v>36</v>
      </c>
      <c r="C444" s="51" t="s">
        <v>438</v>
      </c>
      <c r="D444" s="51" t="s">
        <v>320</v>
      </c>
      <c r="E444" s="51" t="s">
        <v>269</v>
      </c>
      <c r="F444" s="51" t="s">
        <v>1023</v>
      </c>
      <c r="G444" s="148">
        <v>2</v>
      </c>
      <c r="H444" s="823"/>
      <c r="I444" s="823"/>
      <c r="J444" s="823"/>
      <c r="K444" s="823"/>
      <c r="L444" s="823"/>
      <c r="M444" s="823"/>
      <c r="N444" s="823"/>
      <c r="O444" s="823"/>
      <c r="P444" s="823"/>
      <c r="Q444" s="823"/>
      <c r="R444" s="823"/>
      <c r="S444" s="823"/>
      <c r="T444" s="823"/>
      <c r="U444" s="823"/>
      <c r="V444" s="823"/>
      <c r="W444" s="823"/>
      <c r="X444" s="823"/>
      <c r="Y444" s="823"/>
      <c r="Z444" s="56">
        <v>-1193.1500000000001</v>
      </c>
      <c r="AA444" s="823"/>
      <c r="AB444" s="823"/>
      <c r="AC444" s="823"/>
      <c r="AD444" s="823"/>
      <c r="AE444" s="56">
        <v>-71.59</v>
      </c>
      <c r="AF444" s="823"/>
      <c r="AG444" s="56">
        <v>-1264.74</v>
      </c>
      <c r="AH444" s="56">
        <v>0</v>
      </c>
    </row>
    <row r="445" spans="1:34" ht="15.75" thickBot="1" x14ac:dyDescent="0.3">
      <c r="A445" s="51" t="s">
        <v>1022</v>
      </c>
      <c r="B445" s="51" t="s">
        <v>36</v>
      </c>
      <c r="C445" s="51" t="s">
        <v>438</v>
      </c>
      <c r="D445" s="51" t="s">
        <v>320</v>
      </c>
      <c r="E445" s="51" t="s">
        <v>272</v>
      </c>
      <c r="F445" s="51" t="s">
        <v>969</v>
      </c>
      <c r="G445" s="148">
        <v>48</v>
      </c>
      <c r="H445" s="823"/>
      <c r="I445" s="823"/>
      <c r="J445" s="823"/>
      <c r="K445" s="823"/>
      <c r="L445" s="823"/>
      <c r="M445" s="823"/>
      <c r="N445" s="823"/>
      <c r="O445" s="823"/>
      <c r="P445" s="823"/>
      <c r="Q445" s="823"/>
      <c r="R445" s="823"/>
      <c r="S445" s="823"/>
      <c r="T445" s="823"/>
      <c r="U445" s="823"/>
      <c r="V445" s="823"/>
      <c r="W445" s="823"/>
      <c r="X445" s="823"/>
      <c r="Y445" s="56">
        <v>36000</v>
      </c>
      <c r="Z445" s="823"/>
      <c r="AA445" s="823"/>
      <c r="AB445" s="823"/>
      <c r="AC445" s="823"/>
      <c r="AD445" s="823"/>
      <c r="AE445" s="56">
        <v>1604.26</v>
      </c>
      <c r="AF445" s="823"/>
      <c r="AG445" s="56">
        <v>37604.26</v>
      </c>
      <c r="AH445" s="56">
        <v>0</v>
      </c>
    </row>
    <row r="446" spans="1:34" ht="15.75" thickBot="1" x14ac:dyDescent="0.3">
      <c r="A446" s="51" t="s">
        <v>1022</v>
      </c>
      <c r="B446" s="51" t="s">
        <v>36</v>
      </c>
      <c r="C446" s="51" t="s">
        <v>438</v>
      </c>
      <c r="D446" s="51" t="s">
        <v>320</v>
      </c>
      <c r="E446" s="51" t="s">
        <v>265</v>
      </c>
      <c r="F446" s="51" t="s">
        <v>266</v>
      </c>
      <c r="G446" s="148">
        <v>48</v>
      </c>
      <c r="H446" s="56">
        <v>6232130</v>
      </c>
      <c r="I446" s="823"/>
      <c r="J446" s="823"/>
      <c r="K446" s="823"/>
      <c r="L446" s="823"/>
      <c r="M446" s="823"/>
      <c r="N446" s="823"/>
      <c r="O446" s="823"/>
      <c r="P446" s="823"/>
      <c r="Q446" s="823"/>
      <c r="R446" s="823"/>
      <c r="S446" s="823"/>
      <c r="T446" s="823"/>
      <c r="U446" s="823"/>
      <c r="V446" s="823"/>
      <c r="W446" s="823"/>
      <c r="X446" s="823"/>
      <c r="Y446" s="56">
        <v>23682.06</v>
      </c>
      <c r="Z446" s="823"/>
      <c r="AA446" s="823"/>
      <c r="AB446" s="823"/>
      <c r="AC446" s="823"/>
      <c r="AD446" s="823"/>
      <c r="AE446" s="56">
        <v>993.89</v>
      </c>
      <c r="AF446" s="823"/>
      <c r="AG446" s="56">
        <v>24675.95</v>
      </c>
      <c r="AH446" s="56">
        <v>0</v>
      </c>
    </row>
    <row r="447" spans="1:34" ht="15.75" thickBot="1" x14ac:dyDescent="0.3">
      <c r="A447" s="51" t="s">
        <v>1022</v>
      </c>
      <c r="B447" s="51" t="s">
        <v>36</v>
      </c>
      <c r="C447" s="51" t="s">
        <v>438</v>
      </c>
      <c r="D447" s="51" t="s">
        <v>320</v>
      </c>
      <c r="E447" s="51" t="s">
        <v>621</v>
      </c>
      <c r="F447" s="51" t="s">
        <v>970</v>
      </c>
      <c r="G447" s="148">
        <v>48</v>
      </c>
      <c r="H447" s="823"/>
      <c r="I447" s="823"/>
      <c r="J447" s="823"/>
      <c r="K447" s="823"/>
      <c r="L447" s="823"/>
      <c r="M447" s="823"/>
      <c r="N447" s="823"/>
      <c r="O447" s="823"/>
      <c r="P447" s="823"/>
      <c r="Q447" s="823"/>
      <c r="R447" s="823"/>
      <c r="S447" s="823"/>
      <c r="T447" s="823"/>
      <c r="U447" s="823"/>
      <c r="V447" s="823"/>
      <c r="W447" s="823"/>
      <c r="X447" s="823"/>
      <c r="Y447" s="823"/>
      <c r="Z447" s="823"/>
      <c r="AA447" s="823"/>
      <c r="AB447" s="823"/>
      <c r="AC447" s="823"/>
      <c r="AD447" s="823"/>
      <c r="AE447" s="56">
        <v>256.33</v>
      </c>
      <c r="AF447" s="823"/>
      <c r="AG447" s="56">
        <v>6363.83</v>
      </c>
      <c r="AH447" s="149">
        <v>6107.5</v>
      </c>
    </row>
    <row r="448" spans="1:34" ht="15.75" thickBot="1" x14ac:dyDescent="0.3">
      <c r="A448" s="51" t="s">
        <v>1022</v>
      </c>
      <c r="B448" s="51" t="s">
        <v>36</v>
      </c>
      <c r="C448" s="51" t="s">
        <v>438</v>
      </c>
      <c r="D448" s="51" t="s">
        <v>320</v>
      </c>
      <c r="E448" s="51" t="s">
        <v>271</v>
      </c>
      <c r="F448" s="51" t="s">
        <v>980</v>
      </c>
      <c r="G448" s="148">
        <v>1</v>
      </c>
      <c r="H448" s="823"/>
      <c r="I448" s="823"/>
      <c r="J448" s="823"/>
      <c r="K448" s="823"/>
      <c r="L448" s="823"/>
      <c r="M448" s="823"/>
      <c r="N448" s="823"/>
      <c r="O448" s="823"/>
      <c r="P448" s="823"/>
      <c r="Q448" s="823"/>
      <c r="R448" s="823"/>
      <c r="S448" s="823"/>
      <c r="T448" s="823"/>
      <c r="U448" s="823"/>
      <c r="V448" s="823"/>
      <c r="W448" s="823"/>
      <c r="X448" s="823"/>
      <c r="Y448" s="823"/>
      <c r="Z448" s="823"/>
      <c r="AA448" s="56">
        <v>25.72</v>
      </c>
      <c r="AB448" s="823"/>
      <c r="AC448" s="823"/>
      <c r="AD448" s="823"/>
      <c r="AE448" s="56">
        <v>1.54</v>
      </c>
      <c r="AF448" s="823"/>
      <c r="AG448" s="56">
        <v>27.26</v>
      </c>
      <c r="AH448" s="56">
        <v>0</v>
      </c>
    </row>
    <row r="449" spans="1:34" ht="15.75" thickBot="1" x14ac:dyDescent="0.3">
      <c r="A449" s="51" t="s">
        <v>1022</v>
      </c>
      <c r="B449" s="51" t="s">
        <v>36</v>
      </c>
      <c r="C449" s="51" t="s">
        <v>438</v>
      </c>
      <c r="D449" s="51" t="s">
        <v>320</v>
      </c>
      <c r="E449" s="51" t="s">
        <v>325</v>
      </c>
      <c r="F449" s="51" t="s">
        <v>974</v>
      </c>
      <c r="G449" s="148">
        <v>23</v>
      </c>
      <c r="H449" s="823"/>
      <c r="I449" s="823"/>
      <c r="J449" s="823"/>
      <c r="K449" s="823"/>
      <c r="L449" s="823"/>
      <c r="M449" s="823"/>
      <c r="N449" s="823"/>
      <c r="O449" s="823"/>
      <c r="P449" s="823"/>
      <c r="Q449" s="823"/>
      <c r="R449" s="823"/>
      <c r="S449" s="823"/>
      <c r="T449" s="823"/>
      <c r="U449" s="823"/>
      <c r="V449" s="823"/>
      <c r="W449" s="56">
        <v>161.11000000000001</v>
      </c>
      <c r="X449" s="823"/>
      <c r="Y449" s="823"/>
      <c r="Z449" s="823"/>
      <c r="AA449" s="823"/>
      <c r="AB449" s="823"/>
      <c r="AC449" s="823"/>
      <c r="AD449" s="823"/>
      <c r="AE449" s="56">
        <v>7.83</v>
      </c>
      <c r="AF449" s="823"/>
      <c r="AG449" s="56">
        <v>168.94</v>
      </c>
      <c r="AH449" s="56">
        <v>0</v>
      </c>
    </row>
    <row r="450" spans="1:34" ht="15.75" thickBot="1" x14ac:dyDescent="0.3">
      <c r="A450" s="51" t="s">
        <v>1022</v>
      </c>
      <c r="B450" s="51" t="s">
        <v>36</v>
      </c>
      <c r="C450" s="51" t="s">
        <v>438</v>
      </c>
      <c r="D450" s="51" t="s">
        <v>320</v>
      </c>
      <c r="E450" s="51" t="s">
        <v>268</v>
      </c>
      <c r="F450" s="51" t="s">
        <v>971</v>
      </c>
      <c r="G450" s="148">
        <v>48</v>
      </c>
      <c r="H450" s="823"/>
      <c r="I450" s="823"/>
      <c r="J450" s="823"/>
      <c r="K450" s="823"/>
      <c r="L450" s="823"/>
      <c r="M450" s="823"/>
      <c r="N450" s="823"/>
      <c r="O450" s="823"/>
      <c r="P450" s="823"/>
      <c r="Q450" s="823"/>
      <c r="R450" s="823"/>
      <c r="S450" s="823"/>
      <c r="T450" s="823"/>
      <c r="U450" s="823"/>
      <c r="V450" s="823"/>
      <c r="W450" s="823"/>
      <c r="X450" s="823"/>
      <c r="Y450" s="823"/>
      <c r="Z450" s="823"/>
      <c r="AA450" s="823"/>
      <c r="AB450" s="823"/>
      <c r="AC450" s="56">
        <v>26400</v>
      </c>
      <c r="AD450" s="823"/>
      <c r="AE450" s="56">
        <v>1176.45</v>
      </c>
      <c r="AF450" s="823"/>
      <c r="AG450" s="56">
        <v>27576.45</v>
      </c>
      <c r="AH450" s="56">
        <v>0</v>
      </c>
    </row>
    <row r="451" spans="1:34" ht="15.75" thickBot="1" x14ac:dyDescent="0.3">
      <c r="A451" s="51" t="s">
        <v>1022</v>
      </c>
      <c r="B451" s="51" t="s">
        <v>36</v>
      </c>
      <c r="C451" s="51" t="s">
        <v>438</v>
      </c>
      <c r="D451" s="51" t="s">
        <v>320</v>
      </c>
      <c r="E451" s="51" t="s">
        <v>914</v>
      </c>
      <c r="F451" s="51" t="s">
        <v>266</v>
      </c>
      <c r="G451" s="148">
        <v>48</v>
      </c>
      <c r="H451" s="823"/>
      <c r="I451" s="823"/>
      <c r="J451" s="823"/>
      <c r="K451" s="823"/>
      <c r="L451" s="823"/>
      <c r="M451" s="823"/>
      <c r="N451" s="823"/>
      <c r="O451" s="823"/>
      <c r="P451" s="823"/>
      <c r="Q451" s="823"/>
      <c r="R451" s="823"/>
      <c r="S451" s="823"/>
      <c r="T451" s="823"/>
      <c r="U451" s="823"/>
      <c r="V451" s="823"/>
      <c r="W451" s="823"/>
      <c r="X451" s="823"/>
      <c r="Y451" s="56">
        <v>319998.7</v>
      </c>
      <c r="Z451" s="823"/>
      <c r="AA451" s="823"/>
      <c r="AB451" s="823"/>
      <c r="AC451" s="823"/>
      <c r="AD451" s="823"/>
      <c r="AE451" s="56">
        <v>14374.43</v>
      </c>
      <c r="AF451" s="823"/>
      <c r="AG451" s="56">
        <v>334373.13</v>
      </c>
      <c r="AH451" s="56">
        <v>0</v>
      </c>
    </row>
    <row r="452" spans="1:34" ht="15.75" thickBot="1" x14ac:dyDescent="0.3">
      <c r="A452" s="51" t="s">
        <v>1022</v>
      </c>
      <c r="B452" s="51" t="s">
        <v>36</v>
      </c>
      <c r="C452" s="51" t="s">
        <v>438</v>
      </c>
      <c r="D452" s="51" t="s">
        <v>320</v>
      </c>
      <c r="E452" s="51" t="s">
        <v>329</v>
      </c>
      <c r="F452" s="51" t="s">
        <v>975</v>
      </c>
      <c r="G452" s="148">
        <v>2</v>
      </c>
      <c r="H452" s="823"/>
      <c r="I452" s="823"/>
      <c r="J452" s="823"/>
      <c r="K452" s="823"/>
      <c r="L452" s="823"/>
      <c r="M452" s="823"/>
      <c r="N452" s="823"/>
      <c r="O452" s="823"/>
      <c r="P452" s="823"/>
      <c r="Q452" s="823"/>
      <c r="R452" s="823"/>
      <c r="S452" s="823"/>
      <c r="T452" s="823"/>
      <c r="U452" s="823"/>
      <c r="V452" s="823"/>
      <c r="W452" s="823"/>
      <c r="X452" s="823"/>
      <c r="Y452" s="56">
        <v>344.6</v>
      </c>
      <c r="Z452" s="823"/>
      <c r="AA452" s="823"/>
      <c r="AB452" s="823"/>
      <c r="AC452" s="823"/>
      <c r="AD452" s="56">
        <v>344.6</v>
      </c>
      <c r="AE452" s="56">
        <v>20.68</v>
      </c>
      <c r="AF452" s="823"/>
      <c r="AG452" s="56">
        <v>365.28</v>
      </c>
      <c r="AH452" s="149">
        <v>-344.6</v>
      </c>
    </row>
    <row r="453" spans="1:34" ht="15.75" thickBot="1" x14ac:dyDescent="0.3">
      <c r="A453" s="51" t="s">
        <v>1022</v>
      </c>
      <c r="B453" s="51" t="s">
        <v>36</v>
      </c>
      <c r="C453" s="51" t="s">
        <v>438</v>
      </c>
      <c r="D453" s="51" t="s">
        <v>320</v>
      </c>
      <c r="E453" s="51" t="s">
        <v>330</v>
      </c>
      <c r="F453" s="51" t="s">
        <v>976</v>
      </c>
      <c r="G453" s="148">
        <v>2</v>
      </c>
      <c r="H453" s="823"/>
      <c r="I453" s="823"/>
      <c r="J453" s="823"/>
      <c r="K453" s="823"/>
      <c r="L453" s="823"/>
      <c r="M453" s="823"/>
      <c r="N453" s="823"/>
      <c r="O453" s="823"/>
      <c r="P453" s="823"/>
      <c r="Q453" s="823"/>
      <c r="R453" s="823"/>
      <c r="S453" s="823"/>
      <c r="T453" s="823"/>
      <c r="U453" s="823"/>
      <c r="V453" s="823"/>
      <c r="W453" s="823"/>
      <c r="X453" s="823"/>
      <c r="Y453" s="56">
        <v>804.69</v>
      </c>
      <c r="Z453" s="823"/>
      <c r="AA453" s="823"/>
      <c r="AB453" s="823"/>
      <c r="AC453" s="823"/>
      <c r="AD453" s="823"/>
      <c r="AE453" s="56">
        <v>48.28</v>
      </c>
      <c r="AF453" s="823"/>
      <c r="AG453" s="56">
        <v>852.97</v>
      </c>
      <c r="AH453" s="56">
        <v>0</v>
      </c>
    </row>
    <row r="454" spans="1:34" ht="15.75" thickBot="1" x14ac:dyDescent="0.3">
      <c r="A454" s="51" t="s">
        <v>1022</v>
      </c>
      <c r="B454" s="51" t="s">
        <v>36</v>
      </c>
      <c r="C454" s="51" t="s">
        <v>438</v>
      </c>
      <c r="D454" s="51" t="s">
        <v>319</v>
      </c>
      <c r="E454" s="51" t="s">
        <v>272</v>
      </c>
      <c r="F454" s="51" t="s">
        <v>969</v>
      </c>
      <c r="G454" s="147">
        <v>2</v>
      </c>
      <c r="H454" s="822"/>
      <c r="I454" s="822"/>
      <c r="J454" s="822"/>
      <c r="K454" s="822"/>
      <c r="L454" s="822"/>
      <c r="M454" s="822"/>
      <c r="N454" s="822"/>
      <c r="O454" s="822"/>
      <c r="P454" s="822"/>
      <c r="Q454" s="822"/>
      <c r="R454" s="822"/>
      <c r="S454" s="822"/>
      <c r="T454" s="822"/>
      <c r="U454" s="822"/>
      <c r="V454" s="822"/>
      <c r="W454" s="822"/>
      <c r="X454" s="822"/>
      <c r="Y454" s="54">
        <v>1500</v>
      </c>
      <c r="Z454" s="822"/>
      <c r="AA454" s="822"/>
      <c r="AB454" s="822"/>
      <c r="AC454" s="822"/>
      <c r="AD454" s="822"/>
      <c r="AE454" s="54">
        <v>0</v>
      </c>
      <c r="AF454" s="822"/>
      <c r="AG454" s="54">
        <v>1500</v>
      </c>
      <c r="AH454" s="54">
        <v>0</v>
      </c>
    </row>
    <row r="455" spans="1:34" ht="15.75" thickBot="1" x14ac:dyDescent="0.3">
      <c r="A455" s="51" t="s">
        <v>1022</v>
      </c>
      <c r="B455" s="51" t="s">
        <v>36</v>
      </c>
      <c r="C455" s="51" t="s">
        <v>438</v>
      </c>
      <c r="D455" s="51" t="s">
        <v>319</v>
      </c>
      <c r="E455" s="51" t="s">
        <v>265</v>
      </c>
      <c r="F455" s="51" t="s">
        <v>266</v>
      </c>
      <c r="G455" s="147">
        <v>2</v>
      </c>
      <c r="H455" s="54">
        <v>368584</v>
      </c>
      <c r="I455" s="822"/>
      <c r="J455" s="822"/>
      <c r="K455" s="822"/>
      <c r="L455" s="822"/>
      <c r="M455" s="822"/>
      <c r="N455" s="822"/>
      <c r="O455" s="822"/>
      <c r="P455" s="822"/>
      <c r="Q455" s="822"/>
      <c r="R455" s="822"/>
      <c r="S455" s="822"/>
      <c r="T455" s="822"/>
      <c r="U455" s="822"/>
      <c r="V455" s="822"/>
      <c r="W455" s="822"/>
      <c r="X455" s="822"/>
      <c r="Y455" s="54">
        <v>1400.62</v>
      </c>
      <c r="Z455" s="822"/>
      <c r="AA455" s="822"/>
      <c r="AB455" s="822"/>
      <c r="AC455" s="822"/>
      <c r="AD455" s="822"/>
      <c r="AE455" s="54">
        <v>0</v>
      </c>
      <c r="AF455" s="822"/>
      <c r="AG455" s="54">
        <v>1400.62</v>
      </c>
      <c r="AH455" s="54">
        <v>0</v>
      </c>
    </row>
    <row r="456" spans="1:34" ht="15.75" thickBot="1" x14ac:dyDescent="0.3">
      <c r="A456" s="51" t="s">
        <v>1022</v>
      </c>
      <c r="B456" s="51" t="s">
        <v>36</v>
      </c>
      <c r="C456" s="51" t="s">
        <v>438</v>
      </c>
      <c r="D456" s="51" t="s">
        <v>319</v>
      </c>
      <c r="E456" s="51" t="s">
        <v>621</v>
      </c>
      <c r="F456" s="51" t="s">
        <v>970</v>
      </c>
      <c r="G456" s="147">
        <v>2</v>
      </c>
      <c r="H456" s="822"/>
      <c r="I456" s="822"/>
      <c r="J456" s="822"/>
      <c r="K456" s="822"/>
      <c r="L456" s="822"/>
      <c r="M456" s="822"/>
      <c r="N456" s="822"/>
      <c r="O456" s="822"/>
      <c r="P456" s="822"/>
      <c r="Q456" s="822"/>
      <c r="R456" s="822"/>
      <c r="S456" s="822"/>
      <c r="T456" s="822"/>
      <c r="U456" s="822"/>
      <c r="V456" s="822"/>
      <c r="W456" s="822"/>
      <c r="X456" s="822"/>
      <c r="Y456" s="822"/>
      <c r="Z456" s="822"/>
      <c r="AA456" s="822"/>
      <c r="AB456" s="822"/>
      <c r="AC456" s="822"/>
      <c r="AD456" s="822"/>
      <c r="AE456" s="54">
        <v>0</v>
      </c>
      <c r="AF456" s="822"/>
      <c r="AG456" s="54">
        <v>361.22</v>
      </c>
      <c r="AH456" s="149">
        <v>361.22</v>
      </c>
    </row>
    <row r="457" spans="1:34" ht="15.75" thickBot="1" x14ac:dyDescent="0.3">
      <c r="A457" s="51" t="s">
        <v>1022</v>
      </c>
      <c r="B457" s="51" t="s">
        <v>36</v>
      </c>
      <c r="C457" s="51" t="s">
        <v>438</v>
      </c>
      <c r="D457" s="51" t="s">
        <v>319</v>
      </c>
      <c r="E457" s="51" t="s">
        <v>325</v>
      </c>
      <c r="F457" s="51" t="s">
        <v>974</v>
      </c>
      <c r="G457" s="147">
        <v>1</v>
      </c>
      <c r="H457" s="822"/>
      <c r="I457" s="822"/>
      <c r="J457" s="822"/>
      <c r="K457" s="822"/>
      <c r="L457" s="822"/>
      <c r="M457" s="822"/>
      <c r="N457" s="822"/>
      <c r="O457" s="822"/>
      <c r="P457" s="822"/>
      <c r="Q457" s="822"/>
      <c r="R457" s="822"/>
      <c r="S457" s="822"/>
      <c r="T457" s="822"/>
      <c r="U457" s="822"/>
      <c r="V457" s="822"/>
      <c r="W457" s="54">
        <v>9.18</v>
      </c>
      <c r="X457" s="822"/>
      <c r="Y457" s="822"/>
      <c r="Z457" s="822"/>
      <c r="AA457" s="822"/>
      <c r="AB457" s="822"/>
      <c r="AC457" s="822"/>
      <c r="AD457" s="822"/>
      <c r="AE457" s="54">
        <v>0</v>
      </c>
      <c r="AF457" s="822"/>
      <c r="AG457" s="54">
        <v>9.18</v>
      </c>
      <c r="AH457" s="54">
        <v>0</v>
      </c>
    </row>
    <row r="458" spans="1:34" ht="15.75" thickBot="1" x14ac:dyDescent="0.3">
      <c r="A458" s="51" t="s">
        <v>1022</v>
      </c>
      <c r="B458" s="51" t="s">
        <v>36</v>
      </c>
      <c r="C458" s="51" t="s">
        <v>438</v>
      </c>
      <c r="D458" s="51" t="s">
        <v>319</v>
      </c>
      <c r="E458" s="51" t="s">
        <v>268</v>
      </c>
      <c r="F458" s="51" t="s">
        <v>971</v>
      </c>
      <c r="G458" s="147">
        <v>2</v>
      </c>
      <c r="H458" s="822"/>
      <c r="I458" s="822"/>
      <c r="J458" s="822"/>
      <c r="K458" s="822"/>
      <c r="L458" s="822"/>
      <c r="M458" s="822"/>
      <c r="N458" s="822"/>
      <c r="O458" s="822"/>
      <c r="P458" s="822"/>
      <c r="Q458" s="822"/>
      <c r="R458" s="822"/>
      <c r="S458" s="822"/>
      <c r="T458" s="822"/>
      <c r="U458" s="822"/>
      <c r="V458" s="822"/>
      <c r="W458" s="822"/>
      <c r="X458" s="822"/>
      <c r="Y458" s="822"/>
      <c r="Z458" s="822"/>
      <c r="AA458" s="822"/>
      <c r="AB458" s="822"/>
      <c r="AC458" s="54">
        <v>1100</v>
      </c>
      <c r="AD458" s="822"/>
      <c r="AE458" s="54">
        <v>0</v>
      </c>
      <c r="AF458" s="822"/>
      <c r="AG458" s="54">
        <v>1100</v>
      </c>
      <c r="AH458" s="54">
        <v>0</v>
      </c>
    </row>
    <row r="459" spans="1:34" ht="15.75" thickBot="1" x14ac:dyDescent="0.3">
      <c r="A459" s="51" t="s">
        <v>1022</v>
      </c>
      <c r="B459" s="51" t="s">
        <v>36</v>
      </c>
      <c r="C459" s="51" t="s">
        <v>438</v>
      </c>
      <c r="D459" s="51" t="s">
        <v>319</v>
      </c>
      <c r="E459" s="51" t="s">
        <v>914</v>
      </c>
      <c r="F459" s="51" t="s">
        <v>266</v>
      </c>
      <c r="G459" s="147">
        <v>2</v>
      </c>
      <c r="H459" s="822"/>
      <c r="I459" s="822"/>
      <c r="J459" s="822"/>
      <c r="K459" s="822"/>
      <c r="L459" s="822"/>
      <c r="M459" s="822"/>
      <c r="N459" s="822"/>
      <c r="O459" s="822"/>
      <c r="P459" s="822"/>
      <c r="Q459" s="822"/>
      <c r="R459" s="822"/>
      <c r="S459" s="822"/>
      <c r="T459" s="822"/>
      <c r="U459" s="822"/>
      <c r="V459" s="822"/>
      <c r="W459" s="822"/>
      <c r="X459" s="822"/>
      <c r="Y459" s="54">
        <v>18788.36</v>
      </c>
      <c r="Z459" s="822"/>
      <c r="AA459" s="822"/>
      <c r="AB459" s="822"/>
      <c r="AC459" s="822"/>
      <c r="AD459" s="822"/>
      <c r="AE459" s="54">
        <v>0</v>
      </c>
      <c r="AF459" s="822"/>
      <c r="AG459" s="54">
        <v>18788.36</v>
      </c>
      <c r="AH459" s="54">
        <v>0</v>
      </c>
    </row>
    <row r="460" spans="1:34" ht="15.75" thickBot="1" x14ac:dyDescent="0.3">
      <c r="A460" s="51" t="s">
        <v>1022</v>
      </c>
      <c r="B460" s="51" t="s">
        <v>447</v>
      </c>
      <c r="C460" s="51" t="s">
        <v>494</v>
      </c>
      <c r="D460" s="51" t="s">
        <v>320</v>
      </c>
      <c r="E460" s="51" t="s">
        <v>109</v>
      </c>
      <c r="F460" s="51" t="s">
        <v>968</v>
      </c>
      <c r="G460" s="147">
        <v>15</v>
      </c>
      <c r="H460" s="822"/>
      <c r="I460" s="822"/>
      <c r="J460" s="822"/>
      <c r="K460" s="822"/>
      <c r="L460" s="822"/>
      <c r="M460" s="822"/>
      <c r="N460" s="822"/>
      <c r="O460" s="822"/>
      <c r="P460" s="822"/>
      <c r="Q460" s="822"/>
      <c r="R460" s="822"/>
      <c r="S460" s="822"/>
      <c r="T460" s="822"/>
      <c r="U460" s="822"/>
      <c r="V460" s="822"/>
      <c r="W460" s="822"/>
      <c r="X460" s="822"/>
      <c r="Y460" s="54">
        <v>334.41</v>
      </c>
      <c r="Z460" s="822"/>
      <c r="AA460" s="822"/>
      <c r="AB460" s="822"/>
      <c r="AC460" s="822"/>
      <c r="AD460" s="822"/>
      <c r="AE460" s="54">
        <v>13.88</v>
      </c>
      <c r="AF460" s="822"/>
      <c r="AG460" s="54">
        <v>348.29</v>
      </c>
      <c r="AH460" s="54">
        <v>0</v>
      </c>
    </row>
    <row r="461" spans="1:34" ht="15.75" thickBot="1" x14ac:dyDescent="0.3">
      <c r="A461" s="51" t="s">
        <v>1022</v>
      </c>
      <c r="B461" s="51" t="s">
        <v>447</v>
      </c>
      <c r="C461" s="51" t="s">
        <v>494</v>
      </c>
      <c r="D461" s="51" t="s">
        <v>320</v>
      </c>
      <c r="E461" s="51" t="s">
        <v>109</v>
      </c>
      <c r="F461" s="51" t="s">
        <v>968</v>
      </c>
      <c r="G461" s="148">
        <v>1</v>
      </c>
      <c r="H461" s="823"/>
      <c r="I461" s="823"/>
      <c r="J461" s="823"/>
      <c r="K461" s="823"/>
      <c r="L461" s="823"/>
      <c r="M461" s="823"/>
      <c r="N461" s="823"/>
      <c r="O461" s="823"/>
      <c r="P461" s="823"/>
      <c r="Q461" s="823"/>
      <c r="R461" s="823"/>
      <c r="S461" s="823"/>
      <c r="T461" s="823"/>
      <c r="U461" s="823"/>
      <c r="V461" s="823"/>
      <c r="W461" s="823"/>
      <c r="X461" s="823"/>
      <c r="Y461" s="56">
        <v>2.92</v>
      </c>
      <c r="Z461" s="823"/>
      <c r="AA461" s="823"/>
      <c r="AB461" s="823"/>
      <c r="AC461" s="823"/>
      <c r="AD461" s="823"/>
      <c r="AE461" s="56">
        <v>0</v>
      </c>
      <c r="AF461" s="823"/>
      <c r="AG461" s="56">
        <v>2.92</v>
      </c>
      <c r="AH461" s="56">
        <v>0</v>
      </c>
    </row>
    <row r="462" spans="1:34" ht="15.75" thickBot="1" x14ac:dyDescent="0.3">
      <c r="A462" s="51" t="s">
        <v>1022</v>
      </c>
      <c r="B462" s="51" t="s">
        <v>447</v>
      </c>
      <c r="C462" s="51" t="s">
        <v>494</v>
      </c>
      <c r="D462" s="51" t="s">
        <v>320</v>
      </c>
      <c r="E462" s="51" t="s">
        <v>356</v>
      </c>
      <c r="F462" s="51" t="s">
        <v>337</v>
      </c>
      <c r="G462" s="148">
        <v>4</v>
      </c>
      <c r="H462" s="823"/>
      <c r="I462" s="823"/>
      <c r="J462" s="823"/>
      <c r="K462" s="823"/>
      <c r="L462" s="823"/>
      <c r="M462" s="56">
        <v>442.92</v>
      </c>
      <c r="N462" s="823"/>
      <c r="O462" s="823"/>
      <c r="P462" s="823"/>
      <c r="Q462" s="823"/>
      <c r="R462" s="823"/>
      <c r="S462" s="823"/>
      <c r="T462" s="823"/>
      <c r="U462" s="823"/>
      <c r="V462" s="823"/>
      <c r="W462" s="823"/>
      <c r="X462" s="823"/>
      <c r="Y462" s="823"/>
      <c r="Z462" s="823"/>
      <c r="AA462" s="823"/>
      <c r="AB462" s="823"/>
      <c r="AC462" s="823"/>
      <c r="AD462" s="823"/>
      <c r="AE462" s="56">
        <v>10.33</v>
      </c>
      <c r="AF462" s="823"/>
      <c r="AG462" s="56">
        <v>453.25</v>
      </c>
      <c r="AH462" s="56">
        <v>0</v>
      </c>
    </row>
    <row r="463" spans="1:34" ht="15.75" thickBot="1" x14ac:dyDescent="0.3">
      <c r="A463" s="51" t="s">
        <v>1022</v>
      </c>
      <c r="B463" s="51" t="s">
        <v>447</v>
      </c>
      <c r="C463" s="51" t="s">
        <v>494</v>
      </c>
      <c r="D463" s="51" t="s">
        <v>320</v>
      </c>
      <c r="E463" s="51" t="s">
        <v>272</v>
      </c>
      <c r="F463" s="51" t="s">
        <v>969</v>
      </c>
      <c r="G463" s="148">
        <v>15</v>
      </c>
      <c r="H463" s="823"/>
      <c r="I463" s="823"/>
      <c r="J463" s="823"/>
      <c r="K463" s="823"/>
      <c r="L463" s="823"/>
      <c r="M463" s="823"/>
      <c r="N463" s="823"/>
      <c r="O463" s="823"/>
      <c r="P463" s="823"/>
      <c r="Q463" s="823"/>
      <c r="R463" s="823"/>
      <c r="S463" s="823"/>
      <c r="T463" s="823"/>
      <c r="U463" s="823"/>
      <c r="V463" s="823"/>
      <c r="W463" s="823"/>
      <c r="X463" s="823"/>
      <c r="Y463" s="56">
        <v>10600</v>
      </c>
      <c r="Z463" s="823"/>
      <c r="AA463" s="823"/>
      <c r="AB463" s="823"/>
      <c r="AC463" s="823"/>
      <c r="AD463" s="823"/>
      <c r="AE463" s="56">
        <v>499.05</v>
      </c>
      <c r="AF463" s="823"/>
      <c r="AG463" s="56">
        <v>11099.05</v>
      </c>
      <c r="AH463" s="56">
        <v>0</v>
      </c>
    </row>
    <row r="464" spans="1:34" ht="15.75" thickBot="1" x14ac:dyDescent="0.3">
      <c r="A464" s="51" t="s">
        <v>1022</v>
      </c>
      <c r="B464" s="51" t="s">
        <v>447</v>
      </c>
      <c r="C464" s="51" t="s">
        <v>494</v>
      </c>
      <c r="D464" s="51" t="s">
        <v>320</v>
      </c>
      <c r="E464" s="51" t="s">
        <v>272</v>
      </c>
      <c r="F464" s="51" t="s">
        <v>969</v>
      </c>
      <c r="G464" s="147">
        <v>1</v>
      </c>
      <c r="H464" s="822"/>
      <c r="I464" s="822"/>
      <c r="J464" s="822"/>
      <c r="K464" s="822"/>
      <c r="L464" s="822"/>
      <c r="M464" s="822"/>
      <c r="N464" s="822"/>
      <c r="O464" s="822"/>
      <c r="P464" s="822"/>
      <c r="Q464" s="822"/>
      <c r="R464" s="822"/>
      <c r="S464" s="822"/>
      <c r="T464" s="822"/>
      <c r="U464" s="822"/>
      <c r="V464" s="822"/>
      <c r="W464" s="822"/>
      <c r="X464" s="822"/>
      <c r="Y464" s="54">
        <v>750</v>
      </c>
      <c r="Z464" s="822"/>
      <c r="AA464" s="822"/>
      <c r="AB464" s="822"/>
      <c r="AC464" s="822"/>
      <c r="AD464" s="822"/>
      <c r="AE464" s="54">
        <v>0</v>
      </c>
      <c r="AF464" s="822"/>
      <c r="AG464" s="54">
        <v>750</v>
      </c>
      <c r="AH464" s="54">
        <v>0</v>
      </c>
    </row>
    <row r="465" spans="1:34" ht="15.75" thickBot="1" x14ac:dyDescent="0.3">
      <c r="A465" s="51" t="s">
        <v>1022</v>
      </c>
      <c r="B465" s="51" t="s">
        <v>447</v>
      </c>
      <c r="C465" s="51" t="s">
        <v>494</v>
      </c>
      <c r="D465" s="51" t="s">
        <v>320</v>
      </c>
      <c r="E465" s="51" t="s">
        <v>265</v>
      </c>
      <c r="F465" s="51" t="s">
        <v>266</v>
      </c>
      <c r="G465" s="147">
        <v>15</v>
      </c>
      <c r="H465" s="54">
        <v>696724</v>
      </c>
      <c r="I465" s="822"/>
      <c r="J465" s="822"/>
      <c r="K465" s="822"/>
      <c r="L465" s="822"/>
      <c r="M465" s="822"/>
      <c r="N465" s="822"/>
      <c r="O465" s="822"/>
      <c r="P465" s="822"/>
      <c r="Q465" s="822"/>
      <c r="R465" s="822"/>
      <c r="S465" s="822"/>
      <c r="T465" s="822"/>
      <c r="U465" s="822"/>
      <c r="V465" s="822"/>
      <c r="W465" s="822"/>
      <c r="X465" s="822"/>
      <c r="Y465" s="54">
        <v>2647.56</v>
      </c>
      <c r="Z465" s="822"/>
      <c r="AA465" s="822"/>
      <c r="AB465" s="822"/>
      <c r="AC465" s="822"/>
      <c r="AD465" s="822"/>
      <c r="AE465" s="54">
        <v>109.86</v>
      </c>
      <c r="AF465" s="822"/>
      <c r="AG465" s="54">
        <v>2757.42</v>
      </c>
      <c r="AH465" s="54">
        <v>0</v>
      </c>
    </row>
    <row r="466" spans="1:34" ht="15.75" thickBot="1" x14ac:dyDescent="0.3">
      <c r="A466" s="51" t="s">
        <v>1022</v>
      </c>
      <c r="B466" s="51" t="s">
        <v>447</v>
      </c>
      <c r="C466" s="51" t="s">
        <v>494</v>
      </c>
      <c r="D466" s="51" t="s">
        <v>320</v>
      </c>
      <c r="E466" s="51" t="s">
        <v>265</v>
      </c>
      <c r="F466" s="51" t="s">
        <v>266</v>
      </c>
      <c r="G466" s="148">
        <v>1</v>
      </c>
      <c r="H466" s="56">
        <v>6093</v>
      </c>
      <c r="I466" s="823"/>
      <c r="J466" s="823"/>
      <c r="K466" s="823"/>
      <c r="L466" s="823"/>
      <c r="M466" s="823"/>
      <c r="N466" s="823"/>
      <c r="O466" s="823"/>
      <c r="P466" s="823"/>
      <c r="Q466" s="823"/>
      <c r="R466" s="823"/>
      <c r="S466" s="823"/>
      <c r="T466" s="823"/>
      <c r="U466" s="823"/>
      <c r="V466" s="823"/>
      <c r="W466" s="823"/>
      <c r="X466" s="823"/>
      <c r="Y466" s="56">
        <v>23.15</v>
      </c>
      <c r="Z466" s="823"/>
      <c r="AA466" s="823"/>
      <c r="AB466" s="823"/>
      <c r="AC466" s="823"/>
      <c r="AD466" s="823"/>
      <c r="AE466" s="56">
        <v>0</v>
      </c>
      <c r="AF466" s="823"/>
      <c r="AG466" s="56">
        <v>23.15</v>
      </c>
      <c r="AH466" s="56">
        <v>0</v>
      </c>
    </row>
    <row r="467" spans="1:34" ht="15.75" thickBot="1" x14ac:dyDescent="0.3">
      <c r="A467" s="51" t="s">
        <v>1022</v>
      </c>
      <c r="B467" s="51" t="s">
        <v>447</v>
      </c>
      <c r="C467" s="51" t="s">
        <v>494</v>
      </c>
      <c r="D467" s="51" t="s">
        <v>320</v>
      </c>
      <c r="E467" s="51" t="s">
        <v>621</v>
      </c>
      <c r="F467" s="51" t="s">
        <v>970</v>
      </c>
      <c r="G467" s="148">
        <v>15</v>
      </c>
      <c r="H467" s="823"/>
      <c r="I467" s="823"/>
      <c r="J467" s="823"/>
      <c r="K467" s="823"/>
      <c r="L467" s="823"/>
      <c r="M467" s="823"/>
      <c r="N467" s="823"/>
      <c r="O467" s="823"/>
      <c r="P467" s="823"/>
      <c r="Q467" s="823"/>
      <c r="R467" s="823"/>
      <c r="S467" s="823"/>
      <c r="T467" s="823"/>
      <c r="U467" s="823"/>
      <c r="V467" s="823"/>
      <c r="W467" s="823"/>
      <c r="X467" s="823"/>
      <c r="Y467" s="823"/>
      <c r="Z467" s="823"/>
      <c r="AA467" s="823"/>
      <c r="AB467" s="823"/>
      <c r="AC467" s="823"/>
      <c r="AD467" s="823"/>
      <c r="AE467" s="56">
        <v>28.33</v>
      </c>
      <c r="AF467" s="823"/>
      <c r="AG467" s="56">
        <v>711.12</v>
      </c>
      <c r="AH467" s="149">
        <v>682.79</v>
      </c>
    </row>
    <row r="468" spans="1:34" ht="15.75" thickBot="1" x14ac:dyDescent="0.3">
      <c r="A468" s="51" t="s">
        <v>1022</v>
      </c>
      <c r="B468" s="51" t="s">
        <v>447</v>
      </c>
      <c r="C468" s="51" t="s">
        <v>494</v>
      </c>
      <c r="D468" s="51" t="s">
        <v>320</v>
      </c>
      <c r="E468" s="51" t="s">
        <v>621</v>
      </c>
      <c r="F468" s="51" t="s">
        <v>970</v>
      </c>
      <c r="G468" s="147">
        <v>1</v>
      </c>
      <c r="H468" s="822"/>
      <c r="I468" s="822"/>
      <c r="J468" s="822"/>
      <c r="K468" s="822"/>
      <c r="L468" s="822"/>
      <c r="M468" s="822"/>
      <c r="N468" s="822"/>
      <c r="O468" s="822"/>
      <c r="P468" s="822"/>
      <c r="Q468" s="822"/>
      <c r="R468" s="822"/>
      <c r="S468" s="822"/>
      <c r="T468" s="822"/>
      <c r="U468" s="822"/>
      <c r="V468" s="822"/>
      <c r="W468" s="822"/>
      <c r="X468" s="822"/>
      <c r="Y468" s="822"/>
      <c r="Z468" s="822"/>
      <c r="AA468" s="822"/>
      <c r="AB468" s="822"/>
      <c r="AC468" s="822"/>
      <c r="AD468" s="822"/>
      <c r="AE468" s="54">
        <v>0</v>
      </c>
      <c r="AF468" s="822"/>
      <c r="AG468" s="54">
        <v>5.97</v>
      </c>
      <c r="AH468" s="149">
        <v>5.97</v>
      </c>
    </row>
    <row r="469" spans="1:34" ht="15.75" thickBot="1" x14ac:dyDescent="0.3">
      <c r="A469" s="51" t="s">
        <v>1022</v>
      </c>
      <c r="B469" s="51" t="s">
        <v>447</v>
      </c>
      <c r="C469" s="51" t="s">
        <v>494</v>
      </c>
      <c r="D469" s="51" t="s">
        <v>320</v>
      </c>
      <c r="E469" s="51" t="s">
        <v>325</v>
      </c>
      <c r="F469" s="51" t="s">
        <v>974</v>
      </c>
      <c r="G469" s="147">
        <v>11</v>
      </c>
      <c r="H469" s="822"/>
      <c r="I469" s="822"/>
      <c r="J469" s="822"/>
      <c r="K469" s="822"/>
      <c r="L469" s="822"/>
      <c r="M469" s="822"/>
      <c r="N469" s="822"/>
      <c r="O469" s="822"/>
      <c r="P469" s="822"/>
      <c r="Q469" s="822"/>
      <c r="R469" s="822"/>
      <c r="S469" s="822"/>
      <c r="T469" s="822"/>
      <c r="U469" s="822"/>
      <c r="V469" s="822"/>
      <c r="W469" s="54">
        <v>77.760000000000005</v>
      </c>
      <c r="X469" s="822"/>
      <c r="Y469" s="822"/>
      <c r="Z469" s="822"/>
      <c r="AA469" s="822"/>
      <c r="AB469" s="822"/>
      <c r="AC469" s="822"/>
      <c r="AD469" s="822"/>
      <c r="AE469" s="54">
        <v>3.64</v>
      </c>
      <c r="AF469" s="822"/>
      <c r="AG469" s="54">
        <v>81.400000000000006</v>
      </c>
      <c r="AH469" s="54">
        <v>0</v>
      </c>
    </row>
    <row r="470" spans="1:34" ht="15.75" thickBot="1" x14ac:dyDescent="0.3">
      <c r="A470" s="51" t="s">
        <v>1022</v>
      </c>
      <c r="B470" s="51" t="s">
        <v>447</v>
      </c>
      <c r="C470" s="51" t="s">
        <v>494</v>
      </c>
      <c r="D470" s="51" t="s">
        <v>320</v>
      </c>
      <c r="E470" s="51" t="s">
        <v>325</v>
      </c>
      <c r="F470" s="51" t="s">
        <v>974</v>
      </c>
      <c r="G470" s="148">
        <v>1</v>
      </c>
      <c r="H470" s="823"/>
      <c r="I470" s="823"/>
      <c r="J470" s="823"/>
      <c r="K470" s="823"/>
      <c r="L470" s="823"/>
      <c r="M470" s="823"/>
      <c r="N470" s="823"/>
      <c r="O470" s="823"/>
      <c r="P470" s="823"/>
      <c r="Q470" s="823"/>
      <c r="R470" s="823"/>
      <c r="S470" s="823"/>
      <c r="T470" s="823"/>
      <c r="U470" s="823"/>
      <c r="V470" s="823"/>
      <c r="W470" s="56">
        <v>30.57</v>
      </c>
      <c r="X470" s="823"/>
      <c r="Y470" s="823"/>
      <c r="Z470" s="823"/>
      <c r="AA470" s="823"/>
      <c r="AB470" s="823"/>
      <c r="AC470" s="823"/>
      <c r="AD470" s="823"/>
      <c r="AE470" s="56">
        <v>0</v>
      </c>
      <c r="AF470" s="823"/>
      <c r="AG470" s="56">
        <v>30.57</v>
      </c>
      <c r="AH470" s="56">
        <v>0</v>
      </c>
    </row>
    <row r="471" spans="1:34" ht="15.75" thickBot="1" x14ac:dyDescent="0.3">
      <c r="A471" s="51" t="s">
        <v>1022</v>
      </c>
      <c r="B471" s="51" t="s">
        <v>447</v>
      </c>
      <c r="C471" s="51" t="s">
        <v>494</v>
      </c>
      <c r="D471" s="51" t="s">
        <v>320</v>
      </c>
      <c r="E471" s="51" t="s">
        <v>268</v>
      </c>
      <c r="F471" s="51" t="s">
        <v>983</v>
      </c>
      <c r="G471" s="148">
        <v>1</v>
      </c>
      <c r="H471" s="823"/>
      <c r="I471" s="823"/>
      <c r="J471" s="823"/>
      <c r="K471" s="823"/>
      <c r="L471" s="823"/>
      <c r="M471" s="823"/>
      <c r="N471" s="823"/>
      <c r="O471" s="823"/>
      <c r="P471" s="823"/>
      <c r="Q471" s="823"/>
      <c r="R471" s="823"/>
      <c r="S471" s="823"/>
      <c r="T471" s="823"/>
      <c r="U471" s="823"/>
      <c r="V471" s="823"/>
      <c r="W471" s="823"/>
      <c r="X471" s="823"/>
      <c r="Y471" s="823"/>
      <c r="Z471" s="823"/>
      <c r="AA471" s="823"/>
      <c r="AB471" s="823"/>
      <c r="AC471" s="56">
        <v>550</v>
      </c>
      <c r="AD471" s="823"/>
      <c r="AE471" s="56">
        <v>0</v>
      </c>
      <c r="AF471" s="823"/>
      <c r="AG471" s="56">
        <v>550</v>
      </c>
      <c r="AH471" s="56">
        <v>0</v>
      </c>
    </row>
    <row r="472" spans="1:34" ht="15.75" thickBot="1" x14ac:dyDescent="0.3">
      <c r="A472" s="51" t="s">
        <v>1022</v>
      </c>
      <c r="B472" s="51" t="s">
        <v>447</v>
      </c>
      <c r="C472" s="51" t="s">
        <v>494</v>
      </c>
      <c r="D472" s="51" t="s">
        <v>320</v>
      </c>
      <c r="E472" s="51" t="s">
        <v>268</v>
      </c>
      <c r="F472" s="51" t="s">
        <v>971</v>
      </c>
      <c r="G472" s="147">
        <v>15</v>
      </c>
      <c r="H472" s="822"/>
      <c r="I472" s="822"/>
      <c r="J472" s="822"/>
      <c r="K472" s="822"/>
      <c r="L472" s="822"/>
      <c r="M472" s="822"/>
      <c r="N472" s="822"/>
      <c r="O472" s="822"/>
      <c r="P472" s="822"/>
      <c r="Q472" s="822"/>
      <c r="R472" s="822"/>
      <c r="S472" s="822"/>
      <c r="T472" s="822"/>
      <c r="U472" s="822"/>
      <c r="V472" s="822"/>
      <c r="W472" s="822"/>
      <c r="X472" s="822"/>
      <c r="Y472" s="822"/>
      <c r="Z472" s="822"/>
      <c r="AA472" s="822"/>
      <c r="AB472" s="822"/>
      <c r="AC472" s="54">
        <v>7773.33</v>
      </c>
      <c r="AD472" s="822"/>
      <c r="AE472" s="54">
        <v>365.97</v>
      </c>
      <c r="AF472" s="822"/>
      <c r="AG472" s="54">
        <v>8139.3</v>
      </c>
      <c r="AH472" s="54">
        <v>0</v>
      </c>
    </row>
    <row r="473" spans="1:34" ht="15.75" thickBot="1" x14ac:dyDescent="0.3">
      <c r="A473" s="51" t="s">
        <v>1022</v>
      </c>
      <c r="B473" s="51" t="s">
        <v>447</v>
      </c>
      <c r="C473" s="51" t="s">
        <v>494</v>
      </c>
      <c r="D473" s="51" t="s">
        <v>320</v>
      </c>
      <c r="E473" s="51" t="s">
        <v>914</v>
      </c>
      <c r="F473" s="51" t="s">
        <v>266</v>
      </c>
      <c r="G473" s="147">
        <v>15</v>
      </c>
      <c r="H473" s="822"/>
      <c r="I473" s="822"/>
      <c r="J473" s="822"/>
      <c r="K473" s="822"/>
      <c r="L473" s="822"/>
      <c r="M473" s="822"/>
      <c r="N473" s="822"/>
      <c r="O473" s="822"/>
      <c r="P473" s="822"/>
      <c r="Q473" s="822"/>
      <c r="R473" s="822"/>
      <c r="S473" s="822"/>
      <c r="T473" s="822"/>
      <c r="U473" s="822"/>
      <c r="V473" s="822"/>
      <c r="W473" s="822"/>
      <c r="X473" s="822"/>
      <c r="Y473" s="54">
        <v>25265.16</v>
      </c>
      <c r="Z473" s="822"/>
      <c r="AA473" s="822"/>
      <c r="AB473" s="822"/>
      <c r="AC473" s="822"/>
      <c r="AD473" s="822"/>
      <c r="AE473" s="54">
        <v>1096.1600000000001</v>
      </c>
      <c r="AF473" s="822"/>
      <c r="AG473" s="54">
        <v>26361.32</v>
      </c>
      <c r="AH473" s="54">
        <v>0</v>
      </c>
    </row>
    <row r="474" spans="1:34" ht="15.75" thickBot="1" x14ac:dyDescent="0.3">
      <c r="A474" s="51" t="s">
        <v>1022</v>
      </c>
      <c r="B474" s="51" t="s">
        <v>447</v>
      </c>
      <c r="C474" s="51" t="s">
        <v>494</v>
      </c>
      <c r="D474" s="51" t="s">
        <v>320</v>
      </c>
      <c r="E474" s="51" t="s">
        <v>914</v>
      </c>
      <c r="F474" s="51" t="s">
        <v>266</v>
      </c>
      <c r="G474" s="148">
        <v>1</v>
      </c>
      <c r="H474" s="823"/>
      <c r="I474" s="823"/>
      <c r="J474" s="823"/>
      <c r="K474" s="823"/>
      <c r="L474" s="823"/>
      <c r="M474" s="823"/>
      <c r="N474" s="823"/>
      <c r="O474" s="823"/>
      <c r="P474" s="823"/>
      <c r="Q474" s="823"/>
      <c r="R474" s="823"/>
      <c r="S474" s="823"/>
      <c r="T474" s="823"/>
      <c r="U474" s="823"/>
      <c r="V474" s="823"/>
      <c r="W474" s="823"/>
      <c r="X474" s="823"/>
      <c r="Y474" s="56">
        <v>1003.92</v>
      </c>
      <c r="Z474" s="823"/>
      <c r="AA474" s="823"/>
      <c r="AB474" s="823"/>
      <c r="AC474" s="823"/>
      <c r="AD474" s="823"/>
      <c r="AE474" s="56">
        <v>0</v>
      </c>
      <c r="AF474" s="823"/>
      <c r="AG474" s="56">
        <v>1003.92</v>
      </c>
      <c r="AH474" s="56">
        <v>0</v>
      </c>
    </row>
    <row r="475" spans="1:34" ht="15.75" thickBot="1" x14ac:dyDescent="0.3">
      <c r="A475" s="51" t="s">
        <v>1022</v>
      </c>
      <c r="B475" s="51" t="s">
        <v>38</v>
      </c>
      <c r="C475" s="51" t="s">
        <v>39</v>
      </c>
      <c r="D475" s="51" t="s">
        <v>320</v>
      </c>
      <c r="E475" s="51" t="s">
        <v>269</v>
      </c>
      <c r="F475" s="51" t="s">
        <v>1023</v>
      </c>
      <c r="G475" s="147">
        <v>1</v>
      </c>
      <c r="H475" s="822"/>
      <c r="I475" s="822"/>
      <c r="J475" s="822"/>
      <c r="K475" s="822"/>
      <c r="L475" s="822"/>
      <c r="M475" s="822"/>
      <c r="N475" s="822"/>
      <c r="O475" s="822"/>
      <c r="P475" s="822"/>
      <c r="Q475" s="822"/>
      <c r="R475" s="822"/>
      <c r="S475" s="822"/>
      <c r="T475" s="822"/>
      <c r="U475" s="822"/>
      <c r="V475" s="822"/>
      <c r="W475" s="822"/>
      <c r="X475" s="822"/>
      <c r="Y475" s="822"/>
      <c r="Z475" s="54">
        <v>-6423.95</v>
      </c>
      <c r="AA475" s="822"/>
      <c r="AB475" s="822"/>
      <c r="AC475" s="822"/>
      <c r="AD475" s="822"/>
      <c r="AE475" s="54">
        <v>0</v>
      </c>
      <c r="AF475" s="822"/>
      <c r="AG475" s="54">
        <v>-6423.95</v>
      </c>
      <c r="AH475" s="54">
        <v>0</v>
      </c>
    </row>
    <row r="476" spans="1:34" ht="15.75" thickBot="1" x14ac:dyDescent="0.3">
      <c r="A476" s="51" t="s">
        <v>1022</v>
      </c>
      <c r="B476" s="51" t="s">
        <v>38</v>
      </c>
      <c r="C476" s="51" t="s">
        <v>39</v>
      </c>
      <c r="D476" s="51" t="s">
        <v>320</v>
      </c>
      <c r="E476" s="51" t="s">
        <v>269</v>
      </c>
      <c r="F476" s="51" t="s">
        <v>1024</v>
      </c>
      <c r="G476" s="148">
        <v>2</v>
      </c>
      <c r="H476" s="823"/>
      <c r="I476" s="823"/>
      <c r="J476" s="823"/>
      <c r="K476" s="823"/>
      <c r="L476" s="823"/>
      <c r="M476" s="823"/>
      <c r="N476" s="823"/>
      <c r="O476" s="823"/>
      <c r="P476" s="823"/>
      <c r="Q476" s="823"/>
      <c r="R476" s="823"/>
      <c r="S476" s="823"/>
      <c r="T476" s="823"/>
      <c r="U476" s="823"/>
      <c r="V476" s="823"/>
      <c r="W476" s="823"/>
      <c r="X476" s="823"/>
      <c r="Y476" s="823"/>
      <c r="Z476" s="823"/>
      <c r="AA476" s="56">
        <v>1827.67</v>
      </c>
      <c r="AB476" s="823"/>
      <c r="AC476" s="823"/>
      <c r="AD476" s="823"/>
      <c r="AE476" s="56">
        <v>0</v>
      </c>
      <c r="AF476" s="823"/>
      <c r="AG476" s="56">
        <v>1827.67</v>
      </c>
      <c r="AH476" s="56">
        <v>0</v>
      </c>
    </row>
    <row r="477" spans="1:34" ht="15.75" thickBot="1" x14ac:dyDescent="0.3">
      <c r="A477" s="51" t="s">
        <v>1022</v>
      </c>
      <c r="B477" s="51" t="s">
        <v>38</v>
      </c>
      <c r="C477" s="51" t="s">
        <v>39</v>
      </c>
      <c r="D477" s="51" t="s">
        <v>320</v>
      </c>
      <c r="E477" s="51" t="s">
        <v>271</v>
      </c>
      <c r="F477" s="51" t="s">
        <v>980</v>
      </c>
      <c r="G477" s="148">
        <v>1</v>
      </c>
      <c r="H477" s="823"/>
      <c r="I477" s="823"/>
      <c r="J477" s="823"/>
      <c r="K477" s="823"/>
      <c r="L477" s="823"/>
      <c r="M477" s="823"/>
      <c r="N477" s="823"/>
      <c r="O477" s="823"/>
      <c r="P477" s="823"/>
      <c r="Q477" s="823"/>
      <c r="R477" s="823"/>
      <c r="S477" s="823"/>
      <c r="T477" s="823"/>
      <c r="U477" s="823"/>
      <c r="V477" s="823"/>
      <c r="W477" s="823"/>
      <c r="X477" s="823"/>
      <c r="Y477" s="823"/>
      <c r="Z477" s="823"/>
      <c r="AA477" s="56">
        <v>246.59</v>
      </c>
      <c r="AB477" s="823"/>
      <c r="AC477" s="823"/>
      <c r="AD477" s="823"/>
      <c r="AE477" s="56">
        <v>0</v>
      </c>
      <c r="AF477" s="823"/>
      <c r="AG477" s="56">
        <v>246.59</v>
      </c>
      <c r="AH477" s="56">
        <v>0</v>
      </c>
    </row>
    <row r="478" spans="1:34" ht="15.75" thickBot="1" x14ac:dyDescent="0.3">
      <c r="A478" s="51" t="s">
        <v>1022</v>
      </c>
      <c r="B478" s="51" t="s">
        <v>38</v>
      </c>
      <c r="C478" s="51" t="s">
        <v>39</v>
      </c>
      <c r="D478" s="51" t="s">
        <v>320</v>
      </c>
      <c r="E478" s="51" t="s">
        <v>271</v>
      </c>
      <c r="F478" s="51" t="s">
        <v>985</v>
      </c>
      <c r="G478" s="147">
        <v>2</v>
      </c>
      <c r="H478" s="822"/>
      <c r="I478" s="822"/>
      <c r="J478" s="822"/>
      <c r="K478" s="822"/>
      <c r="L478" s="822"/>
      <c r="M478" s="822"/>
      <c r="N478" s="822"/>
      <c r="O478" s="822"/>
      <c r="P478" s="822"/>
      <c r="Q478" s="822"/>
      <c r="R478" s="822"/>
      <c r="S478" s="822"/>
      <c r="T478" s="822"/>
      <c r="U478" s="822"/>
      <c r="V478" s="822"/>
      <c r="W478" s="822"/>
      <c r="X478" s="822"/>
      <c r="Y478" s="822"/>
      <c r="Z478" s="54">
        <v>567.33000000000004</v>
      </c>
      <c r="AA478" s="822"/>
      <c r="AB478" s="822"/>
      <c r="AC478" s="822"/>
      <c r="AD478" s="822"/>
      <c r="AE478" s="54">
        <v>0</v>
      </c>
      <c r="AF478" s="822"/>
      <c r="AG478" s="54">
        <v>567.33000000000004</v>
      </c>
      <c r="AH478" s="54">
        <v>0</v>
      </c>
    </row>
    <row r="479" spans="1:34" ht="15.75" thickBot="1" x14ac:dyDescent="0.3">
      <c r="A479" s="51" t="s">
        <v>1022</v>
      </c>
      <c r="B479" s="51" t="s">
        <v>38</v>
      </c>
      <c r="C479" s="51" t="s">
        <v>39</v>
      </c>
      <c r="D479" s="51" t="s">
        <v>320</v>
      </c>
      <c r="E479" s="51" t="s">
        <v>268</v>
      </c>
      <c r="F479" s="51" t="s">
        <v>971</v>
      </c>
      <c r="G479" s="147">
        <v>3</v>
      </c>
      <c r="H479" s="822"/>
      <c r="I479" s="822"/>
      <c r="J479" s="822"/>
      <c r="K479" s="822"/>
      <c r="L479" s="822"/>
      <c r="M479" s="822"/>
      <c r="N479" s="822"/>
      <c r="O479" s="822"/>
      <c r="P479" s="822"/>
      <c r="Q479" s="822"/>
      <c r="R479" s="822"/>
      <c r="S479" s="822"/>
      <c r="T479" s="822"/>
      <c r="U479" s="822"/>
      <c r="V479" s="822"/>
      <c r="W479" s="822"/>
      <c r="X479" s="822"/>
      <c r="Y479" s="822"/>
      <c r="Z479" s="822"/>
      <c r="AA479" s="822"/>
      <c r="AB479" s="822"/>
      <c r="AC479" s="54">
        <v>5325</v>
      </c>
      <c r="AD479" s="822"/>
      <c r="AE479" s="54">
        <v>0</v>
      </c>
      <c r="AF479" s="822"/>
      <c r="AG479" s="54">
        <v>5325</v>
      </c>
      <c r="AH479" s="54">
        <v>0</v>
      </c>
    </row>
    <row r="480" spans="1:34" ht="15.75" thickBot="1" x14ac:dyDescent="0.3">
      <c r="A480" s="51" t="s">
        <v>1022</v>
      </c>
      <c r="B480" s="51" t="s">
        <v>38</v>
      </c>
      <c r="C480" s="51" t="s">
        <v>39</v>
      </c>
      <c r="D480" s="51" t="s">
        <v>320</v>
      </c>
      <c r="E480" s="51" t="s">
        <v>329</v>
      </c>
      <c r="F480" s="51" t="s">
        <v>975</v>
      </c>
      <c r="G480" s="147">
        <v>3</v>
      </c>
      <c r="H480" s="822"/>
      <c r="I480" s="822"/>
      <c r="J480" s="822"/>
      <c r="K480" s="822"/>
      <c r="L480" s="822"/>
      <c r="M480" s="822"/>
      <c r="N480" s="822"/>
      <c r="O480" s="822"/>
      <c r="P480" s="822"/>
      <c r="Q480" s="822"/>
      <c r="R480" s="822"/>
      <c r="S480" s="822"/>
      <c r="T480" s="822"/>
      <c r="U480" s="822"/>
      <c r="V480" s="822"/>
      <c r="W480" s="822"/>
      <c r="X480" s="822"/>
      <c r="Y480" s="54">
        <v>4977.3500000000004</v>
      </c>
      <c r="Z480" s="822"/>
      <c r="AA480" s="822"/>
      <c r="AB480" s="822"/>
      <c r="AC480" s="822"/>
      <c r="AD480" s="54">
        <v>4977.3500000000004</v>
      </c>
      <c r="AE480" s="54">
        <v>0</v>
      </c>
      <c r="AF480" s="822"/>
      <c r="AG480" s="54">
        <v>4977.3500000000004</v>
      </c>
      <c r="AH480" s="149">
        <v>-4977.3500000000004</v>
      </c>
    </row>
    <row r="481" spans="1:34" ht="15.75" thickBot="1" x14ac:dyDescent="0.3">
      <c r="A481" s="51" t="s">
        <v>1022</v>
      </c>
      <c r="B481" s="51" t="s">
        <v>38</v>
      </c>
      <c r="C481" s="51" t="s">
        <v>39</v>
      </c>
      <c r="D481" s="51" t="s">
        <v>320</v>
      </c>
      <c r="E481" s="51" t="s">
        <v>330</v>
      </c>
      <c r="F481" s="51" t="s">
        <v>976</v>
      </c>
      <c r="G481" s="147">
        <v>3</v>
      </c>
      <c r="H481" s="822"/>
      <c r="I481" s="822"/>
      <c r="J481" s="822"/>
      <c r="K481" s="822"/>
      <c r="L481" s="822"/>
      <c r="M481" s="822"/>
      <c r="N481" s="822"/>
      <c r="O481" s="822"/>
      <c r="P481" s="822"/>
      <c r="Q481" s="822"/>
      <c r="R481" s="822"/>
      <c r="S481" s="822"/>
      <c r="T481" s="822"/>
      <c r="U481" s="822"/>
      <c r="V481" s="822"/>
      <c r="W481" s="822"/>
      <c r="X481" s="822"/>
      <c r="Y481" s="54">
        <v>11622.99</v>
      </c>
      <c r="Z481" s="822"/>
      <c r="AA481" s="822"/>
      <c r="AB481" s="822"/>
      <c r="AC481" s="822"/>
      <c r="AD481" s="822"/>
      <c r="AE481" s="54">
        <v>0</v>
      </c>
      <c r="AF481" s="822"/>
      <c r="AG481" s="54">
        <v>11622.99</v>
      </c>
      <c r="AH481" s="54">
        <v>0</v>
      </c>
    </row>
    <row r="482" spans="1:34" ht="15.75" thickBot="1" x14ac:dyDescent="0.3">
      <c r="A482" s="51" t="s">
        <v>1030</v>
      </c>
      <c r="B482" s="51" t="s">
        <v>1031</v>
      </c>
      <c r="C482" s="51" t="s">
        <v>1032</v>
      </c>
      <c r="D482" s="51" t="s">
        <v>319</v>
      </c>
      <c r="E482" s="51" t="s">
        <v>1033</v>
      </c>
      <c r="F482" s="51" t="s">
        <v>985</v>
      </c>
      <c r="G482" s="147">
        <v>1</v>
      </c>
      <c r="H482" s="822"/>
      <c r="I482" s="822"/>
      <c r="J482" s="822"/>
      <c r="K482" s="822"/>
      <c r="L482" s="822"/>
      <c r="M482" s="822"/>
      <c r="N482" s="822"/>
      <c r="O482" s="822"/>
      <c r="P482" s="822"/>
      <c r="Q482" s="822"/>
      <c r="R482" s="822"/>
      <c r="S482" s="822"/>
      <c r="T482" s="822"/>
      <c r="U482" s="822"/>
      <c r="V482" s="822"/>
      <c r="W482" s="822"/>
      <c r="X482" s="822"/>
      <c r="Y482" s="822"/>
      <c r="Z482" s="54">
        <v>12.1</v>
      </c>
      <c r="AA482" s="822"/>
      <c r="AB482" s="822"/>
      <c r="AC482" s="822"/>
      <c r="AD482" s="822"/>
      <c r="AE482" s="54">
        <v>0.36</v>
      </c>
      <c r="AF482" s="822"/>
      <c r="AG482" s="54">
        <v>12.46</v>
      </c>
      <c r="AH482" s="54">
        <v>0</v>
      </c>
    </row>
    <row r="483" spans="1:34" ht="15.75" thickBot="1" x14ac:dyDescent="0.3">
      <c r="A483" s="51" t="s">
        <v>1030</v>
      </c>
      <c r="B483" s="51" t="s">
        <v>1031</v>
      </c>
      <c r="C483" s="51" t="s">
        <v>1032</v>
      </c>
      <c r="D483" s="51" t="s">
        <v>319</v>
      </c>
      <c r="E483" s="51" t="s">
        <v>1034</v>
      </c>
      <c r="F483" s="51" t="s">
        <v>1061</v>
      </c>
      <c r="G483" s="147">
        <v>1</v>
      </c>
      <c r="H483" s="822"/>
      <c r="I483" s="822"/>
      <c r="J483" s="822"/>
      <c r="K483" s="822"/>
      <c r="L483" s="822"/>
      <c r="M483" s="822"/>
      <c r="N483" s="822"/>
      <c r="O483" s="822"/>
      <c r="P483" s="822"/>
      <c r="Q483" s="822"/>
      <c r="R483" s="822"/>
      <c r="S483" s="822"/>
      <c r="T483" s="822"/>
      <c r="U483" s="822"/>
      <c r="V483" s="822"/>
      <c r="W483" s="822"/>
      <c r="X483" s="822"/>
      <c r="Y483" s="822"/>
      <c r="Z483" s="822"/>
      <c r="AA483" s="822"/>
      <c r="AB483" s="822"/>
      <c r="AC483" s="822"/>
      <c r="AD483" s="822"/>
      <c r="AE483" s="54">
        <v>0</v>
      </c>
      <c r="AF483" s="822"/>
      <c r="AG483" s="54">
        <v>-101.18</v>
      </c>
      <c r="AH483" s="149">
        <v>-101.18</v>
      </c>
    </row>
    <row r="484" spans="1:34" ht="15.75" thickBot="1" x14ac:dyDescent="0.3">
      <c r="A484" s="51" t="s">
        <v>1030</v>
      </c>
      <c r="B484" s="51" t="s">
        <v>1031</v>
      </c>
      <c r="C484" s="51" t="s">
        <v>1032</v>
      </c>
      <c r="D484" s="51" t="s">
        <v>319</v>
      </c>
      <c r="E484" s="51" t="s">
        <v>272</v>
      </c>
      <c r="F484" s="51" t="s">
        <v>969</v>
      </c>
      <c r="G484" s="147">
        <v>1</v>
      </c>
      <c r="H484" s="822"/>
      <c r="I484" s="822"/>
      <c r="J484" s="822"/>
      <c r="K484" s="822"/>
      <c r="L484" s="822"/>
      <c r="M484" s="822"/>
      <c r="N484" s="822"/>
      <c r="O484" s="822"/>
      <c r="P484" s="822"/>
      <c r="Q484" s="822"/>
      <c r="R484" s="822"/>
      <c r="S484" s="822"/>
      <c r="T484" s="822"/>
      <c r="U484" s="822"/>
      <c r="V484" s="822"/>
      <c r="W484" s="822"/>
      <c r="X484" s="822"/>
      <c r="Y484" s="54">
        <v>750</v>
      </c>
      <c r="Z484" s="822"/>
      <c r="AA484" s="822"/>
      <c r="AB484" s="822"/>
      <c r="AC484" s="822"/>
      <c r="AD484" s="822"/>
      <c r="AE484" s="54">
        <v>22.5</v>
      </c>
      <c r="AF484" s="822"/>
      <c r="AG484" s="54">
        <v>772.5</v>
      </c>
      <c r="AH484" s="54">
        <v>0</v>
      </c>
    </row>
    <row r="485" spans="1:34" ht="15.75" thickBot="1" x14ac:dyDescent="0.3">
      <c r="A485" s="51" t="s">
        <v>1030</v>
      </c>
      <c r="B485" s="51" t="s">
        <v>1031</v>
      </c>
      <c r="C485" s="51" t="s">
        <v>1032</v>
      </c>
      <c r="D485" s="51" t="s">
        <v>319</v>
      </c>
      <c r="E485" s="51" t="s">
        <v>1035</v>
      </c>
      <c r="F485" s="51" t="s">
        <v>968</v>
      </c>
      <c r="G485" s="147">
        <v>1</v>
      </c>
      <c r="H485" s="822"/>
      <c r="I485" s="822"/>
      <c r="J485" s="822"/>
      <c r="K485" s="822"/>
      <c r="L485" s="822"/>
      <c r="M485" s="822"/>
      <c r="N485" s="822"/>
      <c r="O485" s="822"/>
      <c r="P485" s="822"/>
      <c r="Q485" s="822"/>
      <c r="R485" s="822"/>
      <c r="S485" s="822"/>
      <c r="T485" s="822"/>
      <c r="U485" s="822"/>
      <c r="V485" s="822"/>
      <c r="W485" s="822"/>
      <c r="X485" s="822"/>
      <c r="Y485" s="54">
        <v>25.27</v>
      </c>
      <c r="Z485" s="822"/>
      <c r="AA485" s="822"/>
      <c r="AB485" s="822"/>
      <c r="AC485" s="822"/>
      <c r="AD485" s="822"/>
      <c r="AE485" s="54">
        <v>0.76</v>
      </c>
      <c r="AF485" s="822"/>
      <c r="AG485" s="54">
        <v>26.03</v>
      </c>
      <c r="AH485" s="54">
        <v>0</v>
      </c>
    </row>
    <row r="486" spans="1:34" ht="15.75" thickBot="1" x14ac:dyDescent="0.3">
      <c r="A486" s="51" t="s">
        <v>1030</v>
      </c>
      <c r="B486" s="51" t="s">
        <v>1031</v>
      </c>
      <c r="C486" s="51" t="s">
        <v>1032</v>
      </c>
      <c r="D486" s="51" t="s">
        <v>319</v>
      </c>
      <c r="E486" s="51" t="s">
        <v>1036</v>
      </c>
      <c r="F486" s="51" t="s">
        <v>266</v>
      </c>
      <c r="G486" s="147">
        <v>1</v>
      </c>
      <c r="H486" s="822"/>
      <c r="I486" s="822"/>
      <c r="J486" s="822"/>
      <c r="K486" s="822"/>
      <c r="L486" s="822"/>
      <c r="M486" s="822"/>
      <c r="N486" s="822"/>
      <c r="O486" s="822"/>
      <c r="P486" s="822"/>
      <c r="Q486" s="822"/>
      <c r="R486" s="822"/>
      <c r="S486" s="822"/>
      <c r="T486" s="822"/>
      <c r="U486" s="822"/>
      <c r="V486" s="822"/>
      <c r="W486" s="822"/>
      <c r="X486" s="822"/>
      <c r="Y486" s="54">
        <v>200.05</v>
      </c>
      <c r="Z486" s="822"/>
      <c r="AA486" s="822"/>
      <c r="AB486" s="822"/>
      <c r="AC486" s="822"/>
      <c r="AD486" s="822"/>
      <c r="AE486" s="54">
        <v>6</v>
      </c>
      <c r="AF486" s="822"/>
      <c r="AG486" s="54">
        <v>206.05</v>
      </c>
      <c r="AH486" s="54">
        <v>0</v>
      </c>
    </row>
    <row r="487" spans="1:34" ht="15.75" thickBot="1" x14ac:dyDescent="0.3">
      <c r="A487" s="51" t="s">
        <v>1030</v>
      </c>
      <c r="B487" s="51" t="s">
        <v>1031</v>
      </c>
      <c r="C487" s="51" t="s">
        <v>1032</v>
      </c>
      <c r="D487" s="51" t="s">
        <v>319</v>
      </c>
      <c r="E487" s="51" t="s">
        <v>1037</v>
      </c>
      <c r="F487" s="51" t="s">
        <v>970</v>
      </c>
      <c r="G487" s="147">
        <v>1</v>
      </c>
      <c r="H487" s="822"/>
      <c r="I487" s="822"/>
      <c r="J487" s="822"/>
      <c r="K487" s="822"/>
      <c r="L487" s="822"/>
      <c r="M487" s="822"/>
      <c r="N487" s="822"/>
      <c r="O487" s="822"/>
      <c r="P487" s="822"/>
      <c r="Q487" s="822"/>
      <c r="R487" s="822"/>
      <c r="S487" s="822"/>
      <c r="T487" s="822"/>
      <c r="U487" s="822"/>
      <c r="V487" s="822"/>
      <c r="W487" s="822"/>
      <c r="X487" s="822"/>
      <c r="Y487" s="822"/>
      <c r="Z487" s="822"/>
      <c r="AA487" s="822"/>
      <c r="AB487" s="822"/>
      <c r="AC487" s="822"/>
      <c r="AD487" s="822"/>
      <c r="AE487" s="54">
        <v>1.55</v>
      </c>
      <c r="AF487" s="822"/>
      <c r="AG487" s="54">
        <v>53.14</v>
      </c>
      <c r="AH487" s="149">
        <v>51.59</v>
      </c>
    </row>
    <row r="488" spans="1:34" ht="15.75" thickBot="1" x14ac:dyDescent="0.3">
      <c r="A488" s="51" t="s">
        <v>1030</v>
      </c>
      <c r="B488" s="51" t="s">
        <v>1031</v>
      </c>
      <c r="C488" s="51" t="s">
        <v>1032</v>
      </c>
      <c r="D488" s="51" t="s">
        <v>319</v>
      </c>
      <c r="E488" s="51" t="s">
        <v>268</v>
      </c>
      <c r="F488" s="51" t="s">
        <v>971</v>
      </c>
      <c r="G488" s="147">
        <v>1</v>
      </c>
      <c r="H488" s="822"/>
      <c r="I488" s="822"/>
      <c r="J488" s="822"/>
      <c r="K488" s="822"/>
      <c r="L488" s="822"/>
      <c r="M488" s="822"/>
      <c r="N488" s="822"/>
      <c r="O488" s="822"/>
      <c r="P488" s="822"/>
      <c r="Q488" s="822"/>
      <c r="R488" s="822"/>
      <c r="S488" s="822"/>
      <c r="T488" s="822"/>
      <c r="U488" s="822"/>
      <c r="V488" s="822"/>
      <c r="W488" s="822"/>
      <c r="X488" s="822"/>
      <c r="Y488" s="822"/>
      <c r="Z488" s="822"/>
      <c r="AA488" s="822"/>
      <c r="AB488" s="822"/>
      <c r="AC488" s="54">
        <v>550</v>
      </c>
      <c r="AD488" s="822"/>
      <c r="AE488" s="54">
        <v>16.5</v>
      </c>
      <c r="AF488" s="822"/>
      <c r="AG488" s="54">
        <v>566.5</v>
      </c>
      <c r="AH488" s="54">
        <v>0</v>
      </c>
    </row>
    <row r="489" spans="1:34" ht="15.75" thickBot="1" x14ac:dyDescent="0.3">
      <c r="A489" s="51" t="s">
        <v>1030</v>
      </c>
      <c r="B489" s="51" t="s">
        <v>1031</v>
      </c>
      <c r="C489" s="51" t="s">
        <v>1032</v>
      </c>
      <c r="D489" s="51" t="s">
        <v>319</v>
      </c>
      <c r="E489" s="51" t="s">
        <v>914</v>
      </c>
      <c r="F489" s="51" t="s">
        <v>266</v>
      </c>
      <c r="G489" s="147">
        <v>1</v>
      </c>
      <c r="H489" s="822"/>
      <c r="I489" s="822"/>
      <c r="J489" s="822"/>
      <c r="K489" s="822"/>
      <c r="L489" s="822"/>
      <c r="M489" s="822"/>
      <c r="N489" s="822"/>
      <c r="O489" s="822"/>
      <c r="P489" s="822"/>
      <c r="Q489" s="822"/>
      <c r="R489" s="822"/>
      <c r="S489" s="822"/>
      <c r="T489" s="822"/>
      <c r="U489" s="822"/>
      <c r="V489" s="822"/>
      <c r="W489" s="822"/>
      <c r="X489" s="822"/>
      <c r="Y489" s="54">
        <v>2630.33</v>
      </c>
      <c r="Z489" s="822"/>
      <c r="AA489" s="822"/>
      <c r="AB489" s="822"/>
      <c r="AC489" s="822"/>
      <c r="AD489" s="822"/>
      <c r="AE489" s="54">
        <v>78.91</v>
      </c>
      <c r="AF489" s="822"/>
      <c r="AG489" s="54">
        <v>2709.24</v>
      </c>
      <c r="AH489" s="54">
        <v>0</v>
      </c>
    </row>
    <row r="490" spans="1:34" ht="15.75" thickBot="1" x14ac:dyDescent="0.3">
      <c r="A490" s="51" t="s">
        <v>1030</v>
      </c>
      <c r="B490" s="51" t="s">
        <v>1031</v>
      </c>
      <c r="C490" s="51" t="s">
        <v>1032</v>
      </c>
      <c r="D490" s="51" t="s">
        <v>319</v>
      </c>
      <c r="E490" s="51" t="s">
        <v>1038</v>
      </c>
      <c r="F490" s="51" t="s">
        <v>976</v>
      </c>
      <c r="G490" s="147">
        <v>1</v>
      </c>
      <c r="H490" s="822"/>
      <c r="I490" s="822"/>
      <c r="J490" s="822"/>
      <c r="K490" s="822"/>
      <c r="L490" s="822"/>
      <c r="M490" s="822"/>
      <c r="N490" s="822"/>
      <c r="O490" s="822"/>
      <c r="P490" s="822"/>
      <c r="Q490" s="822"/>
      <c r="R490" s="822"/>
      <c r="S490" s="822"/>
      <c r="T490" s="822"/>
      <c r="U490" s="822"/>
      <c r="V490" s="822"/>
      <c r="W490" s="822"/>
      <c r="X490" s="822"/>
      <c r="Y490" s="822"/>
      <c r="Z490" s="822"/>
      <c r="AA490" s="822"/>
      <c r="AB490" s="822"/>
      <c r="AC490" s="822"/>
      <c r="AD490" s="822"/>
      <c r="AE490" s="54">
        <v>1.04</v>
      </c>
      <c r="AF490" s="822"/>
      <c r="AG490" s="54">
        <v>35.76</v>
      </c>
      <c r="AH490" s="149">
        <v>34.72</v>
      </c>
    </row>
    <row r="491" spans="1:34" ht="15.75" thickBot="1" x14ac:dyDescent="0.3">
      <c r="A491" s="51" t="s">
        <v>1030</v>
      </c>
      <c r="B491" s="51" t="s">
        <v>1031</v>
      </c>
      <c r="C491" s="51" t="s">
        <v>1032</v>
      </c>
      <c r="D491" s="51" t="s">
        <v>319</v>
      </c>
      <c r="E491" s="51" t="s">
        <v>329</v>
      </c>
      <c r="F491" s="51" t="s">
        <v>975</v>
      </c>
      <c r="G491" s="147">
        <v>1</v>
      </c>
      <c r="H491" s="822"/>
      <c r="I491" s="822"/>
      <c r="J491" s="822"/>
      <c r="K491" s="822"/>
      <c r="L491" s="822"/>
      <c r="M491" s="822"/>
      <c r="N491" s="822"/>
      <c r="O491" s="822"/>
      <c r="P491" s="822"/>
      <c r="Q491" s="822"/>
      <c r="R491" s="822"/>
      <c r="S491" s="822"/>
      <c r="T491" s="822"/>
      <c r="U491" s="822"/>
      <c r="V491" s="822"/>
      <c r="W491" s="822"/>
      <c r="X491" s="822"/>
      <c r="Y491" s="54">
        <v>14.86</v>
      </c>
      <c r="Z491" s="822"/>
      <c r="AA491" s="822"/>
      <c r="AB491" s="822"/>
      <c r="AC491" s="822"/>
      <c r="AD491" s="54">
        <v>14.86</v>
      </c>
      <c r="AE491" s="54">
        <v>0.45</v>
      </c>
      <c r="AF491" s="822"/>
      <c r="AG491" s="54">
        <v>15.31</v>
      </c>
      <c r="AH491" s="149">
        <v>-14.86</v>
      </c>
    </row>
    <row r="492" spans="1:34" ht="15.75" thickBot="1" x14ac:dyDescent="0.3">
      <c r="A492" s="51" t="s">
        <v>1030</v>
      </c>
      <c r="B492" s="51" t="s">
        <v>1039</v>
      </c>
      <c r="C492" s="51" t="s">
        <v>1040</v>
      </c>
      <c r="D492" s="51" t="s">
        <v>318</v>
      </c>
      <c r="E492" s="51" t="s">
        <v>272</v>
      </c>
      <c r="F492" s="51" t="s">
        <v>969</v>
      </c>
      <c r="G492" s="148">
        <v>7</v>
      </c>
      <c r="H492" s="823"/>
      <c r="I492" s="823"/>
      <c r="J492" s="823"/>
      <c r="K492" s="823"/>
      <c r="L492" s="823"/>
      <c r="M492" s="823"/>
      <c r="N492" s="823"/>
      <c r="O492" s="823"/>
      <c r="P492" s="823"/>
      <c r="Q492" s="823"/>
      <c r="R492" s="823"/>
      <c r="S492" s="823"/>
      <c r="T492" s="823"/>
      <c r="U492" s="823"/>
      <c r="V492" s="823"/>
      <c r="W492" s="823"/>
      <c r="X492" s="823"/>
      <c r="Y492" s="56">
        <v>5250</v>
      </c>
      <c r="Z492" s="823"/>
      <c r="AA492" s="823"/>
      <c r="AB492" s="823"/>
      <c r="AC492" s="823"/>
      <c r="AD492" s="823"/>
      <c r="AE492" s="56">
        <v>44.99</v>
      </c>
      <c r="AF492" s="823"/>
      <c r="AG492" s="56">
        <v>5294.99</v>
      </c>
      <c r="AH492" s="56">
        <v>0</v>
      </c>
    </row>
    <row r="493" spans="1:34" ht="15.75" thickBot="1" x14ac:dyDescent="0.3">
      <c r="A493" s="51" t="s">
        <v>1030</v>
      </c>
      <c r="B493" s="51" t="s">
        <v>1039</v>
      </c>
      <c r="C493" s="51" t="s">
        <v>1040</v>
      </c>
      <c r="D493" s="51" t="s">
        <v>318</v>
      </c>
      <c r="E493" s="51" t="s">
        <v>1035</v>
      </c>
      <c r="F493" s="51" t="s">
        <v>968</v>
      </c>
      <c r="G493" s="148">
        <v>7</v>
      </c>
      <c r="H493" s="823"/>
      <c r="I493" s="823"/>
      <c r="J493" s="823"/>
      <c r="K493" s="823"/>
      <c r="L493" s="823"/>
      <c r="M493" s="823"/>
      <c r="N493" s="823"/>
      <c r="O493" s="823"/>
      <c r="P493" s="823"/>
      <c r="Q493" s="823"/>
      <c r="R493" s="823"/>
      <c r="S493" s="823"/>
      <c r="T493" s="823"/>
      <c r="U493" s="823"/>
      <c r="V493" s="823"/>
      <c r="W493" s="823"/>
      <c r="X493" s="823"/>
      <c r="Y493" s="56">
        <v>127.63</v>
      </c>
      <c r="Z493" s="823"/>
      <c r="AA493" s="823"/>
      <c r="AB493" s="823"/>
      <c r="AC493" s="823"/>
      <c r="AD493" s="823"/>
      <c r="AE493" s="56">
        <v>0.45</v>
      </c>
      <c r="AF493" s="823"/>
      <c r="AG493" s="56">
        <v>128.08000000000001</v>
      </c>
      <c r="AH493" s="56">
        <v>0</v>
      </c>
    </row>
    <row r="494" spans="1:34" ht="15.75" thickBot="1" x14ac:dyDescent="0.3">
      <c r="A494" s="51" t="s">
        <v>1030</v>
      </c>
      <c r="B494" s="51" t="s">
        <v>1039</v>
      </c>
      <c r="C494" s="51" t="s">
        <v>1040</v>
      </c>
      <c r="D494" s="51" t="s">
        <v>318</v>
      </c>
      <c r="E494" s="51" t="s">
        <v>1036</v>
      </c>
      <c r="F494" s="51" t="s">
        <v>266</v>
      </c>
      <c r="G494" s="148">
        <v>7</v>
      </c>
      <c r="H494" s="823"/>
      <c r="I494" s="823"/>
      <c r="J494" s="823"/>
      <c r="K494" s="823"/>
      <c r="L494" s="823"/>
      <c r="M494" s="823"/>
      <c r="N494" s="823"/>
      <c r="O494" s="823"/>
      <c r="P494" s="823"/>
      <c r="Q494" s="823"/>
      <c r="R494" s="823"/>
      <c r="S494" s="823"/>
      <c r="T494" s="823"/>
      <c r="U494" s="823"/>
      <c r="V494" s="823"/>
      <c r="W494" s="823"/>
      <c r="X494" s="823"/>
      <c r="Y494" s="56">
        <v>1010.46</v>
      </c>
      <c r="Z494" s="823"/>
      <c r="AA494" s="823"/>
      <c r="AB494" s="823"/>
      <c r="AC494" s="823"/>
      <c r="AD494" s="823"/>
      <c r="AE494" s="56">
        <v>3.56</v>
      </c>
      <c r="AF494" s="823"/>
      <c r="AG494" s="56">
        <v>1014.02</v>
      </c>
      <c r="AH494" s="56">
        <v>0</v>
      </c>
    </row>
    <row r="495" spans="1:34" ht="15.75" thickBot="1" x14ac:dyDescent="0.3">
      <c r="A495" s="51" t="s">
        <v>1030</v>
      </c>
      <c r="B495" s="51" t="s">
        <v>1039</v>
      </c>
      <c r="C495" s="51" t="s">
        <v>1040</v>
      </c>
      <c r="D495" s="51" t="s">
        <v>318</v>
      </c>
      <c r="E495" s="51" t="s">
        <v>1037</v>
      </c>
      <c r="F495" s="51" t="s">
        <v>970</v>
      </c>
      <c r="G495" s="148">
        <v>7</v>
      </c>
      <c r="H495" s="823"/>
      <c r="I495" s="823"/>
      <c r="J495" s="823"/>
      <c r="K495" s="823"/>
      <c r="L495" s="823"/>
      <c r="M495" s="823"/>
      <c r="N495" s="823"/>
      <c r="O495" s="823"/>
      <c r="P495" s="823"/>
      <c r="Q495" s="823"/>
      <c r="R495" s="823"/>
      <c r="S495" s="823"/>
      <c r="T495" s="823"/>
      <c r="U495" s="823"/>
      <c r="V495" s="823"/>
      <c r="W495" s="823"/>
      <c r="X495" s="823"/>
      <c r="Y495" s="823"/>
      <c r="Z495" s="823"/>
      <c r="AA495" s="823"/>
      <c r="AB495" s="823"/>
      <c r="AC495" s="823"/>
      <c r="AD495" s="823"/>
      <c r="AE495" s="56">
        <v>0.92</v>
      </c>
      <c r="AF495" s="823"/>
      <c r="AG495" s="56">
        <v>261.49</v>
      </c>
      <c r="AH495" s="149">
        <v>260.57</v>
      </c>
    </row>
    <row r="496" spans="1:34" ht="15.75" thickBot="1" x14ac:dyDescent="0.3">
      <c r="A496" s="51" t="s">
        <v>1030</v>
      </c>
      <c r="B496" s="51" t="s">
        <v>1039</v>
      </c>
      <c r="C496" s="51" t="s">
        <v>1040</v>
      </c>
      <c r="D496" s="51" t="s">
        <v>318</v>
      </c>
      <c r="E496" s="51" t="s">
        <v>325</v>
      </c>
      <c r="F496" s="51" t="s">
        <v>974</v>
      </c>
      <c r="G496" s="148">
        <v>2</v>
      </c>
      <c r="H496" s="823"/>
      <c r="I496" s="823"/>
      <c r="J496" s="823"/>
      <c r="K496" s="823"/>
      <c r="L496" s="823"/>
      <c r="M496" s="823"/>
      <c r="N496" s="823"/>
      <c r="O496" s="823"/>
      <c r="P496" s="823"/>
      <c r="Q496" s="823"/>
      <c r="R496" s="823"/>
      <c r="S496" s="823"/>
      <c r="T496" s="823"/>
      <c r="U496" s="823"/>
      <c r="V496" s="823"/>
      <c r="W496" s="56">
        <v>4.3899999999999997</v>
      </c>
      <c r="X496" s="823"/>
      <c r="Y496" s="823"/>
      <c r="Z496" s="823"/>
      <c r="AA496" s="823"/>
      <c r="AB496" s="823"/>
      <c r="AC496" s="823"/>
      <c r="AD496" s="823"/>
      <c r="AE496" s="56">
        <v>0.12</v>
      </c>
      <c r="AF496" s="823"/>
      <c r="AG496" s="56">
        <v>4.51</v>
      </c>
      <c r="AH496" s="56">
        <v>0</v>
      </c>
    </row>
    <row r="497" spans="1:34" ht="15.75" thickBot="1" x14ac:dyDescent="0.3">
      <c r="A497" s="51" t="s">
        <v>1030</v>
      </c>
      <c r="B497" s="51" t="s">
        <v>1039</v>
      </c>
      <c r="C497" s="51" t="s">
        <v>1040</v>
      </c>
      <c r="D497" s="51" t="s">
        <v>318</v>
      </c>
      <c r="E497" s="51" t="s">
        <v>268</v>
      </c>
      <c r="F497" s="51" t="s">
        <v>971</v>
      </c>
      <c r="G497" s="148">
        <v>7</v>
      </c>
      <c r="H497" s="823"/>
      <c r="I497" s="823"/>
      <c r="J497" s="823"/>
      <c r="K497" s="823"/>
      <c r="L497" s="823"/>
      <c r="M497" s="823"/>
      <c r="N497" s="823"/>
      <c r="O497" s="823"/>
      <c r="P497" s="823"/>
      <c r="Q497" s="823"/>
      <c r="R497" s="823"/>
      <c r="S497" s="823"/>
      <c r="T497" s="823"/>
      <c r="U497" s="823"/>
      <c r="V497" s="823"/>
      <c r="W497" s="823"/>
      <c r="X497" s="823"/>
      <c r="Y497" s="823"/>
      <c r="Z497" s="823"/>
      <c r="AA497" s="823"/>
      <c r="AB497" s="823"/>
      <c r="AC497" s="56">
        <v>3850</v>
      </c>
      <c r="AD497" s="823"/>
      <c r="AE497" s="56">
        <v>33</v>
      </c>
      <c r="AF497" s="823"/>
      <c r="AG497" s="56">
        <v>3883</v>
      </c>
      <c r="AH497" s="56">
        <v>0</v>
      </c>
    </row>
    <row r="498" spans="1:34" ht="15.75" thickBot="1" x14ac:dyDescent="0.3">
      <c r="A498" s="51" t="s">
        <v>1030</v>
      </c>
      <c r="B498" s="51" t="s">
        <v>1039</v>
      </c>
      <c r="C498" s="51" t="s">
        <v>1040</v>
      </c>
      <c r="D498" s="51" t="s">
        <v>318</v>
      </c>
      <c r="E498" s="51" t="s">
        <v>914</v>
      </c>
      <c r="F498" s="51" t="s">
        <v>266</v>
      </c>
      <c r="G498" s="148">
        <v>7</v>
      </c>
      <c r="H498" s="823"/>
      <c r="I498" s="823"/>
      <c r="J498" s="823"/>
      <c r="K498" s="823"/>
      <c r="L498" s="823"/>
      <c r="M498" s="823"/>
      <c r="N498" s="823"/>
      <c r="O498" s="823"/>
      <c r="P498" s="823"/>
      <c r="Q498" s="823"/>
      <c r="R498" s="823"/>
      <c r="S498" s="823"/>
      <c r="T498" s="823"/>
      <c r="U498" s="823"/>
      <c r="V498" s="823"/>
      <c r="W498" s="823"/>
      <c r="X498" s="823"/>
      <c r="Y498" s="56">
        <v>10099.32</v>
      </c>
      <c r="Z498" s="823"/>
      <c r="AA498" s="823"/>
      <c r="AB498" s="823"/>
      <c r="AC498" s="823"/>
      <c r="AD498" s="823"/>
      <c r="AE498" s="56">
        <v>55.4</v>
      </c>
      <c r="AF498" s="823"/>
      <c r="AG498" s="56">
        <v>10154.719999999999</v>
      </c>
      <c r="AH498" s="56">
        <v>0</v>
      </c>
    </row>
    <row r="499" spans="1:34" ht="15.75" thickBot="1" x14ac:dyDescent="0.3">
      <c r="A499" s="51" t="s">
        <v>1030</v>
      </c>
      <c r="B499" s="51" t="s">
        <v>1039</v>
      </c>
      <c r="C499" s="51" t="s">
        <v>1040</v>
      </c>
      <c r="D499" s="51" t="s">
        <v>319</v>
      </c>
      <c r="E499" s="51" t="s">
        <v>272</v>
      </c>
      <c r="F499" s="51" t="s">
        <v>969</v>
      </c>
      <c r="G499" s="147">
        <v>1</v>
      </c>
      <c r="H499" s="822"/>
      <c r="I499" s="822"/>
      <c r="J499" s="822"/>
      <c r="K499" s="822"/>
      <c r="L499" s="822"/>
      <c r="M499" s="822"/>
      <c r="N499" s="822"/>
      <c r="O499" s="822"/>
      <c r="P499" s="822"/>
      <c r="Q499" s="822"/>
      <c r="R499" s="822"/>
      <c r="S499" s="822"/>
      <c r="T499" s="822"/>
      <c r="U499" s="822"/>
      <c r="V499" s="822"/>
      <c r="W499" s="822"/>
      <c r="X499" s="822"/>
      <c r="Y499" s="54">
        <v>750</v>
      </c>
      <c r="Z499" s="822"/>
      <c r="AA499" s="822"/>
      <c r="AB499" s="822"/>
      <c r="AC499" s="822"/>
      <c r="AD499" s="822"/>
      <c r="AE499" s="54">
        <v>0</v>
      </c>
      <c r="AF499" s="822"/>
      <c r="AG499" s="54">
        <v>750</v>
      </c>
      <c r="AH499" s="54">
        <v>0</v>
      </c>
    </row>
    <row r="500" spans="1:34" ht="15.75" thickBot="1" x14ac:dyDescent="0.3">
      <c r="A500" s="51" t="s">
        <v>1030</v>
      </c>
      <c r="B500" s="51" t="s">
        <v>1039</v>
      </c>
      <c r="C500" s="51" t="s">
        <v>1040</v>
      </c>
      <c r="D500" s="51" t="s">
        <v>319</v>
      </c>
      <c r="E500" s="51" t="s">
        <v>1035</v>
      </c>
      <c r="F500" s="51" t="s">
        <v>968</v>
      </c>
      <c r="G500" s="147">
        <v>1</v>
      </c>
      <c r="H500" s="822"/>
      <c r="I500" s="822"/>
      <c r="J500" s="822"/>
      <c r="K500" s="822"/>
      <c r="L500" s="822"/>
      <c r="M500" s="822"/>
      <c r="N500" s="822"/>
      <c r="O500" s="822"/>
      <c r="P500" s="822"/>
      <c r="Q500" s="822"/>
      <c r="R500" s="822"/>
      <c r="S500" s="822"/>
      <c r="T500" s="822"/>
      <c r="U500" s="822"/>
      <c r="V500" s="822"/>
      <c r="W500" s="822"/>
      <c r="X500" s="822"/>
      <c r="Y500" s="54">
        <v>10.5</v>
      </c>
      <c r="Z500" s="822"/>
      <c r="AA500" s="822"/>
      <c r="AB500" s="822"/>
      <c r="AC500" s="822"/>
      <c r="AD500" s="822"/>
      <c r="AE500" s="54">
        <v>0</v>
      </c>
      <c r="AF500" s="822"/>
      <c r="AG500" s="54">
        <v>10.5</v>
      </c>
      <c r="AH500" s="54">
        <v>0</v>
      </c>
    </row>
    <row r="501" spans="1:34" ht="15.75" thickBot="1" x14ac:dyDescent="0.3">
      <c r="A501" s="51" t="s">
        <v>1030</v>
      </c>
      <c r="B501" s="51" t="s">
        <v>1039</v>
      </c>
      <c r="C501" s="51" t="s">
        <v>1040</v>
      </c>
      <c r="D501" s="51" t="s">
        <v>319</v>
      </c>
      <c r="E501" s="51" t="s">
        <v>1036</v>
      </c>
      <c r="F501" s="51" t="s">
        <v>266</v>
      </c>
      <c r="G501" s="147">
        <v>1</v>
      </c>
      <c r="H501" s="822"/>
      <c r="I501" s="822"/>
      <c r="J501" s="822"/>
      <c r="K501" s="822"/>
      <c r="L501" s="822"/>
      <c r="M501" s="822"/>
      <c r="N501" s="822"/>
      <c r="O501" s="822"/>
      <c r="P501" s="822"/>
      <c r="Q501" s="822"/>
      <c r="R501" s="822"/>
      <c r="S501" s="822"/>
      <c r="T501" s="822"/>
      <c r="U501" s="822"/>
      <c r="V501" s="822"/>
      <c r="W501" s="822"/>
      <c r="X501" s="822"/>
      <c r="Y501" s="54">
        <v>83.09</v>
      </c>
      <c r="Z501" s="822"/>
      <c r="AA501" s="822"/>
      <c r="AB501" s="822"/>
      <c r="AC501" s="822"/>
      <c r="AD501" s="822"/>
      <c r="AE501" s="54">
        <v>0</v>
      </c>
      <c r="AF501" s="822"/>
      <c r="AG501" s="54">
        <v>83.09</v>
      </c>
      <c r="AH501" s="54">
        <v>0</v>
      </c>
    </row>
    <row r="502" spans="1:34" ht="15.75" thickBot="1" x14ac:dyDescent="0.3">
      <c r="A502" s="51" t="s">
        <v>1030</v>
      </c>
      <c r="B502" s="51" t="s">
        <v>1039</v>
      </c>
      <c r="C502" s="51" t="s">
        <v>1040</v>
      </c>
      <c r="D502" s="51" t="s">
        <v>319</v>
      </c>
      <c r="E502" s="51" t="s">
        <v>1037</v>
      </c>
      <c r="F502" s="51" t="s">
        <v>970</v>
      </c>
      <c r="G502" s="147">
        <v>1</v>
      </c>
      <c r="H502" s="822"/>
      <c r="I502" s="822"/>
      <c r="J502" s="822"/>
      <c r="K502" s="822"/>
      <c r="L502" s="822"/>
      <c r="M502" s="822"/>
      <c r="N502" s="822"/>
      <c r="O502" s="822"/>
      <c r="P502" s="822"/>
      <c r="Q502" s="822"/>
      <c r="R502" s="822"/>
      <c r="S502" s="822"/>
      <c r="T502" s="822"/>
      <c r="U502" s="822"/>
      <c r="V502" s="822"/>
      <c r="W502" s="822"/>
      <c r="X502" s="822"/>
      <c r="Y502" s="822"/>
      <c r="Z502" s="822"/>
      <c r="AA502" s="822"/>
      <c r="AB502" s="822"/>
      <c r="AC502" s="822"/>
      <c r="AD502" s="822"/>
      <c r="AE502" s="54">
        <v>0</v>
      </c>
      <c r="AF502" s="822"/>
      <c r="AG502" s="54">
        <v>21.43</v>
      </c>
      <c r="AH502" s="149">
        <v>21.43</v>
      </c>
    </row>
    <row r="503" spans="1:34" ht="15.75" thickBot="1" x14ac:dyDescent="0.3">
      <c r="A503" s="51" t="s">
        <v>1030</v>
      </c>
      <c r="B503" s="51" t="s">
        <v>1039</v>
      </c>
      <c r="C503" s="51" t="s">
        <v>1040</v>
      </c>
      <c r="D503" s="51" t="s">
        <v>319</v>
      </c>
      <c r="E503" s="51" t="s">
        <v>325</v>
      </c>
      <c r="F503" s="51" t="s">
        <v>974</v>
      </c>
      <c r="G503" s="147">
        <v>1</v>
      </c>
      <c r="H503" s="822"/>
      <c r="I503" s="822"/>
      <c r="J503" s="822"/>
      <c r="K503" s="822"/>
      <c r="L503" s="822"/>
      <c r="M503" s="822"/>
      <c r="N503" s="822"/>
      <c r="O503" s="822"/>
      <c r="P503" s="822"/>
      <c r="Q503" s="822"/>
      <c r="R503" s="822"/>
      <c r="S503" s="822"/>
      <c r="T503" s="822"/>
      <c r="U503" s="822"/>
      <c r="V503" s="822"/>
      <c r="W503" s="54">
        <v>5.8</v>
      </c>
      <c r="X503" s="822"/>
      <c r="Y503" s="822"/>
      <c r="Z503" s="822"/>
      <c r="AA503" s="822"/>
      <c r="AB503" s="822"/>
      <c r="AC503" s="822"/>
      <c r="AD503" s="822"/>
      <c r="AE503" s="54">
        <v>0</v>
      </c>
      <c r="AF503" s="822"/>
      <c r="AG503" s="54">
        <v>5.8</v>
      </c>
      <c r="AH503" s="54">
        <v>0</v>
      </c>
    </row>
    <row r="504" spans="1:34" ht="15.75" thickBot="1" x14ac:dyDescent="0.3">
      <c r="A504" s="51" t="s">
        <v>1030</v>
      </c>
      <c r="B504" s="51" t="s">
        <v>1039</v>
      </c>
      <c r="C504" s="51" t="s">
        <v>1040</v>
      </c>
      <c r="D504" s="51" t="s">
        <v>319</v>
      </c>
      <c r="E504" s="51" t="s">
        <v>268</v>
      </c>
      <c r="F504" s="51" t="s">
        <v>971</v>
      </c>
      <c r="G504" s="147">
        <v>1</v>
      </c>
      <c r="H504" s="822"/>
      <c r="I504" s="822"/>
      <c r="J504" s="822"/>
      <c r="K504" s="822"/>
      <c r="L504" s="822"/>
      <c r="M504" s="822"/>
      <c r="N504" s="822"/>
      <c r="O504" s="822"/>
      <c r="P504" s="822"/>
      <c r="Q504" s="822"/>
      <c r="R504" s="822"/>
      <c r="S504" s="822"/>
      <c r="T504" s="822"/>
      <c r="U504" s="822"/>
      <c r="V504" s="822"/>
      <c r="W504" s="822"/>
      <c r="X504" s="822"/>
      <c r="Y504" s="822"/>
      <c r="Z504" s="822"/>
      <c r="AA504" s="822"/>
      <c r="AB504" s="822"/>
      <c r="AC504" s="54">
        <v>550</v>
      </c>
      <c r="AD504" s="822"/>
      <c r="AE504" s="54">
        <v>0</v>
      </c>
      <c r="AF504" s="822"/>
      <c r="AG504" s="54">
        <v>550</v>
      </c>
      <c r="AH504" s="54">
        <v>0</v>
      </c>
    </row>
    <row r="505" spans="1:34" ht="15.75" thickBot="1" x14ac:dyDescent="0.3">
      <c r="A505" s="51" t="s">
        <v>1030</v>
      </c>
      <c r="B505" s="51" t="s">
        <v>1039</v>
      </c>
      <c r="C505" s="51" t="s">
        <v>1040</v>
      </c>
      <c r="D505" s="51" t="s">
        <v>319</v>
      </c>
      <c r="E505" s="51" t="s">
        <v>914</v>
      </c>
      <c r="F505" s="51" t="s">
        <v>266</v>
      </c>
      <c r="G505" s="147">
        <v>1</v>
      </c>
      <c r="H505" s="822"/>
      <c r="I505" s="822"/>
      <c r="J505" s="822"/>
      <c r="K505" s="822"/>
      <c r="L505" s="822"/>
      <c r="M505" s="822"/>
      <c r="N505" s="822"/>
      <c r="O505" s="822"/>
      <c r="P505" s="822"/>
      <c r="Q505" s="822"/>
      <c r="R505" s="822"/>
      <c r="S505" s="822"/>
      <c r="T505" s="822"/>
      <c r="U505" s="822"/>
      <c r="V505" s="822"/>
      <c r="W505" s="822"/>
      <c r="X505" s="822"/>
      <c r="Y505" s="54">
        <v>855.75</v>
      </c>
      <c r="Z505" s="822"/>
      <c r="AA505" s="822"/>
      <c r="AB505" s="822"/>
      <c r="AC505" s="822"/>
      <c r="AD505" s="822"/>
      <c r="AE505" s="54">
        <v>0</v>
      </c>
      <c r="AF505" s="822"/>
      <c r="AG505" s="54">
        <v>855.75</v>
      </c>
      <c r="AH505" s="54">
        <v>0</v>
      </c>
    </row>
    <row r="506" spans="1:34" ht="15.75" thickBot="1" x14ac:dyDescent="0.3">
      <c r="A506" s="51" t="s">
        <v>1030</v>
      </c>
      <c r="B506" s="51" t="s">
        <v>1041</v>
      </c>
      <c r="C506" s="51" t="s">
        <v>1042</v>
      </c>
      <c r="D506" s="51" t="s">
        <v>320</v>
      </c>
      <c r="E506" s="51" t="s">
        <v>356</v>
      </c>
      <c r="F506" s="51" t="s">
        <v>337</v>
      </c>
      <c r="G506" s="147">
        <v>4</v>
      </c>
      <c r="H506" s="822"/>
      <c r="I506" s="822"/>
      <c r="J506" s="822"/>
      <c r="K506" s="822"/>
      <c r="L506" s="822"/>
      <c r="M506" s="54">
        <v>450.72</v>
      </c>
      <c r="N506" s="822"/>
      <c r="O506" s="822"/>
      <c r="P506" s="822"/>
      <c r="Q506" s="822"/>
      <c r="R506" s="822"/>
      <c r="S506" s="822"/>
      <c r="T506" s="822"/>
      <c r="U506" s="822"/>
      <c r="V506" s="822"/>
      <c r="W506" s="822"/>
      <c r="X506" s="822"/>
      <c r="Y506" s="822"/>
      <c r="Z506" s="822"/>
      <c r="AA506" s="822"/>
      <c r="AB506" s="822"/>
      <c r="AC506" s="822"/>
      <c r="AD506" s="822"/>
      <c r="AE506" s="54">
        <v>10.42</v>
      </c>
      <c r="AF506" s="822"/>
      <c r="AG506" s="54">
        <v>461.14</v>
      </c>
      <c r="AH506" s="54">
        <v>0</v>
      </c>
    </row>
    <row r="507" spans="1:34" ht="15.75" thickBot="1" x14ac:dyDescent="0.3">
      <c r="A507" s="51" t="s">
        <v>1030</v>
      </c>
      <c r="B507" s="51" t="s">
        <v>1041</v>
      </c>
      <c r="C507" s="51" t="s">
        <v>1042</v>
      </c>
      <c r="D507" s="51" t="s">
        <v>320</v>
      </c>
      <c r="E507" s="51" t="s">
        <v>272</v>
      </c>
      <c r="F507" s="51" t="s">
        <v>969</v>
      </c>
      <c r="G507" s="147">
        <v>15</v>
      </c>
      <c r="H507" s="822"/>
      <c r="I507" s="822"/>
      <c r="J507" s="822"/>
      <c r="K507" s="822"/>
      <c r="L507" s="822"/>
      <c r="M507" s="822"/>
      <c r="N507" s="822"/>
      <c r="O507" s="822"/>
      <c r="P507" s="822"/>
      <c r="Q507" s="822"/>
      <c r="R507" s="822"/>
      <c r="S507" s="822"/>
      <c r="T507" s="822"/>
      <c r="U507" s="822"/>
      <c r="V507" s="822"/>
      <c r="W507" s="822"/>
      <c r="X507" s="822"/>
      <c r="Y507" s="54">
        <v>11250</v>
      </c>
      <c r="Z507" s="822"/>
      <c r="AA507" s="822"/>
      <c r="AB507" s="822"/>
      <c r="AC507" s="822"/>
      <c r="AD507" s="822"/>
      <c r="AE507" s="54">
        <v>499.03</v>
      </c>
      <c r="AF507" s="822"/>
      <c r="AG507" s="54">
        <v>11749.03</v>
      </c>
      <c r="AH507" s="54">
        <v>0</v>
      </c>
    </row>
    <row r="508" spans="1:34" ht="15.75" thickBot="1" x14ac:dyDescent="0.3">
      <c r="A508" s="51" t="s">
        <v>1030</v>
      </c>
      <c r="B508" s="51" t="s">
        <v>1041</v>
      </c>
      <c r="C508" s="51" t="s">
        <v>1042</v>
      </c>
      <c r="D508" s="51" t="s">
        <v>320</v>
      </c>
      <c r="E508" s="51" t="s">
        <v>1035</v>
      </c>
      <c r="F508" s="51" t="s">
        <v>968</v>
      </c>
      <c r="G508" s="147">
        <v>15</v>
      </c>
      <c r="H508" s="822"/>
      <c r="I508" s="822"/>
      <c r="J508" s="822"/>
      <c r="K508" s="822"/>
      <c r="L508" s="822"/>
      <c r="M508" s="822"/>
      <c r="N508" s="822"/>
      <c r="O508" s="822"/>
      <c r="P508" s="822"/>
      <c r="Q508" s="822"/>
      <c r="R508" s="822"/>
      <c r="S508" s="822"/>
      <c r="T508" s="822"/>
      <c r="U508" s="822"/>
      <c r="V508" s="822"/>
      <c r="W508" s="822"/>
      <c r="X508" s="822"/>
      <c r="Y508" s="54">
        <v>372.03</v>
      </c>
      <c r="Z508" s="822"/>
      <c r="AA508" s="822"/>
      <c r="AB508" s="822"/>
      <c r="AC508" s="822"/>
      <c r="AD508" s="822"/>
      <c r="AE508" s="54">
        <v>15.26</v>
      </c>
      <c r="AF508" s="822"/>
      <c r="AG508" s="54">
        <v>387.29</v>
      </c>
      <c r="AH508" s="54">
        <v>0</v>
      </c>
    </row>
    <row r="509" spans="1:34" ht="15.75" thickBot="1" x14ac:dyDescent="0.3">
      <c r="A509" s="51" t="s">
        <v>1030</v>
      </c>
      <c r="B509" s="51" t="s">
        <v>1041</v>
      </c>
      <c r="C509" s="51" t="s">
        <v>1042</v>
      </c>
      <c r="D509" s="51" t="s">
        <v>320</v>
      </c>
      <c r="E509" s="51" t="s">
        <v>1036</v>
      </c>
      <c r="F509" s="51" t="s">
        <v>266</v>
      </c>
      <c r="G509" s="147">
        <v>15</v>
      </c>
      <c r="H509" s="822"/>
      <c r="I509" s="822"/>
      <c r="J509" s="822"/>
      <c r="K509" s="822"/>
      <c r="L509" s="822"/>
      <c r="M509" s="822"/>
      <c r="N509" s="822"/>
      <c r="O509" s="822"/>
      <c r="P509" s="822"/>
      <c r="Q509" s="822"/>
      <c r="R509" s="822"/>
      <c r="S509" s="822"/>
      <c r="T509" s="822"/>
      <c r="U509" s="822"/>
      <c r="V509" s="822"/>
      <c r="W509" s="822"/>
      <c r="X509" s="822"/>
      <c r="Y509" s="54">
        <v>2945.24</v>
      </c>
      <c r="Z509" s="822"/>
      <c r="AA509" s="822"/>
      <c r="AB509" s="822"/>
      <c r="AC509" s="822"/>
      <c r="AD509" s="822"/>
      <c r="AE509" s="54">
        <v>120.84</v>
      </c>
      <c r="AF509" s="822"/>
      <c r="AG509" s="54">
        <v>3066.08</v>
      </c>
      <c r="AH509" s="54">
        <v>0</v>
      </c>
    </row>
    <row r="510" spans="1:34" ht="15.75" thickBot="1" x14ac:dyDescent="0.3">
      <c r="A510" s="51" t="s">
        <v>1030</v>
      </c>
      <c r="B510" s="51" t="s">
        <v>1041</v>
      </c>
      <c r="C510" s="51" t="s">
        <v>1042</v>
      </c>
      <c r="D510" s="51" t="s">
        <v>320</v>
      </c>
      <c r="E510" s="51" t="s">
        <v>1037</v>
      </c>
      <c r="F510" s="51" t="s">
        <v>970</v>
      </c>
      <c r="G510" s="147">
        <v>15</v>
      </c>
      <c r="H510" s="822"/>
      <c r="I510" s="822"/>
      <c r="J510" s="822"/>
      <c r="K510" s="822"/>
      <c r="L510" s="822"/>
      <c r="M510" s="822"/>
      <c r="N510" s="822"/>
      <c r="O510" s="822"/>
      <c r="P510" s="822"/>
      <c r="Q510" s="822"/>
      <c r="R510" s="822"/>
      <c r="S510" s="822"/>
      <c r="T510" s="822"/>
      <c r="U510" s="822"/>
      <c r="V510" s="822"/>
      <c r="W510" s="822"/>
      <c r="X510" s="822"/>
      <c r="Y510" s="822"/>
      <c r="Z510" s="822"/>
      <c r="AA510" s="822"/>
      <c r="AB510" s="822"/>
      <c r="AC510" s="822"/>
      <c r="AD510" s="822"/>
      <c r="AE510" s="54">
        <v>31.19</v>
      </c>
      <c r="AF510" s="822"/>
      <c r="AG510" s="54">
        <v>790.74</v>
      </c>
      <c r="AH510" s="149">
        <v>759.55</v>
      </c>
    </row>
    <row r="511" spans="1:34" ht="15.75" thickBot="1" x14ac:dyDescent="0.3">
      <c r="A511" s="51" t="s">
        <v>1030</v>
      </c>
      <c r="B511" s="51" t="s">
        <v>1041</v>
      </c>
      <c r="C511" s="51" t="s">
        <v>1042</v>
      </c>
      <c r="D511" s="51" t="s">
        <v>320</v>
      </c>
      <c r="E511" s="51" t="s">
        <v>325</v>
      </c>
      <c r="F511" s="51" t="s">
        <v>974</v>
      </c>
      <c r="G511" s="147">
        <v>8</v>
      </c>
      <c r="H511" s="822"/>
      <c r="I511" s="822"/>
      <c r="J511" s="822"/>
      <c r="K511" s="822"/>
      <c r="L511" s="822"/>
      <c r="M511" s="822"/>
      <c r="N511" s="822"/>
      <c r="O511" s="822"/>
      <c r="P511" s="822"/>
      <c r="Q511" s="822"/>
      <c r="R511" s="822"/>
      <c r="S511" s="822"/>
      <c r="T511" s="822"/>
      <c r="U511" s="822"/>
      <c r="V511" s="822"/>
      <c r="W511" s="54">
        <v>64.91</v>
      </c>
      <c r="X511" s="822"/>
      <c r="Y511" s="822"/>
      <c r="Z511" s="822"/>
      <c r="AA511" s="822"/>
      <c r="AB511" s="822"/>
      <c r="AC511" s="822"/>
      <c r="AD511" s="822"/>
      <c r="AE511" s="54">
        <v>0.91</v>
      </c>
      <c r="AF511" s="822"/>
      <c r="AG511" s="54">
        <v>65.819999999999993</v>
      </c>
      <c r="AH511" s="54">
        <v>0</v>
      </c>
    </row>
    <row r="512" spans="1:34" ht="15.75" thickBot="1" x14ac:dyDescent="0.3">
      <c r="A512" s="51" t="s">
        <v>1030</v>
      </c>
      <c r="B512" s="51" t="s">
        <v>1041</v>
      </c>
      <c r="C512" s="51" t="s">
        <v>1042</v>
      </c>
      <c r="D512" s="51" t="s">
        <v>320</v>
      </c>
      <c r="E512" s="51" t="s">
        <v>268</v>
      </c>
      <c r="F512" s="51" t="s">
        <v>971</v>
      </c>
      <c r="G512" s="147">
        <v>15</v>
      </c>
      <c r="H512" s="822"/>
      <c r="I512" s="822"/>
      <c r="J512" s="822"/>
      <c r="K512" s="822"/>
      <c r="L512" s="822"/>
      <c r="M512" s="822"/>
      <c r="N512" s="822"/>
      <c r="O512" s="822"/>
      <c r="P512" s="822"/>
      <c r="Q512" s="822"/>
      <c r="R512" s="822"/>
      <c r="S512" s="822"/>
      <c r="T512" s="822"/>
      <c r="U512" s="822"/>
      <c r="V512" s="822"/>
      <c r="W512" s="822"/>
      <c r="X512" s="822"/>
      <c r="Y512" s="822"/>
      <c r="Z512" s="822"/>
      <c r="AA512" s="822"/>
      <c r="AB512" s="822"/>
      <c r="AC512" s="54">
        <v>8250</v>
      </c>
      <c r="AD512" s="822"/>
      <c r="AE512" s="54">
        <v>365.97</v>
      </c>
      <c r="AF512" s="822"/>
      <c r="AG512" s="54">
        <v>8615.9699999999993</v>
      </c>
      <c r="AH512" s="54">
        <v>0</v>
      </c>
    </row>
    <row r="513" spans="1:34" ht="15.75" thickBot="1" x14ac:dyDescent="0.3">
      <c r="A513" s="51" t="s">
        <v>1030</v>
      </c>
      <c r="B513" s="51" t="s">
        <v>1041</v>
      </c>
      <c r="C513" s="51" t="s">
        <v>1042</v>
      </c>
      <c r="D513" s="51" t="s">
        <v>320</v>
      </c>
      <c r="E513" s="51" t="s">
        <v>914</v>
      </c>
      <c r="F513" s="51" t="s">
        <v>266</v>
      </c>
      <c r="G513" s="147">
        <v>15</v>
      </c>
      <c r="H513" s="822"/>
      <c r="I513" s="822"/>
      <c r="J513" s="822"/>
      <c r="K513" s="822"/>
      <c r="L513" s="822"/>
      <c r="M513" s="822"/>
      <c r="N513" s="822"/>
      <c r="O513" s="822"/>
      <c r="P513" s="822"/>
      <c r="Q513" s="822"/>
      <c r="R513" s="822"/>
      <c r="S513" s="822"/>
      <c r="T513" s="822"/>
      <c r="U513" s="822"/>
      <c r="V513" s="822"/>
      <c r="W513" s="822"/>
      <c r="X513" s="822"/>
      <c r="Y513" s="54">
        <v>25900.86</v>
      </c>
      <c r="Z513" s="822"/>
      <c r="AA513" s="822"/>
      <c r="AB513" s="822"/>
      <c r="AC513" s="822"/>
      <c r="AD513" s="822"/>
      <c r="AE513" s="54">
        <v>1096.1600000000001</v>
      </c>
      <c r="AF513" s="822"/>
      <c r="AG513" s="54">
        <v>26997.02</v>
      </c>
      <c r="AH513" s="54">
        <v>0</v>
      </c>
    </row>
    <row r="514" spans="1:34" ht="15.75" thickBot="1" x14ac:dyDescent="0.3">
      <c r="A514" s="51" t="s">
        <v>1030</v>
      </c>
      <c r="B514" s="51" t="s">
        <v>1043</v>
      </c>
      <c r="C514" s="51" t="s">
        <v>1044</v>
      </c>
      <c r="D514" s="51" t="s">
        <v>320</v>
      </c>
      <c r="E514" s="51" t="s">
        <v>1033</v>
      </c>
      <c r="F514" s="51" t="s">
        <v>985</v>
      </c>
      <c r="G514" s="148">
        <v>1</v>
      </c>
      <c r="H514" s="823"/>
      <c r="I514" s="823"/>
      <c r="J514" s="823"/>
      <c r="K514" s="823"/>
      <c r="L514" s="823"/>
      <c r="M514" s="823"/>
      <c r="N514" s="823"/>
      <c r="O514" s="823"/>
      <c r="P514" s="823"/>
      <c r="Q514" s="823"/>
      <c r="R514" s="823"/>
      <c r="S514" s="823"/>
      <c r="T514" s="823"/>
      <c r="U514" s="823"/>
      <c r="V514" s="823"/>
      <c r="W514" s="823"/>
      <c r="X514" s="823"/>
      <c r="Y514" s="823"/>
      <c r="Z514" s="56">
        <v>4.54</v>
      </c>
      <c r="AA514" s="823"/>
      <c r="AB514" s="823"/>
      <c r="AC514" s="823"/>
      <c r="AD514" s="823"/>
      <c r="AE514" s="56">
        <v>0.27</v>
      </c>
      <c r="AF514" s="823"/>
      <c r="AG514" s="56">
        <v>4.8099999999999996</v>
      </c>
      <c r="AH514" s="56">
        <v>0</v>
      </c>
    </row>
    <row r="515" spans="1:34" ht="15.75" thickBot="1" x14ac:dyDescent="0.3">
      <c r="A515" s="51" t="s">
        <v>1030</v>
      </c>
      <c r="B515" s="51" t="s">
        <v>1043</v>
      </c>
      <c r="C515" s="51" t="s">
        <v>1044</v>
      </c>
      <c r="D515" s="51" t="s">
        <v>320</v>
      </c>
      <c r="E515" s="51" t="s">
        <v>1045</v>
      </c>
      <c r="F515" s="51" t="s">
        <v>973</v>
      </c>
      <c r="G515" s="148">
        <v>1</v>
      </c>
      <c r="H515" s="823"/>
      <c r="I515" s="823"/>
      <c r="J515" s="823"/>
      <c r="K515" s="823"/>
      <c r="L515" s="823"/>
      <c r="M515" s="823"/>
      <c r="N515" s="823"/>
      <c r="O515" s="823"/>
      <c r="P515" s="823"/>
      <c r="Q515" s="823"/>
      <c r="R515" s="823"/>
      <c r="S515" s="823"/>
      <c r="T515" s="823"/>
      <c r="U515" s="823"/>
      <c r="V515" s="823"/>
      <c r="W515" s="823"/>
      <c r="X515" s="823"/>
      <c r="Y515" s="823"/>
      <c r="Z515" s="823"/>
      <c r="AA515" s="56">
        <v>-39.33</v>
      </c>
      <c r="AB515" s="823"/>
      <c r="AC515" s="823"/>
      <c r="AD515" s="823"/>
      <c r="AE515" s="56">
        <v>0</v>
      </c>
      <c r="AF515" s="823"/>
      <c r="AG515" s="56">
        <v>-39.33</v>
      </c>
      <c r="AH515" s="56">
        <v>0</v>
      </c>
    </row>
    <row r="516" spans="1:34" ht="15.75" thickBot="1" x14ac:dyDescent="0.3">
      <c r="A516" s="51" t="s">
        <v>1030</v>
      </c>
      <c r="B516" s="51" t="s">
        <v>1043</v>
      </c>
      <c r="C516" s="51" t="s">
        <v>1044</v>
      </c>
      <c r="D516" s="51" t="s">
        <v>320</v>
      </c>
      <c r="E516" s="51" t="s">
        <v>1034</v>
      </c>
      <c r="F516" s="51" t="s">
        <v>1061</v>
      </c>
      <c r="G516" s="148">
        <v>1</v>
      </c>
      <c r="H516" s="823"/>
      <c r="I516" s="823"/>
      <c r="J516" s="823"/>
      <c r="K516" s="823"/>
      <c r="L516" s="823"/>
      <c r="M516" s="823"/>
      <c r="N516" s="823"/>
      <c r="O516" s="823"/>
      <c r="P516" s="823"/>
      <c r="Q516" s="823"/>
      <c r="R516" s="823"/>
      <c r="S516" s="823"/>
      <c r="T516" s="823"/>
      <c r="U516" s="823"/>
      <c r="V516" s="823"/>
      <c r="W516" s="823"/>
      <c r="X516" s="823"/>
      <c r="Y516" s="823"/>
      <c r="Z516" s="823"/>
      <c r="AA516" s="823"/>
      <c r="AB516" s="823"/>
      <c r="AC516" s="823"/>
      <c r="AD516" s="823"/>
      <c r="AE516" s="56">
        <v>0</v>
      </c>
      <c r="AF516" s="823"/>
      <c r="AG516" s="56">
        <v>-1102.0999999999999</v>
      </c>
      <c r="AH516" s="149">
        <v>-1102.0999999999999</v>
      </c>
    </row>
    <row r="517" spans="1:34" ht="15.75" thickBot="1" x14ac:dyDescent="0.3">
      <c r="A517" s="51" t="s">
        <v>1030</v>
      </c>
      <c r="B517" s="51" t="s">
        <v>1043</v>
      </c>
      <c r="C517" s="51" t="s">
        <v>1044</v>
      </c>
      <c r="D517" s="51" t="s">
        <v>320</v>
      </c>
      <c r="E517" s="51" t="s">
        <v>1046</v>
      </c>
      <c r="F517" s="51" t="s">
        <v>1024</v>
      </c>
      <c r="G517" s="148">
        <v>1</v>
      </c>
      <c r="H517" s="823"/>
      <c r="I517" s="823"/>
      <c r="J517" s="823"/>
      <c r="K517" s="823"/>
      <c r="L517" s="823"/>
      <c r="M517" s="823"/>
      <c r="N517" s="823"/>
      <c r="O517" s="823"/>
      <c r="P517" s="823"/>
      <c r="Q517" s="823"/>
      <c r="R517" s="823"/>
      <c r="S517" s="823"/>
      <c r="T517" s="823"/>
      <c r="U517" s="823"/>
      <c r="V517" s="823"/>
      <c r="W517" s="823"/>
      <c r="X517" s="823"/>
      <c r="Y517" s="823"/>
      <c r="Z517" s="823"/>
      <c r="AA517" s="56">
        <v>9.92</v>
      </c>
      <c r="AB517" s="823"/>
      <c r="AC517" s="823"/>
      <c r="AD517" s="823"/>
      <c r="AE517" s="56">
        <v>0.6</v>
      </c>
      <c r="AF517" s="823"/>
      <c r="AG517" s="56">
        <v>10.52</v>
      </c>
      <c r="AH517" s="56">
        <v>0</v>
      </c>
    </row>
    <row r="518" spans="1:34" ht="15.75" thickBot="1" x14ac:dyDescent="0.3">
      <c r="A518" s="51" t="s">
        <v>1030</v>
      </c>
      <c r="B518" s="51" t="s">
        <v>1043</v>
      </c>
      <c r="C518" s="51" t="s">
        <v>1044</v>
      </c>
      <c r="D518" s="51" t="s">
        <v>320</v>
      </c>
      <c r="E518" s="51" t="s">
        <v>272</v>
      </c>
      <c r="F518" s="51" t="s">
        <v>969</v>
      </c>
      <c r="G518" s="148">
        <v>2</v>
      </c>
      <c r="H518" s="823"/>
      <c r="I518" s="823"/>
      <c r="J518" s="823"/>
      <c r="K518" s="823"/>
      <c r="L518" s="823"/>
      <c r="M518" s="823"/>
      <c r="N518" s="823"/>
      <c r="O518" s="823"/>
      <c r="P518" s="823"/>
      <c r="Q518" s="823"/>
      <c r="R518" s="823"/>
      <c r="S518" s="823"/>
      <c r="T518" s="823"/>
      <c r="U518" s="823"/>
      <c r="V518" s="823"/>
      <c r="W518" s="823"/>
      <c r="X518" s="823"/>
      <c r="Y518" s="56">
        <v>1500</v>
      </c>
      <c r="Z518" s="823"/>
      <c r="AA518" s="823"/>
      <c r="AB518" s="823"/>
      <c r="AC518" s="823"/>
      <c r="AD518" s="823"/>
      <c r="AE518" s="56">
        <v>89.99</v>
      </c>
      <c r="AF518" s="823"/>
      <c r="AG518" s="56">
        <v>1589.99</v>
      </c>
      <c r="AH518" s="56">
        <v>0</v>
      </c>
    </row>
    <row r="519" spans="1:34" ht="15.75" thickBot="1" x14ac:dyDescent="0.3">
      <c r="A519" s="51" t="s">
        <v>1030</v>
      </c>
      <c r="B519" s="51" t="s">
        <v>1043</v>
      </c>
      <c r="C519" s="51" t="s">
        <v>1044</v>
      </c>
      <c r="D519" s="51" t="s">
        <v>320</v>
      </c>
      <c r="E519" s="51" t="s">
        <v>1047</v>
      </c>
      <c r="F519" s="51" t="s">
        <v>270</v>
      </c>
      <c r="G519" s="148">
        <v>1</v>
      </c>
      <c r="H519" s="823"/>
      <c r="I519" s="823"/>
      <c r="J519" s="823"/>
      <c r="K519" s="823"/>
      <c r="L519" s="823"/>
      <c r="M519" s="823"/>
      <c r="N519" s="823"/>
      <c r="O519" s="823"/>
      <c r="P519" s="823"/>
      <c r="Q519" s="823"/>
      <c r="R519" s="823"/>
      <c r="S519" s="823"/>
      <c r="T519" s="823"/>
      <c r="U519" s="823"/>
      <c r="V519" s="823"/>
      <c r="W519" s="823"/>
      <c r="X519" s="823"/>
      <c r="Y519" s="823"/>
      <c r="Z519" s="56">
        <v>0.15</v>
      </c>
      <c r="AA519" s="823"/>
      <c r="AB519" s="823"/>
      <c r="AC519" s="823"/>
      <c r="AD519" s="823"/>
      <c r="AE519" s="56">
        <v>0.01</v>
      </c>
      <c r="AF519" s="823"/>
      <c r="AG519" s="56">
        <v>0.16</v>
      </c>
      <c r="AH519" s="56">
        <v>0</v>
      </c>
    </row>
    <row r="520" spans="1:34" ht="15.75" thickBot="1" x14ac:dyDescent="0.3">
      <c r="A520" s="51" t="s">
        <v>1030</v>
      </c>
      <c r="B520" s="51" t="s">
        <v>1043</v>
      </c>
      <c r="C520" s="51" t="s">
        <v>1044</v>
      </c>
      <c r="D520" s="51" t="s">
        <v>320</v>
      </c>
      <c r="E520" s="51" t="s">
        <v>1036</v>
      </c>
      <c r="F520" s="51" t="s">
        <v>266</v>
      </c>
      <c r="G520" s="148">
        <v>2</v>
      </c>
      <c r="H520" s="823"/>
      <c r="I520" s="823"/>
      <c r="J520" s="823"/>
      <c r="K520" s="823"/>
      <c r="L520" s="823"/>
      <c r="M520" s="823"/>
      <c r="N520" s="823"/>
      <c r="O520" s="823"/>
      <c r="P520" s="823"/>
      <c r="Q520" s="823"/>
      <c r="R520" s="823"/>
      <c r="S520" s="823"/>
      <c r="T520" s="823"/>
      <c r="U520" s="823"/>
      <c r="V520" s="823"/>
      <c r="W520" s="823"/>
      <c r="X520" s="823"/>
      <c r="Y520" s="56">
        <v>779.8</v>
      </c>
      <c r="Z520" s="823"/>
      <c r="AA520" s="823"/>
      <c r="AB520" s="823"/>
      <c r="AC520" s="823"/>
      <c r="AD520" s="823"/>
      <c r="AE520" s="56">
        <v>46.79</v>
      </c>
      <c r="AF520" s="823"/>
      <c r="AG520" s="56">
        <v>826.59</v>
      </c>
      <c r="AH520" s="56">
        <v>0</v>
      </c>
    </row>
    <row r="521" spans="1:34" ht="15.75" thickBot="1" x14ac:dyDescent="0.3">
      <c r="A521" s="51" t="s">
        <v>1030</v>
      </c>
      <c r="B521" s="51" t="s">
        <v>1043</v>
      </c>
      <c r="C521" s="51" t="s">
        <v>1044</v>
      </c>
      <c r="D521" s="51" t="s">
        <v>320</v>
      </c>
      <c r="E521" s="51" t="s">
        <v>916</v>
      </c>
      <c r="F521" s="51" t="s">
        <v>982</v>
      </c>
      <c r="G521" s="148">
        <v>1</v>
      </c>
      <c r="H521" s="823"/>
      <c r="I521" s="823"/>
      <c r="J521" s="823"/>
      <c r="K521" s="823"/>
      <c r="L521" s="823"/>
      <c r="M521" s="823"/>
      <c r="N521" s="823"/>
      <c r="O521" s="823"/>
      <c r="P521" s="823"/>
      <c r="Q521" s="823"/>
      <c r="R521" s="823"/>
      <c r="S521" s="823"/>
      <c r="T521" s="823"/>
      <c r="U521" s="823"/>
      <c r="V521" s="823"/>
      <c r="W521" s="823"/>
      <c r="X521" s="823"/>
      <c r="Y521" s="823"/>
      <c r="Z521" s="823"/>
      <c r="AA521" s="823"/>
      <c r="AB521" s="823"/>
      <c r="AC521" s="823"/>
      <c r="AD521" s="823"/>
      <c r="AE521" s="56">
        <v>0</v>
      </c>
      <c r="AF521" s="823"/>
      <c r="AG521" s="56">
        <v>0.04</v>
      </c>
      <c r="AH521" s="149">
        <v>0.04</v>
      </c>
    </row>
    <row r="522" spans="1:34" ht="15.75" thickBot="1" x14ac:dyDescent="0.3">
      <c r="A522" s="51" t="s">
        <v>1030</v>
      </c>
      <c r="B522" s="51" t="s">
        <v>1043</v>
      </c>
      <c r="C522" s="51" t="s">
        <v>1044</v>
      </c>
      <c r="D522" s="51" t="s">
        <v>320</v>
      </c>
      <c r="E522" s="51" t="s">
        <v>1037</v>
      </c>
      <c r="F522" s="51" t="s">
        <v>970</v>
      </c>
      <c r="G522" s="148">
        <v>2</v>
      </c>
      <c r="H522" s="823"/>
      <c r="I522" s="823"/>
      <c r="J522" s="823"/>
      <c r="K522" s="823"/>
      <c r="L522" s="823"/>
      <c r="M522" s="823"/>
      <c r="N522" s="823"/>
      <c r="O522" s="823"/>
      <c r="P522" s="823"/>
      <c r="Q522" s="823"/>
      <c r="R522" s="823"/>
      <c r="S522" s="823"/>
      <c r="T522" s="823"/>
      <c r="U522" s="823"/>
      <c r="V522" s="823"/>
      <c r="W522" s="823"/>
      <c r="X522" s="823"/>
      <c r="Y522" s="823"/>
      <c r="Z522" s="823"/>
      <c r="AA522" s="823"/>
      <c r="AB522" s="823"/>
      <c r="AC522" s="823"/>
      <c r="AD522" s="823"/>
      <c r="AE522" s="56">
        <v>12.06</v>
      </c>
      <c r="AF522" s="823"/>
      <c r="AG522" s="56">
        <v>213.17</v>
      </c>
      <c r="AH522" s="149">
        <v>201.11</v>
      </c>
    </row>
    <row r="523" spans="1:34" ht="15.75" thickBot="1" x14ac:dyDescent="0.3">
      <c r="A523" s="51" t="s">
        <v>1030</v>
      </c>
      <c r="B523" s="51" t="s">
        <v>1043</v>
      </c>
      <c r="C523" s="51" t="s">
        <v>1044</v>
      </c>
      <c r="D523" s="51" t="s">
        <v>320</v>
      </c>
      <c r="E523" s="51" t="s">
        <v>325</v>
      </c>
      <c r="F523" s="51" t="s">
        <v>974</v>
      </c>
      <c r="G523" s="148">
        <v>1</v>
      </c>
      <c r="H523" s="823"/>
      <c r="I523" s="823"/>
      <c r="J523" s="823"/>
      <c r="K523" s="823"/>
      <c r="L523" s="823"/>
      <c r="M523" s="823"/>
      <c r="N523" s="823"/>
      <c r="O523" s="823"/>
      <c r="P523" s="823"/>
      <c r="Q523" s="823"/>
      <c r="R523" s="823"/>
      <c r="S523" s="823"/>
      <c r="T523" s="823"/>
      <c r="U523" s="823"/>
      <c r="V523" s="823"/>
      <c r="W523" s="56">
        <v>0.2</v>
      </c>
      <c r="X523" s="823"/>
      <c r="Y523" s="823"/>
      <c r="Z523" s="823"/>
      <c r="AA523" s="823"/>
      <c r="AB523" s="823"/>
      <c r="AC523" s="823"/>
      <c r="AD523" s="823"/>
      <c r="AE523" s="56">
        <v>0.01</v>
      </c>
      <c r="AF523" s="823"/>
      <c r="AG523" s="56">
        <v>0.21</v>
      </c>
      <c r="AH523" s="56">
        <v>0</v>
      </c>
    </row>
    <row r="524" spans="1:34" ht="15.75" thickBot="1" x14ac:dyDescent="0.3">
      <c r="A524" s="51" t="s">
        <v>1030</v>
      </c>
      <c r="B524" s="51" t="s">
        <v>1043</v>
      </c>
      <c r="C524" s="51" t="s">
        <v>1044</v>
      </c>
      <c r="D524" s="51" t="s">
        <v>320</v>
      </c>
      <c r="E524" s="51" t="s">
        <v>268</v>
      </c>
      <c r="F524" s="51" t="s">
        <v>971</v>
      </c>
      <c r="G524" s="148">
        <v>2</v>
      </c>
      <c r="H524" s="823"/>
      <c r="I524" s="823"/>
      <c r="J524" s="823"/>
      <c r="K524" s="823"/>
      <c r="L524" s="823"/>
      <c r="M524" s="823"/>
      <c r="N524" s="823"/>
      <c r="O524" s="823"/>
      <c r="P524" s="823"/>
      <c r="Q524" s="823"/>
      <c r="R524" s="823"/>
      <c r="S524" s="823"/>
      <c r="T524" s="823"/>
      <c r="U524" s="823"/>
      <c r="V524" s="823"/>
      <c r="W524" s="823"/>
      <c r="X524" s="823"/>
      <c r="Y524" s="823"/>
      <c r="Z524" s="823"/>
      <c r="AA524" s="823"/>
      <c r="AB524" s="823"/>
      <c r="AC524" s="56">
        <v>1100</v>
      </c>
      <c r="AD524" s="823"/>
      <c r="AE524" s="56">
        <v>66</v>
      </c>
      <c r="AF524" s="823"/>
      <c r="AG524" s="56">
        <v>1166</v>
      </c>
      <c r="AH524" s="56">
        <v>0</v>
      </c>
    </row>
    <row r="525" spans="1:34" ht="15.75" thickBot="1" x14ac:dyDescent="0.3">
      <c r="A525" s="51" t="s">
        <v>1030</v>
      </c>
      <c r="B525" s="51" t="s">
        <v>1043</v>
      </c>
      <c r="C525" s="51" t="s">
        <v>1044</v>
      </c>
      <c r="D525" s="51" t="s">
        <v>320</v>
      </c>
      <c r="E525" s="51" t="s">
        <v>914</v>
      </c>
      <c r="F525" s="51" t="s">
        <v>266</v>
      </c>
      <c r="G525" s="148">
        <v>2</v>
      </c>
      <c r="H525" s="823"/>
      <c r="I525" s="823"/>
      <c r="J525" s="823"/>
      <c r="K525" s="823"/>
      <c r="L525" s="823"/>
      <c r="M525" s="823"/>
      <c r="N525" s="823"/>
      <c r="O525" s="823"/>
      <c r="P525" s="823"/>
      <c r="Q525" s="823"/>
      <c r="R525" s="823"/>
      <c r="S525" s="823"/>
      <c r="T525" s="823"/>
      <c r="U525" s="823"/>
      <c r="V525" s="823"/>
      <c r="W525" s="823"/>
      <c r="X525" s="823"/>
      <c r="Y525" s="56">
        <v>8486.6</v>
      </c>
      <c r="Z525" s="823"/>
      <c r="AA525" s="823"/>
      <c r="AB525" s="823"/>
      <c r="AC525" s="823"/>
      <c r="AD525" s="823"/>
      <c r="AE525" s="56">
        <v>509.2</v>
      </c>
      <c r="AF525" s="823"/>
      <c r="AG525" s="56">
        <v>8995.7999999999993</v>
      </c>
      <c r="AH525" s="56">
        <v>0</v>
      </c>
    </row>
    <row r="526" spans="1:34" ht="15.75" thickBot="1" x14ac:dyDescent="0.3">
      <c r="A526" s="51" t="s">
        <v>1030</v>
      </c>
      <c r="B526" s="51" t="s">
        <v>1043</v>
      </c>
      <c r="C526" s="51" t="s">
        <v>1044</v>
      </c>
      <c r="D526" s="51" t="s">
        <v>320</v>
      </c>
      <c r="E526" s="51" t="s">
        <v>1038</v>
      </c>
      <c r="F526" s="51" t="s">
        <v>976</v>
      </c>
      <c r="G526" s="148">
        <v>2</v>
      </c>
      <c r="H526" s="823"/>
      <c r="I526" s="823"/>
      <c r="J526" s="823"/>
      <c r="K526" s="823"/>
      <c r="L526" s="823"/>
      <c r="M526" s="823"/>
      <c r="N526" s="823"/>
      <c r="O526" s="823"/>
      <c r="P526" s="823"/>
      <c r="Q526" s="823"/>
      <c r="R526" s="823"/>
      <c r="S526" s="823"/>
      <c r="T526" s="823"/>
      <c r="U526" s="823"/>
      <c r="V526" s="823"/>
      <c r="W526" s="823"/>
      <c r="X526" s="823"/>
      <c r="Y526" s="823"/>
      <c r="Z526" s="823"/>
      <c r="AA526" s="823"/>
      <c r="AB526" s="823"/>
      <c r="AC526" s="823"/>
      <c r="AD526" s="823"/>
      <c r="AE526" s="56">
        <v>44.08</v>
      </c>
      <c r="AF526" s="823"/>
      <c r="AG526" s="56">
        <v>778.71</v>
      </c>
      <c r="AH526" s="149">
        <v>734.63</v>
      </c>
    </row>
    <row r="527" spans="1:34" ht="15.75" thickBot="1" x14ac:dyDescent="0.3">
      <c r="A527" s="51" t="s">
        <v>1030</v>
      </c>
      <c r="B527" s="51" t="s">
        <v>1043</v>
      </c>
      <c r="C527" s="51" t="s">
        <v>1044</v>
      </c>
      <c r="D527" s="51" t="s">
        <v>320</v>
      </c>
      <c r="E527" s="51" t="s">
        <v>329</v>
      </c>
      <c r="F527" s="51" t="s">
        <v>975</v>
      </c>
      <c r="G527" s="148">
        <v>2</v>
      </c>
      <c r="H527" s="823"/>
      <c r="I527" s="823"/>
      <c r="J527" s="823"/>
      <c r="K527" s="823"/>
      <c r="L527" s="823"/>
      <c r="M527" s="823"/>
      <c r="N527" s="823"/>
      <c r="O527" s="823"/>
      <c r="P527" s="823"/>
      <c r="Q527" s="823"/>
      <c r="R527" s="823"/>
      <c r="S527" s="823"/>
      <c r="T527" s="823"/>
      <c r="U527" s="823"/>
      <c r="V527" s="823"/>
      <c r="W527" s="823"/>
      <c r="X527" s="823"/>
      <c r="Y527" s="56">
        <v>314.61</v>
      </c>
      <c r="Z527" s="823"/>
      <c r="AA527" s="823"/>
      <c r="AB527" s="823"/>
      <c r="AC527" s="823"/>
      <c r="AD527" s="56">
        <v>314.61</v>
      </c>
      <c r="AE527" s="56">
        <v>18.88</v>
      </c>
      <c r="AF527" s="823"/>
      <c r="AG527" s="56">
        <v>333.49</v>
      </c>
      <c r="AH527" s="149">
        <v>-314.61</v>
      </c>
    </row>
    <row r="528" spans="1:34" ht="15.75" thickBot="1" x14ac:dyDescent="0.3">
      <c r="A528" s="51" t="s">
        <v>1030</v>
      </c>
      <c r="B528" s="51" t="s">
        <v>1048</v>
      </c>
      <c r="C528" s="51" t="s">
        <v>1049</v>
      </c>
      <c r="D528" s="51" t="s">
        <v>320</v>
      </c>
      <c r="E528" s="51" t="s">
        <v>272</v>
      </c>
      <c r="F528" s="51" t="s">
        <v>969</v>
      </c>
      <c r="G528" s="147">
        <v>46</v>
      </c>
      <c r="H528" s="822"/>
      <c r="I528" s="822"/>
      <c r="J528" s="822"/>
      <c r="K528" s="822"/>
      <c r="L528" s="822"/>
      <c r="M528" s="822"/>
      <c r="N528" s="822"/>
      <c r="O528" s="822"/>
      <c r="P528" s="822"/>
      <c r="Q528" s="822"/>
      <c r="R528" s="822"/>
      <c r="S528" s="822"/>
      <c r="T528" s="822"/>
      <c r="U528" s="822"/>
      <c r="V528" s="822"/>
      <c r="W528" s="822"/>
      <c r="X528" s="822"/>
      <c r="Y528" s="54">
        <v>34500</v>
      </c>
      <c r="Z528" s="822"/>
      <c r="AA528" s="822"/>
      <c r="AB528" s="822"/>
      <c r="AC528" s="822"/>
      <c r="AD528" s="822"/>
      <c r="AE528" s="54">
        <v>1514.22</v>
      </c>
      <c r="AF528" s="822"/>
      <c r="AG528" s="54">
        <v>36014.22</v>
      </c>
      <c r="AH528" s="54">
        <v>0</v>
      </c>
    </row>
    <row r="529" spans="1:34" ht="15.75" thickBot="1" x14ac:dyDescent="0.3">
      <c r="A529" s="51" t="s">
        <v>1030</v>
      </c>
      <c r="B529" s="51" t="s">
        <v>1048</v>
      </c>
      <c r="C529" s="51" t="s">
        <v>1049</v>
      </c>
      <c r="D529" s="51" t="s">
        <v>320</v>
      </c>
      <c r="E529" s="51" t="s">
        <v>1036</v>
      </c>
      <c r="F529" s="51" t="s">
        <v>266</v>
      </c>
      <c r="G529" s="147">
        <v>45</v>
      </c>
      <c r="H529" s="822"/>
      <c r="I529" s="822"/>
      <c r="J529" s="822"/>
      <c r="K529" s="822"/>
      <c r="L529" s="822"/>
      <c r="M529" s="822"/>
      <c r="N529" s="822"/>
      <c r="O529" s="822"/>
      <c r="P529" s="822"/>
      <c r="Q529" s="822"/>
      <c r="R529" s="822"/>
      <c r="S529" s="822"/>
      <c r="T529" s="822"/>
      <c r="U529" s="822"/>
      <c r="V529" s="822"/>
      <c r="W529" s="822"/>
      <c r="X529" s="822"/>
      <c r="Y529" s="54">
        <v>24275.18</v>
      </c>
      <c r="Z529" s="822"/>
      <c r="AA529" s="822"/>
      <c r="AB529" s="822"/>
      <c r="AC529" s="822"/>
      <c r="AD529" s="822"/>
      <c r="AE529" s="54">
        <v>1064.6400000000001</v>
      </c>
      <c r="AF529" s="822"/>
      <c r="AG529" s="54">
        <v>25339.82</v>
      </c>
      <c r="AH529" s="54">
        <v>0</v>
      </c>
    </row>
    <row r="530" spans="1:34" ht="15.75" thickBot="1" x14ac:dyDescent="0.3">
      <c r="A530" s="51" t="s">
        <v>1030</v>
      </c>
      <c r="B530" s="51" t="s">
        <v>1048</v>
      </c>
      <c r="C530" s="51" t="s">
        <v>1049</v>
      </c>
      <c r="D530" s="51" t="s">
        <v>320</v>
      </c>
      <c r="E530" s="51" t="s">
        <v>1037</v>
      </c>
      <c r="F530" s="51" t="s">
        <v>970</v>
      </c>
      <c r="G530" s="147">
        <v>45</v>
      </c>
      <c r="H530" s="822"/>
      <c r="I530" s="822"/>
      <c r="J530" s="822"/>
      <c r="K530" s="822"/>
      <c r="L530" s="822"/>
      <c r="M530" s="822"/>
      <c r="N530" s="822"/>
      <c r="O530" s="822"/>
      <c r="P530" s="822"/>
      <c r="Q530" s="822"/>
      <c r="R530" s="822"/>
      <c r="S530" s="822"/>
      <c r="T530" s="822"/>
      <c r="U530" s="822"/>
      <c r="V530" s="822"/>
      <c r="W530" s="822"/>
      <c r="X530" s="822"/>
      <c r="Y530" s="822"/>
      <c r="Z530" s="822"/>
      <c r="AA530" s="822"/>
      <c r="AB530" s="822"/>
      <c r="AC530" s="822"/>
      <c r="AD530" s="822"/>
      <c r="AE530" s="54">
        <v>274.58</v>
      </c>
      <c r="AF530" s="822"/>
      <c r="AG530" s="54">
        <v>6535.02</v>
      </c>
      <c r="AH530" s="149">
        <v>6260.44</v>
      </c>
    </row>
    <row r="531" spans="1:34" ht="15.75" thickBot="1" x14ac:dyDescent="0.3">
      <c r="A531" s="51" t="s">
        <v>1030</v>
      </c>
      <c r="B531" s="51" t="s">
        <v>1048</v>
      </c>
      <c r="C531" s="51" t="s">
        <v>1049</v>
      </c>
      <c r="D531" s="51" t="s">
        <v>320</v>
      </c>
      <c r="E531" s="51" t="s">
        <v>325</v>
      </c>
      <c r="F531" s="51" t="s">
        <v>974</v>
      </c>
      <c r="G531" s="147">
        <v>14</v>
      </c>
      <c r="H531" s="822"/>
      <c r="I531" s="822"/>
      <c r="J531" s="822"/>
      <c r="K531" s="822"/>
      <c r="L531" s="822"/>
      <c r="M531" s="822"/>
      <c r="N531" s="822"/>
      <c r="O531" s="822"/>
      <c r="P531" s="822"/>
      <c r="Q531" s="822"/>
      <c r="R531" s="822"/>
      <c r="S531" s="822"/>
      <c r="T531" s="822"/>
      <c r="U531" s="822"/>
      <c r="V531" s="822"/>
      <c r="W531" s="54">
        <v>218.18</v>
      </c>
      <c r="X531" s="822"/>
      <c r="Y531" s="822"/>
      <c r="Z531" s="822"/>
      <c r="AA531" s="822"/>
      <c r="AB531" s="822"/>
      <c r="AC531" s="822"/>
      <c r="AD531" s="822"/>
      <c r="AE531" s="54">
        <v>6.4</v>
      </c>
      <c r="AF531" s="822"/>
      <c r="AG531" s="54">
        <v>224.58</v>
      </c>
      <c r="AH531" s="54">
        <v>0</v>
      </c>
    </row>
    <row r="532" spans="1:34" ht="15.75" thickBot="1" x14ac:dyDescent="0.3">
      <c r="A532" s="51" t="s">
        <v>1030</v>
      </c>
      <c r="B532" s="51" t="s">
        <v>1048</v>
      </c>
      <c r="C532" s="51" t="s">
        <v>1049</v>
      </c>
      <c r="D532" s="51" t="s">
        <v>320</v>
      </c>
      <c r="E532" s="51" t="s">
        <v>268</v>
      </c>
      <c r="F532" s="51" t="s">
        <v>971</v>
      </c>
      <c r="G532" s="147">
        <v>46</v>
      </c>
      <c r="H532" s="822"/>
      <c r="I532" s="822"/>
      <c r="J532" s="822"/>
      <c r="K532" s="822"/>
      <c r="L532" s="822"/>
      <c r="M532" s="822"/>
      <c r="N532" s="822"/>
      <c r="O532" s="822"/>
      <c r="P532" s="822"/>
      <c r="Q532" s="822"/>
      <c r="R532" s="822"/>
      <c r="S532" s="822"/>
      <c r="T532" s="822"/>
      <c r="U532" s="822"/>
      <c r="V532" s="822"/>
      <c r="W532" s="822"/>
      <c r="X532" s="822"/>
      <c r="Y532" s="822"/>
      <c r="Z532" s="822"/>
      <c r="AA532" s="822"/>
      <c r="AB532" s="822"/>
      <c r="AC532" s="54">
        <v>25300</v>
      </c>
      <c r="AD532" s="822"/>
      <c r="AE532" s="54">
        <v>1110.45</v>
      </c>
      <c r="AF532" s="822"/>
      <c r="AG532" s="54">
        <v>26410.45</v>
      </c>
      <c r="AH532" s="54">
        <v>0</v>
      </c>
    </row>
    <row r="533" spans="1:34" ht="15.75" thickBot="1" x14ac:dyDescent="0.3">
      <c r="A533" s="51" t="s">
        <v>1030</v>
      </c>
      <c r="B533" s="51" t="s">
        <v>1048</v>
      </c>
      <c r="C533" s="51" t="s">
        <v>1049</v>
      </c>
      <c r="D533" s="51" t="s">
        <v>320</v>
      </c>
      <c r="E533" s="51" t="s">
        <v>914</v>
      </c>
      <c r="F533" s="51" t="s">
        <v>266</v>
      </c>
      <c r="G533" s="147">
        <v>46</v>
      </c>
      <c r="H533" s="822"/>
      <c r="I533" s="822"/>
      <c r="J533" s="822"/>
      <c r="K533" s="822"/>
      <c r="L533" s="822"/>
      <c r="M533" s="822"/>
      <c r="N533" s="822"/>
      <c r="O533" s="822"/>
      <c r="P533" s="822"/>
      <c r="Q533" s="822"/>
      <c r="R533" s="822"/>
      <c r="S533" s="822"/>
      <c r="T533" s="822"/>
      <c r="U533" s="822"/>
      <c r="V533" s="822"/>
      <c r="W533" s="822"/>
      <c r="X533" s="822"/>
      <c r="Y533" s="54">
        <v>311483.25</v>
      </c>
      <c r="Z533" s="822"/>
      <c r="AA533" s="822"/>
      <c r="AB533" s="822"/>
      <c r="AC533" s="822"/>
      <c r="AD533" s="822"/>
      <c r="AE533" s="54">
        <v>13863.49</v>
      </c>
      <c r="AF533" s="822"/>
      <c r="AG533" s="54">
        <v>325346.74</v>
      </c>
      <c r="AH533" s="54">
        <v>0</v>
      </c>
    </row>
    <row r="534" spans="1:34" ht="15.75" thickBot="1" x14ac:dyDescent="0.3">
      <c r="A534" s="51" t="s">
        <v>1030</v>
      </c>
      <c r="B534" s="51" t="s">
        <v>1048</v>
      </c>
      <c r="C534" s="51" t="s">
        <v>1049</v>
      </c>
      <c r="D534" s="51" t="s">
        <v>319</v>
      </c>
      <c r="E534" s="51" t="s">
        <v>272</v>
      </c>
      <c r="F534" s="51" t="s">
        <v>969</v>
      </c>
      <c r="G534" s="148">
        <v>2</v>
      </c>
      <c r="H534" s="823"/>
      <c r="I534" s="823"/>
      <c r="J534" s="823"/>
      <c r="K534" s="823"/>
      <c r="L534" s="823"/>
      <c r="M534" s="823"/>
      <c r="N534" s="823"/>
      <c r="O534" s="823"/>
      <c r="P534" s="823"/>
      <c r="Q534" s="823"/>
      <c r="R534" s="823"/>
      <c r="S534" s="823"/>
      <c r="T534" s="823"/>
      <c r="U534" s="823"/>
      <c r="V534" s="823"/>
      <c r="W534" s="823"/>
      <c r="X534" s="823"/>
      <c r="Y534" s="56">
        <v>1500</v>
      </c>
      <c r="Z534" s="823"/>
      <c r="AA534" s="823"/>
      <c r="AB534" s="823"/>
      <c r="AC534" s="823"/>
      <c r="AD534" s="823"/>
      <c r="AE534" s="56">
        <v>0</v>
      </c>
      <c r="AF534" s="823"/>
      <c r="AG534" s="56">
        <v>1500</v>
      </c>
      <c r="AH534" s="56">
        <v>0</v>
      </c>
    </row>
    <row r="535" spans="1:34" ht="15.75" thickBot="1" x14ac:dyDescent="0.3">
      <c r="A535" s="51" t="s">
        <v>1030</v>
      </c>
      <c r="B535" s="51" t="s">
        <v>1048</v>
      </c>
      <c r="C535" s="51" t="s">
        <v>1049</v>
      </c>
      <c r="D535" s="51" t="s">
        <v>319</v>
      </c>
      <c r="E535" s="51" t="s">
        <v>1036</v>
      </c>
      <c r="F535" s="51" t="s">
        <v>266</v>
      </c>
      <c r="G535" s="148">
        <v>2</v>
      </c>
      <c r="H535" s="823"/>
      <c r="I535" s="823"/>
      <c r="J535" s="823"/>
      <c r="K535" s="823"/>
      <c r="L535" s="823"/>
      <c r="M535" s="823"/>
      <c r="N535" s="823"/>
      <c r="O535" s="823"/>
      <c r="P535" s="823"/>
      <c r="Q535" s="823"/>
      <c r="R535" s="823"/>
      <c r="S535" s="823"/>
      <c r="T535" s="823"/>
      <c r="U535" s="823"/>
      <c r="V535" s="823"/>
      <c r="W535" s="823"/>
      <c r="X535" s="823"/>
      <c r="Y535" s="56">
        <v>1853.23</v>
      </c>
      <c r="Z535" s="823"/>
      <c r="AA535" s="823"/>
      <c r="AB535" s="823"/>
      <c r="AC535" s="823"/>
      <c r="AD535" s="823"/>
      <c r="AE535" s="56">
        <v>0</v>
      </c>
      <c r="AF535" s="823"/>
      <c r="AG535" s="56">
        <v>1853.23</v>
      </c>
      <c r="AH535" s="56">
        <v>0</v>
      </c>
    </row>
    <row r="536" spans="1:34" ht="15.75" thickBot="1" x14ac:dyDescent="0.3">
      <c r="A536" s="51" t="s">
        <v>1030</v>
      </c>
      <c r="B536" s="51" t="s">
        <v>1048</v>
      </c>
      <c r="C536" s="51" t="s">
        <v>1049</v>
      </c>
      <c r="D536" s="51" t="s">
        <v>319</v>
      </c>
      <c r="E536" s="51" t="s">
        <v>1037</v>
      </c>
      <c r="F536" s="51" t="s">
        <v>970</v>
      </c>
      <c r="G536" s="148">
        <v>2</v>
      </c>
      <c r="H536" s="823"/>
      <c r="I536" s="823"/>
      <c r="J536" s="823"/>
      <c r="K536" s="823"/>
      <c r="L536" s="823"/>
      <c r="M536" s="823"/>
      <c r="N536" s="823"/>
      <c r="O536" s="823"/>
      <c r="P536" s="823"/>
      <c r="Q536" s="823"/>
      <c r="R536" s="823"/>
      <c r="S536" s="823"/>
      <c r="T536" s="823"/>
      <c r="U536" s="823"/>
      <c r="V536" s="823"/>
      <c r="W536" s="823"/>
      <c r="X536" s="823"/>
      <c r="Y536" s="823"/>
      <c r="Z536" s="823"/>
      <c r="AA536" s="823"/>
      <c r="AB536" s="823"/>
      <c r="AC536" s="823"/>
      <c r="AD536" s="823"/>
      <c r="AE536" s="56">
        <v>0</v>
      </c>
      <c r="AF536" s="823"/>
      <c r="AG536" s="56">
        <v>477.93</v>
      </c>
      <c r="AH536" s="149">
        <v>477.93</v>
      </c>
    </row>
    <row r="537" spans="1:34" ht="15.75" thickBot="1" x14ac:dyDescent="0.3">
      <c r="A537" s="51" t="s">
        <v>1030</v>
      </c>
      <c r="B537" s="51" t="s">
        <v>1048</v>
      </c>
      <c r="C537" s="51" t="s">
        <v>1049</v>
      </c>
      <c r="D537" s="51" t="s">
        <v>319</v>
      </c>
      <c r="E537" s="51" t="s">
        <v>325</v>
      </c>
      <c r="F537" s="51" t="s">
        <v>974</v>
      </c>
      <c r="G537" s="148">
        <v>1</v>
      </c>
      <c r="H537" s="823"/>
      <c r="I537" s="823"/>
      <c r="J537" s="823"/>
      <c r="K537" s="823"/>
      <c r="L537" s="823"/>
      <c r="M537" s="823"/>
      <c r="N537" s="823"/>
      <c r="O537" s="823"/>
      <c r="P537" s="823"/>
      <c r="Q537" s="823"/>
      <c r="R537" s="823"/>
      <c r="S537" s="823"/>
      <c r="T537" s="823"/>
      <c r="U537" s="823"/>
      <c r="V537" s="823"/>
      <c r="W537" s="56">
        <v>7.31</v>
      </c>
      <c r="X537" s="823"/>
      <c r="Y537" s="823"/>
      <c r="Z537" s="823"/>
      <c r="AA537" s="823"/>
      <c r="AB537" s="823"/>
      <c r="AC537" s="823"/>
      <c r="AD537" s="823"/>
      <c r="AE537" s="56">
        <v>0</v>
      </c>
      <c r="AF537" s="823"/>
      <c r="AG537" s="56">
        <v>7.31</v>
      </c>
      <c r="AH537" s="56">
        <v>0</v>
      </c>
    </row>
    <row r="538" spans="1:34" ht="15.75" thickBot="1" x14ac:dyDescent="0.3">
      <c r="A538" s="51" t="s">
        <v>1030</v>
      </c>
      <c r="B538" s="51" t="s">
        <v>1048</v>
      </c>
      <c r="C538" s="51" t="s">
        <v>1049</v>
      </c>
      <c r="D538" s="51" t="s">
        <v>319</v>
      </c>
      <c r="E538" s="51" t="s">
        <v>268</v>
      </c>
      <c r="F538" s="51" t="s">
        <v>971</v>
      </c>
      <c r="G538" s="148">
        <v>2</v>
      </c>
      <c r="H538" s="823"/>
      <c r="I538" s="823"/>
      <c r="J538" s="823"/>
      <c r="K538" s="823"/>
      <c r="L538" s="823"/>
      <c r="M538" s="823"/>
      <c r="N538" s="823"/>
      <c r="O538" s="823"/>
      <c r="P538" s="823"/>
      <c r="Q538" s="823"/>
      <c r="R538" s="823"/>
      <c r="S538" s="823"/>
      <c r="T538" s="823"/>
      <c r="U538" s="823"/>
      <c r="V538" s="823"/>
      <c r="W538" s="823"/>
      <c r="X538" s="823"/>
      <c r="Y538" s="823"/>
      <c r="Z538" s="823"/>
      <c r="AA538" s="823"/>
      <c r="AB538" s="823"/>
      <c r="AC538" s="56">
        <v>1100</v>
      </c>
      <c r="AD538" s="823"/>
      <c r="AE538" s="56">
        <v>0</v>
      </c>
      <c r="AF538" s="823"/>
      <c r="AG538" s="56">
        <v>1100</v>
      </c>
      <c r="AH538" s="56">
        <v>0</v>
      </c>
    </row>
    <row r="539" spans="1:34" ht="15.75" thickBot="1" x14ac:dyDescent="0.3">
      <c r="A539" s="51" t="s">
        <v>1030</v>
      </c>
      <c r="B539" s="51" t="s">
        <v>1048</v>
      </c>
      <c r="C539" s="51" t="s">
        <v>1049</v>
      </c>
      <c r="D539" s="51" t="s">
        <v>319</v>
      </c>
      <c r="E539" s="51" t="s">
        <v>914</v>
      </c>
      <c r="F539" s="51" t="s">
        <v>266</v>
      </c>
      <c r="G539" s="148">
        <v>2</v>
      </c>
      <c r="H539" s="823"/>
      <c r="I539" s="823"/>
      <c r="J539" s="823"/>
      <c r="K539" s="823"/>
      <c r="L539" s="823"/>
      <c r="M539" s="823"/>
      <c r="N539" s="823"/>
      <c r="O539" s="823"/>
      <c r="P539" s="823"/>
      <c r="Q539" s="823"/>
      <c r="R539" s="823"/>
      <c r="S539" s="823"/>
      <c r="T539" s="823"/>
      <c r="U539" s="823"/>
      <c r="V539" s="823"/>
      <c r="W539" s="823"/>
      <c r="X539" s="823"/>
      <c r="Y539" s="56">
        <v>18788.36</v>
      </c>
      <c r="Z539" s="823"/>
      <c r="AA539" s="823"/>
      <c r="AB539" s="823"/>
      <c r="AC539" s="823"/>
      <c r="AD539" s="823"/>
      <c r="AE539" s="56">
        <v>0</v>
      </c>
      <c r="AF539" s="823"/>
      <c r="AG539" s="56">
        <v>18788.36</v>
      </c>
      <c r="AH539" s="56">
        <v>0</v>
      </c>
    </row>
    <row r="540" spans="1:34" ht="23.25" thickBot="1" x14ac:dyDescent="0.3">
      <c r="A540" s="51" t="s">
        <v>1030</v>
      </c>
      <c r="B540" s="51" t="s">
        <v>1050</v>
      </c>
      <c r="C540" s="51" t="s">
        <v>1051</v>
      </c>
      <c r="D540" s="51" t="s">
        <v>320</v>
      </c>
      <c r="E540" s="51" t="s">
        <v>356</v>
      </c>
      <c r="F540" s="51" t="s">
        <v>337</v>
      </c>
      <c r="G540" s="148">
        <v>1</v>
      </c>
      <c r="H540" s="823"/>
      <c r="I540" s="823"/>
      <c r="J540" s="823"/>
      <c r="K540" s="823"/>
      <c r="L540" s="823"/>
      <c r="M540" s="56">
        <v>1302.51</v>
      </c>
      <c r="N540" s="823"/>
      <c r="O540" s="823"/>
      <c r="P540" s="823"/>
      <c r="Q540" s="823"/>
      <c r="R540" s="823"/>
      <c r="S540" s="823"/>
      <c r="T540" s="823"/>
      <c r="U540" s="823"/>
      <c r="V540" s="823"/>
      <c r="W540" s="823"/>
      <c r="X540" s="823"/>
      <c r="Y540" s="823"/>
      <c r="Z540" s="823"/>
      <c r="AA540" s="823"/>
      <c r="AB540" s="823"/>
      <c r="AC540" s="823"/>
      <c r="AD540" s="823"/>
      <c r="AE540" s="56">
        <v>0</v>
      </c>
      <c r="AF540" s="823"/>
      <c r="AG540" s="56">
        <v>1302.51</v>
      </c>
      <c r="AH540" s="56">
        <v>0</v>
      </c>
    </row>
    <row r="541" spans="1:34" ht="23.25" thickBot="1" x14ac:dyDescent="0.3">
      <c r="A541" s="51" t="s">
        <v>1030</v>
      </c>
      <c r="B541" s="51" t="s">
        <v>1050</v>
      </c>
      <c r="C541" s="51" t="s">
        <v>1051</v>
      </c>
      <c r="D541" s="51" t="s">
        <v>320</v>
      </c>
      <c r="E541" s="51" t="s">
        <v>272</v>
      </c>
      <c r="F541" s="51" t="s">
        <v>969</v>
      </c>
      <c r="G541" s="148">
        <v>1</v>
      </c>
      <c r="H541" s="823"/>
      <c r="I541" s="823"/>
      <c r="J541" s="823"/>
      <c r="K541" s="823"/>
      <c r="L541" s="823"/>
      <c r="M541" s="823"/>
      <c r="N541" s="823"/>
      <c r="O541" s="823"/>
      <c r="P541" s="823"/>
      <c r="Q541" s="823"/>
      <c r="R541" s="823"/>
      <c r="S541" s="823"/>
      <c r="T541" s="823"/>
      <c r="U541" s="823"/>
      <c r="V541" s="823"/>
      <c r="W541" s="823"/>
      <c r="X541" s="823"/>
      <c r="Y541" s="56">
        <v>500</v>
      </c>
      <c r="Z541" s="823"/>
      <c r="AA541" s="823"/>
      <c r="AB541" s="823"/>
      <c r="AC541" s="823"/>
      <c r="AD541" s="823"/>
      <c r="AE541" s="56">
        <v>0</v>
      </c>
      <c r="AF541" s="823"/>
      <c r="AG541" s="56">
        <v>500</v>
      </c>
      <c r="AH541" s="56">
        <v>0</v>
      </c>
    </row>
    <row r="542" spans="1:34" ht="23.25" thickBot="1" x14ac:dyDescent="0.3">
      <c r="A542" s="51" t="s">
        <v>1030</v>
      </c>
      <c r="B542" s="51" t="s">
        <v>1050</v>
      </c>
      <c r="C542" s="51" t="s">
        <v>1051</v>
      </c>
      <c r="D542" s="51" t="s">
        <v>320</v>
      </c>
      <c r="E542" s="51" t="s">
        <v>1036</v>
      </c>
      <c r="F542" s="51" t="s">
        <v>266</v>
      </c>
      <c r="G542" s="148">
        <v>1</v>
      </c>
      <c r="H542" s="823"/>
      <c r="I542" s="823"/>
      <c r="J542" s="823"/>
      <c r="K542" s="823"/>
      <c r="L542" s="823"/>
      <c r="M542" s="823"/>
      <c r="N542" s="823"/>
      <c r="O542" s="823"/>
      <c r="P542" s="823"/>
      <c r="Q542" s="823"/>
      <c r="R542" s="823"/>
      <c r="S542" s="823"/>
      <c r="T542" s="823"/>
      <c r="U542" s="823"/>
      <c r="V542" s="823"/>
      <c r="W542" s="823"/>
      <c r="X542" s="823"/>
      <c r="Y542" s="56">
        <v>22008.92</v>
      </c>
      <c r="Z542" s="823"/>
      <c r="AA542" s="823"/>
      <c r="AB542" s="823"/>
      <c r="AC542" s="823"/>
      <c r="AD542" s="823"/>
      <c r="AE542" s="56">
        <v>0</v>
      </c>
      <c r="AF542" s="823"/>
      <c r="AG542" s="56">
        <v>22008.92</v>
      </c>
      <c r="AH542" s="56">
        <v>0</v>
      </c>
    </row>
    <row r="543" spans="1:34" ht="23.25" thickBot="1" x14ac:dyDescent="0.3">
      <c r="A543" s="51" t="s">
        <v>1030</v>
      </c>
      <c r="B543" s="51" t="s">
        <v>1050</v>
      </c>
      <c r="C543" s="51" t="s">
        <v>1051</v>
      </c>
      <c r="D543" s="51" t="s">
        <v>320</v>
      </c>
      <c r="E543" s="51" t="s">
        <v>1052</v>
      </c>
      <c r="F543" s="51" t="s">
        <v>978</v>
      </c>
      <c r="G543" s="148">
        <v>1</v>
      </c>
      <c r="H543" s="823"/>
      <c r="I543" s="823"/>
      <c r="J543" s="823"/>
      <c r="K543" s="823"/>
      <c r="L543" s="823"/>
      <c r="M543" s="823"/>
      <c r="N543" s="823"/>
      <c r="O543" s="823"/>
      <c r="P543" s="823"/>
      <c r="Q543" s="823"/>
      <c r="R543" s="823"/>
      <c r="S543" s="823"/>
      <c r="T543" s="823"/>
      <c r="U543" s="823"/>
      <c r="V543" s="823"/>
      <c r="W543" s="823"/>
      <c r="X543" s="823"/>
      <c r="Y543" s="823"/>
      <c r="Z543" s="823"/>
      <c r="AA543" s="823"/>
      <c r="AB543" s="823"/>
      <c r="AC543" s="823"/>
      <c r="AD543" s="823"/>
      <c r="AE543" s="56">
        <v>0</v>
      </c>
      <c r="AF543" s="823"/>
      <c r="AG543" s="56">
        <v>111.02</v>
      </c>
      <c r="AH543" s="149">
        <v>111.02</v>
      </c>
    </row>
    <row r="544" spans="1:34" ht="23.25" thickBot="1" x14ac:dyDescent="0.3">
      <c r="A544" s="51" t="s">
        <v>1030</v>
      </c>
      <c r="B544" s="51" t="s">
        <v>1050</v>
      </c>
      <c r="C544" s="51" t="s">
        <v>1051</v>
      </c>
      <c r="D544" s="51" t="s">
        <v>320</v>
      </c>
      <c r="E544" s="51" t="s">
        <v>1037</v>
      </c>
      <c r="F544" s="51" t="s">
        <v>970</v>
      </c>
      <c r="G544" s="148">
        <v>1</v>
      </c>
      <c r="H544" s="823"/>
      <c r="I544" s="823"/>
      <c r="J544" s="823"/>
      <c r="K544" s="823"/>
      <c r="L544" s="823"/>
      <c r="M544" s="823"/>
      <c r="N544" s="823"/>
      <c r="O544" s="823"/>
      <c r="P544" s="823"/>
      <c r="Q544" s="823"/>
      <c r="R544" s="823"/>
      <c r="S544" s="823"/>
      <c r="T544" s="823"/>
      <c r="U544" s="823"/>
      <c r="V544" s="823"/>
      <c r="W544" s="823"/>
      <c r="X544" s="823"/>
      <c r="Y544" s="823"/>
      <c r="Z544" s="823"/>
      <c r="AA544" s="823"/>
      <c r="AB544" s="823"/>
      <c r="AC544" s="823"/>
      <c r="AD544" s="823"/>
      <c r="AE544" s="56">
        <v>0</v>
      </c>
      <c r="AF544" s="823"/>
      <c r="AG544" s="56">
        <v>2419.2399999999998</v>
      </c>
      <c r="AH544" s="149">
        <v>2419.2399999999998</v>
      </c>
    </row>
    <row r="545" spans="1:34" ht="23.25" thickBot="1" x14ac:dyDescent="0.3">
      <c r="A545" s="51" t="s">
        <v>1030</v>
      </c>
      <c r="B545" s="51" t="s">
        <v>1050</v>
      </c>
      <c r="C545" s="51" t="s">
        <v>1051</v>
      </c>
      <c r="D545" s="51" t="s">
        <v>320</v>
      </c>
      <c r="E545" s="51" t="s">
        <v>273</v>
      </c>
      <c r="F545" s="51" t="s">
        <v>979</v>
      </c>
      <c r="G545" s="148">
        <v>1</v>
      </c>
      <c r="H545" s="823"/>
      <c r="I545" s="823"/>
      <c r="J545" s="823"/>
      <c r="K545" s="823"/>
      <c r="L545" s="823"/>
      <c r="M545" s="823"/>
      <c r="N545" s="823"/>
      <c r="O545" s="823"/>
      <c r="P545" s="823"/>
      <c r="Q545" s="823"/>
      <c r="R545" s="823"/>
      <c r="S545" s="823"/>
      <c r="T545" s="823"/>
      <c r="U545" s="823"/>
      <c r="V545" s="823"/>
      <c r="W545" s="823"/>
      <c r="X545" s="823"/>
      <c r="Y545" s="56">
        <v>17827.97</v>
      </c>
      <c r="Z545" s="823"/>
      <c r="AA545" s="823"/>
      <c r="AB545" s="823"/>
      <c r="AC545" s="823"/>
      <c r="AD545" s="823"/>
      <c r="AE545" s="56">
        <v>0</v>
      </c>
      <c r="AF545" s="823"/>
      <c r="AG545" s="56">
        <v>17827.97</v>
      </c>
      <c r="AH545" s="56">
        <v>0</v>
      </c>
    </row>
    <row r="546" spans="1:34" ht="23.25" thickBot="1" x14ac:dyDescent="0.3">
      <c r="A546" s="51" t="s">
        <v>1030</v>
      </c>
      <c r="B546" s="51" t="s">
        <v>1050</v>
      </c>
      <c r="C546" s="51" t="s">
        <v>1051</v>
      </c>
      <c r="D546" s="51" t="s">
        <v>320</v>
      </c>
      <c r="E546" s="51" t="s">
        <v>268</v>
      </c>
      <c r="F546" s="51" t="s">
        <v>971</v>
      </c>
      <c r="G546" s="148">
        <v>1</v>
      </c>
      <c r="H546" s="823"/>
      <c r="I546" s="823"/>
      <c r="J546" s="823"/>
      <c r="K546" s="823"/>
      <c r="L546" s="823"/>
      <c r="M546" s="823"/>
      <c r="N546" s="823"/>
      <c r="O546" s="823"/>
      <c r="P546" s="823"/>
      <c r="Q546" s="823"/>
      <c r="R546" s="823"/>
      <c r="S546" s="823"/>
      <c r="T546" s="823"/>
      <c r="U546" s="823"/>
      <c r="V546" s="823"/>
      <c r="W546" s="823"/>
      <c r="X546" s="823"/>
      <c r="Y546" s="823"/>
      <c r="Z546" s="823"/>
      <c r="AA546" s="823"/>
      <c r="AB546" s="823"/>
      <c r="AC546" s="56">
        <v>550</v>
      </c>
      <c r="AD546" s="823"/>
      <c r="AE546" s="56">
        <v>0</v>
      </c>
      <c r="AF546" s="823"/>
      <c r="AG546" s="56">
        <v>550</v>
      </c>
      <c r="AH546" s="56">
        <v>0</v>
      </c>
    </row>
    <row r="547" spans="1:34" ht="15.75" thickBot="1" x14ac:dyDescent="0.3">
      <c r="A547" s="51" t="s">
        <v>1030</v>
      </c>
      <c r="B547" s="51" t="s">
        <v>1053</v>
      </c>
      <c r="C547" s="51" t="s">
        <v>1054</v>
      </c>
      <c r="D547" s="51" t="s">
        <v>320</v>
      </c>
      <c r="E547" s="51" t="s">
        <v>272</v>
      </c>
      <c r="F547" s="51" t="s">
        <v>969</v>
      </c>
      <c r="G547" s="147">
        <v>6</v>
      </c>
      <c r="H547" s="822"/>
      <c r="I547" s="822"/>
      <c r="J547" s="822"/>
      <c r="K547" s="822"/>
      <c r="L547" s="822"/>
      <c r="M547" s="822"/>
      <c r="N547" s="822"/>
      <c r="O547" s="822"/>
      <c r="P547" s="822"/>
      <c r="Q547" s="822"/>
      <c r="R547" s="822"/>
      <c r="S547" s="822"/>
      <c r="T547" s="822"/>
      <c r="U547" s="822"/>
      <c r="V547" s="822"/>
      <c r="W547" s="822"/>
      <c r="X547" s="822"/>
      <c r="Y547" s="54">
        <v>4583.04</v>
      </c>
      <c r="Z547" s="822"/>
      <c r="AA547" s="822"/>
      <c r="AB547" s="822"/>
      <c r="AC547" s="822"/>
      <c r="AD547" s="822"/>
      <c r="AE547" s="54">
        <v>138.88999999999999</v>
      </c>
      <c r="AF547" s="822"/>
      <c r="AG547" s="54">
        <v>4721.93</v>
      </c>
      <c r="AH547" s="54">
        <v>0</v>
      </c>
    </row>
    <row r="548" spans="1:34" ht="15.75" thickBot="1" x14ac:dyDescent="0.3">
      <c r="A548" s="51" t="s">
        <v>1030</v>
      </c>
      <c r="B548" s="51" t="s">
        <v>1053</v>
      </c>
      <c r="C548" s="51" t="s">
        <v>1054</v>
      </c>
      <c r="D548" s="51" t="s">
        <v>320</v>
      </c>
      <c r="E548" s="51" t="s">
        <v>265</v>
      </c>
      <c r="F548" s="51" t="s">
        <v>266</v>
      </c>
      <c r="G548" s="147">
        <v>5</v>
      </c>
      <c r="H548" s="822"/>
      <c r="I548" s="822"/>
      <c r="J548" s="822"/>
      <c r="K548" s="822"/>
      <c r="L548" s="822"/>
      <c r="M548" s="822"/>
      <c r="N548" s="822"/>
      <c r="O548" s="822"/>
      <c r="P548" s="822"/>
      <c r="Q548" s="822"/>
      <c r="R548" s="822"/>
      <c r="S548" s="822"/>
      <c r="T548" s="822"/>
      <c r="U548" s="822"/>
      <c r="V548" s="822"/>
      <c r="W548" s="822"/>
      <c r="X548" s="822"/>
      <c r="Y548" s="54">
        <v>43622.27</v>
      </c>
      <c r="Z548" s="822"/>
      <c r="AA548" s="822"/>
      <c r="AB548" s="822"/>
      <c r="AC548" s="822"/>
      <c r="AD548" s="822"/>
      <c r="AE548" s="54">
        <v>946.69</v>
      </c>
      <c r="AF548" s="822"/>
      <c r="AG548" s="54">
        <v>44568.959999999999</v>
      </c>
      <c r="AH548" s="54">
        <v>0</v>
      </c>
    </row>
    <row r="549" spans="1:34" ht="15.75" thickBot="1" x14ac:dyDescent="0.3">
      <c r="A549" s="51" t="s">
        <v>1030</v>
      </c>
      <c r="B549" s="51" t="s">
        <v>1053</v>
      </c>
      <c r="C549" s="51" t="s">
        <v>1054</v>
      </c>
      <c r="D549" s="51" t="s">
        <v>320</v>
      </c>
      <c r="E549" s="51" t="s">
        <v>1035</v>
      </c>
      <c r="F549" s="51" t="s">
        <v>968</v>
      </c>
      <c r="G549" s="147">
        <v>5</v>
      </c>
      <c r="H549" s="822"/>
      <c r="I549" s="822"/>
      <c r="J549" s="822"/>
      <c r="K549" s="822"/>
      <c r="L549" s="822"/>
      <c r="M549" s="822"/>
      <c r="N549" s="822"/>
      <c r="O549" s="822"/>
      <c r="P549" s="822"/>
      <c r="Q549" s="822"/>
      <c r="R549" s="822"/>
      <c r="S549" s="822"/>
      <c r="T549" s="822"/>
      <c r="U549" s="822"/>
      <c r="V549" s="822"/>
      <c r="W549" s="822"/>
      <c r="X549" s="822"/>
      <c r="Y549" s="54">
        <v>122.98</v>
      </c>
      <c r="Z549" s="822"/>
      <c r="AA549" s="822"/>
      <c r="AB549" s="822"/>
      <c r="AC549" s="822"/>
      <c r="AD549" s="822"/>
      <c r="AE549" s="54">
        <v>2.66</v>
      </c>
      <c r="AF549" s="822"/>
      <c r="AG549" s="54">
        <v>125.64</v>
      </c>
      <c r="AH549" s="54">
        <v>0</v>
      </c>
    </row>
    <row r="550" spans="1:34" ht="15.75" thickBot="1" x14ac:dyDescent="0.3">
      <c r="A550" s="51" t="s">
        <v>1030</v>
      </c>
      <c r="B550" s="51" t="s">
        <v>1053</v>
      </c>
      <c r="C550" s="51" t="s">
        <v>1054</v>
      </c>
      <c r="D550" s="51" t="s">
        <v>320</v>
      </c>
      <c r="E550" s="51" t="s">
        <v>1052</v>
      </c>
      <c r="F550" s="51" t="s">
        <v>978</v>
      </c>
      <c r="G550" s="147">
        <v>6</v>
      </c>
      <c r="H550" s="822"/>
      <c r="I550" s="822"/>
      <c r="J550" s="822"/>
      <c r="K550" s="822"/>
      <c r="L550" s="822"/>
      <c r="M550" s="822"/>
      <c r="N550" s="822"/>
      <c r="O550" s="822"/>
      <c r="P550" s="822"/>
      <c r="Q550" s="822"/>
      <c r="R550" s="822"/>
      <c r="S550" s="822"/>
      <c r="T550" s="822"/>
      <c r="U550" s="822"/>
      <c r="V550" s="822"/>
      <c r="W550" s="822"/>
      <c r="X550" s="822"/>
      <c r="Y550" s="822"/>
      <c r="Z550" s="822"/>
      <c r="AA550" s="822"/>
      <c r="AB550" s="822"/>
      <c r="AC550" s="822"/>
      <c r="AD550" s="822"/>
      <c r="AE550" s="54">
        <v>20.18</v>
      </c>
      <c r="AF550" s="822"/>
      <c r="AG550" s="54">
        <v>686.3</v>
      </c>
      <c r="AH550" s="149">
        <v>666.12</v>
      </c>
    </row>
    <row r="551" spans="1:34" ht="15.75" thickBot="1" x14ac:dyDescent="0.3">
      <c r="A551" s="51" t="s">
        <v>1030</v>
      </c>
      <c r="B551" s="51" t="s">
        <v>1053</v>
      </c>
      <c r="C551" s="51" t="s">
        <v>1054</v>
      </c>
      <c r="D551" s="51" t="s">
        <v>320</v>
      </c>
      <c r="E551" s="51" t="s">
        <v>1037</v>
      </c>
      <c r="F551" s="51" t="s">
        <v>970</v>
      </c>
      <c r="G551" s="147">
        <v>5</v>
      </c>
      <c r="H551" s="822"/>
      <c r="I551" s="822"/>
      <c r="J551" s="822"/>
      <c r="K551" s="822"/>
      <c r="L551" s="822"/>
      <c r="M551" s="822"/>
      <c r="N551" s="822"/>
      <c r="O551" s="822"/>
      <c r="P551" s="822"/>
      <c r="Q551" s="822"/>
      <c r="R551" s="822"/>
      <c r="S551" s="822"/>
      <c r="T551" s="822"/>
      <c r="U551" s="822"/>
      <c r="V551" s="822"/>
      <c r="W551" s="822"/>
      <c r="X551" s="822"/>
      <c r="Y551" s="822"/>
      <c r="Z551" s="822"/>
      <c r="AA551" s="822"/>
      <c r="AB551" s="822"/>
      <c r="AC551" s="822"/>
      <c r="AD551" s="822"/>
      <c r="AE551" s="54">
        <v>64.900000000000006</v>
      </c>
      <c r="AF551" s="822"/>
      <c r="AG551" s="54">
        <v>3062.46</v>
      </c>
      <c r="AH551" s="149">
        <v>2997.56</v>
      </c>
    </row>
    <row r="552" spans="1:34" ht="15.75" thickBot="1" x14ac:dyDescent="0.3">
      <c r="A552" s="51" t="s">
        <v>1030</v>
      </c>
      <c r="B552" s="51" t="s">
        <v>1053</v>
      </c>
      <c r="C552" s="51" t="s">
        <v>1054</v>
      </c>
      <c r="D552" s="51" t="s">
        <v>320</v>
      </c>
      <c r="E552" s="51" t="s">
        <v>273</v>
      </c>
      <c r="F552" s="51" t="s">
        <v>979</v>
      </c>
      <c r="G552" s="147">
        <v>5</v>
      </c>
      <c r="H552" s="822"/>
      <c r="I552" s="822"/>
      <c r="J552" s="822"/>
      <c r="K552" s="822"/>
      <c r="L552" s="822"/>
      <c r="M552" s="822"/>
      <c r="N552" s="822"/>
      <c r="O552" s="822"/>
      <c r="P552" s="822"/>
      <c r="Q552" s="822"/>
      <c r="R552" s="822"/>
      <c r="S552" s="822"/>
      <c r="T552" s="822"/>
      <c r="U552" s="822"/>
      <c r="V552" s="822"/>
      <c r="W552" s="822"/>
      <c r="X552" s="822"/>
      <c r="Y552" s="54">
        <v>22089.65</v>
      </c>
      <c r="Z552" s="822"/>
      <c r="AA552" s="822"/>
      <c r="AB552" s="822"/>
      <c r="AC552" s="822"/>
      <c r="AD552" s="822"/>
      <c r="AE552" s="54">
        <v>478.28</v>
      </c>
      <c r="AF552" s="822"/>
      <c r="AG552" s="54">
        <v>22567.93</v>
      </c>
      <c r="AH552" s="54">
        <v>0</v>
      </c>
    </row>
    <row r="553" spans="1:34" ht="15.75" thickBot="1" x14ac:dyDescent="0.3">
      <c r="A553" s="51" t="s">
        <v>1030</v>
      </c>
      <c r="B553" s="51" t="s">
        <v>1053</v>
      </c>
      <c r="C553" s="51" t="s">
        <v>1054</v>
      </c>
      <c r="D553" s="51" t="s">
        <v>320</v>
      </c>
      <c r="E553" s="51" t="s">
        <v>268</v>
      </c>
      <c r="F553" s="51" t="s">
        <v>971</v>
      </c>
      <c r="G553" s="147">
        <v>6</v>
      </c>
      <c r="H553" s="822"/>
      <c r="I553" s="822"/>
      <c r="J553" s="822"/>
      <c r="K553" s="822"/>
      <c r="L553" s="822"/>
      <c r="M553" s="822"/>
      <c r="N553" s="822"/>
      <c r="O553" s="822"/>
      <c r="P553" s="822"/>
      <c r="Q553" s="822"/>
      <c r="R553" s="822"/>
      <c r="S553" s="822"/>
      <c r="T553" s="822"/>
      <c r="U553" s="822"/>
      <c r="V553" s="822"/>
      <c r="W553" s="822"/>
      <c r="X553" s="822"/>
      <c r="Y553" s="822"/>
      <c r="Z553" s="822"/>
      <c r="AA553" s="822"/>
      <c r="AB553" s="822"/>
      <c r="AC553" s="54">
        <v>3300</v>
      </c>
      <c r="AD553" s="822"/>
      <c r="AE553" s="54">
        <v>99.99</v>
      </c>
      <c r="AF553" s="822"/>
      <c r="AG553" s="54">
        <v>3399.99</v>
      </c>
      <c r="AH553" s="54">
        <v>0</v>
      </c>
    </row>
    <row r="554" spans="1:34" ht="15.75" thickBot="1" x14ac:dyDescent="0.3">
      <c r="A554" s="51" t="s">
        <v>1030</v>
      </c>
      <c r="B554" s="51" t="s">
        <v>1055</v>
      </c>
      <c r="C554" s="51" t="s">
        <v>1056</v>
      </c>
      <c r="D554" s="51" t="s">
        <v>320</v>
      </c>
      <c r="E554" s="51" t="s">
        <v>357</v>
      </c>
      <c r="F554" s="51" t="s">
        <v>977</v>
      </c>
      <c r="G554" s="148">
        <v>1</v>
      </c>
      <c r="H554" s="823"/>
      <c r="I554" s="823"/>
      <c r="J554" s="823"/>
      <c r="K554" s="823"/>
      <c r="L554" s="823"/>
      <c r="M554" s="823"/>
      <c r="N554" s="823"/>
      <c r="O554" s="823"/>
      <c r="P554" s="823"/>
      <c r="Q554" s="823"/>
      <c r="R554" s="823"/>
      <c r="S554" s="823"/>
      <c r="T554" s="823"/>
      <c r="U554" s="823"/>
      <c r="V554" s="823"/>
      <c r="W554" s="823"/>
      <c r="X554" s="56">
        <v>2644.24</v>
      </c>
      <c r="Y554" s="823"/>
      <c r="Z554" s="823"/>
      <c r="AA554" s="823"/>
      <c r="AB554" s="823"/>
      <c r="AC554" s="823"/>
      <c r="AD554" s="823"/>
      <c r="AE554" s="56">
        <v>242.74</v>
      </c>
      <c r="AF554" s="823"/>
      <c r="AG554" s="56">
        <v>2886.98</v>
      </c>
      <c r="AH554" s="56">
        <v>0</v>
      </c>
    </row>
    <row r="555" spans="1:34" ht="15.75" thickBot="1" x14ac:dyDescent="0.3">
      <c r="A555" s="51" t="s">
        <v>1030</v>
      </c>
      <c r="B555" s="51" t="s">
        <v>1055</v>
      </c>
      <c r="C555" s="51" t="s">
        <v>1056</v>
      </c>
      <c r="D555" s="51" t="s">
        <v>320</v>
      </c>
      <c r="E555" s="51" t="s">
        <v>272</v>
      </c>
      <c r="F555" s="51" t="s">
        <v>969</v>
      </c>
      <c r="G555" s="148">
        <v>2</v>
      </c>
      <c r="H555" s="823"/>
      <c r="I555" s="823"/>
      <c r="J555" s="823"/>
      <c r="K555" s="823"/>
      <c r="L555" s="823"/>
      <c r="M555" s="823"/>
      <c r="N555" s="823"/>
      <c r="O555" s="823"/>
      <c r="P555" s="823"/>
      <c r="Q555" s="823"/>
      <c r="R555" s="823"/>
      <c r="S555" s="823"/>
      <c r="T555" s="823"/>
      <c r="U555" s="823"/>
      <c r="V555" s="823"/>
      <c r="W555" s="823"/>
      <c r="X555" s="823"/>
      <c r="Y555" s="56">
        <v>1527.68</v>
      </c>
      <c r="Z555" s="823"/>
      <c r="AA555" s="823"/>
      <c r="AB555" s="823"/>
      <c r="AC555" s="823"/>
      <c r="AD555" s="823"/>
      <c r="AE555" s="56">
        <v>115.95</v>
      </c>
      <c r="AF555" s="823"/>
      <c r="AG555" s="56">
        <v>1643.63</v>
      </c>
      <c r="AH555" s="56">
        <v>0</v>
      </c>
    </row>
    <row r="556" spans="1:34" ht="15.75" thickBot="1" x14ac:dyDescent="0.3">
      <c r="A556" s="51" t="s">
        <v>1030</v>
      </c>
      <c r="B556" s="51" t="s">
        <v>1055</v>
      </c>
      <c r="C556" s="51" t="s">
        <v>1056</v>
      </c>
      <c r="D556" s="51" t="s">
        <v>320</v>
      </c>
      <c r="E556" s="51" t="s">
        <v>265</v>
      </c>
      <c r="F556" s="51" t="s">
        <v>266</v>
      </c>
      <c r="G556" s="148">
        <v>2</v>
      </c>
      <c r="H556" s="823"/>
      <c r="I556" s="823"/>
      <c r="J556" s="823"/>
      <c r="K556" s="823"/>
      <c r="L556" s="823"/>
      <c r="M556" s="823"/>
      <c r="N556" s="823"/>
      <c r="O556" s="823"/>
      <c r="P556" s="823"/>
      <c r="Q556" s="823"/>
      <c r="R556" s="823"/>
      <c r="S556" s="823"/>
      <c r="T556" s="823"/>
      <c r="U556" s="823"/>
      <c r="V556" s="823"/>
      <c r="W556" s="823"/>
      <c r="X556" s="823"/>
      <c r="Y556" s="56">
        <v>13216.42</v>
      </c>
      <c r="Z556" s="823"/>
      <c r="AA556" s="823"/>
      <c r="AB556" s="823"/>
      <c r="AC556" s="823"/>
      <c r="AD556" s="823"/>
      <c r="AE556" s="56">
        <v>1192.32</v>
      </c>
      <c r="AF556" s="823"/>
      <c r="AG556" s="56">
        <v>14408.74</v>
      </c>
      <c r="AH556" s="56">
        <v>0</v>
      </c>
    </row>
    <row r="557" spans="1:34" ht="15.75" thickBot="1" x14ac:dyDescent="0.3">
      <c r="A557" s="51" t="s">
        <v>1030</v>
      </c>
      <c r="B557" s="51" t="s">
        <v>1055</v>
      </c>
      <c r="C557" s="51" t="s">
        <v>1056</v>
      </c>
      <c r="D557" s="51" t="s">
        <v>320</v>
      </c>
      <c r="E557" s="51" t="s">
        <v>1052</v>
      </c>
      <c r="F557" s="51" t="s">
        <v>978</v>
      </c>
      <c r="G557" s="148">
        <v>2</v>
      </c>
      <c r="H557" s="823"/>
      <c r="I557" s="823"/>
      <c r="J557" s="823"/>
      <c r="K557" s="823"/>
      <c r="L557" s="823"/>
      <c r="M557" s="823"/>
      <c r="N557" s="823"/>
      <c r="O557" s="823"/>
      <c r="P557" s="823"/>
      <c r="Q557" s="823"/>
      <c r="R557" s="823"/>
      <c r="S557" s="823"/>
      <c r="T557" s="823"/>
      <c r="U557" s="823"/>
      <c r="V557" s="823"/>
      <c r="W557" s="823"/>
      <c r="X557" s="823"/>
      <c r="Y557" s="823"/>
      <c r="Z557" s="823"/>
      <c r="AA557" s="823"/>
      <c r="AB557" s="823"/>
      <c r="AC557" s="823"/>
      <c r="AD557" s="823"/>
      <c r="AE557" s="56">
        <v>16.850000000000001</v>
      </c>
      <c r="AF557" s="823"/>
      <c r="AG557" s="56">
        <v>238.89</v>
      </c>
      <c r="AH557" s="149">
        <v>222.04</v>
      </c>
    </row>
    <row r="558" spans="1:34" ht="15.75" thickBot="1" x14ac:dyDescent="0.3">
      <c r="A558" s="51" t="s">
        <v>1030</v>
      </c>
      <c r="B558" s="51" t="s">
        <v>1055</v>
      </c>
      <c r="C558" s="51" t="s">
        <v>1056</v>
      </c>
      <c r="D558" s="51" t="s">
        <v>320</v>
      </c>
      <c r="E558" s="51" t="s">
        <v>1037</v>
      </c>
      <c r="F558" s="51" t="s">
        <v>970</v>
      </c>
      <c r="G558" s="148">
        <v>2</v>
      </c>
      <c r="H558" s="823"/>
      <c r="I558" s="823"/>
      <c r="J558" s="823"/>
      <c r="K558" s="823"/>
      <c r="L558" s="823"/>
      <c r="M558" s="823"/>
      <c r="N558" s="823"/>
      <c r="O558" s="823"/>
      <c r="P558" s="823"/>
      <c r="Q558" s="823"/>
      <c r="R558" s="823"/>
      <c r="S558" s="823"/>
      <c r="T558" s="823"/>
      <c r="U558" s="823"/>
      <c r="V558" s="823"/>
      <c r="W558" s="823"/>
      <c r="X558" s="823"/>
      <c r="Y558" s="823"/>
      <c r="Z558" s="823"/>
      <c r="AA558" s="823"/>
      <c r="AB558" s="823"/>
      <c r="AC558" s="823"/>
      <c r="AD558" s="823"/>
      <c r="AE558" s="56">
        <v>81.87</v>
      </c>
      <c r="AF558" s="823"/>
      <c r="AG558" s="56">
        <v>988.37</v>
      </c>
      <c r="AH558" s="149">
        <v>906.5</v>
      </c>
    </row>
    <row r="559" spans="1:34" ht="15.75" thickBot="1" x14ac:dyDescent="0.3">
      <c r="A559" s="51" t="s">
        <v>1030</v>
      </c>
      <c r="B559" s="51" t="s">
        <v>1055</v>
      </c>
      <c r="C559" s="51" t="s">
        <v>1056</v>
      </c>
      <c r="D559" s="51" t="s">
        <v>320</v>
      </c>
      <c r="E559" s="51" t="s">
        <v>273</v>
      </c>
      <c r="F559" s="51" t="s">
        <v>979</v>
      </c>
      <c r="G559" s="148">
        <v>2</v>
      </c>
      <c r="H559" s="823"/>
      <c r="I559" s="823"/>
      <c r="J559" s="823"/>
      <c r="K559" s="823"/>
      <c r="L559" s="823"/>
      <c r="M559" s="823"/>
      <c r="N559" s="823"/>
      <c r="O559" s="823"/>
      <c r="P559" s="823"/>
      <c r="Q559" s="823"/>
      <c r="R559" s="823"/>
      <c r="S559" s="823"/>
      <c r="T559" s="823"/>
      <c r="U559" s="823"/>
      <c r="V559" s="823"/>
      <c r="W559" s="823"/>
      <c r="X559" s="823"/>
      <c r="Y559" s="56">
        <v>6680.24</v>
      </c>
      <c r="Z559" s="823"/>
      <c r="AA559" s="823"/>
      <c r="AB559" s="823"/>
      <c r="AC559" s="823"/>
      <c r="AD559" s="823"/>
      <c r="AE559" s="56">
        <v>603.39</v>
      </c>
      <c r="AF559" s="823"/>
      <c r="AG559" s="56">
        <v>7283.63</v>
      </c>
      <c r="AH559" s="56">
        <v>0</v>
      </c>
    </row>
    <row r="560" spans="1:34" ht="15.75" thickBot="1" x14ac:dyDescent="0.3">
      <c r="A560" s="51" t="s">
        <v>1030</v>
      </c>
      <c r="B560" s="51" t="s">
        <v>1055</v>
      </c>
      <c r="C560" s="51" t="s">
        <v>1056</v>
      </c>
      <c r="D560" s="51" t="s">
        <v>320</v>
      </c>
      <c r="E560" s="51" t="s">
        <v>268</v>
      </c>
      <c r="F560" s="51" t="s">
        <v>971</v>
      </c>
      <c r="G560" s="148">
        <v>2</v>
      </c>
      <c r="H560" s="823"/>
      <c r="I560" s="823"/>
      <c r="J560" s="823"/>
      <c r="K560" s="823"/>
      <c r="L560" s="823"/>
      <c r="M560" s="823"/>
      <c r="N560" s="823"/>
      <c r="O560" s="823"/>
      <c r="P560" s="823"/>
      <c r="Q560" s="823"/>
      <c r="R560" s="823"/>
      <c r="S560" s="823"/>
      <c r="T560" s="823"/>
      <c r="U560" s="823"/>
      <c r="V560" s="823"/>
      <c r="W560" s="823"/>
      <c r="X560" s="823"/>
      <c r="Y560" s="823"/>
      <c r="Z560" s="823"/>
      <c r="AA560" s="823"/>
      <c r="AB560" s="823"/>
      <c r="AC560" s="56">
        <v>1100</v>
      </c>
      <c r="AD560" s="823"/>
      <c r="AE560" s="56">
        <v>83.49</v>
      </c>
      <c r="AF560" s="823"/>
      <c r="AG560" s="56">
        <v>1183.49</v>
      </c>
      <c r="AH560" s="56">
        <v>0</v>
      </c>
    </row>
    <row r="561" spans="1:34" ht="15.75" thickBot="1" x14ac:dyDescent="0.3">
      <c r="A561" s="51" t="s">
        <v>1030</v>
      </c>
      <c r="B561" s="51" t="s">
        <v>1057</v>
      </c>
      <c r="C561" s="51" t="s">
        <v>1058</v>
      </c>
      <c r="D561" s="51" t="s">
        <v>320</v>
      </c>
      <c r="E561" s="51" t="s">
        <v>1033</v>
      </c>
      <c r="F561" s="51" t="s">
        <v>985</v>
      </c>
      <c r="G561" s="147">
        <v>3</v>
      </c>
      <c r="H561" s="822"/>
      <c r="I561" s="822"/>
      <c r="J561" s="822"/>
      <c r="K561" s="822"/>
      <c r="L561" s="822"/>
      <c r="M561" s="822"/>
      <c r="N561" s="822"/>
      <c r="O561" s="822"/>
      <c r="P561" s="822"/>
      <c r="Q561" s="822"/>
      <c r="R561" s="822"/>
      <c r="S561" s="822"/>
      <c r="T561" s="822"/>
      <c r="U561" s="822"/>
      <c r="V561" s="822"/>
      <c r="W561" s="822"/>
      <c r="X561" s="822"/>
      <c r="Y561" s="822"/>
      <c r="Z561" s="54">
        <v>158.37</v>
      </c>
      <c r="AA561" s="822"/>
      <c r="AB561" s="822"/>
      <c r="AC561" s="822"/>
      <c r="AD561" s="822"/>
      <c r="AE561" s="54">
        <v>0</v>
      </c>
      <c r="AF561" s="822"/>
      <c r="AG561" s="54">
        <v>158.37</v>
      </c>
      <c r="AH561" s="54">
        <v>0</v>
      </c>
    </row>
    <row r="562" spans="1:34" ht="15.75" thickBot="1" x14ac:dyDescent="0.3">
      <c r="A562" s="51" t="s">
        <v>1030</v>
      </c>
      <c r="B562" s="51" t="s">
        <v>1057</v>
      </c>
      <c r="C562" s="51" t="s">
        <v>1058</v>
      </c>
      <c r="D562" s="51" t="s">
        <v>320</v>
      </c>
      <c r="E562" s="51" t="s">
        <v>1034</v>
      </c>
      <c r="F562" s="51" t="s">
        <v>1061</v>
      </c>
      <c r="G562" s="147">
        <v>1</v>
      </c>
      <c r="H562" s="822"/>
      <c r="I562" s="822"/>
      <c r="J562" s="822"/>
      <c r="K562" s="822"/>
      <c r="L562" s="822"/>
      <c r="M562" s="822"/>
      <c r="N562" s="822"/>
      <c r="O562" s="822"/>
      <c r="P562" s="822"/>
      <c r="Q562" s="822"/>
      <c r="R562" s="822"/>
      <c r="S562" s="822"/>
      <c r="T562" s="822"/>
      <c r="U562" s="822"/>
      <c r="V562" s="822"/>
      <c r="W562" s="822"/>
      <c r="X562" s="822"/>
      <c r="Y562" s="822"/>
      <c r="Z562" s="822"/>
      <c r="AA562" s="822"/>
      <c r="AB562" s="822"/>
      <c r="AC562" s="822"/>
      <c r="AD562" s="822"/>
      <c r="AE562" s="54">
        <v>0</v>
      </c>
      <c r="AF562" s="822"/>
      <c r="AG562" s="54">
        <v>-3763.83</v>
      </c>
      <c r="AH562" s="149">
        <v>-3763.83</v>
      </c>
    </row>
    <row r="563" spans="1:34" ht="15.75" thickBot="1" x14ac:dyDescent="0.3">
      <c r="A563" s="51" t="s">
        <v>1030</v>
      </c>
      <c r="B563" s="51" t="s">
        <v>1057</v>
      </c>
      <c r="C563" s="51" t="s">
        <v>1058</v>
      </c>
      <c r="D563" s="51" t="s">
        <v>320</v>
      </c>
      <c r="E563" s="51" t="s">
        <v>1046</v>
      </c>
      <c r="F563" s="51" t="s">
        <v>1024</v>
      </c>
      <c r="G563" s="147">
        <v>2</v>
      </c>
      <c r="H563" s="822"/>
      <c r="I563" s="822"/>
      <c r="J563" s="822"/>
      <c r="K563" s="822"/>
      <c r="L563" s="822"/>
      <c r="M563" s="822"/>
      <c r="N563" s="822"/>
      <c r="O563" s="822"/>
      <c r="P563" s="822"/>
      <c r="Q563" s="822"/>
      <c r="R563" s="822"/>
      <c r="S563" s="822"/>
      <c r="T563" s="822"/>
      <c r="U563" s="822"/>
      <c r="V563" s="822"/>
      <c r="W563" s="822"/>
      <c r="X563" s="822"/>
      <c r="Y563" s="822"/>
      <c r="Z563" s="822"/>
      <c r="AA563" s="54">
        <v>23718.78</v>
      </c>
      <c r="AB563" s="822"/>
      <c r="AC563" s="822"/>
      <c r="AD563" s="822"/>
      <c r="AE563" s="54">
        <v>0</v>
      </c>
      <c r="AF563" s="822"/>
      <c r="AG563" s="54">
        <v>23718.78</v>
      </c>
      <c r="AH563" s="54">
        <v>0</v>
      </c>
    </row>
    <row r="564" spans="1:34" ht="15.75" thickBot="1" x14ac:dyDescent="0.3">
      <c r="A564" s="51" t="s">
        <v>1030</v>
      </c>
      <c r="B564" s="51" t="s">
        <v>1057</v>
      </c>
      <c r="C564" s="51" t="s">
        <v>1058</v>
      </c>
      <c r="D564" s="51" t="s">
        <v>320</v>
      </c>
      <c r="E564" s="51" t="s">
        <v>268</v>
      </c>
      <c r="F564" s="51" t="s">
        <v>971</v>
      </c>
      <c r="G564" s="147">
        <v>3</v>
      </c>
      <c r="H564" s="822"/>
      <c r="I564" s="822"/>
      <c r="J564" s="822"/>
      <c r="K564" s="822"/>
      <c r="L564" s="822"/>
      <c r="M564" s="822"/>
      <c r="N564" s="822"/>
      <c r="O564" s="822"/>
      <c r="P564" s="822"/>
      <c r="Q564" s="822"/>
      <c r="R564" s="822"/>
      <c r="S564" s="822"/>
      <c r="T564" s="822"/>
      <c r="U564" s="822"/>
      <c r="V564" s="822"/>
      <c r="W564" s="822"/>
      <c r="X564" s="822"/>
      <c r="Y564" s="822"/>
      <c r="Z564" s="822"/>
      <c r="AA564" s="822"/>
      <c r="AB564" s="822"/>
      <c r="AC564" s="54">
        <v>5325</v>
      </c>
      <c r="AD564" s="822"/>
      <c r="AE564" s="54">
        <v>0</v>
      </c>
      <c r="AF564" s="822"/>
      <c r="AG564" s="54">
        <v>5325</v>
      </c>
      <c r="AH564" s="54">
        <v>0</v>
      </c>
    </row>
    <row r="565" spans="1:34" ht="15.75" thickBot="1" x14ac:dyDescent="0.3">
      <c r="A565" s="51" t="s">
        <v>1030</v>
      </c>
      <c r="B565" s="51" t="s">
        <v>1057</v>
      </c>
      <c r="C565" s="51" t="s">
        <v>1058</v>
      </c>
      <c r="D565" s="51" t="s">
        <v>320</v>
      </c>
      <c r="E565" s="51" t="s">
        <v>1038</v>
      </c>
      <c r="F565" s="51" t="s">
        <v>976</v>
      </c>
      <c r="G565" s="147">
        <v>3</v>
      </c>
      <c r="H565" s="822"/>
      <c r="I565" s="822"/>
      <c r="J565" s="822"/>
      <c r="K565" s="822"/>
      <c r="L565" s="822"/>
      <c r="M565" s="822"/>
      <c r="N565" s="822"/>
      <c r="O565" s="822"/>
      <c r="P565" s="822"/>
      <c r="Q565" s="822"/>
      <c r="R565" s="822"/>
      <c r="S565" s="822"/>
      <c r="T565" s="822"/>
      <c r="U565" s="822"/>
      <c r="V565" s="822"/>
      <c r="W565" s="822"/>
      <c r="X565" s="822"/>
      <c r="Y565" s="822"/>
      <c r="Z565" s="822"/>
      <c r="AA565" s="822"/>
      <c r="AB565" s="822"/>
      <c r="AC565" s="822"/>
      <c r="AD565" s="822"/>
      <c r="AE565" s="54">
        <v>0</v>
      </c>
      <c r="AF565" s="822"/>
      <c r="AG565" s="54">
        <v>5697.73</v>
      </c>
      <c r="AH565" s="149">
        <v>5697.73</v>
      </c>
    </row>
    <row r="566" spans="1:34" ht="15.75" thickBot="1" x14ac:dyDescent="0.3">
      <c r="A566" s="51" t="s">
        <v>1030</v>
      </c>
      <c r="B566" s="51" t="s">
        <v>1057</v>
      </c>
      <c r="C566" s="51" t="s">
        <v>1058</v>
      </c>
      <c r="D566" s="51" t="s">
        <v>320</v>
      </c>
      <c r="E566" s="51" t="s">
        <v>329</v>
      </c>
      <c r="F566" s="51" t="s">
        <v>975</v>
      </c>
      <c r="G566" s="147">
        <v>3</v>
      </c>
      <c r="H566" s="822"/>
      <c r="I566" s="822"/>
      <c r="J566" s="822"/>
      <c r="K566" s="822"/>
      <c r="L566" s="822"/>
      <c r="M566" s="822"/>
      <c r="N566" s="822"/>
      <c r="O566" s="822"/>
      <c r="P566" s="822"/>
      <c r="Q566" s="822"/>
      <c r="R566" s="822"/>
      <c r="S566" s="822"/>
      <c r="T566" s="822"/>
      <c r="U566" s="822"/>
      <c r="V566" s="822"/>
      <c r="W566" s="822"/>
      <c r="X566" s="822"/>
      <c r="Y566" s="54">
        <v>2439.92</v>
      </c>
      <c r="Z566" s="822"/>
      <c r="AA566" s="822"/>
      <c r="AB566" s="822"/>
      <c r="AC566" s="822"/>
      <c r="AD566" s="54">
        <v>2439.92</v>
      </c>
      <c r="AE566" s="54">
        <v>0</v>
      </c>
      <c r="AF566" s="822"/>
      <c r="AG566" s="54">
        <v>2439.92</v>
      </c>
      <c r="AH566" s="149">
        <v>-2439.92</v>
      </c>
    </row>
    <row r="567" spans="1:34" ht="15.75" thickBot="1" x14ac:dyDescent="0.3">
      <c r="A567" s="51" t="s">
        <v>1030</v>
      </c>
      <c r="B567" s="51" t="s">
        <v>1059</v>
      </c>
      <c r="C567" s="51" t="s">
        <v>1060</v>
      </c>
      <c r="D567" s="51" t="s">
        <v>320</v>
      </c>
      <c r="E567" s="51" t="s">
        <v>1033</v>
      </c>
      <c r="F567" s="51" t="s">
        <v>985</v>
      </c>
      <c r="G567" s="148">
        <v>1</v>
      </c>
      <c r="H567" s="823"/>
      <c r="I567" s="823"/>
      <c r="J567" s="823"/>
      <c r="K567" s="823"/>
      <c r="L567" s="823"/>
      <c r="M567" s="823"/>
      <c r="N567" s="823"/>
      <c r="O567" s="823"/>
      <c r="P567" s="823"/>
      <c r="Q567" s="823"/>
      <c r="R567" s="823"/>
      <c r="S567" s="823"/>
      <c r="T567" s="823"/>
      <c r="U567" s="823"/>
      <c r="V567" s="823"/>
      <c r="W567" s="823"/>
      <c r="X567" s="823"/>
      <c r="Y567" s="823"/>
      <c r="Z567" s="56">
        <v>12.1</v>
      </c>
      <c r="AA567" s="823"/>
      <c r="AB567" s="823"/>
      <c r="AC567" s="823"/>
      <c r="AD567" s="823"/>
      <c r="AE567" s="56">
        <v>0</v>
      </c>
      <c r="AF567" s="823"/>
      <c r="AG567" s="56">
        <v>12.1</v>
      </c>
      <c r="AH567" s="56">
        <v>0</v>
      </c>
    </row>
    <row r="568" spans="1:34" ht="15.75" thickBot="1" x14ac:dyDescent="0.3">
      <c r="A568" s="51" t="s">
        <v>1030</v>
      </c>
      <c r="B568" s="51" t="s">
        <v>1059</v>
      </c>
      <c r="C568" s="51" t="s">
        <v>1060</v>
      </c>
      <c r="D568" s="51" t="s">
        <v>320</v>
      </c>
      <c r="E568" s="51" t="s">
        <v>1045</v>
      </c>
      <c r="F568" s="51" t="s">
        <v>973</v>
      </c>
      <c r="G568" s="148">
        <v>1</v>
      </c>
      <c r="H568" s="823"/>
      <c r="I568" s="823"/>
      <c r="J568" s="823"/>
      <c r="K568" s="823"/>
      <c r="L568" s="823"/>
      <c r="M568" s="823"/>
      <c r="N568" s="823"/>
      <c r="O568" s="823"/>
      <c r="P568" s="823"/>
      <c r="Q568" s="823"/>
      <c r="R568" s="823"/>
      <c r="S568" s="823"/>
      <c r="T568" s="823"/>
      <c r="U568" s="823"/>
      <c r="V568" s="823"/>
      <c r="W568" s="823"/>
      <c r="X568" s="823"/>
      <c r="Y568" s="823"/>
      <c r="Z568" s="823"/>
      <c r="AA568" s="56">
        <v>-19.670000000000002</v>
      </c>
      <c r="AB568" s="823"/>
      <c r="AC568" s="823"/>
      <c r="AD568" s="823"/>
      <c r="AE568" s="56">
        <v>0</v>
      </c>
      <c r="AF568" s="823"/>
      <c r="AG568" s="56">
        <v>-19.670000000000002</v>
      </c>
      <c r="AH568" s="56">
        <v>0</v>
      </c>
    </row>
    <row r="569" spans="1:34" ht="15.75" thickBot="1" x14ac:dyDescent="0.3">
      <c r="A569" s="51" t="s">
        <v>1030</v>
      </c>
      <c r="B569" s="51" t="s">
        <v>1059</v>
      </c>
      <c r="C569" s="51" t="s">
        <v>1060</v>
      </c>
      <c r="D569" s="51" t="s">
        <v>320</v>
      </c>
      <c r="E569" s="51" t="s">
        <v>1034</v>
      </c>
      <c r="F569" s="51" t="s">
        <v>1061</v>
      </c>
      <c r="G569" s="148">
        <v>1</v>
      </c>
      <c r="H569" s="823"/>
      <c r="I569" s="823"/>
      <c r="J569" s="823"/>
      <c r="K569" s="823"/>
      <c r="L569" s="823"/>
      <c r="M569" s="823"/>
      <c r="N569" s="823"/>
      <c r="O569" s="823"/>
      <c r="P569" s="823"/>
      <c r="Q569" s="823"/>
      <c r="R569" s="823"/>
      <c r="S569" s="823"/>
      <c r="T569" s="823"/>
      <c r="U569" s="823"/>
      <c r="V569" s="823"/>
      <c r="W569" s="823"/>
      <c r="X569" s="823"/>
      <c r="Y569" s="823"/>
      <c r="Z569" s="823"/>
      <c r="AA569" s="823"/>
      <c r="AB569" s="823"/>
      <c r="AC569" s="823"/>
      <c r="AD569" s="823"/>
      <c r="AE569" s="56">
        <v>0</v>
      </c>
      <c r="AF569" s="823"/>
      <c r="AG569" s="56">
        <v>-1165.6400000000001</v>
      </c>
      <c r="AH569" s="149">
        <v>-1165.6400000000001</v>
      </c>
    </row>
    <row r="570" spans="1:34" ht="15.75" thickBot="1" x14ac:dyDescent="0.3">
      <c r="A570" s="51" t="s">
        <v>1030</v>
      </c>
      <c r="B570" s="51" t="s">
        <v>1059</v>
      </c>
      <c r="C570" s="51" t="s">
        <v>1060</v>
      </c>
      <c r="D570" s="51" t="s">
        <v>320</v>
      </c>
      <c r="E570" s="51" t="s">
        <v>1046</v>
      </c>
      <c r="F570" s="51" t="s">
        <v>1024</v>
      </c>
      <c r="G570" s="148">
        <v>1</v>
      </c>
      <c r="H570" s="823"/>
      <c r="I570" s="823"/>
      <c r="J570" s="823"/>
      <c r="K570" s="823"/>
      <c r="L570" s="823"/>
      <c r="M570" s="823"/>
      <c r="N570" s="823"/>
      <c r="O570" s="823"/>
      <c r="P570" s="823"/>
      <c r="Q570" s="823"/>
      <c r="R570" s="823"/>
      <c r="S570" s="823"/>
      <c r="T570" s="823"/>
      <c r="U570" s="823"/>
      <c r="V570" s="823"/>
      <c r="W570" s="823"/>
      <c r="X570" s="823"/>
      <c r="Y570" s="823"/>
      <c r="Z570" s="823"/>
      <c r="AA570" s="56">
        <v>13.89</v>
      </c>
      <c r="AB570" s="823"/>
      <c r="AC570" s="823"/>
      <c r="AD570" s="823"/>
      <c r="AE570" s="56">
        <v>0</v>
      </c>
      <c r="AF570" s="823"/>
      <c r="AG570" s="56">
        <v>13.89</v>
      </c>
      <c r="AH570" s="56">
        <v>0</v>
      </c>
    </row>
    <row r="571" spans="1:34" ht="15.75" thickBot="1" x14ac:dyDescent="0.3">
      <c r="A571" s="51" t="s">
        <v>1030</v>
      </c>
      <c r="B571" s="51" t="s">
        <v>1059</v>
      </c>
      <c r="C571" s="51" t="s">
        <v>1060</v>
      </c>
      <c r="D571" s="51" t="s">
        <v>320</v>
      </c>
      <c r="E571" s="51" t="s">
        <v>268</v>
      </c>
      <c r="F571" s="51" t="s">
        <v>971</v>
      </c>
      <c r="G571" s="148">
        <v>2</v>
      </c>
      <c r="H571" s="823"/>
      <c r="I571" s="823"/>
      <c r="J571" s="823"/>
      <c r="K571" s="823"/>
      <c r="L571" s="823"/>
      <c r="M571" s="823"/>
      <c r="N571" s="823"/>
      <c r="O571" s="823"/>
      <c r="P571" s="823"/>
      <c r="Q571" s="823"/>
      <c r="R571" s="823"/>
      <c r="S571" s="823"/>
      <c r="T571" s="823"/>
      <c r="U571" s="823"/>
      <c r="V571" s="823"/>
      <c r="W571" s="823"/>
      <c r="X571" s="823"/>
      <c r="Y571" s="823"/>
      <c r="Z571" s="823"/>
      <c r="AA571" s="823"/>
      <c r="AB571" s="823"/>
      <c r="AC571" s="56">
        <v>675</v>
      </c>
      <c r="AD571" s="823"/>
      <c r="AE571" s="56">
        <v>0</v>
      </c>
      <c r="AF571" s="823"/>
      <c r="AG571" s="56">
        <v>675</v>
      </c>
      <c r="AH571" s="56">
        <v>0</v>
      </c>
    </row>
  </sheetData>
  <autoFilter ref="A2:AI571" xr:uid="{E489B3EB-E42D-447A-8B3D-163C680A3112}">
    <filterColumn colId="1" showButton="0"/>
  </autoFilter>
  <mergeCells count="2">
    <mergeCell ref="B2:C2"/>
    <mergeCell ref="A1:E1"/>
  </mergeCells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  <pageSetUpPr fitToPage="1"/>
  </sheetPr>
  <dimension ref="A1:H22"/>
  <sheetViews>
    <sheetView tabSelected="1" view="pageBreakPreview" topLeftCell="A2" zoomScaleNormal="100" zoomScaleSheetLayoutView="100" workbookViewId="0">
      <selection activeCell="K11" sqref="K11"/>
    </sheetView>
  </sheetViews>
  <sheetFormatPr defaultRowHeight="15" x14ac:dyDescent="0.25"/>
  <cols>
    <col min="1" max="1" width="11" style="817" customWidth="1"/>
    <col min="2" max="2" width="11.140625" style="817" customWidth="1"/>
    <col min="3" max="7" width="9.140625" style="817"/>
    <col min="8" max="8" width="15.140625" style="817" customWidth="1"/>
    <col min="9" max="16384" width="9.140625" style="817"/>
  </cols>
  <sheetData>
    <row r="1" spans="1:8" hidden="1" x14ac:dyDescent="0.25">
      <c r="A1" s="915" t="s">
        <v>404</v>
      </c>
      <c r="B1" s="915"/>
      <c r="C1" s="915"/>
      <c r="D1" s="915"/>
      <c r="E1" s="915"/>
      <c r="F1" s="915"/>
      <c r="G1" s="915"/>
      <c r="H1" s="915"/>
    </row>
    <row r="3" spans="1:8" x14ac:dyDescent="0.25">
      <c r="A3" s="915" t="s">
        <v>409</v>
      </c>
      <c r="B3" s="915"/>
      <c r="C3" s="915"/>
      <c r="D3" s="915"/>
      <c r="E3" s="915"/>
      <c r="F3" s="915"/>
      <c r="G3" s="915"/>
      <c r="H3" s="915"/>
    </row>
    <row r="5" spans="1:8" x14ac:dyDescent="0.25">
      <c r="A5" s="915" t="s">
        <v>155</v>
      </c>
      <c r="B5" s="915"/>
      <c r="C5" s="915"/>
      <c r="D5" s="915"/>
      <c r="E5" s="915"/>
      <c r="F5" s="915"/>
      <c r="G5" s="915"/>
      <c r="H5" s="915"/>
    </row>
    <row r="7" spans="1:8" x14ac:dyDescent="0.25">
      <c r="A7" s="916" t="s">
        <v>1095</v>
      </c>
      <c r="B7" s="915"/>
      <c r="C7" s="915"/>
      <c r="D7" s="915"/>
      <c r="E7" s="915"/>
      <c r="F7" s="915"/>
      <c r="G7" s="915"/>
      <c r="H7" s="915"/>
    </row>
    <row r="8" spans="1:8" x14ac:dyDescent="0.25">
      <c r="A8" s="818"/>
      <c r="B8" s="818"/>
      <c r="C8" s="818"/>
      <c r="D8" s="818"/>
      <c r="E8" s="818"/>
      <c r="F8" s="818"/>
      <c r="G8" s="818"/>
      <c r="H8" s="818"/>
    </row>
    <row r="9" spans="1:8" x14ac:dyDescent="0.25">
      <c r="A9" s="818"/>
      <c r="B9" s="818"/>
      <c r="C9" s="818"/>
      <c r="D9" s="818"/>
      <c r="E9" s="818"/>
      <c r="F9" s="818"/>
      <c r="G9" s="818"/>
      <c r="H9" s="818"/>
    </row>
    <row r="10" spans="1:8" x14ac:dyDescent="0.25">
      <c r="A10" s="818"/>
      <c r="B10" s="818"/>
      <c r="C10" s="818"/>
      <c r="D10" s="818"/>
      <c r="E10" s="818"/>
      <c r="F10" s="818"/>
      <c r="G10" s="818"/>
      <c r="H10" s="818"/>
    </row>
    <row r="11" spans="1:8" x14ac:dyDescent="0.25">
      <c r="A11" s="819" t="s">
        <v>405</v>
      </c>
      <c r="B11" s="818"/>
      <c r="C11" s="820" t="s">
        <v>1074</v>
      </c>
      <c r="E11" s="818"/>
      <c r="F11" s="818"/>
      <c r="G11" s="818"/>
      <c r="H11" s="818"/>
    </row>
    <row r="16" spans="1:8" x14ac:dyDescent="0.25">
      <c r="A16" s="821" t="s">
        <v>406</v>
      </c>
      <c r="C16" s="917" t="s">
        <v>407</v>
      </c>
      <c r="D16" s="917"/>
      <c r="E16" s="917"/>
      <c r="F16" s="917"/>
      <c r="G16" s="917"/>
      <c r="H16" s="917"/>
    </row>
    <row r="19" spans="1:3" x14ac:dyDescent="0.25">
      <c r="A19" s="817" t="s">
        <v>410</v>
      </c>
      <c r="C19" s="817" t="s">
        <v>531</v>
      </c>
    </row>
    <row r="20" spans="1:3" x14ac:dyDescent="0.25">
      <c r="A20" s="817" t="s">
        <v>411</v>
      </c>
      <c r="C20" s="817" t="s">
        <v>532</v>
      </c>
    </row>
    <row r="21" spans="1:3" x14ac:dyDescent="0.25">
      <c r="A21" s="817" t="s">
        <v>412</v>
      </c>
      <c r="B21" s="817" t="s">
        <v>408</v>
      </c>
      <c r="C21" s="817" t="s">
        <v>533</v>
      </c>
    </row>
    <row r="22" spans="1:3" x14ac:dyDescent="0.25">
      <c r="A22" s="817" t="s">
        <v>412</v>
      </c>
      <c r="B22" s="817" t="s">
        <v>806</v>
      </c>
      <c r="C22" s="817" t="s">
        <v>534</v>
      </c>
    </row>
  </sheetData>
  <mergeCells count="5">
    <mergeCell ref="A1:H1"/>
    <mergeCell ref="A3:H3"/>
    <mergeCell ref="A5:H5"/>
    <mergeCell ref="A7:H7"/>
    <mergeCell ref="C16:H16"/>
  </mergeCells>
  <pageMargins left="0.75" right="0.75" top="1" bottom="0.5" header="0.25" footer="0.25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59999389629810485"/>
  </sheetPr>
  <dimension ref="A1:FF52"/>
  <sheetViews>
    <sheetView workbookViewId="0">
      <selection activeCell="F41" sqref="F41"/>
    </sheetView>
  </sheetViews>
  <sheetFormatPr defaultRowHeight="12.75" x14ac:dyDescent="0.2"/>
  <cols>
    <col min="1" max="1" width="27.5703125" style="355" customWidth="1"/>
    <col min="2" max="2" width="37.28515625" style="355" bestFit="1" customWidth="1"/>
    <col min="3" max="4" width="16.7109375" style="355" customWidth="1"/>
    <col min="5" max="5" width="40.85546875" style="355" customWidth="1"/>
    <col min="6" max="6" width="18.85546875" style="355" customWidth="1"/>
    <col min="7" max="10" width="9.7109375" style="355" customWidth="1"/>
    <col min="11" max="13" width="11.5703125" style="355" customWidth="1"/>
    <col min="14" max="125" width="11.5703125" style="355" bestFit="1" customWidth="1"/>
    <col min="126" max="149" width="11.5703125" style="355" customWidth="1"/>
    <col min="150" max="161" width="11.5703125" style="355" bestFit="1" customWidth="1"/>
    <col min="162" max="16384" width="9.140625" style="355"/>
  </cols>
  <sheetData>
    <row r="1" spans="1:162" ht="15" x14ac:dyDescent="0.25">
      <c r="A1" t="s">
        <v>684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</row>
    <row r="2" spans="1:162" ht="15" x14ac:dyDescent="0.25">
      <c r="A2" t="s">
        <v>939</v>
      </c>
      <c r="B2"/>
      <c r="C2"/>
      <c r="D2"/>
      <c r="E2"/>
      <c r="F2">
        <v>2020</v>
      </c>
      <c r="G2">
        <v>2020</v>
      </c>
      <c r="H2">
        <v>2020</v>
      </c>
      <c r="I2">
        <v>2020</v>
      </c>
      <c r="J2">
        <v>2020</v>
      </c>
      <c r="K2">
        <v>2020</v>
      </c>
      <c r="L2">
        <v>2020</v>
      </c>
      <c r="M2">
        <v>2020</v>
      </c>
      <c r="N2">
        <v>2020</v>
      </c>
      <c r="O2">
        <v>2020</v>
      </c>
      <c r="P2">
        <v>2020</v>
      </c>
      <c r="Q2">
        <v>2020</v>
      </c>
      <c r="R2">
        <v>2021</v>
      </c>
      <c r="S2">
        <v>2021</v>
      </c>
      <c r="T2">
        <v>2021</v>
      </c>
      <c r="U2">
        <v>2021</v>
      </c>
      <c r="V2">
        <v>2021</v>
      </c>
      <c r="W2">
        <v>2021</v>
      </c>
      <c r="X2">
        <v>2021</v>
      </c>
      <c r="Y2">
        <v>2021</v>
      </c>
      <c r="Z2">
        <v>2021</v>
      </c>
      <c r="AA2">
        <v>2021</v>
      </c>
      <c r="AB2">
        <v>2021</v>
      </c>
      <c r="AC2">
        <v>2021</v>
      </c>
      <c r="AD2">
        <v>2022</v>
      </c>
      <c r="AE2">
        <v>2022</v>
      </c>
      <c r="AF2">
        <v>2022</v>
      </c>
      <c r="AG2">
        <v>2022</v>
      </c>
      <c r="AH2">
        <v>2022</v>
      </c>
      <c r="AI2">
        <v>2022</v>
      </c>
      <c r="AJ2">
        <v>2022</v>
      </c>
      <c r="AK2">
        <v>2022</v>
      </c>
      <c r="AL2">
        <v>2022</v>
      </c>
      <c r="AM2">
        <v>2022</v>
      </c>
      <c r="AN2">
        <v>2022</v>
      </c>
      <c r="AO2">
        <v>2022</v>
      </c>
      <c r="AP2">
        <v>2023</v>
      </c>
      <c r="AQ2">
        <v>2023</v>
      </c>
      <c r="AR2">
        <v>2023</v>
      </c>
      <c r="AS2">
        <v>2023</v>
      </c>
      <c r="AT2">
        <v>2023</v>
      </c>
      <c r="AU2">
        <v>2023</v>
      </c>
      <c r="AV2">
        <v>2023</v>
      </c>
      <c r="AW2">
        <v>2023</v>
      </c>
      <c r="AX2">
        <v>2023</v>
      </c>
      <c r="AY2">
        <v>2023</v>
      </c>
      <c r="AZ2">
        <v>2023</v>
      </c>
      <c r="BA2">
        <v>2023</v>
      </c>
      <c r="BB2">
        <v>2024</v>
      </c>
      <c r="BC2">
        <v>2024</v>
      </c>
      <c r="BD2">
        <v>2024</v>
      </c>
      <c r="BE2">
        <v>2024</v>
      </c>
      <c r="BF2">
        <v>2024</v>
      </c>
      <c r="BG2">
        <v>2024</v>
      </c>
      <c r="BH2">
        <v>2024</v>
      </c>
      <c r="BI2">
        <v>2024</v>
      </c>
      <c r="BJ2">
        <v>2024</v>
      </c>
      <c r="BK2">
        <v>2024</v>
      </c>
      <c r="BL2">
        <v>2024</v>
      </c>
      <c r="BM2">
        <v>2024</v>
      </c>
      <c r="BN2">
        <v>2025</v>
      </c>
      <c r="BO2">
        <v>2025</v>
      </c>
      <c r="BP2">
        <v>2025</v>
      </c>
      <c r="BQ2">
        <v>2025</v>
      </c>
      <c r="BR2">
        <v>2025</v>
      </c>
      <c r="BS2">
        <v>2025</v>
      </c>
      <c r="BT2">
        <v>2025</v>
      </c>
      <c r="BU2">
        <v>2025</v>
      </c>
      <c r="BV2">
        <v>2025</v>
      </c>
      <c r="BW2">
        <v>2025</v>
      </c>
      <c r="BX2">
        <v>2025</v>
      </c>
      <c r="BY2">
        <v>2025</v>
      </c>
      <c r="BZ2">
        <v>2026</v>
      </c>
      <c r="CA2">
        <v>2026</v>
      </c>
      <c r="CB2">
        <v>2026</v>
      </c>
      <c r="CC2">
        <v>2026</v>
      </c>
      <c r="CD2">
        <v>2026</v>
      </c>
      <c r="CE2">
        <v>2026</v>
      </c>
      <c r="CF2">
        <v>2026</v>
      </c>
      <c r="CG2">
        <v>2026</v>
      </c>
      <c r="CH2">
        <v>2026</v>
      </c>
      <c r="CI2">
        <v>2026</v>
      </c>
      <c r="CJ2">
        <v>2026</v>
      </c>
      <c r="CK2">
        <v>2026</v>
      </c>
      <c r="CL2">
        <v>2027</v>
      </c>
      <c r="CM2">
        <v>2027</v>
      </c>
      <c r="CN2">
        <v>2027</v>
      </c>
      <c r="CO2">
        <v>2027</v>
      </c>
      <c r="CP2">
        <v>2027</v>
      </c>
      <c r="CQ2">
        <v>2027</v>
      </c>
      <c r="CR2">
        <v>2027</v>
      </c>
      <c r="CS2">
        <v>2027</v>
      </c>
      <c r="CT2">
        <v>2027</v>
      </c>
      <c r="CU2">
        <v>2027</v>
      </c>
      <c r="CV2">
        <v>2027</v>
      </c>
      <c r="CW2">
        <v>2027</v>
      </c>
      <c r="CX2">
        <v>2028</v>
      </c>
      <c r="CY2">
        <v>2028</v>
      </c>
      <c r="CZ2">
        <v>2028</v>
      </c>
      <c r="DA2">
        <v>2028</v>
      </c>
      <c r="DB2">
        <v>2028</v>
      </c>
      <c r="DC2">
        <v>2028</v>
      </c>
      <c r="DD2">
        <v>2028</v>
      </c>
      <c r="DE2">
        <v>2028</v>
      </c>
      <c r="DF2">
        <v>2028</v>
      </c>
      <c r="DG2">
        <v>2028</v>
      </c>
      <c r="DH2">
        <v>2028</v>
      </c>
      <c r="DI2">
        <v>2028</v>
      </c>
      <c r="DJ2">
        <v>2029</v>
      </c>
      <c r="DK2">
        <v>2029</v>
      </c>
      <c r="DL2">
        <v>2029</v>
      </c>
      <c r="DM2">
        <v>2029</v>
      </c>
      <c r="DN2">
        <v>2029</v>
      </c>
      <c r="DO2">
        <v>2029</v>
      </c>
      <c r="DP2">
        <v>2029</v>
      </c>
      <c r="DQ2">
        <v>2029</v>
      </c>
      <c r="DR2">
        <v>2029</v>
      </c>
      <c r="DS2">
        <v>2029</v>
      </c>
      <c r="DT2">
        <v>2029</v>
      </c>
      <c r="DU2">
        <v>2029</v>
      </c>
      <c r="DV2">
        <v>2030</v>
      </c>
      <c r="DW2">
        <v>2030</v>
      </c>
      <c r="DX2">
        <v>2030</v>
      </c>
      <c r="DY2">
        <v>2030</v>
      </c>
      <c r="DZ2">
        <v>2030</v>
      </c>
      <c r="EA2">
        <v>2030</v>
      </c>
      <c r="EB2">
        <v>2030</v>
      </c>
      <c r="EC2">
        <v>2030</v>
      </c>
      <c r="ED2">
        <v>2030</v>
      </c>
      <c r="EE2">
        <v>2030</v>
      </c>
      <c r="EF2">
        <v>2030</v>
      </c>
      <c r="EG2">
        <v>2030</v>
      </c>
      <c r="EH2">
        <v>2029</v>
      </c>
      <c r="EI2">
        <v>2029</v>
      </c>
      <c r="EJ2">
        <v>2029</v>
      </c>
      <c r="EK2">
        <v>2029</v>
      </c>
      <c r="EL2">
        <v>2029</v>
      </c>
      <c r="EM2">
        <v>2029</v>
      </c>
      <c r="EN2">
        <v>2029</v>
      </c>
      <c r="EO2">
        <v>2029</v>
      </c>
      <c r="EP2">
        <v>2029</v>
      </c>
      <c r="EQ2">
        <v>2029</v>
      </c>
      <c r="ER2">
        <v>2029</v>
      </c>
      <c r="ES2">
        <v>2029</v>
      </c>
      <c r="ET2">
        <v>2030</v>
      </c>
      <c r="EU2">
        <v>2030</v>
      </c>
      <c r="EV2">
        <v>2030</v>
      </c>
      <c r="EW2">
        <v>2030</v>
      </c>
      <c r="EX2">
        <v>2030</v>
      </c>
      <c r="EY2">
        <v>2030</v>
      </c>
      <c r="EZ2">
        <v>2030</v>
      </c>
      <c r="FA2">
        <v>2030</v>
      </c>
      <c r="FB2">
        <v>2030</v>
      </c>
      <c r="FC2">
        <v>2030</v>
      </c>
      <c r="FD2">
        <v>2030</v>
      </c>
      <c r="FE2">
        <v>2030</v>
      </c>
      <c r="FF2"/>
    </row>
    <row r="3" spans="1:162" ht="15" x14ac:dyDescent="0.25">
      <c r="A3"/>
      <c r="B3"/>
      <c r="C3" s="509" t="s">
        <v>686</v>
      </c>
      <c r="D3"/>
      <c r="E3"/>
      <c r="F3">
        <v>1</v>
      </c>
      <c r="G3">
        <v>2</v>
      </c>
      <c r="H3">
        <v>3</v>
      </c>
      <c r="I3">
        <v>4</v>
      </c>
      <c r="J3">
        <v>5</v>
      </c>
      <c r="K3">
        <v>6</v>
      </c>
      <c r="L3">
        <v>7</v>
      </c>
      <c r="M3">
        <v>8</v>
      </c>
      <c r="N3">
        <v>9</v>
      </c>
      <c r="O3">
        <v>10</v>
      </c>
      <c r="P3">
        <v>11</v>
      </c>
      <c r="Q3">
        <v>12</v>
      </c>
      <c r="R3">
        <v>1</v>
      </c>
      <c r="S3">
        <v>2</v>
      </c>
      <c r="T3">
        <v>3</v>
      </c>
      <c r="U3">
        <v>4</v>
      </c>
      <c r="V3">
        <v>5</v>
      </c>
      <c r="W3">
        <v>6</v>
      </c>
      <c r="X3">
        <v>7</v>
      </c>
      <c r="Y3">
        <v>8</v>
      </c>
      <c r="Z3">
        <v>9</v>
      </c>
      <c r="AA3">
        <v>10</v>
      </c>
      <c r="AB3">
        <v>11</v>
      </c>
      <c r="AC3">
        <v>12</v>
      </c>
      <c r="AD3">
        <v>1</v>
      </c>
      <c r="AE3">
        <v>2</v>
      </c>
      <c r="AF3">
        <v>3</v>
      </c>
      <c r="AG3">
        <v>4</v>
      </c>
      <c r="AH3">
        <v>5</v>
      </c>
      <c r="AI3">
        <v>6</v>
      </c>
      <c r="AJ3">
        <v>7</v>
      </c>
      <c r="AK3">
        <v>8</v>
      </c>
      <c r="AL3">
        <v>9</v>
      </c>
      <c r="AM3">
        <v>10</v>
      </c>
      <c r="AN3">
        <v>11</v>
      </c>
      <c r="AO3">
        <v>12</v>
      </c>
      <c r="AP3">
        <v>1</v>
      </c>
      <c r="AQ3">
        <v>2</v>
      </c>
      <c r="AR3">
        <v>3</v>
      </c>
      <c r="AS3">
        <v>4</v>
      </c>
      <c r="AT3">
        <v>5</v>
      </c>
      <c r="AU3">
        <v>6</v>
      </c>
      <c r="AV3">
        <v>7</v>
      </c>
      <c r="AW3">
        <v>8</v>
      </c>
      <c r="AX3">
        <v>9</v>
      </c>
      <c r="AY3">
        <v>10</v>
      </c>
      <c r="AZ3">
        <v>11</v>
      </c>
      <c r="BA3">
        <v>12</v>
      </c>
      <c r="BB3">
        <v>1</v>
      </c>
      <c r="BC3">
        <v>2</v>
      </c>
      <c r="BD3">
        <v>3</v>
      </c>
      <c r="BE3">
        <v>4</v>
      </c>
      <c r="BF3">
        <v>5</v>
      </c>
      <c r="BG3">
        <v>6</v>
      </c>
      <c r="BH3">
        <v>7</v>
      </c>
      <c r="BI3">
        <v>8</v>
      </c>
      <c r="BJ3">
        <v>9</v>
      </c>
      <c r="BK3">
        <v>10</v>
      </c>
      <c r="BL3">
        <v>11</v>
      </c>
      <c r="BM3">
        <v>12</v>
      </c>
      <c r="BN3">
        <v>1</v>
      </c>
      <c r="BO3">
        <v>2</v>
      </c>
      <c r="BP3">
        <v>3</v>
      </c>
      <c r="BQ3">
        <v>4</v>
      </c>
      <c r="BR3">
        <v>5</v>
      </c>
      <c r="BS3">
        <v>6</v>
      </c>
      <c r="BT3">
        <v>7</v>
      </c>
      <c r="BU3">
        <v>8</v>
      </c>
      <c r="BV3">
        <v>9</v>
      </c>
      <c r="BW3">
        <v>10</v>
      </c>
      <c r="BX3">
        <v>11</v>
      </c>
      <c r="BY3">
        <v>12</v>
      </c>
      <c r="BZ3">
        <v>1</v>
      </c>
      <c r="CA3">
        <v>2</v>
      </c>
      <c r="CB3">
        <v>3</v>
      </c>
      <c r="CC3">
        <v>4</v>
      </c>
      <c r="CD3">
        <v>5</v>
      </c>
      <c r="CE3">
        <v>6</v>
      </c>
      <c r="CF3">
        <v>7</v>
      </c>
      <c r="CG3">
        <v>8</v>
      </c>
      <c r="CH3">
        <v>9</v>
      </c>
      <c r="CI3">
        <v>10</v>
      </c>
      <c r="CJ3">
        <v>11</v>
      </c>
      <c r="CK3">
        <v>12</v>
      </c>
      <c r="CL3">
        <v>1</v>
      </c>
      <c r="CM3">
        <v>2</v>
      </c>
      <c r="CN3">
        <v>3</v>
      </c>
      <c r="CO3">
        <v>4</v>
      </c>
      <c r="CP3">
        <v>5</v>
      </c>
      <c r="CQ3">
        <v>6</v>
      </c>
      <c r="CR3">
        <v>7</v>
      </c>
      <c r="CS3">
        <v>8</v>
      </c>
      <c r="CT3">
        <v>9</v>
      </c>
      <c r="CU3">
        <v>10</v>
      </c>
      <c r="CV3">
        <v>11</v>
      </c>
      <c r="CW3">
        <v>12</v>
      </c>
      <c r="CX3">
        <v>1</v>
      </c>
      <c r="CY3">
        <v>2</v>
      </c>
      <c r="CZ3">
        <v>3</v>
      </c>
      <c r="DA3">
        <v>4</v>
      </c>
      <c r="DB3">
        <v>5</v>
      </c>
      <c r="DC3">
        <v>6</v>
      </c>
      <c r="DD3">
        <v>7</v>
      </c>
      <c r="DE3">
        <v>8</v>
      </c>
      <c r="DF3">
        <v>9</v>
      </c>
      <c r="DG3">
        <v>10</v>
      </c>
      <c r="DH3">
        <v>11</v>
      </c>
      <c r="DI3">
        <v>12</v>
      </c>
      <c r="DJ3">
        <v>1</v>
      </c>
      <c r="DK3">
        <v>2</v>
      </c>
      <c r="DL3">
        <v>3</v>
      </c>
      <c r="DM3">
        <v>4</v>
      </c>
      <c r="DN3">
        <v>5</v>
      </c>
      <c r="DO3">
        <v>6</v>
      </c>
      <c r="DP3">
        <v>7</v>
      </c>
      <c r="DQ3">
        <v>8</v>
      </c>
      <c r="DR3">
        <v>9</v>
      </c>
      <c r="DS3">
        <v>10</v>
      </c>
      <c r="DT3">
        <v>11</v>
      </c>
      <c r="DU3">
        <v>12</v>
      </c>
      <c r="DV3">
        <v>1</v>
      </c>
      <c r="DW3">
        <v>2</v>
      </c>
      <c r="DX3">
        <v>3</v>
      </c>
      <c r="DY3">
        <v>4</v>
      </c>
      <c r="DZ3">
        <v>5</v>
      </c>
      <c r="EA3">
        <v>6</v>
      </c>
      <c r="EB3">
        <v>7</v>
      </c>
      <c r="EC3">
        <v>8</v>
      </c>
      <c r="ED3">
        <v>9</v>
      </c>
      <c r="EE3">
        <v>10</v>
      </c>
      <c r="EF3">
        <v>11</v>
      </c>
      <c r="EG3">
        <v>12</v>
      </c>
      <c r="EH3">
        <v>1</v>
      </c>
      <c r="EI3">
        <v>2</v>
      </c>
      <c r="EJ3">
        <v>3</v>
      </c>
      <c r="EK3">
        <v>4</v>
      </c>
      <c r="EL3">
        <v>5</v>
      </c>
      <c r="EM3">
        <v>6</v>
      </c>
      <c r="EN3">
        <v>7</v>
      </c>
      <c r="EO3">
        <v>8</v>
      </c>
      <c r="EP3">
        <v>9</v>
      </c>
      <c r="EQ3">
        <v>10</v>
      </c>
      <c r="ER3">
        <v>11</v>
      </c>
      <c r="ES3">
        <v>12</v>
      </c>
      <c r="ET3">
        <v>1</v>
      </c>
      <c r="EU3">
        <v>2</v>
      </c>
      <c r="EV3">
        <v>3</v>
      </c>
      <c r="EW3">
        <v>4</v>
      </c>
      <c r="EX3">
        <v>5</v>
      </c>
      <c r="EY3">
        <v>6</v>
      </c>
      <c r="EZ3">
        <v>7</v>
      </c>
      <c r="FA3">
        <v>8</v>
      </c>
      <c r="FB3">
        <v>9</v>
      </c>
      <c r="FC3">
        <v>10</v>
      </c>
      <c r="FD3">
        <v>11</v>
      </c>
      <c r="FE3">
        <v>12</v>
      </c>
      <c r="FF3"/>
    </row>
    <row r="4" spans="1:162" ht="15" x14ac:dyDescent="0.25">
      <c r="A4" s="772" t="s">
        <v>500</v>
      </c>
      <c r="B4" s="772" t="s">
        <v>501</v>
      </c>
      <c r="C4" s="773"/>
      <c r="D4" s="773"/>
      <c r="E4" s="772" t="s">
        <v>502</v>
      </c>
      <c r="F4">
        <v>202001</v>
      </c>
      <c r="G4">
        <v>202002</v>
      </c>
      <c r="H4">
        <v>202003</v>
      </c>
      <c r="I4">
        <v>202004</v>
      </c>
      <c r="J4">
        <v>202005</v>
      </c>
      <c r="K4">
        <v>202006</v>
      </c>
      <c r="L4">
        <v>202007</v>
      </c>
      <c r="M4">
        <v>202008</v>
      </c>
      <c r="N4">
        <v>202009</v>
      </c>
      <c r="O4">
        <v>202010</v>
      </c>
      <c r="P4">
        <v>202011</v>
      </c>
      <c r="Q4">
        <v>202012</v>
      </c>
      <c r="R4">
        <v>202101</v>
      </c>
      <c r="S4">
        <v>202102</v>
      </c>
      <c r="T4">
        <v>202103</v>
      </c>
      <c r="U4">
        <v>202104</v>
      </c>
      <c r="V4">
        <v>202105</v>
      </c>
      <c r="W4">
        <v>202106</v>
      </c>
      <c r="X4">
        <v>202107</v>
      </c>
      <c r="Y4">
        <v>202108</v>
      </c>
      <c r="Z4">
        <v>202109</v>
      </c>
      <c r="AA4">
        <v>202110</v>
      </c>
      <c r="AB4">
        <v>202111</v>
      </c>
      <c r="AC4">
        <v>202112</v>
      </c>
      <c r="AD4">
        <v>202201</v>
      </c>
      <c r="AE4">
        <v>202202</v>
      </c>
      <c r="AF4">
        <v>202203</v>
      </c>
      <c r="AG4">
        <v>202204</v>
      </c>
      <c r="AH4">
        <v>202205</v>
      </c>
      <c r="AI4">
        <v>202206</v>
      </c>
      <c r="AJ4">
        <v>202207</v>
      </c>
      <c r="AK4">
        <v>202208</v>
      </c>
      <c r="AL4">
        <v>202209</v>
      </c>
      <c r="AM4">
        <v>202210</v>
      </c>
      <c r="AN4">
        <v>202211</v>
      </c>
      <c r="AO4">
        <v>202212</v>
      </c>
      <c r="AP4">
        <v>202301</v>
      </c>
      <c r="AQ4">
        <v>202302</v>
      </c>
      <c r="AR4">
        <v>202303</v>
      </c>
      <c r="AS4">
        <v>202304</v>
      </c>
      <c r="AT4">
        <v>202305</v>
      </c>
      <c r="AU4">
        <v>202306</v>
      </c>
      <c r="AV4">
        <v>202307</v>
      </c>
      <c r="AW4">
        <v>202308</v>
      </c>
      <c r="AX4">
        <v>202309</v>
      </c>
      <c r="AY4">
        <v>202310</v>
      </c>
      <c r="AZ4">
        <v>202311</v>
      </c>
      <c r="BA4">
        <v>202312</v>
      </c>
      <c r="BB4">
        <v>202401</v>
      </c>
      <c r="BC4">
        <v>202402</v>
      </c>
      <c r="BD4">
        <v>202403</v>
      </c>
      <c r="BE4">
        <v>202404</v>
      </c>
      <c r="BF4">
        <v>202405</v>
      </c>
      <c r="BG4">
        <v>202406</v>
      </c>
      <c r="BH4">
        <v>202407</v>
      </c>
      <c r="BI4">
        <v>202408</v>
      </c>
      <c r="BJ4">
        <v>202409</v>
      </c>
      <c r="BK4">
        <v>202410</v>
      </c>
      <c r="BL4">
        <v>202411</v>
      </c>
      <c r="BM4">
        <v>202412</v>
      </c>
      <c r="BN4">
        <v>202501</v>
      </c>
      <c r="BO4">
        <v>202502</v>
      </c>
      <c r="BP4">
        <v>202503</v>
      </c>
      <c r="BQ4">
        <v>202504</v>
      </c>
      <c r="BR4">
        <v>202505</v>
      </c>
      <c r="BS4">
        <v>202506</v>
      </c>
      <c r="BT4">
        <v>202507</v>
      </c>
      <c r="BU4">
        <v>202508</v>
      </c>
      <c r="BV4">
        <v>202509</v>
      </c>
      <c r="BW4">
        <v>202510</v>
      </c>
      <c r="BX4">
        <v>202511</v>
      </c>
      <c r="BY4">
        <v>202512</v>
      </c>
      <c r="BZ4">
        <v>202601</v>
      </c>
      <c r="CA4">
        <v>202602</v>
      </c>
      <c r="CB4">
        <v>202603</v>
      </c>
      <c r="CC4">
        <v>202604</v>
      </c>
      <c r="CD4">
        <v>202605</v>
      </c>
      <c r="CE4">
        <v>202606</v>
      </c>
      <c r="CF4">
        <v>202607</v>
      </c>
      <c r="CG4">
        <v>202608</v>
      </c>
      <c r="CH4">
        <v>202609</v>
      </c>
      <c r="CI4">
        <v>202610</v>
      </c>
      <c r="CJ4">
        <v>202611</v>
      </c>
      <c r="CK4">
        <v>202612</v>
      </c>
      <c r="CL4">
        <v>202701</v>
      </c>
      <c r="CM4">
        <v>202702</v>
      </c>
      <c r="CN4">
        <v>202703</v>
      </c>
      <c r="CO4">
        <v>202704</v>
      </c>
      <c r="CP4">
        <v>202705</v>
      </c>
      <c r="CQ4">
        <v>202706</v>
      </c>
      <c r="CR4">
        <v>202707</v>
      </c>
      <c r="CS4">
        <v>202708</v>
      </c>
      <c r="CT4">
        <v>202709</v>
      </c>
      <c r="CU4">
        <v>202710</v>
      </c>
      <c r="CV4">
        <v>202711</v>
      </c>
      <c r="CW4">
        <v>202712</v>
      </c>
      <c r="CX4">
        <v>202801</v>
      </c>
      <c r="CY4">
        <v>202802</v>
      </c>
      <c r="CZ4">
        <v>202803</v>
      </c>
      <c r="DA4">
        <v>202804</v>
      </c>
      <c r="DB4">
        <v>202805</v>
      </c>
      <c r="DC4">
        <v>202806</v>
      </c>
      <c r="DD4">
        <v>202807</v>
      </c>
      <c r="DE4">
        <v>202808</v>
      </c>
      <c r="DF4">
        <v>202809</v>
      </c>
      <c r="DG4">
        <v>202810</v>
      </c>
      <c r="DH4">
        <v>202811</v>
      </c>
      <c r="DI4">
        <v>202812</v>
      </c>
      <c r="DJ4">
        <v>202901</v>
      </c>
      <c r="DK4">
        <v>202902</v>
      </c>
      <c r="DL4">
        <v>202903</v>
      </c>
      <c r="DM4">
        <v>202904</v>
      </c>
      <c r="DN4">
        <v>202905</v>
      </c>
      <c r="DO4">
        <v>202906</v>
      </c>
      <c r="DP4">
        <v>202907</v>
      </c>
      <c r="DQ4">
        <v>202908</v>
      </c>
      <c r="DR4">
        <v>202909</v>
      </c>
      <c r="DS4">
        <v>202910</v>
      </c>
      <c r="DT4">
        <v>202911</v>
      </c>
      <c r="DU4">
        <v>202912</v>
      </c>
      <c r="DV4">
        <v>203001</v>
      </c>
      <c r="DW4">
        <v>203002</v>
      </c>
      <c r="DX4">
        <v>203003</v>
      </c>
      <c r="DY4">
        <v>203004</v>
      </c>
      <c r="DZ4">
        <v>203005</v>
      </c>
      <c r="EA4">
        <v>203006</v>
      </c>
      <c r="EB4">
        <v>203007</v>
      </c>
      <c r="EC4">
        <v>203008</v>
      </c>
      <c r="ED4">
        <v>203009</v>
      </c>
      <c r="EE4">
        <v>203010</v>
      </c>
      <c r="EF4">
        <v>203011</v>
      </c>
      <c r="EG4">
        <v>203012</v>
      </c>
      <c r="EH4">
        <v>202901</v>
      </c>
      <c r="EI4">
        <v>202902</v>
      </c>
      <c r="EJ4">
        <v>202903</v>
      </c>
      <c r="EK4">
        <v>202904</v>
      </c>
      <c r="EL4">
        <v>202905</v>
      </c>
      <c r="EM4">
        <v>202906</v>
      </c>
      <c r="EN4">
        <v>202907</v>
      </c>
      <c r="EO4">
        <v>202908</v>
      </c>
      <c r="EP4">
        <v>202909</v>
      </c>
      <c r="EQ4">
        <v>202910</v>
      </c>
      <c r="ER4">
        <v>202911</v>
      </c>
      <c r="ES4">
        <v>202912</v>
      </c>
      <c r="ET4">
        <v>203001</v>
      </c>
      <c r="EU4">
        <v>203002</v>
      </c>
      <c r="EV4">
        <v>203003</v>
      </c>
      <c r="EW4">
        <v>203004</v>
      </c>
      <c r="EX4">
        <v>203005</v>
      </c>
      <c r="EY4">
        <v>203006</v>
      </c>
      <c r="EZ4">
        <v>203007</v>
      </c>
      <c r="FA4">
        <v>203008</v>
      </c>
      <c r="FB4">
        <v>203009</v>
      </c>
      <c r="FC4">
        <v>203010</v>
      </c>
      <c r="FD4">
        <v>203011</v>
      </c>
      <c r="FE4">
        <v>203012</v>
      </c>
      <c r="FF4"/>
    </row>
    <row r="5" spans="1:162" ht="15" x14ac:dyDescent="0.25">
      <c r="A5" t="s">
        <v>21</v>
      </c>
      <c r="B5" t="s">
        <v>62</v>
      </c>
      <c r="C5" s="509"/>
      <c r="D5" s="509" t="s">
        <v>62</v>
      </c>
      <c r="E5" t="s">
        <v>27</v>
      </c>
      <c r="F5" s="844">
        <v>300975</v>
      </c>
      <c r="G5" s="844">
        <v>300913</v>
      </c>
      <c r="H5" s="844">
        <v>301537</v>
      </c>
      <c r="I5" s="844">
        <v>300871</v>
      </c>
      <c r="J5" s="844">
        <v>301046</v>
      </c>
      <c r="K5" s="844">
        <v>300579</v>
      </c>
      <c r="L5" s="844">
        <v>300175</v>
      </c>
      <c r="M5" s="844">
        <v>299935</v>
      </c>
      <c r="N5" s="844">
        <v>299334</v>
      </c>
      <c r="O5" s="844">
        <v>299655</v>
      </c>
      <c r="P5" s="844">
        <v>299972</v>
      </c>
      <c r="Q5" s="844">
        <v>301231</v>
      </c>
      <c r="R5" s="844">
        <v>301806</v>
      </c>
      <c r="S5" s="844">
        <v>301904</v>
      </c>
      <c r="T5" s="844">
        <v>302297</v>
      </c>
      <c r="U5" s="844">
        <v>301789</v>
      </c>
      <c r="V5" s="844">
        <v>301351</v>
      </c>
      <c r="W5" s="844">
        <v>300918</v>
      </c>
      <c r="X5" s="844">
        <v>300555</v>
      </c>
      <c r="Y5" s="844">
        <v>300355</v>
      </c>
      <c r="Z5" s="844">
        <v>299791</v>
      </c>
      <c r="AA5" s="844">
        <v>300154</v>
      </c>
      <c r="AB5" s="844">
        <v>300511</v>
      </c>
      <c r="AC5" s="844">
        <v>301808</v>
      </c>
      <c r="AD5" s="844">
        <v>302470</v>
      </c>
      <c r="AE5" s="844">
        <v>302642</v>
      </c>
      <c r="AF5" s="844">
        <v>303050</v>
      </c>
      <c r="AG5" s="844">
        <v>302612</v>
      </c>
      <c r="AH5" s="844">
        <v>302131</v>
      </c>
      <c r="AI5" s="844">
        <v>301963</v>
      </c>
      <c r="AJ5" s="844">
        <v>301575</v>
      </c>
      <c r="AK5" s="844">
        <v>301468</v>
      </c>
      <c r="AL5" s="844">
        <v>300930</v>
      </c>
      <c r="AM5" s="844">
        <v>301346</v>
      </c>
      <c r="AN5" s="844">
        <v>301685</v>
      </c>
      <c r="AO5" s="844">
        <v>302949</v>
      </c>
      <c r="AP5" s="844">
        <v>303630</v>
      </c>
      <c r="AQ5" s="844">
        <v>303819</v>
      </c>
      <c r="AR5" s="844">
        <v>304244</v>
      </c>
      <c r="AS5" s="844">
        <v>303820</v>
      </c>
      <c r="AT5" s="844">
        <v>303352</v>
      </c>
      <c r="AU5" s="844">
        <v>303198</v>
      </c>
      <c r="AV5" s="844">
        <v>302824</v>
      </c>
      <c r="AW5" s="844">
        <v>302731</v>
      </c>
      <c r="AX5" s="844">
        <v>302207</v>
      </c>
      <c r="AY5" s="844">
        <v>302637</v>
      </c>
      <c r="AZ5" s="844">
        <v>302990</v>
      </c>
      <c r="BA5" s="844">
        <v>304267</v>
      </c>
      <c r="BB5" s="844">
        <v>304956</v>
      </c>
      <c r="BC5" s="844">
        <v>305153</v>
      </c>
      <c r="BD5" s="844">
        <v>305585</v>
      </c>
      <c r="BE5" s="844">
        <v>305172</v>
      </c>
      <c r="BF5" s="844">
        <v>304714</v>
      </c>
      <c r="BG5" s="844">
        <v>304569</v>
      </c>
      <c r="BH5" s="844">
        <v>304204</v>
      </c>
      <c r="BI5" s="844">
        <v>304118</v>
      </c>
      <c r="BJ5" s="844">
        <v>303602</v>
      </c>
      <c r="BK5" s="844">
        <v>304035</v>
      </c>
      <c r="BL5" s="844">
        <v>304390</v>
      </c>
      <c r="BM5" s="844">
        <v>305670</v>
      </c>
      <c r="BN5" s="844">
        <v>306361</v>
      </c>
      <c r="BO5" s="844">
        <v>306560</v>
      </c>
      <c r="BP5" s="844">
        <v>306994</v>
      </c>
      <c r="BQ5" s="844">
        <v>306579</v>
      </c>
      <c r="BR5" s="844">
        <v>306120</v>
      </c>
      <c r="BS5" s="844">
        <v>305973</v>
      </c>
      <c r="BT5" s="844">
        <v>305606</v>
      </c>
      <c r="BU5" s="844">
        <v>305518</v>
      </c>
      <c r="BV5" s="844">
        <v>304999</v>
      </c>
      <c r="BW5" s="844">
        <v>305431</v>
      </c>
      <c r="BX5" s="844">
        <v>305787</v>
      </c>
      <c r="BY5" s="844">
        <v>307066</v>
      </c>
      <c r="BZ5" s="844">
        <v>307756</v>
      </c>
      <c r="CA5" s="844">
        <v>307954</v>
      </c>
      <c r="CB5" s="844">
        <v>308387</v>
      </c>
      <c r="CC5" s="844">
        <v>307971</v>
      </c>
      <c r="CD5" s="844">
        <v>307510</v>
      </c>
      <c r="CE5" s="844">
        <v>307363</v>
      </c>
      <c r="CF5" s="844">
        <v>306989</v>
      </c>
      <c r="CG5" s="844">
        <v>306895</v>
      </c>
      <c r="CH5" s="844">
        <v>306370</v>
      </c>
      <c r="CI5" s="844">
        <v>306794</v>
      </c>
      <c r="CJ5" s="844">
        <v>307141</v>
      </c>
      <c r="CK5" s="844">
        <v>308413</v>
      </c>
      <c r="CL5" s="844">
        <v>309099</v>
      </c>
      <c r="CM5" s="844">
        <v>309294</v>
      </c>
      <c r="CN5" s="844">
        <v>309724</v>
      </c>
      <c r="CO5" s="844">
        <v>309303</v>
      </c>
      <c r="CP5" s="844">
        <v>308838</v>
      </c>
      <c r="CQ5" s="844">
        <v>308686</v>
      </c>
      <c r="CR5" s="844">
        <v>308312</v>
      </c>
      <c r="CS5" s="844">
        <v>308218</v>
      </c>
      <c r="CT5" s="844">
        <v>307693</v>
      </c>
      <c r="CU5" s="844">
        <v>308112</v>
      </c>
      <c r="CV5" s="844">
        <v>308454</v>
      </c>
      <c r="CW5" s="844">
        <v>309721</v>
      </c>
      <c r="CX5" s="844">
        <v>310402</v>
      </c>
      <c r="CY5" s="844">
        <v>310592</v>
      </c>
      <c r="CZ5" s="844">
        <v>311017</v>
      </c>
      <c r="DA5" s="844">
        <v>310591</v>
      </c>
      <c r="DB5" s="844">
        <v>310122</v>
      </c>
      <c r="DC5" s="844">
        <v>309965</v>
      </c>
      <c r="DD5" s="844">
        <v>309586</v>
      </c>
      <c r="DE5" s="844">
        <v>309487</v>
      </c>
      <c r="DF5" s="844">
        <v>308957</v>
      </c>
      <c r="DG5" s="844">
        <v>309374</v>
      </c>
      <c r="DH5" s="844">
        <v>309715</v>
      </c>
      <c r="DI5" s="844">
        <v>310981</v>
      </c>
      <c r="DJ5" s="844">
        <v>311657</v>
      </c>
      <c r="DK5" s="844">
        <v>311841</v>
      </c>
      <c r="DL5" s="844">
        <v>312261</v>
      </c>
      <c r="DM5" s="844">
        <v>311829</v>
      </c>
      <c r="DN5" s="844">
        <v>311354</v>
      </c>
      <c r="DO5" s="844">
        <v>311193</v>
      </c>
      <c r="DP5" s="844">
        <v>310808</v>
      </c>
      <c r="DQ5" s="844">
        <v>310704</v>
      </c>
      <c r="DR5" s="844">
        <v>310169</v>
      </c>
      <c r="DS5" s="844">
        <v>310581</v>
      </c>
      <c r="DT5" s="844">
        <v>310917</v>
      </c>
      <c r="DU5" s="844">
        <v>312178</v>
      </c>
      <c r="DV5" s="844">
        <v>312852</v>
      </c>
      <c r="DW5" s="844">
        <v>313034</v>
      </c>
      <c r="DX5" s="844">
        <v>313454</v>
      </c>
      <c r="DY5" s="844">
        <v>313016</v>
      </c>
      <c r="DZ5" s="844">
        <v>312537</v>
      </c>
      <c r="EA5" s="844">
        <v>312370</v>
      </c>
      <c r="EB5" s="844">
        <v>311980</v>
      </c>
      <c r="EC5" s="844">
        <v>311871</v>
      </c>
      <c r="ED5" s="844">
        <v>311332</v>
      </c>
      <c r="EE5" s="844">
        <v>311739</v>
      </c>
      <c r="EF5" s="844">
        <v>312069</v>
      </c>
      <c r="EG5" s="844">
        <v>313325</v>
      </c>
      <c r="EH5" s="757">
        <v>309375</v>
      </c>
      <c r="EI5" s="757">
        <v>309615</v>
      </c>
      <c r="EJ5" s="757">
        <v>310042</v>
      </c>
      <c r="EK5" s="757">
        <v>309475</v>
      </c>
      <c r="EL5" s="757">
        <v>309005</v>
      </c>
      <c r="EM5" s="757">
        <v>308938</v>
      </c>
      <c r="EN5" s="757">
        <v>308444</v>
      </c>
      <c r="EO5" s="757">
        <v>308410</v>
      </c>
      <c r="EP5" s="757">
        <v>307893</v>
      </c>
      <c r="EQ5" s="757">
        <v>308243</v>
      </c>
      <c r="ER5" s="757">
        <v>308479</v>
      </c>
      <c r="ES5" s="757">
        <v>309637</v>
      </c>
      <c r="ET5" s="757">
        <v>310261</v>
      </c>
      <c r="EU5" s="757">
        <v>310501</v>
      </c>
      <c r="EV5" s="757">
        <v>310929</v>
      </c>
      <c r="EW5" s="757">
        <v>310357</v>
      </c>
      <c r="EX5" s="757">
        <v>309882</v>
      </c>
      <c r="EY5" s="757">
        <v>309812</v>
      </c>
      <c r="EZ5" s="757">
        <v>309313</v>
      </c>
      <c r="FA5" s="757">
        <v>309276</v>
      </c>
      <c r="FB5" s="757">
        <v>308755</v>
      </c>
      <c r="FC5" s="757">
        <v>309100</v>
      </c>
      <c r="FD5" s="757">
        <v>309332</v>
      </c>
      <c r="FE5" s="757">
        <v>310486</v>
      </c>
      <c r="FF5"/>
    </row>
    <row r="6" spans="1:162" ht="15" x14ac:dyDescent="0.25">
      <c r="A6" t="s">
        <v>21</v>
      </c>
      <c r="B6" t="s">
        <v>504</v>
      </c>
      <c r="C6" s="509" t="s">
        <v>380</v>
      </c>
      <c r="D6" s="509" t="s">
        <v>56</v>
      </c>
      <c r="E6" t="s">
        <v>20</v>
      </c>
      <c r="F6" s="844">
        <v>2</v>
      </c>
      <c r="G6" s="844">
        <v>2</v>
      </c>
      <c r="H6" s="844">
        <v>2</v>
      </c>
      <c r="I6" s="844">
        <v>2</v>
      </c>
      <c r="J6" s="844">
        <v>2</v>
      </c>
      <c r="K6" s="844">
        <v>2</v>
      </c>
      <c r="L6" s="844">
        <v>2</v>
      </c>
      <c r="M6" s="844">
        <v>2</v>
      </c>
      <c r="N6" s="844">
        <v>2</v>
      </c>
      <c r="O6" s="844">
        <v>2</v>
      </c>
      <c r="P6" s="844">
        <v>2</v>
      </c>
      <c r="Q6" s="844">
        <v>2</v>
      </c>
      <c r="R6" s="844">
        <v>2</v>
      </c>
      <c r="S6" s="844">
        <v>2</v>
      </c>
      <c r="T6" s="844">
        <v>2</v>
      </c>
      <c r="U6" s="844">
        <v>2</v>
      </c>
      <c r="V6" s="844">
        <v>2</v>
      </c>
      <c r="W6" s="844">
        <v>2</v>
      </c>
      <c r="X6" s="844">
        <v>2</v>
      </c>
      <c r="Y6" s="844">
        <v>2</v>
      </c>
      <c r="Z6" s="844">
        <v>2</v>
      </c>
      <c r="AA6" s="844">
        <v>2</v>
      </c>
      <c r="AB6" s="844">
        <v>2</v>
      </c>
      <c r="AC6" s="844">
        <v>2</v>
      </c>
      <c r="AD6" s="844">
        <v>2</v>
      </c>
      <c r="AE6" s="844">
        <v>2</v>
      </c>
      <c r="AF6" s="844">
        <v>2</v>
      </c>
      <c r="AG6" s="844">
        <v>2</v>
      </c>
      <c r="AH6" s="844">
        <v>2</v>
      </c>
      <c r="AI6" s="844">
        <v>2</v>
      </c>
      <c r="AJ6" s="844">
        <v>2</v>
      </c>
      <c r="AK6" s="844">
        <v>2</v>
      </c>
      <c r="AL6" s="844">
        <v>2</v>
      </c>
      <c r="AM6" s="844">
        <v>2</v>
      </c>
      <c r="AN6" s="844">
        <v>2</v>
      </c>
      <c r="AO6" s="844">
        <v>2</v>
      </c>
      <c r="AP6" s="844">
        <v>2</v>
      </c>
      <c r="AQ6" s="844">
        <v>2</v>
      </c>
      <c r="AR6" s="844">
        <v>2</v>
      </c>
      <c r="AS6" s="844">
        <v>2</v>
      </c>
      <c r="AT6" s="844">
        <v>2</v>
      </c>
      <c r="AU6" s="844">
        <v>2</v>
      </c>
      <c r="AV6" s="844">
        <v>2</v>
      </c>
      <c r="AW6" s="844">
        <v>2</v>
      </c>
      <c r="AX6" s="844">
        <v>2</v>
      </c>
      <c r="AY6" s="844">
        <v>2</v>
      </c>
      <c r="AZ6" s="844">
        <v>2</v>
      </c>
      <c r="BA6" s="844">
        <v>2</v>
      </c>
      <c r="BB6" s="844">
        <v>2</v>
      </c>
      <c r="BC6" s="844">
        <v>2</v>
      </c>
      <c r="BD6" s="844">
        <v>2</v>
      </c>
      <c r="BE6" s="844">
        <v>2</v>
      </c>
      <c r="BF6" s="844">
        <v>2</v>
      </c>
      <c r="BG6" s="844">
        <v>2</v>
      </c>
      <c r="BH6" s="844">
        <v>2</v>
      </c>
      <c r="BI6" s="844">
        <v>2</v>
      </c>
      <c r="BJ6" s="844">
        <v>2</v>
      </c>
      <c r="BK6" s="844">
        <v>2</v>
      </c>
      <c r="BL6" s="844">
        <v>2</v>
      </c>
      <c r="BM6" s="844">
        <v>2</v>
      </c>
      <c r="BN6" s="844">
        <v>2</v>
      </c>
      <c r="BO6" s="844">
        <v>2</v>
      </c>
      <c r="BP6" s="844">
        <v>2</v>
      </c>
      <c r="BQ6" s="844">
        <v>2</v>
      </c>
      <c r="BR6" s="844">
        <v>2</v>
      </c>
      <c r="BS6" s="844">
        <v>2</v>
      </c>
      <c r="BT6" s="844">
        <v>2</v>
      </c>
      <c r="BU6" s="844">
        <v>2</v>
      </c>
      <c r="BV6" s="844">
        <v>2</v>
      </c>
      <c r="BW6" s="844">
        <v>2</v>
      </c>
      <c r="BX6" s="844">
        <v>2</v>
      </c>
      <c r="BY6" s="844">
        <v>2</v>
      </c>
      <c r="BZ6" s="844">
        <v>2</v>
      </c>
      <c r="CA6" s="844">
        <v>2</v>
      </c>
      <c r="CB6" s="844">
        <v>2</v>
      </c>
      <c r="CC6" s="844">
        <v>2</v>
      </c>
      <c r="CD6" s="844">
        <v>2</v>
      </c>
      <c r="CE6" s="844">
        <v>2</v>
      </c>
      <c r="CF6" s="844">
        <v>2</v>
      </c>
      <c r="CG6" s="844">
        <v>2</v>
      </c>
      <c r="CH6" s="844">
        <v>2</v>
      </c>
      <c r="CI6" s="844">
        <v>2</v>
      </c>
      <c r="CJ6" s="844">
        <v>2</v>
      </c>
      <c r="CK6" s="844">
        <v>2</v>
      </c>
      <c r="CL6" s="844">
        <v>2</v>
      </c>
      <c r="CM6" s="844">
        <v>2</v>
      </c>
      <c r="CN6" s="844">
        <v>2</v>
      </c>
      <c r="CO6" s="844">
        <v>2</v>
      </c>
      <c r="CP6" s="844">
        <v>2</v>
      </c>
      <c r="CQ6" s="844">
        <v>2</v>
      </c>
      <c r="CR6" s="844">
        <v>2</v>
      </c>
      <c r="CS6" s="844">
        <v>2</v>
      </c>
      <c r="CT6" s="844">
        <v>2</v>
      </c>
      <c r="CU6" s="844">
        <v>2</v>
      </c>
      <c r="CV6" s="844">
        <v>2</v>
      </c>
      <c r="CW6" s="844">
        <v>2</v>
      </c>
      <c r="CX6" s="844">
        <v>2</v>
      </c>
      <c r="CY6" s="844">
        <v>2</v>
      </c>
      <c r="CZ6" s="844">
        <v>2</v>
      </c>
      <c r="DA6" s="844">
        <v>2</v>
      </c>
      <c r="DB6" s="844">
        <v>2</v>
      </c>
      <c r="DC6" s="844">
        <v>2</v>
      </c>
      <c r="DD6" s="844">
        <v>2</v>
      </c>
      <c r="DE6" s="844">
        <v>2</v>
      </c>
      <c r="DF6" s="844">
        <v>2</v>
      </c>
      <c r="DG6" s="844">
        <v>2</v>
      </c>
      <c r="DH6" s="844">
        <v>2</v>
      </c>
      <c r="DI6" s="844">
        <v>2</v>
      </c>
      <c r="DJ6" s="844">
        <v>2</v>
      </c>
      <c r="DK6" s="844">
        <v>2</v>
      </c>
      <c r="DL6" s="844">
        <v>2</v>
      </c>
      <c r="DM6" s="844">
        <v>2</v>
      </c>
      <c r="DN6" s="844">
        <v>2</v>
      </c>
      <c r="DO6" s="844">
        <v>2</v>
      </c>
      <c r="DP6" s="844">
        <v>2</v>
      </c>
      <c r="DQ6" s="844">
        <v>2</v>
      </c>
      <c r="DR6" s="844">
        <v>2</v>
      </c>
      <c r="DS6" s="844">
        <v>2</v>
      </c>
      <c r="DT6" s="844">
        <v>2</v>
      </c>
      <c r="DU6" s="844">
        <v>2</v>
      </c>
      <c r="DV6" s="844">
        <v>2</v>
      </c>
      <c r="DW6" s="844">
        <v>2</v>
      </c>
      <c r="DX6" s="844">
        <v>2</v>
      </c>
      <c r="DY6" s="844">
        <v>2</v>
      </c>
      <c r="DZ6" s="844">
        <v>2</v>
      </c>
      <c r="EA6" s="844">
        <v>2</v>
      </c>
      <c r="EB6" s="844">
        <v>2</v>
      </c>
      <c r="EC6" s="844">
        <v>2</v>
      </c>
      <c r="ED6" s="844">
        <v>2</v>
      </c>
      <c r="EE6" s="844">
        <v>2</v>
      </c>
      <c r="EF6" s="844">
        <v>2</v>
      </c>
      <c r="EG6" s="844">
        <v>2</v>
      </c>
      <c r="EH6" s="767">
        <v>21</v>
      </c>
      <c r="EI6" s="767">
        <v>21</v>
      </c>
      <c r="EJ6" s="767">
        <v>21</v>
      </c>
      <c r="EK6" s="767">
        <v>21</v>
      </c>
      <c r="EL6" s="767">
        <v>21</v>
      </c>
      <c r="EM6" s="767">
        <v>21</v>
      </c>
      <c r="EN6" s="767">
        <v>21</v>
      </c>
      <c r="EO6" s="767">
        <v>21</v>
      </c>
      <c r="EP6" s="767">
        <v>21</v>
      </c>
      <c r="EQ6" s="767">
        <v>21</v>
      </c>
      <c r="ER6" s="767">
        <v>21</v>
      </c>
      <c r="ES6" s="767">
        <v>21</v>
      </c>
      <c r="ET6" s="767">
        <v>21</v>
      </c>
      <c r="EU6" s="767">
        <v>21</v>
      </c>
      <c r="EV6" s="767">
        <v>21</v>
      </c>
      <c r="EW6" s="767">
        <v>21</v>
      </c>
      <c r="EX6" s="767">
        <v>21</v>
      </c>
      <c r="EY6" s="767">
        <v>21</v>
      </c>
      <c r="EZ6" s="767">
        <v>21</v>
      </c>
      <c r="FA6" s="767">
        <v>21</v>
      </c>
      <c r="FB6" s="767">
        <v>21</v>
      </c>
      <c r="FC6" s="767">
        <v>21</v>
      </c>
      <c r="FD6" s="767">
        <v>21</v>
      </c>
      <c r="FE6" s="767">
        <v>21</v>
      </c>
      <c r="FF6"/>
    </row>
    <row r="7" spans="1:162" ht="15" x14ac:dyDescent="0.25">
      <c r="A7" t="s">
        <v>12</v>
      </c>
      <c r="B7" t="s">
        <v>503</v>
      </c>
      <c r="C7" s="509"/>
      <c r="D7" s="509" t="s">
        <v>223</v>
      </c>
      <c r="E7" t="s">
        <v>14</v>
      </c>
      <c r="F7" s="844">
        <v>1</v>
      </c>
      <c r="G7" s="844">
        <v>1</v>
      </c>
      <c r="H7" s="844">
        <v>1</v>
      </c>
      <c r="I7" s="844">
        <v>1</v>
      </c>
      <c r="J7" s="844">
        <v>1</v>
      </c>
      <c r="K7" s="844">
        <v>1</v>
      </c>
      <c r="L7" s="844">
        <v>1</v>
      </c>
      <c r="M7" s="844">
        <v>1</v>
      </c>
      <c r="N7" s="844">
        <v>1</v>
      </c>
      <c r="O7" s="844">
        <v>1</v>
      </c>
      <c r="P7" s="844">
        <v>0</v>
      </c>
      <c r="Q7" s="844">
        <v>0</v>
      </c>
      <c r="R7" s="844">
        <v>0</v>
      </c>
      <c r="S7" s="844">
        <v>0</v>
      </c>
      <c r="T7" s="844">
        <v>0</v>
      </c>
      <c r="U7" s="844">
        <v>0</v>
      </c>
      <c r="V7" s="844">
        <v>0</v>
      </c>
      <c r="W7" s="844">
        <v>0</v>
      </c>
      <c r="X7" s="844">
        <v>0</v>
      </c>
      <c r="Y7" s="844">
        <v>0</v>
      </c>
      <c r="Z7" s="844">
        <v>0</v>
      </c>
      <c r="AA7" s="844">
        <v>0</v>
      </c>
      <c r="AB7" s="844">
        <v>0</v>
      </c>
      <c r="AC7" s="844">
        <v>0</v>
      </c>
      <c r="AD7" s="844">
        <v>0</v>
      </c>
      <c r="AE7" s="844">
        <v>0</v>
      </c>
      <c r="AF7" s="844">
        <v>0</v>
      </c>
      <c r="AG7" s="844">
        <v>0</v>
      </c>
      <c r="AH7" s="844">
        <v>0</v>
      </c>
      <c r="AI7" s="844">
        <v>0</v>
      </c>
      <c r="AJ7" s="844">
        <v>0</v>
      </c>
      <c r="AK7" s="844">
        <v>0</v>
      </c>
      <c r="AL7" s="844">
        <v>0</v>
      </c>
      <c r="AM7" s="844">
        <v>0</v>
      </c>
      <c r="AN7" s="844">
        <v>0</v>
      </c>
      <c r="AO7" s="844">
        <v>0</v>
      </c>
      <c r="AP7" s="844">
        <v>0</v>
      </c>
      <c r="AQ7" s="844">
        <v>0</v>
      </c>
      <c r="AR7" s="844">
        <v>0</v>
      </c>
      <c r="AS7" s="844">
        <v>0</v>
      </c>
      <c r="AT7" s="844">
        <v>0</v>
      </c>
      <c r="AU7" s="844">
        <v>0</v>
      </c>
      <c r="AV7" s="844">
        <v>0</v>
      </c>
      <c r="AW7" s="844">
        <v>0</v>
      </c>
      <c r="AX7" s="844">
        <v>0</v>
      </c>
      <c r="AY7" s="844">
        <v>0</v>
      </c>
      <c r="AZ7" s="844">
        <v>0</v>
      </c>
      <c r="BA7" s="844">
        <v>0</v>
      </c>
      <c r="BB7" s="844">
        <v>0</v>
      </c>
      <c r="BC7" s="844">
        <v>0</v>
      </c>
      <c r="BD7" s="844">
        <v>0</v>
      </c>
      <c r="BE7" s="844">
        <v>0</v>
      </c>
      <c r="BF7" s="844">
        <v>0</v>
      </c>
      <c r="BG7" s="844">
        <v>0</v>
      </c>
      <c r="BH7" s="844">
        <v>0</v>
      </c>
      <c r="BI7" s="844">
        <v>0</v>
      </c>
      <c r="BJ7" s="844">
        <v>0</v>
      </c>
      <c r="BK7" s="844">
        <v>0</v>
      </c>
      <c r="BL7" s="844">
        <v>0</v>
      </c>
      <c r="BM7" s="844">
        <v>0</v>
      </c>
      <c r="BN7" s="844">
        <v>0</v>
      </c>
      <c r="BO7" s="844">
        <v>0</v>
      </c>
      <c r="BP7" s="844">
        <v>0</v>
      </c>
      <c r="BQ7" s="844">
        <v>0</v>
      </c>
      <c r="BR7" s="844">
        <v>0</v>
      </c>
      <c r="BS7" s="844">
        <v>0</v>
      </c>
      <c r="BT7" s="844">
        <v>0</v>
      </c>
      <c r="BU7" s="844">
        <v>0</v>
      </c>
      <c r="BV7" s="844">
        <v>0</v>
      </c>
      <c r="BW7" s="844">
        <v>0</v>
      </c>
      <c r="BX7" s="844">
        <v>0</v>
      </c>
      <c r="BY7" s="844">
        <v>0</v>
      </c>
      <c r="BZ7" s="844">
        <v>0</v>
      </c>
      <c r="CA7" s="844">
        <v>0</v>
      </c>
      <c r="CB7" s="844">
        <v>0</v>
      </c>
      <c r="CC7" s="844">
        <v>0</v>
      </c>
      <c r="CD7" s="844">
        <v>0</v>
      </c>
      <c r="CE7" s="844">
        <v>0</v>
      </c>
      <c r="CF7" s="844">
        <v>0</v>
      </c>
      <c r="CG7" s="844">
        <v>0</v>
      </c>
      <c r="CH7" s="844">
        <v>0</v>
      </c>
      <c r="CI7" s="844">
        <v>0</v>
      </c>
      <c r="CJ7" s="844">
        <v>0</v>
      </c>
      <c r="CK7" s="844">
        <v>0</v>
      </c>
      <c r="CL7" s="844">
        <v>0</v>
      </c>
      <c r="CM7" s="844">
        <v>0</v>
      </c>
      <c r="CN7" s="844">
        <v>0</v>
      </c>
      <c r="CO7" s="844">
        <v>0</v>
      </c>
      <c r="CP7" s="844">
        <v>0</v>
      </c>
      <c r="CQ7" s="844">
        <v>0</v>
      </c>
      <c r="CR7" s="844">
        <v>0</v>
      </c>
      <c r="CS7" s="844">
        <v>0</v>
      </c>
      <c r="CT7" s="844">
        <v>0</v>
      </c>
      <c r="CU7" s="844">
        <v>0</v>
      </c>
      <c r="CV7" s="844">
        <v>0</v>
      </c>
      <c r="CW7" s="844">
        <v>0</v>
      </c>
      <c r="CX7" s="844">
        <v>0</v>
      </c>
      <c r="CY7" s="844">
        <v>0</v>
      </c>
      <c r="CZ7" s="844">
        <v>0</v>
      </c>
      <c r="DA7" s="844">
        <v>0</v>
      </c>
      <c r="DB7" s="844">
        <v>0</v>
      </c>
      <c r="DC7" s="844">
        <v>0</v>
      </c>
      <c r="DD7" s="844">
        <v>0</v>
      </c>
      <c r="DE7" s="844">
        <v>0</v>
      </c>
      <c r="DF7" s="844">
        <v>0</v>
      </c>
      <c r="DG7" s="844">
        <v>0</v>
      </c>
      <c r="DH7" s="844">
        <v>0</v>
      </c>
      <c r="DI7" s="844">
        <v>0</v>
      </c>
      <c r="DJ7" s="844">
        <v>0</v>
      </c>
      <c r="DK7" s="844">
        <v>0</v>
      </c>
      <c r="DL7" s="844">
        <v>0</v>
      </c>
      <c r="DM7" s="844">
        <v>0</v>
      </c>
      <c r="DN7" s="844">
        <v>0</v>
      </c>
      <c r="DO7" s="844">
        <v>0</v>
      </c>
      <c r="DP7" s="844">
        <v>0</v>
      </c>
      <c r="DQ7" s="844">
        <v>0</v>
      </c>
      <c r="DR7" s="844">
        <v>0</v>
      </c>
      <c r="DS7" s="844">
        <v>0</v>
      </c>
      <c r="DT7" s="844">
        <v>0</v>
      </c>
      <c r="DU7" s="844">
        <v>0</v>
      </c>
      <c r="DV7" s="844">
        <v>0</v>
      </c>
      <c r="DW7" s="844">
        <v>0</v>
      </c>
      <c r="DX7" s="844">
        <v>0</v>
      </c>
      <c r="DY7" s="844">
        <v>0</v>
      </c>
      <c r="DZ7" s="844">
        <v>0</v>
      </c>
      <c r="EA7" s="844">
        <v>0</v>
      </c>
      <c r="EB7" s="844">
        <v>0</v>
      </c>
      <c r="EC7" s="844">
        <v>0</v>
      </c>
      <c r="ED7" s="844">
        <v>0</v>
      </c>
      <c r="EE7" s="844">
        <v>0</v>
      </c>
      <c r="EF7" s="844">
        <v>0</v>
      </c>
      <c r="EG7" s="844">
        <v>0</v>
      </c>
      <c r="EH7" s="757">
        <v>1</v>
      </c>
      <c r="EI7" s="757">
        <v>1</v>
      </c>
      <c r="EJ7" s="757">
        <v>1</v>
      </c>
      <c r="EK7" s="757">
        <v>1</v>
      </c>
      <c r="EL7" s="757">
        <v>1</v>
      </c>
      <c r="EM7" s="757">
        <v>1</v>
      </c>
      <c r="EN7" s="757">
        <v>1</v>
      </c>
      <c r="EO7" s="757">
        <v>1</v>
      </c>
      <c r="EP7" s="757">
        <v>1</v>
      </c>
      <c r="EQ7" s="757">
        <v>1</v>
      </c>
      <c r="ER7" s="757">
        <v>1</v>
      </c>
      <c r="ES7" s="757">
        <v>1</v>
      </c>
      <c r="ET7" s="757">
        <v>1</v>
      </c>
      <c r="EU7" s="757">
        <v>1</v>
      </c>
      <c r="EV7" s="757">
        <v>1</v>
      </c>
      <c r="EW7" s="757">
        <v>1</v>
      </c>
      <c r="EX7" s="757">
        <v>1</v>
      </c>
      <c r="EY7" s="757">
        <v>1</v>
      </c>
      <c r="EZ7" s="757">
        <v>1</v>
      </c>
      <c r="FA7" s="757">
        <v>1</v>
      </c>
      <c r="FB7" s="757">
        <v>1</v>
      </c>
      <c r="FC7" s="757">
        <v>1</v>
      </c>
      <c r="FD7" s="757">
        <v>1</v>
      </c>
      <c r="FE7" s="757">
        <v>1</v>
      </c>
      <c r="FF7"/>
    </row>
    <row r="8" spans="1:162" ht="15" x14ac:dyDescent="0.25">
      <c r="A8" t="s">
        <v>12</v>
      </c>
      <c r="B8" t="s">
        <v>507</v>
      </c>
      <c r="C8" s="509" t="s">
        <v>380</v>
      </c>
      <c r="D8" s="509" t="s">
        <v>59</v>
      </c>
      <c r="E8" t="s">
        <v>25</v>
      </c>
      <c r="F8" s="844">
        <v>20</v>
      </c>
      <c r="G8" s="844">
        <v>20</v>
      </c>
      <c r="H8" s="844">
        <v>20</v>
      </c>
      <c r="I8" s="844">
        <v>20</v>
      </c>
      <c r="J8" s="844">
        <v>20</v>
      </c>
      <c r="K8" s="844">
        <v>20</v>
      </c>
      <c r="L8" s="844">
        <v>20</v>
      </c>
      <c r="M8" s="844">
        <v>20</v>
      </c>
      <c r="N8" s="844">
        <v>20</v>
      </c>
      <c r="O8" s="844">
        <v>20</v>
      </c>
      <c r="P8" s="844">
        <v>20</v>
      </c>
      <c r="Q8" s="844">
        <v>20</v>
      </c>
      <c r="R8" s="844">
        <v>20</v>
      </c>
      <c r="S8" s="844">
        <v>20</v>
      </c>
      <c r="T8" s="844">
        <v>20</v>
      </c>
      <c r="U8" s="844">
        <v>20</v>
      </c>
      <c r="V8" s="844">
        <v>20</v>
      </c>
      <c r="W8" s="844">
        <v>20</v>
      </c>
      <c r="X8" s="844">
        <v>20</v>
      </c>
      <c r="Y8" s="844">
        <v>20</v>
      </c>
      <c r="Z8" s="844">
        <v>20</v>
      </c>
      <c r="AA8" s="844">
        <v>20</v>
      </c>
      <c r="AB8" s="844">
        <v>20</v>
      </c>
      <c r="AC8" s="844">
        <v>20</v>
      </c>
      <c r="AD8" s="844">
        <v>20</v>
      </c>
      <c r="AE8" s="844">
        <v>20</v>
      </c>
      <c r="AF8" s="844">
        <v>20</v>
      </c>
      <c r="AG8" s="844">
        <v>20</v>
      </c>
      <c r="AH8" s="844">
        <v>20</v>
      </c>
      <c r="AI8" s="844">
        <v>20</v>
      </c>
      <c r="AJ8" s="844">
        <v>20</v>
      </c>
      <c r="AK8" s="844">
        <v>20</v>
      </c>
      <c r="AL8" s="844">
        <v>20</v>
      </c>
      <c r="AM8" s="844">
        <v>20</v>
      </c>
      <c r="AN8" s="844">
        <v>20</v>
      </c>
      <c r="AO8" s="844">
        <v>20</v>
      </c>
      <c r="AP8" s="844">
        <v>20</v>
      </c>
      <c r="AQ8" s="844">
        <v>20</v>
      </c>
      <c r="AR8" s="844">
        <v>20</v>
      </c>
      <c r="AS8" s="844">
        <v>20</v>
      </c>
      <c r="AT8" s="844">
        <v>20</v>
      </c>
      <c r="AU8" s="844">
        <v>20</v>
      </c>
      <c r="AV8" s="844">
        <v>20</v>
      </c>
      <c r="AW8" s="844">
        <v>20</v>
      </c>
      <c r="AX8" s="844">
        <v>20</v>
      </c>
      <c r="AY8" s="844">
        <v>20</v>
      </c>
      <c r="AZ8" s="844">
        <v>20</v>
      </c>
      <c r="BA8" s="844">
        <v>20</v>
      </c>
      <c r="BB8" s="844">
        <v>20</v>
      </c>
      <c r="BC8" s="844">
        <v>20</v>
      </c>
      <c r="BD8" s="844">
        <v>20</v>
      </c>
      <c r="BE8" s="844">
        <v>20</v>
      </c>
      <c r="BF8" s="844">
        <v>20</v>
      </c>
      <c r="BG8" s="844">
        <v>20</v>
      </c>
      <c r="BH8" s="844">
        <v>20</v>
      </c>
      <c r="BI8" s="844">
        <v>20</v>
      </c>
      <c r="BJ8" s="844">
        <v>20</v>
      </c>
      <c r="BK8" s="844">
        <v>20</v>
      </c>
      <c r="BL8" s="844">
        <v>20</v>
      </c>
      <c r="BM8" s="844">
        <v>20</v>
      </c>
      <c r="BN8" s="844">
        <v>20</v>
      </c>
      <c r="BO8" s="844">
        <v>20</v>
      </c>
      <c r="BP8" s="844">
        <v>20</v>
      </c>
      <c r="BQ8" s="844">
        <v>20</v>
      </c>
      <c r="BR8" s="844">
        <v>20</v>
      </c>
      <c r="BS8" s="844">
        <v>20</v>
      </c>
      <c r="BT8" s="844">
        <v>20</v>
      </c>
      <c r="BU8" s="844">
        <v>20</v>
      </c>
      <c r="BV8" s="844">
        <v>20</v>
      </c>
      <c r="BW8" s="844">
        <v>20</v>
      </c>
      <c r="BX8" s="844">
        <v>20</v>
      </c>
      <c r="BY8" s="844">
        <v>20</v>
      </c>
      <c r="BZ8" s="844">
        <v>20</v>
      </c>
      <c r="CA8" s="844">
        <v>20</v>
      </c>
      <c r="CB8" s="844">
        <v>20</v>
      </c>
      <c r="CC8" s="844">
        <v>20</v>
      </c>
      <c r="CD8" s="844">
        <v>20</v>
      </c>
      <c r="CE8" s="844">
        <v>20</v>
      </c>
      <c r="CF8" s="844">
        <v>20</v>
      </c>
      <c r="CG8" s="844">
        <v>20</v>
      </c>
      <c r="CH8" s="844">
        <v>20</v>
      </c>
      <c r="CI8" s="844">
        <v>20</v>
      </c>
      <c r="CJ8" s="844">
        <v>20</v>
      </c>
      <c r="CK8" s="844">
        <v>20</v>
      </c>
      <c r="CL8" s="844">
        <v>20</v>
      </c>
      <c r="CM8" s="844">
        <v>20</v>
      </c>
      <c r="CN8" s="844">
        <v>20</v>
      </c>
      <c r="CO8" s="844">
        <v>20</v>
      </c>
      <c r="CP8" s="844">
        <v>20</v>
      </c>
      <c r="CQ8" s="844">
        <v>20</v>
      </c>
      <c r="CR8" s="844">
        <v>20</v>
      </c>
      <c r="CS8" s="844">
        <v>20</v>
      </c>
      <c r="CT8" s="844">
        <v>20</v>
      </c>
      <c r="CU8" s="844">
        <v>20</v>
      </c>
      <c r="CV8" s="844">
        <v>20</v>
      </c>
      <c r="CW8" s="844">
        <v>20</v>
      </c>
      <c r="CX8" s="844">
        <v>20</v>
      </c>
      <c r="CY8" s="844">
        <v>20</v>
      </c>
      <c r="CZ8" s="844">
        <v>20</v>
      </c>
      <c r="DA8" s="844">
        <v>20</v>
      </c>
      <c r="DB8" s="844">
        <v>20</v>
      </c>
      <c r="DC8" s="844">
        <v>20</v>
      </c>
      <c r="DD8" s="844">
        <v>20</v>
      </c>
      <c r="DE8" s="844">
        <v>20</v>
      </c>
      <c r="DF8" s="844">
        <v>20</v>
      </c>
      <c r="DG8" s="844">
        <v>20</v>
      </c>
      <c r="DH8" s="844">
        <v>20</v>
      </c>
      <c r="DI8" s="844">
        <v>20</v>
      </c>
      <c r="DJ8" s="844">
        <v>20</v>
      </c>
      <c r="DK8" s="844">
        <v>20</v>
      </c>
      <c r="DL8" s="844">
        <v>20</v>
      </c>
      <c r="DM8" s="844">
        <v>20</v>
      </c>
      <c r="DN8" s="844">
        <v>20</v>
      </c>
      <c r="DO8" s="844">
        <v>20</v>
      </c>
      <c r="DP8" s="844">
        <v>20</v>
      </c>
      <c r="DQ8" s="844">
        <v>20</v>
      </c>
      <c r="DR8" s="844">
        <v>20</v>
      </c>
      <c r="DS8" s="844">
        <v>20</v>
      </c>
      <c r="DT8" s="844">
        <v>20</v>
      </c>
      <c r="DU8" s="844">
        <v>20</v>
      </c>
      <c r="DV8" s="844">
        <v>20</v>
      </c>
      <c r="DW8" s="844">
        <v>20</v>
      </c>
      <c r="DX8" s="844">
        <v>20</v>
      </c>
      <c r="DY8" s="844">
        <v>20</v>
      </c>
      <c r="DZ8" s="844">
        <v>20</v>
      </c>
      <c r="EA8" s="844">
        <v>20</v>
      </c>
      <c r="EB8" s="844">
        <v>20</v>
      </c>
      <c r="EC8" s="844">
        <v>20</v>
      </c>
      <c r="ED8" s="844">
        <v>20</v>
      </c>
      <c r="EE8" s="844">
        <v>20</v>
      </c>
      <c r="EF8" s="844">
        <v>20</v>
      </c>
      <c r="EG8" s="844">
        <v>20</v>
      </c>
      <c r="EH8" s="767">
        <v>15</v>
      </c>
      <c r="EI8" s="767">
        <v>15</v>
      </c>
      <c r="EJ8" s="767">
        <v>15</v>
      </c>
      <c r="EK8" s="767">
        <v>15</v>
      </c>
      <c r="EL8" s="767">
        <v>15</v>
      </c>
      <c r="EM8" s="767">
        <v>15</v>
      </c>
      <c r="EN8" s="767">
        <v>15</v>
      </c>
      <c r="EO8" s="767">
        <v>15</v>
      </c>
      <c r="EP8" s="767">
        <v>15</v>
      </c>
      <c r="EQ8" s="767">
        <v>15</v>
      </c>
      <c r="ER8" s="767">
        <v>15</v>
      </c>
      <c r="ES8" s="767">
        <v>15</v>
      </c>
      <c r="ET8" s="767">
        <v>15</v>
      </c>
      <c r="EU8" s="767">
        <v>15</v>
      </c>
      <c r="EV8" s="767">
        <v>15</v>
      </c>
      <c r="EW8" s="767">
        <v>15</v>
      </c>
      <c r="EX8" s="767">
        <v>15</v>
      </c>
      <c r="EY8" s="767">
        <v>15</v>
      </c>
      <c r="EZ8" s="767">
        <v>15</v>
      </c>
      <c r="FA8" s="767">
        <v>15</v>
      </c>
      <c r="FB8" s="767">
        <v>15</v>
      </c>
      <c r="FC8" s="767">
        <v>15</v>
      </c>
      <c r="FD8" s="767">
        <v>15</v>
      </c>
      <c r="FE8" s="767">
        <v>15</v>
      </c>
      <c r="FF8"/>
    </row>
    <row r="9" spans="1:162" ht="15" x14ac:dyDescent="0.25">
      <c r="A9" t="s">
        <v>12</v>
      </c>
      <c r="B9" t="s">
        <v>62</v>
      </c>
      <c r="C9" s="509"/>
      <c r="D9" s="509" t="s">
        <v>62</v>
      </c>
      <c r="E9" t="s">
        <v>27</v>
      </c>
      <c r="F9" s="844">
        <v>10</v>
      </c>
      <c r="G9" s="844">
        <v>10</v>
      </c>
      <c r="H9" s="844">
        <v>10</v>
      </c>
      <c r="I9" s="844">
        <v>10</v>
      </c>
      <c r="J9" s="844">
        <v>10</v>
      </c>
      <c r="K9" s="844">
        <v>10</v>
      </c>
      <c r="L9" s="844">
        <v>10</v>
      </c>
      <c r="M9" s="844">
        <v>10</v>
      </c>
      <c r="N9" s="844">
        <v>10</v>
      </c>
      <c r="O9" s="844">
        <v>10</v>
      </c>
      <c r="P9" s="844">
        <v>10</v>
      </c>
      <c r="Q9" s="844">
        <v>10</v>
      </c>
      <c r="R9" s="844">
        <v>10</v>
      </c>
      <c r="S9" s="844">
        <v>10</v>
      </c>
      <c r="T9" s="844">
        <v>10</v>
      </c>
      <c r="U9" s="844">
        <v>10</v>
      </c>
      <c r="V9" s="844">
        <v>10</v>
      </c>
      <c r="W9" s="844">
        <v>10</v>
      </c>
      <c r="X9" s="844">
        <v>10</v>
      </c>
      <c r="Y9" s="844">
        <v>10</v>
      </c>
      <c r="Z9" s="844">
        <v>10</v>
      </c>
      <c r="AA9" s="844">
        <v>10</v>
      </c>
      <c r="AB9" s="844">
        <v>10</v>
      </c>
      <c r="AC9" s="844">
        <v>10</v>
      </c>
      <c r="AD9" s="844">
        <v>10</v>
      </c>
      <c r="AE9" s="844">
        <v>10</v>
      </c>
      <c r="AF9" s="844">
        <v>10</v>
      </c>
      <c r="AG9" s="844">
        <v>10</v>
      </c>
      <c r="AH9" s="844">
        <v>10</v>
      </c>
      <c r="AI9" s="844">
        <v>10</v>
      </c>
      <c r="AJ9" s="844">
        <v>10</v>
      </c>
      <c r="AK9" s="844">
        <v>10</v>
      </c>
      <c r="AL9" s="844">
        <v>10</v>
      </c>
      <c r="AM9" s="844">
        <v>10</v>
      </c>
      <c r="AN9" s="844">
        <v>10</v>
      </c>
      <c r="AO9" s="844">
        <v>10</v>
      </c>
      <c r="AP9" s="844">
        <v>10</v>
      </c>
      <c r="AQ9" s="844">
        <v>10</v>
      </c>
      <c r="AR9" s="844">
        <v>10</v>
      </c>
      <c r="AS9" s="844">
        <v>10</v>
      </c>
      <c r="AT9" s="844">
        <v>10</v>
      </c>
      <c r="AU9" s="844">
        <v>10</v>
      </c>
      <c r="AV9" s="844">
        <v>10</v>
      </c>
      <c r="AW9" s="844">
        <v>10</v>
      </c>
      <c r="AX9" s="844">
        <v>10</v>
      </c>
      <c r="AY9" s="844">
        <v>10</v>
      </c>
      <c r="AZ9" s="844">
        <v>10</v>
      </c>
      <c r="BA9" s="844">
        <v>10</v>
      </c>
      <c r="BB9" s="844">
        <v>10</v>
      </c>
      <c r="BC9" s="844">
        <v>10</v>
      </c>
      <c r="BD9" s="844">
        <v>10</v>
      </c>
      <c r="BE9" s="844">
        <v>10</v>
      </c>
      <c r="BF9" s="844">
        <v>10</v>
      </c>
      <c r="BG9" s="844">
        <v>10</v>
      </c>
      <c r="BH9" s="844">
        <v>10</v>
      </c>
      <c r="BI9" s="844">
        <v>10</v>
      </c>
      <c r="BJ9" s="844">
        <v>10</v>
      </c>
      <c r="BK9" s="844">
        <v>10</v>
      </c>
      <c r="BL9" s="844">
        <v>10</v>
      </c>
      <c r="BM9" s="844">
        <v>10</v>
      </c>
      <c r="BN9" s="844">
        <v>10</v>
      </c>
      <c r="BO9" s="844">
        <v>10</v>
      </c>
      <c r="BP9" s="844">
        <v>10</v>
      </c>
      <c r="BQ9" s="844">
        <v>10</v>
      </c>
      <c r="BR9" s="844">
        <v>10</v>
      </c>
      <c r="BS9" s="844">
        <v>10</v>
      </c>
      <c r="BT9" s="844">
        <v>10</v>
      </c>
      <c r="BU9" s="844">
        <v>10</v>
      </c>
      <c r="BV9" s="844">
        <v>10</v>
      </c>
      <c r="BW9" s="844">
        <v>10</v>
      </c>
      <c r="BX9" s="844">
        <v>10</v>
      </c>
      <c r="BY9" s="844">
        <v>10</v>
      </c>
      <c r="BZ9" s="844">
        <v>10</v>
      </c>
      <c r="CA9" s="844">
        <v>10</v>
      </c>
      <c r="CB9" s="844">
        <v>10</v>
      </c>
      <c r="CC9" s="844">
        <v>10</v>
      </c>
      <c r="CD9" s="844">
        <v>10</v>
      </c>
      <c r="CE9" s="844">
        <v>10</v>
      </c>
      <c r="CF9" s="844">
        <v>10</v>
      </c>
      <c r="CG9" s="844">
        <v>10</v>
      </c>
      <c r="CH9" s="844">
        <v>10</v>
      </c>
      <c r="CI9" s="844">
        <v>10</v>
      </c>
      <c r="CJ9" s="844">
        <v>10</v>
      </c>
      <c r="CK9" s="844">
        <v>10</v>
      </c>
      <c r="CL9" s="844">
        <v>10</v>
      </c>
      <c r="CM9" s="844">
        <v>10</v>
      </c>
      <c r="CN9" s="844">
        <v>10</v>
      </c>
      <c r="CO9" s="844">
        <v>10</v>
      </c>
      <c r="CP9" s="844">
        <v>10</v>
      </c>
      <c r="CQ9" s="844">
        <v>10</v>
      </c>
      <c r="CR9" s="844">
        <v>10</v>
      </c>
      <c r="CS9" s="844">
        <v>10</v>
      </c>
      <c r="CT9" s="844">
        <v>10</v>
      </c>
      <c r="CU9" s="844">
        <v>10</v>
      </c>
      <c r="CV9" s="844">
        <v>10</v>
      </c>
      <c r="CW9" s="844">
        <v>10</v>
      </c>
      <c r="CX9" s="844">
        <v>10</v>
      </c>
      <c r="CY9" s="844">
        <v>10</v>
      </c>
      <c r="CZ9" s="844">
        <v>10</v>
      </c>
      <c r="DA9" s="844">
        <v>10</v>
      </c>
      <c r="DB9" s="844">
        <v>10</v>
      </c>
      <c r="DC9" s="844">
        <v>10</v>
      </c>
      <c r="DD9" s="844">
        <v>10</v>
      </c>
      <c r="DE9" s="844">
        <v>10</v>
      </c>
      <c r="DF9" s="844">
        <v>10</v>
      </c>
      <c r="DG9" s="844">
        <v>10</v>
      </c>
      <c r="DH9" s="844">
        <v>10</v>
      </c>
      <c r="DI9" s="844">
        <v>10</v>
      </c>
      <c r="DJ9" s="844">
        <v>10</v>
      </c>
      <c r="DK9" s="844">
        <v>10</v>
      </c>
      <c r="DL9" s="844">
        <v>10</v>
      </c>
      <c r="DM9" s="844">
        <v>10</v>
      </c>
      <c r="DN9" s="844">
        <v>10</v>
      </c>
      <c r="DO9" s="844">
        <v>10</v>
      </c>
      <c r="DP9" s="844">
        <v>10</v>
      </c>
      <c r="DQ9" s="844">
        <v>10</v>
      </c>
      <c r="DR9" s="844">
        <v>10</v>
      </c>
      <c r="DS9" s="844">
        <v>10</v>
      </c>
      <c r="DT9" s="844">
        <v>10</v>
      </c>
      <c r="DU9" s="844">
        <v>10</v>
      </c>
      <c r="DV9" s="844">
        <v>10</v>
      </c>
      <c r="DW9" s="844">
        <v>10</v>
      </c>
      <c r="DX9" s="844">
        <v>10</v>
      </c>
      <c r="DY9" s="844">
        <v>10</v>
      </c>
      <c r="DZ9" s="844">
        <v>10</v>
      </c>
      <c r="EA9" s="844">
        <v>10</v>
      </c>
      <c r="EB9" s="844">
        <v>10</v>
      </c>
      <c r="EC9" s="844">
        <v>10</v>
      </c>
      <c r="ED9" s="844">
        <v>10</v>
      </c>
      <c r="EE9" s="844">
        <v>10</v>
      </c>
      <c r="EF9" s="844">
        <v>10</v>
      </c>
      <c r="EG9" s="844">
        <v>10</v>
      </c>
      <c r="EH9" s="767">
        <v>10</v>
      </c>
      <c r="EI9" s="767">
        <v>10</v>
      </c>
      <c r="EJ9" s="767">
        <v>10</v>
      </c>
      <c r="EK9" s="767">
        <v>10</v>
      </c>
      <c r="EL9" s="767">
        <v>10</v>
      </c>
      <c r="EM9" s="767">
        <v>10</v>
      </c>
      <c r="EN9" s="767">
        <v>10</v>
      </c>
      <c r="EO9" s="767">
        <v>10</v>
      </c>
      <c r="EP9" s="767">
        <v>10</v>
      </c>
      <c r="EQ9" s="767">
        <v>10</v>
      </c>
      <c r="ER9" s="767">
        <v>10</v>
      </c>
      <c r="ES9" s="767">
        <v>10</v>
      </c>
      <c r="ET9" s="767">
        <v>10</v>
      </c>
      <c r="EU9" s="767">
        <v>10</v>
      </c>
      <c r="EV9" s="767">
        <v>10</v>
      </c>
      <c r="EW9" s="767">
        <v>10</v>
      </c>
      <c r="EX9" s="767">
        <v>10</v>
      </c>
      <c r="EY9" s="767">
        <v>10</v>
      </c>
      <c r="EZ9" s="767">
        <v>10</v>
      </c>
      <c r="FA9" s="767">
        <v>10</v>
      </c>
      <c r="FB9" s="767">
        <v>10</v>
      </c>
      <c r="FC9" s="767">
        <v>10</v>
      </c>
      <c r="FD9" s="767">
        <v>10</v>
      </c>
      <c r="FE9" s="767">
        <v>10</v>
      </c>
      <c r="FF9"/>
    </row>
    <row r="10" spans="1:162" ht="15" x14ac:dyDescent="0.25">
      <c r="A10" t="s">
        <v>12</v>
      </c>
      <c r="B10" t="s">
        <v>428</v>
      </c>
      <c r="C10" s="509"/>
      <c r="D10" s="509" t="s">
        <v>428</v>
      </c>
      <c r="E10" t="s">
        <v>433</v>
      </c>
      <c r="F10" s="844">
        <v>2</v>
      </c>
      <c r="G10" s="844">
        <v>2</v>
      </c>
      <c r="H10" s="844">
        <v>2</v>
      </c>
      <c r="I10" s="844">
        <v>2</v>
      </c>
      <c r="J10" s="844">
        <v>2</v>
      </c>
      <c r="K10" s="844">
        <v>2</v>
      </c>
      <c r="L10" s="844">
        <v>2</v>
      </c>
      <c r="M10" s="844">
        <v>2</v>
      </c>
      <c r="N10" s="844">
        <v>2</v>
      </c>
      <c r="O10" s="844">
        <v>2</v>
      </c>
      <c r="P10" s="844">
        <v>2</v>
      </c>
      <c r="Q10" s="844">
        <v>2</v>
      </c>
      <c r="R10" s="844">
        <v>2</v>
      </c>
      <c r="S10" s="844">
        <v>2</v>
      </c>
      <c r="T10" s="844">
        <v>2</v>
      </c>
      <c r="U10" s="844">
        <v>2</v>
      </c>
      <c r="V10" s="844">
        <v>2</v>
      </c>
      <c r="W10" s="844">
        <v>2</v>
      </c>
      <c r="X10" s="844">
        <v>2</v>
      </c>
      <c r="Y10" s="844">
        <v>2</v>
      </c>
      <c r="Z10" s="844">
        <v>2</v>
      </c>
      <c r="AA10" s="844">
        <v>2</v>
      </c>
      <c r="AB10" s="844">
        <v>2</v>
      </c>
      <c r="AC10" s="844">
        <v>2</v>
      </c>
      <c r="AD10" s="844">
        <v>2</v>
      </c>
      <c r="AE10" s="844">
        <v>2</v>
      </c>
      <c r="AF10" s="844">
        <v>2</v>
      </c>
      <c r="AG10" s="844">
        <v>2</v>
      </c>
      <c r="AH10" s="844">
        <v>2</v>
      </c>
      <c r="AI10" s="844">
        <v>2</v>
      </c>
      <c r="AJ10" s="844">
        <v>2</v>
      </c>
      <c r="AK10" s="844">
        <v>2</v>
      </c>
      <c r="AL10" s="844">
        <v>2</v>
      </c>
      <c r="AM10" s="844">
        <v>2</v>
      </c>
      <c r="AN10" s="844">
        <v>2</v>
      </c>
      <c r="AO10" s="844">
        <v>2</v>
      </c>
      <c r="AP10" s="844">
        <v>2</v>
      </c>
      <c r="AQ10" s="844">
        <v>2</v>
      </c>
      <c r="AR10" s="844">
        <v>2</v>
      </c>
      <c r="AS10" s="844">
        <v>2</v>
      </c>
      <c r="AT10" s="844">
        <v>2</v>
      </c>
      <c r="AU10" s="844">
        <v>2</v>
      </c>
      <c r="AV10" s="844">
        <v>2</v>
      </c>
      <c r="AW10" s="844">
        <v>2</v>
      </c>
      <c r="AX10" s="844">
        <v>2</v>
      </c>
      <c r="AY10" s="844">
        <v>2</v>
      </c>
      <c r="AZ10" s="844">
        <v>2</v>
      </c>
      <c r="BA10" s="844">
        <v>2</v>
      </c>
      <c r="BB10" s="844">
        <v>2</v>
      </c>
      <c r="BC10" s="844">
        <v>2</v>
      </c>
      <c r="BD10" s="844">
        <v>2</v>
      </c>
      <c r="BE10" s="844">
        <v>2</v>
      </c>
      <c r="BF10" s="844">
        <v>2</v>
      </c>
      <c r="BG10" s="844">
        <v>2</v>
      </c>
      <c r="BH10" s="844">
        <v>2</v>
      </c>
      <c r="BI10" s="844">
        <v>2</v>
      </c>
      <c r="BJ10" s="844">
        <v>2</v>
      </c>
      <c r="BK10" s="844">
        <v>2</v>
      </c>
      <c r="BL10" s="844">
        <v>2</v>
      </c>
      <c r="BM10" s="844">
        <v>2</v>
      </c>
      <c r="BN10" s="844">
        <v>2</v>
      </c>
      <c r="BO10" s="844">
        <v>2</v>
      </c>
      <c r="BP10" s="844">
        <v>2</v>
      </c>
      <c r="BQ10" s="844">
        <v>2</v>
      </c>
      <c r="BR10" s="844">
        <v>2</v>
      </c>
      <c r="BS10" s="844">
        <v>2</v>
      </c>
      <c r="BT10" s="844">
        <v>2</v>
      </c>
      <c r="BU10" s="844">
        <v>2</v>
      </c>
      <c r="BV10" s="844">
        <v>2</v>
      </c>
      <c r="BW10" s="844">
        <v>2</v>
      </c>
      <c r="BX10" s="844">
        <v>2</v>
      </c>
      <c r="BY10" s="844">
        <v>2</v>
      </c>
      <c r="BZ10" s="844">
        <v>2</v>
      </c>
      <c r="CA10" s="844">
        <v>2</v>
      </c>
      <c r="CB10" s="844">
        <v>2</v>
      </c>
      <c r="CC10" s="844">
        <v>2</v>
      </c>
      <c r="CD10" s="844">
        <v>2</v>
      </c>
      <c r="CE10" s="844">
        <v>2</v>
      </c>
      <c r="CF10" s="844">
        <v>2</v>
      </c>
      <c r="CG10" s="844">
        <v>2</v>
      </c>
      <c r="CH10" s="844">
        <v>2</v>
      </c>
      <c r="CI10" s="844">
        <v>2</v>
      </c>
      <c r="CJ10" s="844">
        <v>2</v>
      </c>
      <c r="CK10" s="844">
        <v>2</v>
      </c>
      <c r="CL10" s="844">
        <v>2</v>
      </c>
      <c r="CM10" s="844">
        <v>2</v>
      </c>
      <c r="CN10" s="844">
        <v>2</v>
      </c>
      <c r="CO10" s="844">
        <v>2</v>
      </c>
      <c r="CP10" s="844">
        <v>2</v>
      </c>
      <c r="CQ10" s="844">
        <v>2</v>
      </c>
      <c r="CR10" s="844">
        <v>2</v>
      </c>
      <c r="CS10" s="844">
        <v>2</v>
      </c>
      <c r="CT10" s="844">
        <v>2</v>
      </c>
      <c r="CU10" s="844">
        <v>2</v>
      </c>
      <c r="CV10" s="844">
        <v>2</v>
      </c>
      <c r="CW10" s="844">
        <v>2</v>
      </c>
      <c r="CX10" s="844">
        <v>2</v>
      </c>
      <c r="CY10" s="844">
        <v>2</v>
      </c>
      <c r="CZ10" s="844">
        <v>2</v>
      </c>
      <c r="DA10" s="844">
        <v>2</v>
      </c>
      <c r="DB10" s="844">
        <v>2</v>
      </c>
      <c r="DC10" s="844">
        <v>2</v>
      </c>
      <c r="DD10" s="844">
        <v>2</v>
      </c>
      <c r="DE10" s="844">
        <v>2</v>
      </c>
      <c r="DF10" s="844">
        <v>2</v>
      </c>
      <c r="DG10" s="844">
        <v>2</v>
      </c>
      <c r="DH10" s="844">
        <v>2</v>
      </c>
      <c r="DI10" s="844">
        <v>2</v>
      </c>
      <c r="DJ10" s="844">
        <v>2</v>
      </c>
      <c r="DK10" s="844">
        <v>2</v>
      </c>
      <c r="DL10" s="844">
        <v>2</v>
      </c>
      <c r="DM10" s="844">
        <v>2</v>
      </c>
      <c r="DN10" s="844">
        <v>2</v>
      </c>
      <c r="DO10" s="844">
        <v>2</v>
      </c>
      <c r="DP10" s="844">
        <v>2</v>
      </c>
      <c r="DQ10" s="844">
        <v>2</v>
      </c>
      <c r="DR10" s="844">
        <v>2</v>
      </c>
      <c r="DS10" s="844">
        <v>2</v>
      </c>
      <c r="DT10" s="844">
        <v>2</v>
      </c>
      <c r="DU10" s="844">
        <v>2</v>
      </c>
      <c r="DV10" s="844">
        <v>2</v>
      </c>
      <c r="DW10" s="844">
        <v>2</v>
      </c>
      <c r="DX10" s="844">
        <v>2</v>
      </c>
      <c r="DY10" s="844">
        <v>2</v>
      </c>
      <c r="DZ10" s="844">
        <v>2</v>
      </c>
      <c r="EA10" s="844">
        <v>2</v>
      </c>
      <c r="EB10" s="844">
        <v>2</v>
      </c>
      <c r="EC10" s="844">
        <v>2</v>
      </c>
      <c r="ED10" s="844">
        <v>2</v>
      </c>
      <c r="EE10" s="844">
        <v>2</v>
      </c>
      <c r="EF10" s="844">
        <v>2</v>
      </c>
      <c r="EG10" s="844">
        <v>2</v>
      </c>
      <c r="EH10" s="757">
        <v>2</v>
      </c>
      <c r="EI10" s="757">
        <v>2</v>
      </c>
      <c r="EJ10" s="757">
        <v>2</v>
      </c>
      <c r="EK10" s="757">
        <v>2</v>
      </c>
      <c r="EL10" s="757">
        <v>2</v>
      </c>
      <c r="EM10" s="757">
        <v>2</v>
      </c>
      <c r="EN10" s="757">
        <v>2</v>
      </c>
      <c r="EO10" s="757">
        <v>2</v>
      </c>
      <c r="EP10" s="757">
        <v>2</v>
      </c>
      <c r="EQ10" s="757">
        <v>2</v>
      </c>
      <c r="ER10" s="757">
        <v>2</v>
      </c>
      <c r="ES10" s="757">
        <v>2</v>
      </c>
      <c r="ET10" s="757">
        <v>2</v>
      </c>
      <c r="EU10" s="757">
        <v>2</v>
      </c>
      <c r="EV10" s="757">
        <v>2</v>
      </c>
      <c r="EW10" s="757">
        <v>2</v>
      </c>
      <c r="EX10" s="757">
        <v>2</v>
      </c>
      <c r="EY10" s="757">
        <v>2</v>
      </c>
      <c r="EZ10" s="757">
        <v>2</v>
      </c>
      <c r="FA10" s="757">
        <v>2</v>
      </c>
      <c r="FB10" s="757">
        <v>2</v>
      </c>
      <c r="FC10" s="757">
        <v>2</v>
      </c>
      <c r="FD10" s="757">
        <v>2</v>
      </c>
      <c r="FE10" s="757">
        <v>2</v>
      </c>
      <c r="FF10"/>
    </row>
    <row r="11" spans="1:162" ht="15" x14ac:dyDescent="0.25">
      <c r="A11" t="s">
        <v>12</v>
      </c>
      <c r="B11" t="s">
        <v>504</v>
      </c>
      <c r="C11" s="509" t="s">
        <v>380</v>
      </c>
      <c r="D11" s="509" t="s">
        <v>56</v>
      </c>
      <c r="E11" t="s">
        <v>20</v>
      </c>
      <c r="F11" s="844">
        <v>24094</v>
      </c>
      <c r="G11" s="844">
        <v>24119</v>
      </c>
      <c r="H11" s="844">
        <v>24117</v>
      </c>
      <c r="I11" s="844">
        <v>23912</v>
      </c>
      <c r="J11" s="844">
        <v>23685</v>
      </c>
      <c r="K11" s="844">
        <v>23422</v>
      </c>
      <c r="L11" s="844">
        <v>23277</v>
      </c>
      <c r="M11" s="844">
        <v>23168</v>
      </c>
      <c r="N11" s="844">
        <v>23100</v>
      </c>
      <c r="O11" s="844">
        <v>23231</v>
      </c>
      <c r="P11" s="844">
        <v>23608</v>
      </c>
      <c r="Q11" s="844">
        <v>23905</v>
      </c>
      <c r="R11" s="844">
        <v>24042</v>
      </c>
      <c r="S11" s="844">
        <v>24067</v>
      </c>
      <c r="T11" s="844">
        <v>24064</v>
      </c>
      <c r="U11" s="844">
        <v>23999</v>
      </c>
      <c r="V11" s="844">
        <v>23771</v>
      </c>
      <c r="W11" s="844">
        <v>23508</v>
      </c>
      <c r="X11" s="844">
        <v>23334</v>
      </c>
      <c r="Y11" s="844">
        <v>23225</v>
      </c>
      <c r="Z11" s="844">
        <v>23157</v>
      </c>
      <c r="AA11" s="844">
        <v>23278</v>
      </c>
      <c r="AB11" s="844">
        <v>23655</v>
      </c>
      <c r="AC11" s="844">
        <v>23952</v>
      </c>
      <c r="AD11" s="844">
        <v>24093</v>
      </c>
      <c r="AE11" s="844">
        <v>24118</v>
      </c>
      <c r="AF11" s="844">
        <v>24116</v>
      </c>
      <c r="AG11" s="844">
        <v>24046</v>
      </c>
      <c r="AH11" s="844">
        <v>23818</v>
      </c>
      <c r="AI11" s="844">
        <v>23556</v>
      </c>
      <c r="AJ11" s="844">
        <v>23381</v>
      </c>
      <c r="AK11" s="844">
        <v>23272</v>
      </c>
      <c r="AL11" s="844">
        <v>23204</v>
      </c>
      <c r="AM11" s="844">
        <v>23321</v>
      </c>
      <c r="AN11" s="844">
        <v>23698</v>
      </c>
      <c r="AO11" s="844">
        <v>23995</v>
      </c>
      <c r="AP11" s="844">
        <v>24130</v>
      </c>
      <c r="AQ11" s="844">
        <v>24155</v>
      </c>
      <c r="AR11" s="844">
        <v>24153</v>
      </c>
      <c r="AS11" s="844">
        <v>24078</v>
      </c>
      <c r="AT11" s="844">
        <v>23851</v>
      </c>
      <c r="AU11" s="844">
        <v>23588</v>
      </c>
      <c r="AV11" s="844">
        <v>23409</v>
      </c>
      <c r="AW11" s="844">
        <v>23302</v>
      </c>
      <c r="AX11" s="844">
        <v>23234</v>
      </c>
      <c r="AY11" s="844">
        <v>23351</v>
      </c>
      <c r="AZ11" s="844">
        <v>23729</v>
      </c>
      <c r="BA11" s="844">
        <v>24026</v>
      </c>
      <c r="BB11" s="844">
        <v>24162</v>
      </c>
      <c r="BC11" s="844">
        <v>24186</v>
      </c>
      <c r="BD11" s="844">
        <v>24184</v>
      </c>
      <c r="BE11" s="844">
        <v>24110</v>
      </c>
      <c r="BF11" s="844">
        <v>23883</v>
      </c>
      <c r="BG11" s="844">
        <v>23621</v>
      </c>
      <c r="BH11" s="844">
        <v>23442</v>
      </c>
      <c r="BI11" s="844">
        <v>23334</v>
      </c>
      <c r="BJ11" s="844">
        <v>23265</v>
      </c>
      <c r="BK11" s="844">
        <v>23380</v>
      </c>
      <c r="BL11" s="844">
        <v>23758</v>
      </c>
      <c r="BM11" s="844">
        <v>24054</v>
      </c>
      <c r="BN11" s="844">
        <v>24187</v>
      </c>
      <c r="BO11" s="844">
        <v>24212</v>
      </c>
      <c r="BP11" s="844">
        <v>24209</v>
      </c>
      <c r="BQ11" s="844">
        <v>24131</v>
      </c>
      <c r="BR11" s="844">
        <v>23904</v>
      </c>
      <c r="BS11" s="844">
        <v>23642</v>
      </c>
      <c r="BT11" s="844">
        <v>23459</v>
      </c>
      <c r="BU11" s="844">
        <v>23351</v>
      </c>
      <c r="BV11" s="844">
        <v>23283</v>
      </c>
      <c r="BW11" s="844">
        <v>23394</v>
      </c>
      <c r="BX11" s="844">
        <v>23772</v>
      </c>
      <c r="BY11" s="844">
        <v>24069</v>
      </c>
      <c r="BZ11" s="844">
        <v>24200</v>
      </c>
      <c r="CA11" s="844">
        <v>24223</v>
      </c>
      <c r="CB11" s="844">
        <v>24221</v>
      </c>
      <c r="CC11" s="844">
        <v>24141</v>
      </c>
      <c r="CD11" s="844">
        <v>23914</v>
      </c>
      <c r="CE11" s="844">
        <v>23651</v>
      </c>
      <c r="CF11" s="844">
        <v>23469</v>
      </c>
      <c r="CG11" s="844">
        <v>23360</v>
      </c>
      <c r="CH11" s="844">
        <v>23292</v>
      </c>
      <c r="CI11" s="844">
        <v>23403</v>
      </c>
      <c r="CJ11" s="844">
        <v>23781</v>
      </c>
      <c r="CK11" s="844">
        <v>24077</v>
      </c>
      <c r="CL11" s="844">
        <v>24206</v>
      </c>
      <c r="CM11" s="844">
        <v>24231</v>
      </c>
      <c r="CN11" s="844">
        <v>24228</v>
      </c>
      <c r="CO11" s="844">
        <v>24149</v>
      </c>
      <c r="CP11" s="844">
        <v>23922</v>
      </c>
      <c r="CQ11" s="844">
        <v>23659</v>
      </c>
      <c r="CR11" s="844">
        <v>23476</v>
      </c>
      <c r="CS11" s="844">
        <v>23367</v>
      </c>
      <c r="CT11" s="844">
        <v>23300</v>
      </c>
      <c r="CU11" s="844">
        <v>23409</v>
      </c>
      <c r="CV11" s="844">
        <v>23787</v>
      </c>
      <c r="CW11" s="844">
        <v>24083</v>
      </c>
      <c r="CX11" s="844">
        <v>24214</v>
      </c>
      <c r="CY11" s="844">
        <v>24238</v>
      </c>
      <c r="CZ11" s="844">
        <v>24236</v>
      </c>
      <c r="DA11" s="844">
        <v>24156</v>
      </c>
      <c r="DB11" s="844">
        <v>23929</v>
      </c>
      <c r="DC11" s="844">
        <v>23666</v>
      </c>
      <c r="DD11" s="844">
        <v>23482</v>
      </c>
      <c r="DE11" s="844">
        <v>23374</v>
      </c>
      <c r="DF11" s="844">
        <v>23306</v>
      </c>
      <c r="DG11" s="844">
        <v>23416</v>
      </c>
      <c r="DH11" s="844">
        <v>23794</v>
      </c>
      <c r="DI11" s="844">
        <v>24091</v>
      </c>
      <c r="DJ11" s="844">
        <v>24221</v>
      </c>
      <c r="DK11" s="844">
        <v>24245</v>
      </c>
      <c r="DL11" s="844">
        <v>24243</v>
      </c>
      <c r="DM11" s="844">
        <v>24163</v>
      </c>
      <c r="DN11" s="844">
        <v>23937</v>
      </c>
      <c r="DO11" s="844">
        <v>23673</v>
      </c>
      <c r="DP11" s="844">
        <v>23490</v>
      </c>
      <c r="DQ11" s="844">
        <v>23382</v>
      </c>
      <c r="DR11" s="844">
        <v>23314</v>
      </c>
      <c r="DS11" s="844">
        <v>23425</v>
      </c>
      <c r="DT11" s="844">
        <v>23803</v>
      </c>
      <c r="DU11" s="844">
        <v>24099</v>
      </c>
      <c r="DV11" s="844">
        <v>24229</v>
      </c>
      <c r="DW11" s="844">
        <v>24254</v>
      </c>
      <c r="DX11" s="844">
        <v>24251</v>
      </c>
      <c r="DY11" s="844">
        <v>24174</v>
      </c>
      <c r="DZ11" s="844">
        <v>23946</v>
      </c>
      <c r="EA11" s="844">
        <v>23684</v>
      </c>
      <c r="EB11" s="844">
        <v>23501</v>
      </c>
      <c r="EC11" s="844">
        <v>23392</v>
      </c>
      <c r="ED11" s="844">
        <v>23325</v>
      </c>
      <c r="EE11" s="844">
        <v>23437</v>
      </c>
      <c r="EF11" s="844">
        <v>23816</v>
      </c>
      <c r="EG11" s="844">
        <v>24112</v>
      </c>
      <c r="EH11" s="757">
        <v>23424</v>
      </c>
      <c r="EI11" s="757">
        <v>23452</v>
      </c>
      <c r="EJ11" s="757">
        <v>23458</v>
      </c>
      <c r="EK11" s="757">
        <v>23375</v>
      </c>
      <c r="EL11" s="757">
        <v>23198</v>
      </c>
      <c r="EM11" s="757">
        <v>23016</v>
      </c>
      <c r="EN11" s="757">
        <v>22881</v>
      </c>
      <c r="EO11" s="757">
        <v>22783</v>
      </c>
      <c r="EP11" s="757">
        <v>22737</v>
      </c>
      <c r="EQ11" s="757">
        <v>22820</v>
      </c>
      <c r="ER11" s="757">
        <v>23062</v>
      </c>
      <c r="ES11" s="757">
        <v>23295</v>
      </c>
      <c r="ET11" s="757">
        <v>23424</v>
      </c>
      <c r="EU11" s="757">
        <v>23452</v>
      </c>
      <c r="EV11" s="757">
        <v>23458</v>
      </c>
      <c r="EW11" s="757">
        <v>23375</v>
      </c>
      <c r="EX11" s="757">
        <v>23198</v>
      </c>
      <c r="EY11" s="757">
        <v>23016</v>
      </c>
      <c r="EZ11" s="757">
        <v>22881</v>
      </c>
      <c r="FA11" s="757">
        <v>22783</v>
      </c>
      <c r="FB11" s="757">
        <v>22737</v>
      </c>
      <c r="FC11" s="757">
        <v>22820</v>
      </c>
      <c r="FD11" s="757">
        <v>23062</v>
      </c>
      <c r="FE11" s="757">
        <v>23295</v>
      </c>
      <c r="FF11"/>
    </row>
    <row r="12" spans="1:162" ht="15" x14ac:dyDescent="0.25">
      <c r="A12" t="s">
        <v>12</v>
      </c>
      <c r="B12" t="s">
        <v>505</v>
      </c>
      <c r="C12" s="509" t="s">
        <v>381</v>
      </c>
      <c r="D12" s="509" t="s">
        <v>56</v>
      </c>
      <c r="E12" t="s">
        <v>20</v>
      </c>
      <c r="F12" s="844">
        <v>977</v>
      </c>
      <c r="G12" s="844">
        <v>978</v>
      </c>
      <c r="H12" s="844">
        <v>978</v>
      </c>
      <c r="I12" s="844">
        <v>969</v>
      </c>
      <c r="J12" s="844">
        <v>960</v>
      </c>
      <c r="K12" s="844">
        <v>949</v>
      </c>
      <c r="L12" s="844">
        <v>943</v>
      </c>
      <c r="M12" s="844">
        <v>938</v>
      </c>
      <c r="N12" s="844">
        <v>936</v>
      </c>
      <c r="O12" s="844">
        <v>941</v>
      </c>
      <c r="P12" s="844">
        <v>957</v>
      </c>
      <c r="Q12" s="844">
        <v>969</v>
      </c>
      <c r="R12" s="844">
        <v>975</v>
      </c>
      <c r="S12" s="844">
        <v>976</v>
      </c>
      <c r="T12" s="844">
        <v>976</v>
      </c>
      <c r="U12" s="844">
        <v>973</v>
      </c>
      <c r="V12" s="844">
        <v>964</v>
      </c>
      <c r="W12" s="844">
        <v>953</v>
      </c>
      <c r="X12" s="844">
        <v>945</v>
      </c>
      <c r="Y12" s="844">
        <v>941</v>
      </c>
      <c r="Z12" s="844">
        <v>938</v>
      </c>
      <c r="AA12" s="844">
        <v>943</v>
      </c>
      <c r="AB12" s="844">
        <v>959</v>
      </c>
      <c r="AC12" s="844">
        <v>971</v>
      </c>
      <c r="AD12" s="844">
        <v>977</v>
      </c>
      <c r="AE12" s="844">
        <v>978</v>
      </c>
      <c r="AF12" s="844">
        <v>978</v>
      </c>
      <c r="AG12" s="844">
        <v>975</v>
      </c>
      <c r="AH12" s="844">
        <v>966</v>
      </c>
      <c r="AI12" s="844">
        <v>955</v>
      </c>
      <c r="AJ12" s="844">
        <v>947</v>
      </c>
      <c r="AK12" s="844">
        <v>943</v>
      </c>
      <c r="AL12" s="844">
        <v>940</v>
      </c>
      <c r="AM12" s="844">
        <v>945</v>
      </c>
      <c r="AN12" s="844">
        <v>961</v>
      </c>
      <c r="AO12" s="844">
        <v>973</v>
      </c>
      <c r="AP12" s="844">
        <v>979</v>
      </c>
      <c r="AQ12" s="844">
        <v>980</v>
      </c>
      <c r="AR12" s="844">
        <v>979</v>
      </c>
      <c r="AS12" s="844">
        <v>976</v>
      </c>
      <c r="AT12" s="844">
        <v>967</v>
      </c>
      <c r="AU12" s="844">
        <v>956</v>
      </c>
      <c r="AV12" s="844">
        <v>949</v>
      </c>
      <c r="AW12" s="844">
        <v>944</v>
      </c>
      <c r="AX12" s="844">
        <v>941</v>
      </c>
      <c r="AY12" s="844">
        <v>946</v>
      </c>
      <c r="AZ12" s="844">
        <v>962</v>
      </c>
      <c r="BA12" s="844">
        <v>974</v>
      </c>
      <c r="BB12" s="844">
        <v>980</v>
      </c>
      <c r="BC12" s="844">
        <v>981</v>
      </c>
      <c r="BD12" s="844">
        <v>981</v>
      </c>
      <c r="BE12" s="844">
        <v>978</v>
      </c>
      <c r="BF12" s="844">
        <v>968</v>
      </c>
      <c r="BG12" s="844">
        <v>957</v>
      </c>
      <c r="BH12" s="844">
        <v>950</v>
      </c>
      <c r="BI12" s="844">
        <v>945</v>
      </c>
      <c r="BJ12" s="844">
        <v>943</v>
      </c>
      <c r="BK12" s="844">
        <v>947</v>
      </c>
      <c r="BL12" s="844">
        <v>963</v>
      </c>
      <c r="BM12" s="844">
        <v>975</v>
      </c>
      <c r="BN12" s="844">
        <v>981</v>
      </c>
      <c r="BO12" s="844">
        <v>982</v>
      </c>
      <c r="BP12" s="844">
        <v>982</v>
      </c>
      <c r="BQ12" s="844">
        <v>979</v>
      </c>
      <c r="BR12" s="844">
        <v>969</v>
      </c>
      <c r="BS12" s="844">
        <v>958</v>
      </c>
      <c r="BT12" s="844">
        <v>951</v>
      </c>
      <c r="BU12" s="844">
        <v>946</v>
      </c>
      <c r="BV12" s="844">
        <v>943</v>
      </c>
      <c r="BW12" s="844">
        <v>948</v>
      </c>
      <c r="BX12" s="844">
        <v>964</v>
      </c>
      <c r="BY12" s="844">
        <v>976</v>
      </c>
      <c r="BZ12" s="844">
        <v>981</v>
      </c>
      <c r="CA12" s="844">
        <v>982</v>
      </c>
      <c r="CB12" s="844">
        <v>982</v>
      </c>
      <c r="CC12" s="844">
        <v>979</v>
      </c>
      <c r="CD12" s="844">
        <v>970</v>
      </c>
      <c r="CE12" s="844">
        <v>959</v>
      </c>
      <c r="CF12" s="844">
        <v>951</v>
      </c>
      <c r="CG12" s="844">
        <v>947</v>
      </c>
      <c r="CH12" s="844">
        <v>944</v>
      </c>
      <c r="CI12" s="844">
        <v>948</v>
      </c>
      <c r="CJ12" s="844">
        <v>964</v>
      </c>
      <c r="CK12" s="844">
        <v>976</v>
      </c>
      <c r="CL12" s="844">
        <v>982</v>
      </c>
      <c r="CM12" s="844">
        <v>983</v>
      </c>
      <c r="CN12" s="844">
        <v>983</v>
      </c>
      <c r="CO12" s="844">
        <v>979</v>
      </c>
      <c r="CP12" s="844">
        <v>970</v>
      </c>
      <c r="CQ12" s="844">
        <v>959</v>
      </c>
      <c r="CR12" s="844">
        <v>951</v>
      </c>
      <c r="CS12" s="844">
        <v>947</v>
      </c>
      <c r="CT12" s="844">
        <v>944</v>
      </c>
      <c r="CU12" s="844">
        <v>949</v>
      </c>
      <c r="CV12" s="844">
        <v>964</v>
      </c>
      <c r="CW12" s="844">
        <v>977</v>
      </c>
      <c r="CX12" s="844">
        <v>982</v>
      </c>
      <c r="CY12" s="844">
        <v>983</v>
      </c>
      <c r="CZ12" s="844">
        <v>983</v>
      </c>
      <c r="DA12" s="844">
        <v>980</v>
      </c>
      <c r="DB12" s="844">
        <v>970</v>
      </c>
      <c r="DC12" s="844">
        <v>959</v>
      </c>
      <c r="DD12" s="844">
        <v>952</v>
      </c>
      <c r="DE12" s="844">
        <v>947</v>
      </c>
      <c r="DF12" s="844">
        <v>944</v>
      </c>
      <c r="DG12" s="844">
        <v>949</v>
      </c>
      <c r="DH12" s="844">
        <v>965</v>
      </c>
      <c r="DI12" s="844">
        <v>977</v>
      </c>
      <c r="DJ12" s="844">
        <v>982</v>
      </c>
      <c r="DK12" s="844">
        <v>983</v>
      </c>
      <c r="DL12" s="844">
        <v>983</v>
      </c>
      <c r="DM12" s="844">
        <v>980</v>
      </c>
      <c r="DN12" s="844">
        <v>970</v>
      </c>
      <c r="DO12" s="844">
        <v>960</v>
      </c>
      <c r="DP12" s="844">
        <v>952</v>
      </c>
      <c r="DQ12" s="844">
        <v>947</v>
      </c>
      <c r="DR12" s="844">
        <v>945</v>
      </c>
      <c r="DS12" s="844">
        <v>949</v>
      </c>
      <c r="DT12" s="844">
        <v>965</v>
      </c>
      <c r="DU12" s="844">
        <v>977</v>
      </c>
      <c r="DV12" s="844">
        <v>983</v>
      </c>
      <c r="DW12" s="844">
        <v>984</v>
      </c>
      <c r="DX12" s="844">
        <v>984</v>
      </c>
      <c r="DY12" s="844">
        <v>980</v>
      </c>
      <c r="DZ12" s="844">
        <v>971</v>
      </c>
      <c r="EA12" s="844">
        <v>960</v>
      </c>
      <c r="EB12" s="844">
        <v>952</v>
      </c>
      <c r="EC12" s="844">
        <v>948</v>
      </c>
      <c r="ED12" s="844">
        <v>945</v>
      </c>
      <c r="EE12" s="844">
        <v>950</v>
      </c>
      <c r="EF12" s="844">
        <v>965</v>
      </c>
      <c r="EG12" s="844">
        <v>978</v>
      </c>
      <c r="EH12" s="757">
        <v>847</v>
      </c>
      <c r="EI12" s="757">
        <v>848</v>
      </c>
      <c r="EJ12" s="757">
        <v>848</v>
      </c>
      <c r="EK12" s="757">
        <v>845</v>
      </c>
      <c r="EL12" s="757">
        <v>838</v>
      </c>
      <c r="EM12" s="757">
        <v>832</v>
      </c>
      <c r="EN12" s="757">
        <v>827</v>
      </c>
      <c r="EO12" s="757">
        <v>823</v>
      </c>
      <c r="EP12" s="757">
        <v>822</v>
      </c>
      <c r="EQ12" s="757">
        <v>825</v>
      </c>
      <c r="ER12" s="757">
        <v>833</v>
      </c>
      <c r="ES12" s="757">
        <v>842</v>
      </c>
      <c r="ET12" s="757">
        <v>847</v>
      </c>
      <c r="EU12" s="757">
        <v>848</v>
      </c>
      <c r="EV12" s="757">
        <v>848</v>
      </c>
      <c r="EW12" s="757">
        <v>845</v>
      </c>
      <c r="EX12" s="757">
        <v>838</v>
      </c>
      <c r="EY12" s="757">
        <v>832</v>
      </c>
      <c r="EZ12" s="757">
        <v>827</v>
      </c>
      <c r="FA12" s="757">
        <v>823</v>
      </c>
      <c r="FB12" s="757">
        <v>822</v>
      </c>
      <c r="FC12" s="757">
        <v>825</v>
      </c>
      <c r="FD12" s="757">
        <v>833</v>
      </c>
      <c r="FE12" s="757">
        <v>842</v>
      </c>
      <c r="FF12"/>
    </row>
    <row r="13" spans="1:162" ht="15" x14ac:dyDescent="0.25">
      <c r="A13" t="s">
        <v>16</v>
      </c>
      <c r="B13" t="s">
        <v>506</v>
      </c>
      <c r="C13" s="509"/>
      <c r="D13" s="509" t="s">
        <v>223</v>
      </c>
      <c r="E13" t="s">
        <v>18</v>
      </c>
      <c r="F13" s="844">
        <v>1</v>
      </c>
      <c r="G13" s="844">
        <v>1</v>
      </c>
      <c r="H13" s="844">
        <v>1</v>
      </c>
      <c r="I13" s="844">
        <v>1</v>
      </c>
      <c r="J13" s="844">
        <v>1</v>
      </c>
      <c r="K13" s="844">
        <v>1</v>
      </c>
      <c r="L13" s="844">
        <v>1</v>
      </c>
      <c r="M13" s="844">
        <v>1</v>
      </c>
      <c r="N13" s="844">
        <v>1</v>
      </c>
      <c r="O13" s="844">
        <v>1</v>
      </c>
      <c r="P13" s="844">
        <v>1</v>
      </c>
      <c r="Q13" s="844">
        <v>1</v>
      </c>
      <c r="R13" s="844">
        <v>1</v>
      </c>
      <c r="S13" s="844">
        <v>1</v>
      </c>
      <c r="T13" s="844">
        <v>1</v>
      </c>
      <c r="U13" s="844">
        <v>1</v>
      </c>
      <c r="V13" s="844">
        <v>1</v>
      </c>
      <c r="W13" s="844">
        <v>1</v>
      </c>
      <c r="X13" s="844">
        <v>1</v>
      </c>
      <c r="Y13" s="844">
        <v>1</v>
      </c>
      <c r="Z13" s="844">
        <v>1</v>
      </c>
      <c r="AA13" s="844">
        <v>1</v>
      </c>
      <c r="AB13" s="844">
        <v>1</v>
      </c>
      <c r="AC13" s="844">
        <v>1</v>
      </c>
      <c r="AD13" s="844">
        <v>1</v>
      </c>
      <c r="AE13" s="844">
        <v>1</v>
      </c>
      <c r="AF13" s="844">
        <v>1</v>
      </c>
      <c r="AG13" s="844">
        <v>1</v>
      </c>
      <c r="AH13" s="844">
        <v>1</v>
      </c>
      <c r="AI13" s="844">
        <v>1</v>
      </c>
      <c r="AJ13" s="844">
        <v>1</v>
      </c>
      <c r="AK13" s="844">
        <v>1</v>
      </c>
      <c r="AL13" s="844">
        <v>1</v>
      </c>
      <c r="AM13" s="844">
        <v>1</v>
      </c>
      <c r="AN13" s="844">
        <v>1</v>
      </c>
      <c r="AO13" s="844">
        <v>1</v>
      </c>
      <c r="AP13" s="844">
        <v>1</v>
      </c>
      <c r="AQ13" s="844">
        <v>1</v>
      </c>
      <c r="AR13" s="844">
        <v>1</v>
      </c>
      <c r="AS13" s="844">
        <v>1</v>
      </c>
      <c r="AT13" s="844">
        <v>1</v>
      </c>
      <c r="AU13" s="844">
        <v>1</v>
      </c>
      <c r="AV13" s="844">
        <v>1</v>
      </c>
      <c r="AW13" s="844">
        <v>1</v>
      </c>
      <c r="AX13" s="844">
        <v>1</v>
      </c>
      <c r="AY13" s="844">
        <v>1</v>
      </c>
      <c r="AZ13" s="844">
        <v>1</v>
      </c>
      <c r="BA13" s="844">
        <v>1</v>
      </c>
      <c r="BB13" s="844">
        <v>1</v>
      </c>
      <c r="BC13" s="844">
        <v>1</v>
      </c>
      <c r="BD13" s="844">
        <v>1</v>
      </c>
      <c r="BE13" s="844">
        <v>1</v>
      </c>
      <c r="BF13" s="844">
        <v>1</v>
      </c>
      <c r="BG13" s="844">
        <v>1</v>
      </c>
      <c r="BH13" s="844">
        <v>1</v>
      </c>
      <c r="BI13" s="844">
        <v>1</v>
      </c>
      <c r="BJ13" s="844">
        <v>1</v>
      </c>
      <c r="BK13" s="844">
        <v>1</v>
      </c>
      <c r="BL13" s="844">
        <v>1</v>
      </c>
      <c r="BM13" s="844">
        <v>1</v>
      </c>
      <c r="BN13" s="844">
        <v>1</v>
      </c>
      <c r="BO13" s="844">
        <v>1</v>
      </c>
      <c r="BP13" s="844">
        <v>1</v>
      </c>
      <c r="BQ13" s="844">
        <v>1</v>
      </c>
      <c r="BR13" s="844">
        <v>1</v>
      </c>
      <c r="BS13" s="844">
        <v>1</v>
      </c>
      <c r="BT13" s="844">
        <v>1</v>
      </c>
      <c r="BU13" s="844">
        <v>1</v>
      </c>
      <c r="BV13" s="844">
        <v>1</v>
      </c>
      <c r="BW13" s="844">
        <v>1</v>
      </c>
      <c r="BX13" s="844">
        <v>1</v>
      </c>
      <c r="BY13" s="844">
        <v>1</v>
      </c>
      <c r="BZ13" s="844">
        <v>1</v>
      </c>
      <c r="CA13" s="844">
        <v>1</v>
      </c>
      <c r="CB13" s="844">
        <v>1</v>
      </c>
      <c r="CC13" s="844">
        <v>1</v>
      </c>
      <c r="CD13" s="844">
        <v>1</v>
      </c>
      <c r="CE13" s="844">
        <v>1</v>
      </c>
      <c r="CF13" s="844">
        <v>1</v>
      </c>
      <c r="CG13" s="844">
        <v>1</v>
      </c>
      <c r="CH13" s="844">
        <v>1</v>
      </c>
      <c r="CI13" s="844">
        <v>1</v>
      </c>
      <c r="CJ13" s="844">
        <v>1</v>
      </c>
      <c r="CK13" s="844">
        <v>1</v>
      </c>
      <c r="CL13" s="844">
        <v>1</v>
      </c>
      <c r="CM13" s="844">
        <v>1</v>
      </c>
      <c r="CN13" s="844">
        <v>1</v>
      </c>
      <c r="CO13" s="844">
        <v>1</v>
      </c>
      <c r="CP13" s="844">
        <v>1</v>
      </c>
      <c r="CQ13" s="844">
        <v>1</v>
      </c>
      <c r="CR13" s="844">
        <v>1</v>
      </c>
      <c r="CS13" s="844">
        <v>1</v>
      </c>
      <c r="CT13" s="844">
        <v>1</v>
      </c>
      <c r="CU13" s="844">
        <v>1</v>
      </c>
      <c r="CV13" s="844">
        <v>1</v>
      </c>
      <c r="CW13" s="844">
        <v>1</v>
      </c>
      <c r="CX13" s="844">
        <v>1</v>
      </c>
      <c r="CY13" s="844">
        <v>1</v>
      </c>
      <c r="CZ13" s="844">
        <v>1</v>
      </c>
      <c r="DA13" s="844">
        <v>1</v>
      </c>
      <c r="DB13" s="844">
        <v>1</v>
      </c>
      <c r="DC13" s="844">
        <v>1</v>
      </c>
      <c r="DD13" s="844">
        <v>1</v>
      </c>
      <c r="DE13" s="844">
        <v>1</v>
      </c>
      <c r="DF13" s="844">
        <v>1</v>
      </c>
      <c r="DG13" s="844">
        <v>1</v>
      </c>
      <c r="DH13" s="844">
        <v>1</v>
      </c>
      <c r="DI13" s="844">
        <v>1</v>
      </c>
      <c r="DJ13" s="844">
        <v>1</v>
      </c>
      <c r="DK13" s="844">
        <v>1</v>
      </c>
      <c r="DL13" s="844">
        <v>1</v>
      </c>
      <c r="DM13" s="844">
        <v>1</v>
      </c>
      <c r="DN13" s="844">
        <v>1</v>
      </c>
      <c r="DO13" s="844">
        <v>1</v>
      </c>
      <c r="DP13" s="844">
        <v>1</v>
      </c>
      <c r="DQ13" s="844">
        <v>1</v>
      </c>
      <c r="DR13" s="844">
        <v>1</v>
      </c>
      <c r="DS13" s="844">
        <v>1</v>
      </c>
      <c r="DT13" s="844">
        <v>1</v>
      </c>
      <c r="DU13" s="844">
        <v>1</v>
      </c>
      <c r="DV13" s="844">
        <v>1</v>
      </c>
      <c r="DW13" s="844">
        <v>1</v>
      </c>
      <c r="DX13" s="844">
        <v>1</v>
      </c>
      <c r="DY13" s="844">
        <v>1</v>
      </c>
      <c r="DZ13" s="844">
        <v>1</v>
      </c>
      <c r="EA13" s="844">
        <v>1</v>
      </c>
      <c r="EB13" s="844">
        <v>1</v>
      </c>
      <c r="EC13" s="844">
        <v>1</v>
      </c>
      <c r="ED13" s="844">
        <v>1</v>
      </c>
      <c r="EE13" s="844">
        <v>1</v>
      </c>
      <c r="EF13" s="844">
        <v>1</v>
      </c>
      <c r="EG13" s="844">
        <v>1</v>
      </c>
      <c r="EH13" s="757">
        <v>2</v>
      </c>
      <c r="EI13" s="757">
        <v>2</v>
      </c>
      <c r="EJ13" s="757">
        <v>2</v>
      </c>
      <c r="EK13" s="757">
        <v>2</v>
      </c>
      <c r="EL13" s="757">
        <v>2</v>
      </c>
      <c r="EM13" s="757">
        <v>2</v>
      </c>
      <c r="EN13" s="757">
        <v>2</v>
      </c>
      <c r="EO13" s="757">
        <v>2</v>
      </c>
      <c r="EP13" s="757">
        <v>2</v>
      </c>
      <c r="EQ13" s="757">
        <v>2</v>
      </c>
      <c r="ER13" s="757">
        <v>2</v>
      </c>
      <c r="ES13" s="757">
        <v>2</v>
      </c>
      <c r="ET13" s="757">
        <v>2</v>
      </c>
      <c r="EU13" s="757">
        <v>2</v>
      </c>
      <c r="EV13" s="757">
        <v>2</v>
      </c>
      <c r="EW13" s="757">
        <v>2</v>
      </c>
      <c r="EX13" s="757">
        <v>2</v>
      </c>
      <c r="EY13" s="757">
        <v>2</v>
      </c>
      <c r="EZ13" s="757">
        <v>2</v>
      </c>
      <c r="FA13" s="757">
        <v>2</v>
      </c>
      <c r="FB13" s="757">
        <v>2</v>
      </c>
      <c r="FC13" s="757">
        <v>2</v>
      </c>
      <c r="FD13" s="757">
        <v>2</v>
      </c>
      <c r="FE13" s="757">
        <v>2</v>
      </c>
      <c r="FF13"/>
    </row>
    <row r="14" spans="1:162" ht="15" x14ac:dyDescent="0.25">
      <c r="A14" t="s">
        <v>16</v>
      </c>
      <c r="B14" t="s">
        <v>507</v>
      </c>
      <c r="C14" s="509" t="s">
        <v>380</v>
      </c>
      <c r="D14" s="509" t="s">
        <v>59</v>
      </c>
      <c r="E14" t="s">
        <v>25</v>
      </c>
      <c r="F14" s="844">
        <v>99</v>
      </c>
      <c r="G14" s="844">
        <v>98</v>
      </c>
      <c r="H14" s="844">
        <v>108</v>
      </c>
      <c r="I14" s="844">
        <v>102</v>
      </c>
      <c r="J14" s="844">
        <v>98</v>
      </c>
      <c r="K14" s="844">
        <v>89</v>
      </c>
      <c r="L14" s="844">
        <v>81</v>
      </c>
      <c r="M14" s="844">
        <v>78</v>
      </c>
      <c r="N14" s="844">
        <v>82</v>
      </c>
      <c r="O14" s="844">
        <v>87</v>
      </c>
      <c r="P14" s="844">
        <v>96</v>
      </c>
      <c r="Q14" s="844">
        <v>98</v>
      </c>
      <c r="R14" s="844">
        <v>98</v>
      </c>
      <c r="S14" s="844">
        <v>96</v>
      </c>
      <c r="T14" s="844">
        <v>96</v>
      </c>
      <c r="U14" s="844">
        <v>94</v>
      </c>
      <c r="V14" s="844">
        <v>91</v>
      </c>
      <c r="W14" s="844">
        <v>82</v>
      </c>
      <c r="X14" s="844">
        <v>76</v>
      </c>
      <c r="Y14" s="844">
        <v>73</v>
      </c>
      <c r="Z14" s="844">
        <v>77</v>
      </c>
      <c r="AA14" s="844">
        <v>86</v>
      </c>
      <c r="AB14" s="844">
        <v>95</v>
      </c>
      <c r="AC14" s="844">
        <v>97</v>
      </c>
      <c r="AD14" s="844">
        <v>100</v>
      </c>
      <c r="AE14" s="844">
        <v>98</v>
      </c>
      <c r="AF14" s="844">
        <v>98</v>
      </c>
      <c r="AG14" s="844">
        <v>97</v>
      </c>
      <c r="AH14" s="844">
        <v>93</v>
      </c>
      <c r="AI14" s="844">
        <v>84</v>
      </c>
      <c r="AJ14" s="844">
        <v>77</v>
      </c>
      <c r="AK14" s="844">
        <v>75</v>
      </c>
      <c r="AL14" s="844">
        <v>78</v>
      </c>
      <c r="AM14" s="844">
        <v>86</v>
      </c>
      <c r="AN14" s="844">
        <v>95</v>
      </c>
      <c r="AO14" s="844">
        <v>97</v>
      </c>
      <c r="AP14" s="844">
        <v>99</v>
      </c>
      <c r="AQ14" s="844">
        <v>97</v>
      </c>
      <c r="AR14" s="844">
        <v>97</v>
      </c>
      <c r="AS14" s="844">
        <v>96</v>
      </c>
      <c r="AT14" s="844">
        <v>93</v>
      </c>
      <c r="AU14" s="844">
        <v>84</v>
      </c>
      <c r="AV14" s="844">
        <v>76</v>
      </c>
      <c r="AW14" s="844">
        <v>74</v>
      </c>
      <c r="AX14" s="844">
        <v>77</v>
      </c>
      <c r="AY14" s="844">
        <v>85</v>
      </c>
      <c r="AZ14" s="844">
        <v>94</v>
      </c>
      <c r="BA14" s="844">
        <v>96</v>
      </c>
      <c r="BB14" s="844">
        <v>99</v>
      </c>
      <c r="BC14" s="844">
        <v>97</v>
      </c>
      <c r="BD14" s="844">
        <v>97</v>
      </c>
      <c r="BE14" s="844">
        <v>96</v>
      </c>
      <c r="BF14" s="844">
        <v>92</v>
      </c>
      <c r="BG14" s="844">
        <v>83</v>
      </c>
      <c r="BH14" s="844">
        <v>76</v>
      </c>
      <c r="BI14" s="844">
        <v>74</v>
      </c>
      <c r="BJ14" s="844">
        <v>77</v>
      </c>
      <c r="BK14" s="844">
        <v>86</v>
      </c>
      <c r="BL14" s="844">
        <v>95</v>
      </c>
      <c r="BM14" s="844">
        <v>97</v>
      </c>
      <c r="BN14" s="844">
        <v>99</v>
      </c>
      <c r="BO14" s="844">
        <v>97</v>
      </c>
      <c r="BP14" s="844">
        <v>97</v>
      </c>
      <c r="BQ14" s="844">
        <v>96</v>
      </c>
      <c r="BR14" s="844">
        <v>92</v>
      </c>
      <c r="BS14" s="844">
        <v>83</v>
      </c>
      <c r="BT14" s="844">
        <v>76</v>
      </c>
      <c r="BU14" s="844">
        <v>74</v>
      </c>
      <c r="BV14" s="844">
        <v>77</v>
      </c>
      <c r="BW14" s="844">
        <v>86</v>
      </c>
      <c r="BX14" s="844">
        <v>94</v>
      </c>
      <c r="BY14" s="844">
        <v>96</v>
      </c>
      <c r="BZ14" s="844">
        <v>99</v>
      </c>
      <c r="CA14" s="844">
        <v>97</v>
      </c>
      <c r="CB14" s="844">
        <v>97</v>
      </c>
      <c r="CC14" s="844">
        <v>96</v>
      </c>
      <c r="CD14" s="844">
        <v>92</v>
      </c>
      <c r="CE14" s="844">
        <v>83</v>
      </c>
      <c r="CF14" s="844">
        <v>76</v>
      </c>
      <c r="CG14" s="844">
        <v>74</v>
      </c>
      <c r="CH14" s="844">
        <v>77</v>
      </c>
      <c r="CI14" s="844">
        <v>85</v>
      </c>
      <c r="CJ14" s="844">
        <v>94</v>
      </c>
      <c r="CK14" s="844">
        <v>96</v>
      </c>
      <c r="CL14" s="844">
        <v>98</v>
      </c>
      <c r="CM14" s="844">
        <v>96</v>
      </c>
      <c r="CN14" s="844">
        <v>96</v>
      </c>
      <c r="CO14" s="844">
        <v>95</v>
      </c>
      <c r="CP14" s="844">
        <v>91</v>
      </c>
      <c r="CQ14" s="844">
        <v>82</v>
      </c>
      <c r="CR14" s="844">
        <v>75</v>
      </c>
      <c r="CS14" s="844">
        <v>72</v>
      </c>
      <c r="CT14" s="844">
        <v>76</v>
      </c>
      <c r="CU14" s="844">
        <v>84</v>
      </c>
      <c r="CV14" s="844">
        <v>93</v>
      </c>
      <c r="CW14" s="844">
        <v>95</v>
      </c>
      <c r="CX14" s="844">
        <v>97</v>
      </c>
      <c r="CY14" s="844">
        <v>94</v>
      </c>
      <c r="CZ14" s="844">
        <v>94</v>
      </c>
      <c r="DA14" s="844">
        <v>93</v>
      </c>
      <c r="DB14" s="844">
        <v>90</v>
      </c>
      <c r="DC14" s="844">
        <v>81</v>
      </c>
      <c r="DD14" s="844">
        <v>73</v>
      </c>
      <c r="DE14" s="844">
        <v>71</v>
      </c>
      <c r="DF14" s="844">
        <v>74</v>
      </c>
      <c r="DG14" s="844">
        <v>83</v>
      </c>
      <c r="DH14" s="844">
        <v>91</v>
      </c>
      <c r="DI14" s="844">
        <v>93</v>
      </c>
      <c r="DJ14" s="844">
        <v>95</v>
      </c>
      <c r="DK14" s="844">
        <v>93</v>
      </c>
      <c r="DL14" s="844">
        <v>93</v>
      </c>
      <c r="DM14" s="844">
        <v>92</v>
      </c>
      <c r="DN14" s="844">
        <v>89</v>
      </c>
      <c r="DO14" s="844">
        <v>79</v>
      </c>
      <c r="DP14" s="844">
        <v>72</v>
      </c>
      <c r="DQ14" s="844">
        <v>70</v>
      </c>
      <c r="DR14" s="844">
        <v>73</v>
      </c>
      <c r="DS14" s="844">
        <v>81</v>
      </c>
      <c r="DT14" s="844">
        <v>90</v>
      </c>
      <c r="DU14" s="844">
        <v>92</v>
      </c>
      <c r="DV14" s="844">
        <v>94</v>
      </c>
      <c r="DW14" s="844">
        <v>92</v>
      </c>
      <c r="DX14" s="844">
        <v>92</v>
      </c>
      <c r="DY14" s="844">
        <v>91</v>
      </c>
      <c r="DZ14" s="844">
        <v>87</v>
      </c>
      <c r="EA14" s="844">
        <v>78</v>
      </c>
      <c r="EB14" s="844">
        <v>71</v>
      </c>
      <c r="EC14" s="844">
        <v>69</v>
      </c>
      <c r="ED14" s="844">
        <v>72</v>
      </c>
      <c r="EE14" s="844">
        <v>79</v>
      </c>
      <c r="EF14" s="844">
        <v>89</v>
      </c>
      <c r="EG14" s="844">
        <v>91</v>
      </c>
      <c r="EH14" s="757">
        <v>118</v>
      </c>
      <c r="EI14" s="757">
        <v>118</v>
      </c>
      <c r="EJ14" s="757">
        <v>118</v>
      </c>
      <c r="EK14" s="757">
        <v>117</v>
      </c>
      <c r="EL14" s="757">
        <v>117</v>
      </c>
      <c r="EM14" s="757">
        <v>116</v>
      </c>
      <c r="EN14" s="757">
        <v>116</v>
      </c>
      <c r="EO14" s="757">
        <v>117</v>
      </c>
      <c r="EP14" s="757">
        <v>117</v>
      </c>
      <c r="EQ14" s="757">
        <v>118</v>
      </c>
      <c r="ER14" s="757">
        <v>118</v>
      </c>
      <c r="ES14" s="757">
        <v>118</v>
      </c>
      <c r="ET14" s="757">
        <v>118</v>
      </c>
      <c r="EU14" s="757">
        <v>118</v>
      </c>
      <c r="EV14" s="757">
        <v>118</v>
      </c>
      <c r="EW14" s="757">
        <v>117</v>
      </c>
      <c r="EX14" s="757">
        <v>117</v>
      </c>
      <c r="EY14" s="757">
        <v>116</v>
      </c>
      <c r="EZ14" s="757">
        <v>116</v>
      </c>
      <c r="FA14" s="757">
        <v>117</v>
      </c>
      <c r="FB14" s="757">
        <v>117</v>
      </c>
      <c r="FC14" s="757">
        <v>118</v>
      </c>
      <c r="FD14" s="757">
        <v>118</v>
      </c>
      <c r="FE14" s="757">
        <v>118</v>
      </c>
      <c r="FF14"/>
    </row>
    <row r="15" spans="1:162" ht="15" x14ac:dyDescent="0.25">
      <c r="A15" t="s">
        <v>16</v>
      </c>
      <c r="B15" t="s">
        <v>508</v>
      </c>
      <c r="C15" s="509" t="s">
        <v>381</v>
      </c>
      <c r="D15" s="509" t="s">
        <v>59</v>
      </c>
      <c r="E15" t="s">
        <v>25</v>
      </c>
      <c r="F15" s="844">
        <v>96</v>
      </c>
      <c r="G15" s="844">
        <v>94</v>
      </c>
      <c r="H15" s="844">
        <v>103</v>
      </c>
      <c r="I15" s="844">
        <v>98</v>
      </c>
      <c r="J15" s="844">
        <v>95</v>
      </c>
      <c r="K15" s="844">
        <v>86</v>
      </c>
      <c r="L15" s="844">
        <v>77</v>
      </c>
      <c r="M15" s="844">
        <v>75</v>
      </c>
      <c r="N15" s="844">
        <v>78</v>
      </c>
      <c r="O15" s="844">
        <v>83</v>
      </c>
      <c r="P15" s="844">
        <v>92</v>
      </c>
      <c r="Q15" s="844">
        <v>94</v>
      </c>
      <c r="R15" s="844">
        <v>94</v>
      </c>
      <c r="S15" s="844">
        <v>92</v>
      </c>
      <c r="T15" s="844">
        <v>92</v>
      </c>
      <c r="U15" s="844">
        <v>90</v>
      </c>
      <c r="V15" s="844">
        <v>87</v>
      </c>
      <c r="W15" s="844">
        <v>78</v>
      </c>
      <c r="X15" s="844">
        <v>73</v>
      </c>
      <c r="Y15" s="844">
        <v>71</v>
      </c>
      <c r="Z15" s="844">
        <v>74</v>
      </c>
      <c r="AA15" s="844">
        <v>83</v>
      </c>
      <c r="AB15" s="844">
        <v>92</v>
      </c>
      <c r="AC15" s="844">
        <v>94</v>
      </c>
      <c r="AD15" s="844">
        <v>96</v>
      </c>
      <c r="AE15" s="844">
        <v>94</v>
      </c>
      <c r="AF15" s="844">
        <v>94</v>
      </c>
      <c r="AG15" s="844">
        <v>93</v>
      </c>
      <c r="AH15" s="844">
        <v>90</v>
      </c>
      <c r="AI15" s="844">
        <v>81</v>
      </c>
      <c r="AJ15" s="844">
        <v>74</v>
      </c>
      <c r="AK15" s="844">
        <v>72</v>
      </c>
      <c r="AL15" s="844">
        <v>75</v>
      </c>
      <c r="AM15" s="844">
        <v>83</v>
      </c>
      <c r="AN15" s="844">
        <v>92</v>
      </c>
      <c r="AO15" s="844">
        <v>94</v>
      </c>
      <c r="AP15" s="844">
        <v>96</v>
      </c>
      <c r="AQ15" s="844">
        <v>94</v>
      </c>
      <c r="AR15" s="844">
        <v>94</v>
      </c>
      <c r="AS15" s="844">
        <v>93</v>
      </c>
      <c r="AT15" s="844">
        <v>89</v>
      </c>
      <c r="AU15" s="844">
        <v>80</v>
      </c>
      <c r="AV15" s="844">
        <v>74</v>
      </c>
      <c r="AW15" s="844">
        <v>71</v>
      </c>
      <c r="AX15" s="844">
        <v>74</v>
      </c>
      <c r="AY15" s="844">
        <v>82</v>
      </c>
      <c r="AZ15" s="844">
        <v>91</v>
      </c>
      <c r="BA15" s="844">
        <v>93</v>
      </c>
      <c r="BB15" s="844">
        <v>95</v>
      </c>
      <c r="BC15" s="844">
        <v>93</v>
      </c>
      <c r="BD15" s="844">
        <v>93</v>
      </c>
      <c r="BE15" s="844">
        <v>92</v>
      </c>
      <c r="BF15" s="844">
        <v>89</v>
      </c>
      <c r="BG15" s="844">
        <v>80</v>
      </c>
      <c r="BH15" s="844">
        <v>74</v>
      </c>
      <c r="BI15" s="844">
        <v>72</v>
      </c>
      <c r="BJ15" s="844">
        <v>75</v>
      </c>
      <c r="BK15" s="844">
        <v>82</v>
      </c>
      <c r="BL15" s="844">
        <v>91</v>
      </c>
      <c r="BM15" s="844">
        <v>93</v>
      </c>
      <c r="BN15" s="844">
        <v>95</v>
      </c>
      <c r="BO15" s="844">
        <v>93</v>
      </c>
      <c r="BP15" s="844">
        <v>93</v>
      </c>
      <c r="BQ15" s="844">
        <v>92</v>
      </c>
      <c r="BR15" s="844">
        <v>89</v>
      </c>
      <c r="BS15" s="844">
        <v>80</v>
      </c>
      <c r="BT15" s="844">
        <v>74</v>
      </c>
      <c r="BU15" s="844">
        <v>71</v>
      </c>
      <c r="BV15" s="844">
        <v>75</v>
      </c>
      <c r="BW15" s="844">
        <v>82</v>
      </c>
      <c r="BX15" s="844">
        <v>91</v>
      </c>
      <c r="BY15" s="844">
        <v>93</v>
      </c>
      <c r="BZ15" s="844">
        <v>95</v>
      </c>
      <c r="CA15" s="844">
        <v>93</v>
      </c>
      <c r="CB15" s="844">
        <v>93</v>
      </c>
      <c r="CC15" s="844">
        <v>92</v>
      </c>
      <c r="CD15" s="844">
        <v>89</v>
      </c>
      <c r="CE15" s="844">
        <v>80</v>
      </c>
      <c r="CF15" s="844">
        <v>73</v>
      </c>
      <c r="CG15" s="844">
        <v>71</v>
      </c>
      <c r="CH15" s="844">
        <v>74</v>
      </c>
      <c r="CI15" s="844">
        <v>82</v>
      </c>
      <c r="CJ15" s="844">
        <v>91</v>
      </c>
      <c r="CK15" s="844">
        <v>93</v>
      </c>
      <c r="CL15" s="844">
        <v>94</v>
      </c>
      <c r="CM15" s="844">
        <v>92</v>
      </c>
      <c r="CN15" s="844">
        <v>92</v>
      </c>
      <c r="CO15" s="844">
        <v>91</v>
      </c>
      <c r="CP15" s="844">
        <v>88</v>
      </c>
      <c r="CQ15" s="844">
        <v>79</v>
      </c>
      <c r="CR15" s="844">
        <v>72</v>
      </c>
      <c r="CS15" s="844">
        <v>70</v>
      </c>
      <c r="CT15" s="844">
        <v>73</v>
      </c>
      <c r="CU15" s="844">
        <v>80</v>
      </c>
      <c r="CV15" s="844">
        <v>89</v>
      </c>
      <c r="CW15" s="844">
        <v>91</v>
      </c>
      <c r="CX15" s="844">
        <v>93</v>
      </c>
      <c r="CY15" s="844">
        <v>91</v>
      </c>
      <c r="CZ15" s="844">
        <v>91</v>
      </c>
      <c r="DA15" s="844">
        <v>90</v>
      </c>
      <c r="DB15" s="844">
        <v>86</v>
      </c>
      <c r="DC15" s="844">
        <v>77</v>
      </c>
      <c r="DD15" s="844">
        <v>71</v>
      </c>
      <c r="DE15" s="844">
        <v>69</v>
      </c>
      <c r="DF15" s="844">
        <v>72</v>
      </c>
      <c r="DG15" s="844">
        <v>79</v>
      </c>
      <c r="DH15" s="844">
        <v>88</v>
      </c>
      <c r="DI15" s="844">
        <v>90</v>
      </c>
      <c r="DJ15" s="844">
        <v>92</v>
      </c>
      <c r="DK15" s="844">
        <v>90</v>
      </c>
      <c r="DL15" s="844">
        <v>90</v>
      </c>
      <c r="DM15" s="844">
        <v>89</v>
      </c>
      <c r="DN15" s="844">
        <v>85</v>
      </c>
      <c r="DO15" s="844">
        <v>77</v>
      </c>
      <c r="DP15" s="844">
        <v>70</v>
      </c>
      <c r="DQ15" s="844">
        <v>67</v>
      </c>
      <c r="DR15" s="844">
        <v>71</v>
      </c>
      <c r="DS15" s="844">
        <v>78</v>
      </c>
      <c r="DT15" s="844">
        <v>87</v>
      </c>
      <c r="DU15" s="844">
        <v>89</v>
      </c>
      <c r="DV15" s="844">
        <v>91</v>
      </c>
      <c r="DW15" s="844">
        <v>88</v>
      </c>
      <c r="DX15" s="844">
        <v>89</v>
      </c>
      <c r="DY15" s="844">
        <v>87</v>
      </c>
      <c r="DZ15" s="844">
        <v>84</v>
      </c>
      <c r="EA15" s="844">
        <v>75</v>
      </c>
      <c r="EB15" s="844">
        <v>68</v>
      </c>
      <c r="EC15" s="844">
        <v>66</v>
      </c>
      <c r="ED15" s="844">
        <v>69</v>
      </c>
      <c r="EE15" s="844">
        <v>77</v>
      </c>
      <c r="EF15" s="844">
        <v>85</v>
      </c>
      <c r="EG15" s="844">
        <v>87</v>
      </c>
      <c r="EH15" s="757">
        <v>113</v>
      </c>
      <c r="EI15" s="757">
        <v>113</v>
      </c>
      <c r="EJ15" s="757">
        <v>112</v>
      </c>
      <c r="EK15" s="757">
        <v>112</v>
      </c>
      <c r="EL15" s="757">
        <v>111</v>
      </c>
      <c r="EM15" s="757">
        <v>111</v>
      </c>
      <c r="EN15" s="757">
        <v>110</v>
      </c>
      <c r="EO15" s="757">
        <v>111</v>
      </c>
      <c r="EP15" s="757">
        <v>112</v>
      </c>
      <c r="EQ15" s="757">
        <v>112</v>
      </c>
      <c r="ER15" s="757">
        <v>113</v>
      </c>
      <c r="ES15" s="757">
        <v>112</v>
      </c>
      <c r="ET15" s="757">
        <v>113</v>
      </c>
      <c r="EU15" s="757">
        <v>113</v>
      </c>
      <c r="EV15" s="757">
        <v>112</v>
      </c>
      <c r="EW15" s="757">
        <v>112</v>
      </c>
      <c r="EX15" s="757">
        <v>111</v>
      </c>
      <c r="EY15" s="757">
        <v>111</v>
      </c>
      <c r="EZ15" s="757">
        <v>110</v>
      </c>
      <c r="FA15" s="757">
        <v>111</v>
      </c>
      <c r="FB15" s="757">
        <v>112</v>
      </c>
      <c r="FC15" s="757">
        <v>112</v>
      </c>
      <c r="FD15" s="757">
        <v>113</v>
      </c>
      <c r="FE15" s="757">
        <v>112</v>
      </c>
      <c r="FF15"/>
    </row>
    <row r="16" spans="1:162" ht="15" x14ac:dyDescent="0.25">
      <c r="A16" t="s">
        <v>15</v>
      </c>
      <c r="B16" t="s">
        <v>503</v>
      </c>
      <c r="C16" s="509"/>
      <c r="D16" s="509" t="s">
        <v>223</v>
      </c>
      <c r="E16" t="s">
        <v>14</v>
      </c>
      <c r="F16" s="844">
        <v>1</v>
      </c>
      <c r="G16" s="844">
        <v>1</v>
      </c>
      <c r="H16" s="844">
        <v>1</v>
      </c>
      <c r="I16" s="844">
        <v>1</v>
      </c>
      <c r="J16" s="844">
        <v>1</v>
      </c>
      <c r="K16" s="844">
        <v>1</v>
      </c>
      <c r="L16" s="844">
        <v>1</v>
      </c>
      <c r="M16" s="844">
        <v>1</v>
      </c>
      <c r="N16" s="844">
        <v>1</v>
      </c>
      <c r="O16" s="844">
        <v>1</v>
      </c>
      <c r="P16" s="844">
        <v>1</v>
      </c>
      <c r="Q16" s="844">
        <v>1</v>
      </c>
      <c r="R16" s="844">
        <v>1</v>
      </c>
      <c r="S16" s="844">
        <v>1</v>
      </c>
      <c r="T16" s="844">
        <v>1</v>
      </c>
      <c r="U16" s="844">
        <v>1</v>
      </c>
      <c r="V16" s="844">
        <v>1</v>
      </c>
      <c r="W16" s="844">
        <v>1</v>
      </c>
      <c r="X16" s="844">
        <v>1</v>
      </c>
      <c r="Y16" s="844">
        <v>1</v>
      </c>
      <c r="Z16" s="844">
        <v>1</v>
      </c>
      <c r="AA16" s="844">
        <v>1</v>
      </c>
      <c r="AB16" s="844">
        <v>1</v>
      </c>
      <c r="AC16" s="844">
        <v>1</v>
      </c>
      <c r="AD16" s="844">
        <v>1</v>
      </c>
      <c r="AE16" s="844">
        <v>1</v>
      </c>
      <c r="AF16" s="844">
        <v>1</v>
      </c>
      <c r="AG16" s="844">
        <v>1</v>
      </c>
      <c r="AH16" s="844">
        <v>1</v>
      </c>
      <c r="AI16" s="844">
        <v>1</v>
      </c>
      <c r="AJ16" s="844">
        <v>1</v>
      </c>
      <c r="AK16" s="844">
        <v>1</v>
      </c>
      <c r="AL16" s="844">
        <v>1</v>
      </c>
      <c r="AM16" s="844">
        <v>1</v>
      </c>
      <c r="AN16" s="844">
        <v>1</v>
      </c>
      <c r="AO16" s="844">
        <v>1</v>
      </c>
      <c r="AP16" s="844">
        <v>1</v>
      </c>
      <c r="AQ16" s="844">
        <v>1</v>
      </c>
      <c r="AR16" s="844">
        <v>1</v>
      </c>
      <c r="AS16" s="844">
        <v>1</v>
      </c>
      <c r="AT16" s="844">
        <v>1</v>
      </c>
      <c r="AU16" s="844">
        <v>1</v>
      </c>
      <c r="AV16" s="844">
        <v>1</v>
      </c>
      <c r="AW16" s="844">
        <v>1</v>
      </c>
      <c r="AX16" s="844">
        <v>1</v>
      </c>
      <c r="AY16" s="844">
        <v>1</v>
      </c>
      <c r="AZ16" s="844">
        <v>1</v>
      </c>
      <c r="BA16" s="844">
        <v>1</v>
      </c>
      <c r="BB16" s="844">
        <v>1</v>
      </c>
      <c r="BC16" s="844">
        <v>1</v>
      </c>
      <c r="BD16" s="844">
        <v>1</v>
      </c>
      <c r="BE16" s="844">
        <v>1</v>
      </c>
      <c r="BF16" s="844">
        <v>1</v>
      </c>
      <c r="BG16" s="844">
        <v>1</v>
      </c>
      <c r="BH16" s="844">
        <v>1</v>
      </c>
      <c r="BI16" s="844">
        <v>1</v>
      </c>
      <c r="BJ16" s="844">
        <v>1</v>
      </c>
      <c r="BK16" s="844">
        <v>1</v>
      </c>
      <c r="BL16" s="844">
        <v>1</v>
      </c>
      <c r="BM16" s="844">
        <v>1</v>
      </c>
      <c r="BN16" s="844">
        <v>1</v>
      </c>
      <c r="BO16" s="844">
        <v>1</v>
      </c>
      <c r="BP16" s="844">
        <v>1</v>
      </c>
      <c r="BQ16" s="844">
        <v>1</v>
      </c>
      <c r="BR16" s="844">
        <v>1</v>
      </c>
      <c r="BS16" s="844">
        <v>1</v>
      </c>
      <c r="BT16" s="844">
        <v>1</v>
      </c>
      <c r="BU16" s="844">
        <v>1</v>
      </c>
      <c r="BV16" s="844">
        <v>1</v>
      </c>
      <c r="BW16" s="844">
        <v>1</v>
      </c>
      <c r="BX16" s="844">
        <v>1</v>
      </c>
      <c r="BY16" s="844">
        <v>1</v>
      </c>
      <c r="BZ16" s="844">
        <v>1</v>
      </c>
      <c r="CA16" s="844">
        <v>1</v>
      </c>
      <c r="CB16" s="844">
        <v>1</v>
      </c>
      <c r="CC16" s="844">
        <v>1</v>
      </c>
      <c r="CD16" s="844">
        <v>1</v>
      </c>
      <c r="CE16" s="844">
        <v>1</v>
      </c>
      <c r="CF16" s="844">
        <v>1</v>
      </c>
      <c r="CG16" s="844">
        <v>1</v>
      </c>
      <c r="CH16" s="844">
        <v>1</v>
      </c>
      <c r="CI16" s="844">
        <v>1</v>
      </c>
      <c r="CJ16" s="844">
        <v>1</v>
      </c>
      <c r="CK16" s="844">
        <v>1</v>
      </c>
      <c r="CL16" s="844">
        <v>1</v>
      </c>
      <c r="CM16" s="844">
        <v>1</v>
      </c>
      <c r="CN16" s="844">
        <v>1</v>
      </c>
      <c r="CO16" s="844">
        <v>1</v>
      </c>
      <c r="CP16" s="844">
        <v>1</v>
      </c>
      <c r="CQ16" s="844">
        <v>1</v>
      </c>
      <c r="CR16" s="844">
        <v>1</v>
      </c>
      <c r="CS16" s="844">
        <v>1</v>
      </c>
      <c r="CT16" s="844">
        <v>1</v>
      </c>
      <c r="CU16" s="844">
        <v>1</v>
      </c>
      <c r="CV16" s="844">
        <v>1</v>
      </c>
      <c r="CW16" s="844">
        <v>1</v>
      </c>
      <c r="CX16" s="844">
        <v>1</v>
      </c>
      <c r="CY16" s="844">
        <v>1</v>
      </c>
      <c r="CZ16" s="844">
        <v>1</v>
      </c>
      <c r="DA16" s="844">
        <v>1</v>
      </c>
      <c r="DB16" s="844">
        <v>1</v>
      </c>
      <c r="DC16" s="844">
        <v>1</v>
      </c>
      <c r="DD16" s="844">
        <v>1</v>
      </c>
      <c r="DE16" s="844">
        <v>1</v>
      </c>
      <c r="DF16" s="844">
        <v>1</v>
      </c>
      <c r="DG16" s="844">
        <v>1</v>
      </c>
      <c r="DH16" s="844">
        <v>1</v>
      </c>
      <c r="DI16" s="844">
        <v>1</v>
      </c>
      <c r="DJ16" s="844">
        <v>1</v>
      </c>
      <c r="DK16" s="844">
        <v>1</v>
      </c>
      <c r="DL16" s="844">
        <v>1</v>
      </c>
      <c r="DM16" s="844">
        <v>1</v>
      </c>
      <c r="DN16" s="844">
        <v>1</v>
      </c>
      <c r="DO16" s="844">
        <v>1</v>
      </c>
      <c r="DP16" s="844">
        <v>1</v>
      </c>
      <c r="DQ16" s="844">
        <v>1</v>
      </c>
      <c r="DR16" s="844">
        <v>1</v>
      </c>
      <c r="DS16" s="844">
        <v>1</v>
      </c>
      <c r="DT16" s="844">
        <v>1</v>
      </c>
      <c r="DU16" s="844">
        <v>1</v>
      </c>
      <c r="DV16" s="844">
        <v>1</v>
      </c>
      <c r="DW16" s="844">
        <v>1</v>
      </c>
      <c r="DX16" s="844">
        <v>1</v>
      </c>
      <c r="DY16" s="844">
        <v>1</v>
      </c>
      <c r="DZ16" s="844">
        <v>1</v>
      </c>
      <c r="EA16" s="844">
        <v>1</v>
      </c>
      <c r="EB16" s="844">
        <v>1</v>
      </c>
      <c r="EC16" s="844">
        <v>1</v>
      </c>
      <c r="ED16" s="844">
        <v>1</v>
      </c>
      <c r="EE16" s="844">
        <v>1</v>
      </c>
      <c r="EF16" s="844">
        <v>1</v>
      </c>
      <c r="EG16" s="844">
        <v>1</v>
      </c>
      <c r="EH16" s="767">
        <v>1</v>
      </c>
      <c r="EI16" s="767">
        <v>1</v>
      </c>
      <c r="EJ16" s="767">
        <v>1</v>
      </c>
      <c r="EK16" s="767">
        <v>1</v>
      </c>
      <c r="EL16" s="767">
        <v>1</v>
      </c>
      <c r="EM16" s="767">
        <v>1</v>
      </c>
      <c r="EN16" s="767">
        <v>1</v>
      </c>
      <c r="EO16" s="767">
        <v>1</v>
      </c>
      <c r="EP16" s="767">
        <v>1</v>
      </c>
      <c r="EQ16" s="767">
        <v>1</v>
      </c>
      <c r="ER16" s="767">
        <v>1</v>
      </c>
      <c r="ES16" s="767">
        <v>1</v>
      </c>
      <c r="ET16" s="767">
        <v>1</v>
      </c>
      <c r="EU16" s="767">
        <v>1</v>
      </c>
      <c r="EV16" s="767">
        <v>1</v>
      </c>
      <c r="EW16" s="767">
        <v>1</v>
      </c>
      <c r="EX16" s="767">
        <v>1</v>
      </c>
      <c r="EY16" s="767">
        <v>1</v>
      </c>
      <c r="EZ16" s="767">
        <v>1</v>
      </c>
      <c r="FA16" s="767">
        <v>1</v>
      </c>
      <c r="FB16" s="767">
        <v>1</v>
      </c>
      <c r="FC16" s="767">
        <v>1</v>
      </c>
      <c r="FD16" s="767">
        <v>1</v>
      </c>
      <c r="FE16" s="767">
        <v>1</v>
      </c>
      <c r="FF16"/>
    </row>
    <row r="17" spans="1:162" ht="15" x14ac:dyDescent="0.25">
      <c r="A17" t="s">
        <v>15</v>
      </c>
      <c r="B17" t="s">
        <v>62</v>
      </c>
      <c r="C17" s="509"/>
      <c r="D17" s="509" t="s">
        <v>62</v>
      </c>
      <c r="E17" t="s">
        <v>27</v>
      </c>
      <c r="F17" s="844">
        <v>145</v>
      </c>
      <c r="G17" s="844">
        <v>145</v>
      </c>
      <c r="H17" s="844">
        <v>145</v>
      </c>
      <c r="I17" s="844">
        <v>145</v>
      </c>
      <c r="J17" s="844">
        <v>145</v>
      </c>
      <c r="K17" s="844">
        <v>145</v>
      </c>
      <c r="L17" s="844">
        <v>145</v>
      </c>
      <c r="M17" s="844">
        <v>145</v>
      </c>
      <c r="N17" s="844">
        <v>145</v>
      </c>
      <c r="O17" s="844">
        <v>145</v>
      </c>
      <c r="P17" s="844">
        <v>145</v>
      </c>
      <c r="Q17" s="844">
        <v>145</v>
      </c>
      <c r="R17" s="844">
        <v>145</v>
      </c>
      <c r="S17" s="844">
        <v>145</v>
      </c>
      <c r="T17" s="844">
        <v>145</v>
      </c>
      <c r="U17" s="844">
        <v>145</v>
      </c>
      <c r="V17" s="844">
        <v>145</v>
      </c>
      <c r="W17" s="844">
        <v>145</v>
      </c>
      <c r="X17" s="844">
        <v>145</v>
      </c>
      <c r="Y17" s="844">
        <v>145</v>
      </c>
      <c r="Z17" s="844">
        <v>145</v>
      </c>
      <c r="AA17" s="844">
        <v>145</v>
      </c>
      <c r="AB17" s="844">
        <v>145</v>
      </c>
      <c r="AC17" s="844">
        <v>145</v>
      </c>
      <c r="AD17" s="844">
        <v>145</v>
      </c>
      <c r="AE17" s="844">
        <v>145</v>
      </c>
      <c r="AF17" s="844">
        <v>145</v>
      </c>
      <c r="AG17" s="844">
        <v>145</v>
      </c>
      <c r="AH17" s="844">
        <v>145</v>
      </c>
      <c r="AI17" s="844">
        <v>145</v>
      </c>
      <c r="AJ17" s="844">
        <v>145</v>
      </c>
      <c r="AK17" s="844">
        <v>145</v>
      </c>
      <c r="AL17" s="844">
        <v>145</v>
      </c>
      <c r="AM17" s="844">
        <v>145</v>
      </c>
      <c r="AN17" s="844">
        <v>145</v>
      </c>
      <c r="AO17" s="844">
        <v>145</v>
      </c>
      <c r="AP17" s="844">
        <v>145</v>
      </c>
      <c r="AQ17" s="844">
        <v>145</v>
      </c>
      <c r="AR17" s="844">
        <v>145</v>
      </c>
      <c r="AS17" s="844">
        <v>145</v>
      </c>
      <c r="AT17" s="844">
        <v>145</v>
      </c>
      <c r="AU17" s="844">
        <v>145</v>
      </c>
      <c r="AV17" s="844">
        <v>145</v>
      </c>
      <c r="AW17" s="844">
        <v>145</v>
      </c>
      <c r="AX17" s="844">
        <v>145</v>
      </c>
      <c r="AY17" s="844">
        <v>145</v>
      </c>
      <c r="AZ17" s="844">
        <v>145</v>
      </c>
      <c r="BA17" s="844">
        <v>145</v>
      </c>
      <c r="BB17" s="844">
        <v>145</v>
      </c>
      <c r="BC17" s="844">
        <v>145</v>
      </c>
      <c r="BD17" s="844">
        <v>145</v>
      </c>
      <c r="BE17" s="844">
        <v>145</v>
      </c>
      <c r="BF17" s="844">
        <v>145</v>
      </c>
      <c r="BG17" s="844">
        <v>145</v>
      </c>
      <c r="BH17" s="844">
        <v>145</v>
      </c>
      <c r="BI17" s="844">
        <v>145</v>
      </c>
      <c r="BJ17" s="844">
        <v>145</v>
      </c>
      <c r="BK17" s="844">
        <v>145</v>
      </c>
      <c r="BL17" s="844">
        <v>145</v>
      </c>
      <c r="BM17" s="844">
        <v>145</v>
      </c>
      <c r="BN17" s="844">
        <v>145</v>
      </c>
      <c r="BO17" s="844">
        <v>145</v>
      </c>
      <c r="BP17" s="844">
        <v>145</v>
      </c>
      <c r="BQ17" s="844">
        <v>145</v>
      </c>
      <c r="BR17" s="844">
        <v>145</v>
      </c>
      <c r="BS17" s="844">
        <v>145</v>
      </c>
      <c r="BT17" s="844">
        <v>145</v>
      </c>
      <c r="BU17" s="844">
        <v>145</v>
      </c>
      <c r="BV17" s="844">
        <v>145</v>
      </c>
      <c r="BW17" s="844">
        <v>145</v>
      </c>
      <c r="BX17" s="844">
        <v>145</v>
      </c>
      <c r="BY17" s="844">
        <v>145</v>
      </c>
      <c r="BZ17" s="844">
        <v>145</v>
      </c>
      <c r="CA17" s="844">
        <v>145</v>
      </c>
      <c r="CB17" s="844">
        <v>145</v>
      </c>
      <c r="CC17" s="844">
        <v>145</v>
      </c>
      <c r="CD17" s="844">
        <v>145</v>
      </c>
      <c r="CE17" s="844">
        <v>145</v>
      </c>
      <c r="CF17" s="844">
        <v>145</v>
      </c>
      <c r="CG17" s="844">
        <v>145</v>
      </c>
      <c r="CH17" s="844">
        <v>145</v>
      </c>
      <c r="CI17" s="844">
        <v>145</v>
      </c>
      <c r="CJ17" s="844">
        <v>145</v>
      </c>
      <c r="CK17" s="844">
        <v>145</v>
      </c>
      <c r="CL17" s="844">
        <v>145</v>
      </c>
      <c r="CM17" s="844">
        <v>145</v>
      </c>
      <c r="CN17" s="844">
        <v>145</v>
      </c>
      <c r="CO17" s="844">
        <v>145</v>
      </c>
      <c r="CP17" s="844">
        <v>145</v>
      </c>
      <c r="CQ17" s="844">
        <v>145</v>
      </c>
      <c r="CR17" s="844">
        <v>145</v>
      </c>
      <c r="CS17" s="844">
        <v>145</v>
      </c>
      <c r="CT17" s="844">
        <v>145</v>
      </c>
      <c r="CU17" s="844">
        <v>145</v>
      </c>
      <c r="CV17" s="844">
        <v>145</v>
      </c>
      <c r="CW17" s="844">
        <v>145</v>
      </c>
      <c r="CX17" s="844">
        <v>145</v>
      </c>
      <c r="CY17" s="844">
        <v>145</v>
      </c>
      <c r="CZ17" s="844">
        <v>145</v>
      </c>
      <c r="DA17" s="844">
        <v>145</v>
      </c>
      <c r="DB17" s="844">
        <v>145</v>
      </c>
      <c r="DC17" s="844">
        <v>145</v>
      </c>
      <c r="DD17" s="844">
        <v>145</v>
      </c>
      <c r="DE17" s="844">
        <v>145</v>
      </c>
      <c r="DF17" s="844">
        <v>145</v>
      </c>
      <c r="DG17" s="844">
        <v>145</v>
      </c>
      <c r="DH17" s="844">
        <v>145</v>
      </c>
      <c r="DI17" s="844">
        <v>145</v>
      </c>
      <c r="DJ17" s="844">
        <v>145</v>
      </c>
      <c r="DK17" s="844">
        <v>145</v>
      </c>
      <c r="DL17" s="844">
        <v>145</v>
      </c>
      <c r="DM17" s="844">
        <v>145</v>
      </c>
      <c r="DN17" s="844">
        <v>145</v>
      </c>
      <c r="DO17" s="844">
        <v>145</v>
      </c>
      <c r="DP17" s="844">
        <v>145</v>
      </c>
      <c r="DQ17" s="844">
        <v>145</v>
      </c>
      <c r="DR17" s="844">
        <v>145</v>
      </c>
      <c r="DS17" s="844">
        <v>145</v>
      </c>
      <c r="DT17" s="844">
        <v>145</v>
      </c>
      <c r="DU17" s="844">
        <v>145</v>
      </c>
      <c r="DV17" s="844">
        <v>145</v>
      </c>
      <c r="DW17" s="844">
        <v>145</v>
      </c>
      <c r="DX17" s="844">
        <v>145</v>
      </c>
      <c r="DY17" s="844">
        <v>145</v>
      </c>
      <c r="DZ17" s="844">
        <v>145</v>
      </c>
      <c r="EA17" s="844">
        <v>145</v>
      </c>
      <c r="EB17" s="844">
        <v>145</v>
      </c>
      <c r="EC17" s="844">
        <v>145</v>
      </c>
      <c r="ED17" s="844">
        <v>145</v>
      </c>
      <c r="EE17" s="844">
        <v>145</v>
      </c>
      <c r="EF17" s="844">
        <v>145</v>
      </c>
      <c r="EG17" s="844">
        <v>145</v>
      </c>
      <c r="EH17" s="767">
        <v>128</v>
      </c>
      <c r="EI17" s="767">
        <v>128</v>
      </c>
      <c r="EJ17" s="767">
        <v>128</v>
      </c>
      <c r="EK17" s="767">
        <v>128</v>
      </c>
      <c r="EL17" s="767">
        <v>128</v>
      </c>
      <c r="EM17" s="767">
        <v>128</v>
      </c>
      <c r="EN17" s="767">
        <v>128</v>
      </c>
      <c r="EO17" s="767">
        <v>128</v>
      </c>
      <c r="EP17" s="767">
        <v>128</v>
      </c>
      <c r="EQ17" s="767">
        <v>128</v>
      </c>
      <c r="ER17" s="767">
        <v>128</v>
      </c>
      <c r="ES17" s="767">
        <v>128</v>
      </c>
      <c r="ET17" s="767">
        <v>128</v>
      </c>
      <c r="EU17" s="767">
        <v>128</v>
      </c>
      <c r="EV17" s="767">
        <v>128</v>
      </c>
      <c r="EW17" s="767">
        <v>128</v>
      </c>
      <c r="EX17" s="767">
        <v>128</v>
      </c>
      <c r="EY17" s="767">
        <v>128</v>
      </c>
      <c r="EZ17" s="767">
        <v>128</v>
      </c>
      <c r="FA17" s="767">
        <v>128</v>
      </c>
      <c r="FB17" s="767">
        <v>128</v>
      </c>
      <c r="FC17" s="767">
        <v>128</v>
      </c>
      <c r="FD17" s="767">
        <v>128</v>
      </c>
      <c r="FE17" s="767">
        <v>128</v>
      </c>
      <c r="FF17"/>
    </row>
    <row r="18" spans="1:162" ht="15" x14ac:dyDescent="0.25">
      <c r="A18" t="s">
        <v>15</v>
      </c>
      <c r="B18" t="s">
        <v>504</v>
      </c>
      <c r="C18" s="509" t="s">
        <v>380</v>
      </c>
      <c r="D18" s="509" t="s">
        <v>56</v>
      </c>
      <c r="E18" t="s">
        <v>20</v>
      </c>
      <c r="F18" s="844">
        <v>844</v>
      </c>
      <c r="G18" s="844">
        <v>845</v>
      </c>
      <c r="H18" s="844">
        <v>845</v>
      </c>
      <c r="I18" s="844">
        <v>835</v>
      </c>
      <c r="J18" s="844">
        <v>824</v>
      </c>
      <c r="K18" s="844">
        <v>812</v>
      </c>
      <c r="L18" s="844">
        <v>805</v>
      </c>
      <c r="M18" s="844">
        <v>800</v>
      </c>
      <c r="N18" s="844">
        <v>797</v>
      </c>
      <c r="O18" s="844">
        <v>803</v>
      </c>
      <c r="P18" s="844">
        <v>821</v>
      </c>
      <c r="Q18" s="844">
        <v>835</v>
      </c>
      <c r="R18" s="844">
        <v>841</v>
      </c>
      <c r="S18" s="844">
        <v>842</v>
      </c>
      <c r="T18" s="844">
        <v>842</v>
      </c>
      <c r="U18" s="844">
        <v>839</v>
      </c>
      <c r="V18" s="844">
        <v>828</v>
      </c>
      <c r="W18" s="844">
        <v>816</v>
      </c>
      <c r="X18" s="844">
        <v>808</v>
      </c>
      <c r="Y18" s="844">
        <v>803</v>
      </c>
      <c r="Z18" s="844">
        <v>800</v>
      </c>
      <c r="AA18" s="844">
        <v>805</v>
      </c>
      <c r="AB18" s="844">
        <v>823</v>
      </c>
      <c r="AC18" s="844">
        <v>837</v>
      </c>
      <c r="AD18" s="844">
        <v>844</v>
      </c>
      <c r="AE18" s="844">
        <v>845</v>
      </c>
      <c r="AF18" s="844">
        <v>845</v>
      </c>
      <c r="AG18" s="844">
        <v>841</v>
      </c>
      <c r="AH18" s="844">
        <v>831</v>
      </c>
      <c r="AI18" s="844">
        <v>818</v>
      </c>
      <c r="AJ18" s="844">
        <v>810</v>
      </c>
      <c r="AK18" s="844">
        <v>805</v>
      </c>
      <c r="AL18" s="844">
        <v>802</v>
      </c>
      <c r="AM18" s="844">
        <v>807</v>
      </c>
      <c r="AN18" s="844">
        <v>825</v>
      </c>
      <c r="AO18" s="844">
        <v>839</v>
      </c>
      <c r="AP18" s="844">
        <v>845</v>
      </c>
      <c r="AQ18" s="844">
        <v>846</v>
      </c>
      <c r="AR18" s="844">
        <v>846</v>
      </c>
      <c r="AS18" s="844">
        <v>843</v>
      </c>
      <c r="AT18" s="844">
        <v>832</v>
      </c>
      <c r="AU18" s="844">
        <v>820</v>
      </c>
      <c r="AV18" s="844">
        <v>812</v>
      </c>
      <c r="AW18" s="844">
        <v>806</v>
      </c>
      <c r="AX18" s="844">
        <v>803</v>
      </c>
      <c r="AY18" s="844">
        <v>809</v>
      </c>
      <c r="AZ18" s="844">
        <v>826</v>
      </c>
      <c r="BA18" s="844">
        <v>840</v>
      </c>
      <c r="BB18" s="844">
        <v>847</v>
      </c>
      <c r="BC18" s="844">
        <v>848</v>
      </c>
      <c r="BD18" s="844">
        <v>848</v>
      </c>
      <c r="BE18" s="844">
        <v>844</v>
      </c>
      <c r="BF18" s="844">
        <v>834</v>
      </c>
      <c r="BG18" s="844">
        <v>821</v>
      </c>
      <c r="BH18" s="844">
        <v>813</v>
      </c>
      <c r="BI18" s="844">
        <v>808</v>
      </c>
      <c r="BJ18" s="844">
        <v>805</v>
      </c>
      <c r="BK18" s="844">
        <v>810</v>
      </c>
      <c r="BL18" s="844">
        <v>828</v>
      </c>
      <c r="BM18" s="844">
        <v>842</v>
      </c>
      <c r="BN18" s="844">
        <v>848</v>
      </c>
      <c r="BO18" s="844">
        <v>849</v>
      </c>
      <c r="BP18" s="844">
        <v>849</v>
      </c>
      <c r="BQ18" s="844">
        <v>845</v>
      </c>
      <c r="BR18" s="844">
        <v>835</v>
      </c>
      <c r="BS18" s="844">
        <v>822</v>
      </c>
      <c r="BT18" s="844">
        <v>814</v>
      </c>
      <c r="BU18" s="844">
        <v>809</v>
      </c>
      <c r="BV18" s="844">
        <v>806</v>
      </c>
      <c r="BW18" s="844">
        <v>811</v>
      </c>
      <c r="BX18" s="844">
        <v>828</v>
      </c>
      <c r="BY18" s="844">
        <v>842</v>
      </c>
      <c r="BZ18" s="844">
        <v>848</v>
      </c>
      <c r="CA18" s="844">
        <v>850</v>
      </c>
      <c r="CB18" s="844">
        <v>850</v>
      </c>
      <c r="CC18" s="844">
        <v>846</v>
      </c>
      <c r="CD18" s="844">
        <v>835</v>
      </c>
      <c r="CE18" s="844">
        <v>823</v>
      </c>
      <c r="CF18" s="844">
        <v>814</v>
      </c>
      <c r="CG18" s="844">
        <v>809</v>
      </c>
      <c r="CH18" s="844">
        <v>806</v>
      </c>
      <c r="CI18" s="844">
        <v>811</v>
      </c>
      <c r="CJ18" s="844">
        <v>829</v>
      </c>
      <c r="CK18" s="844">
        <v>843</v>
      </c>
      <c r="CL18" s="844">
        <v>849</v>
      </c>
      <c r="CM18" s="844">
        <v>850</v>
      </c>
      <c r="CN18" s="844">
        <v>850</v>
      </c>
      <c r="CO18" s="844">
        <v>846</v>
      </c>
      <c r="CP18" s="844">
        <v>835</v>
      </c>
      <c r="CQ18" s="844">
        <v>823</v>
      </c>
      <c r="CR18" s="844">
        <v>815</v>
      </c>
      <c r="CS18" s="844">
        <v>810</v>
      </c>
      <c r="CT18" s="844">
        <v>806</v>
      </c>
      <c r="CU18" s="844">
        <v>811</v>
      </c>
      <c r="CV18" s="844">
        <v>829</v>
      </c>
      <c r="CW18" s="844">
        <v>843</v>
      </c>
      <c r="CX18" s="844">
        <v>849</v>
      </c>
      <c r="CY18" s="844">
        <v>850</v>
      </c>
      <c r="CZ18" s="844">
        <v>850</v>
      </c>
      <c r="DA18" s="844">
        <v>846</v>
      </c>
      <c r="DB18" s="844">
        <v>836</v>
      </c>
      <c r="DC18" s="844">
        <v>824</v>
      </c>
      <c r="DD18" s="844">
        <v>815</v>
      </c>
      <c r="DE18" s="844">
        <v>810</v>
      </c>
      <c r="DF18" s="844">
        <v>807</v>
      </c>
      <c r="DG18" s="844">
        <v>812</v>
      </c>
      <c r="DH18" s="844">
        <v>830</v>
      </c>
      <c r="DI18" s="844">
        <v>843</v>
      </c>
      <c r="DJ18" s="844">
        <v>850</v>
      </c>
      <c r="DK18" s="844">
        <v>851</v>
      </c>
      <c r="DL18" s="844">
        <v>851</v>
      </c>
      <c r="DM18" s="844">
        <v>847</v>
      </c>
      <c r="DN18" s="844">
        <v>836</v>
      </c>
      <c r="DO18" s="844">
        <v>824</v>
      </c>
      <c r="DP18" s="844">
        <v>815</v>
      </c>
      <c r="DQ18" s="844">
        <v>810</v>
      </c>
      <c r="DR18" s="844">
        <v>807</v>
      </c>
      <c r="DS18" s="844">
        <v>812</v>
      </c>
      <c r="DT18" s="844">
        <v>830</v>
      </c>
      <c r="DU18" s="844">
        <v>844</v>
      </c>
      <c r="DV18" s="844">
        <v>850</v>
      </c>
      <c r="DW18" s="844">
        <v>851</v>
      </c>
      <c r="DX18" s="844">
        <v>851</v>
      </c>
      <c r="DY18" s="844">
        <v>847</v>
      </c>
      <c r="DZ18" s="844">
        <v>837</v>
      </c>
      <c r="EA18" s="844">
        <v>824</v>
      </c>
      <c r="EB18" s="844">
        <v>816</v>
      </c>
      <c r="EC18" s="844">
        <v>811</v>
      </c>
      <c r="ED18" s="844">
        <v>808</v>
      </c>
      <c r="EE18" s="844">
        <v>813</v>
      </c>
      <c r="EF18" s="844">
        <v>831</v>
      </c>
      <c r="EG18" s="844">
        <v>844</v>
      </c>
      <c r="EH18" s="757">
        <v>842</v>
      </c>
      <c r="EI18" s="757">
        <v>843</v>
      </c>
      <c r="EJ18" s="757">
        <v>843</v>
      </c>
      <c r="EK18" s="757">
        <v>840</v>
      </c>
      <c r="EL18" s="757">
        <v>831</v>
      </c>
      <c r="EM18" s="757">
        <v>823</v>
      </c>
      <c r="EN18" s="757">
        <v>816</v>
      </c>
      <c r="EO18" s="757">
        <v>812</v>
      </c>
      <c r="EP18" s="757">
        <v>810</v>
      </c>
      <c r="EQ18" s="757">
        <v>813</v>
      </c>
      <c r="ER18" s="757">
        <v>825</v>
      </c>
      <c r="ES18" s="757">
        <v>836</v>
      </c>
      <c r="ET18" s="757">
        <v>842</v>
      </c>
      <c r="EU18" s="757">
        <v>843</v>
      </c>
      <c r="EV18" s="757">
        <v>843</v>
      </c>
      <c r="EW18" s="757">
        <v>840</v>
      </c>
      <c r="EX18" s="757">
        <v>831</v>
      </c>
      <c r="EY18" s="757">
        <v>823</v>
      </c>
      <c r="EZ18" s="757">
        <v>816</v>
      </c>
      <c r="FA18" s="757">
        <v>812</v>
      </c>
      <c r="FB18" s="757">
        <v>810</v>
      </c>
      <c r="FC18" s="757">
        <v>813</v>
      </c>
      <c r="FD18" s="757">
        <v>825</v>
      </c>
      <c r="FE18" s="757">
        <v>836</v>
      </c>
      <c r="FF18"/>
    </row>
    <row r="19" spans="1:162" ht="15" x14ac:dyDescent="0.25">
      <c r="A19" t="s">
        <v>15</v>
      </c>
      <c r="B19" t="s">
        <v>505</v>
      </c>
      <c r="C19" s="509" t="s">
        <v>381</v>
      </c>
      <c r="D19" s="509" t="s">
        <v>56</v>
      </c>
      <c r="E19" t="s">
        <v>20</v>
      </c>
      <c r="F19" s="844">
        <v>256</v>
      </c>
      <c r="G19" s="844">
        <v>256</v>
      </c>
      <c r="H19" s="844">
        <v>256</v>
      </c>
      <c r="I19" s="844">
        <v>256</v>
      </c>
      <c r="J19" s="844">
        <v>256</v>
      </c>
      <c r="K19" s="844">
        <v>256</v>
      </c>
      <c r="L19" s="844">
        <v>256</v>
      </c>
      <c r="M19" s="844">
        <v>256</v>
      </c>
      <c r="N19" s="844">
        <v>256</v>
      </c>
      <c r="O19" s="844">
        <v>256</v>
      </c>
      <c r="P19" s="844">
        <v>256</v>
      </c>
      <c r="Q19" s="844">
        <v>256</v>
      </c>
      <c r="R19" s="844">
        <v>256</v>
      </c>
      <c r="S19" s="844">
        <v>256</v>
      </c>
      <c r="T19" s="844">
        <v>256</v>
      </c>
      <c r="U19" s="844">
        <v>256</v>
      </c>
      <c r="V19" s="844">
        <v>256</v>
      </c>
      <c r="W19" s="844">
        <v>256</v>
      </c>
      <c r="X19" s="844">
        <v>256</v>
      </c>
      <c r="Y19" s="844">
        <v>256</v>
      </c>
      <c r="Z19" s="844">
        <v>256</v>
      </c>
      <c r="AA19" s="844">
        <v>256</v>
      </c>
      <c r="AB19" s="844">
        <v>256</v>
      </c>
      <c r="AC19" s="844">
        <v>256</v>
      </c>
      <c r="AD19" s="844">
        <v>256</v>
      </c>
      <c r="AE19" s="844">
        <v>256</v>
      </c>
      <c r="AF19" s="844">
        <v>256</v>
      </c>
      <c r="AG19" s="844">
        <v>256</v>
      </c>
      <c r="AH19" s="844">
        <v>256</v>
      </c>
      <c r="AI19" s="844">
        <v>256</v>
      </c>
      <c r="AJ19" s="844">
        <v>256</v>
      </c>
      <c r="AK19" s="844">
        <v>256</v>
      </c>
      <c r="AL19" s="844">
        <v>256</v>
      </c>
      <c r="AM19" s="844">
        <v>256</v>
      </c>
      <c r="AN19" s="844">
        <v>256</v>
      </c>
      <c r="AO19" s="844">
        <v>256</v>
      </c>
      <c r="AP19" s="844">
        <v>256</v>
      </c>
      <c r="AQ19" s="844">
        <v>256</v>
      </c>
      <c r="AR19" s="844">
        <v>256</v>
      </c>
      <c r="AS19" s="844">
        <v>256</v>
      </c>
      <c r="AT19" s="844">
        <v>256</v>
      </c>
      <c r="AU19" s="844">
        <v>256</v>
      </c>
      <c r="AV19" s="844">
        <v>256</v>
      </c>
      <c r="AW19" s="844">
        <v>256</v>
      </c>
      <c r="AX19" s="844">
        <v>256</v>
      </c>
      <c r="AY19" s="844">
        <v>256</v>
      </c>
      <c r="AZ19" s="844">
        <v>256</v>
      </c>
      <c r="BA19" s="844">
        <v>256</v>
      </c>
      <c r="BB19" s="844">
        <v>256</v>
      </c>
      <c r="BC19" s="844">
        <v>256</v>
      </c>
      <c r="BD19" s="844">
        <v>256</v>
      </c>
      <c r="BE19" s="844">
        <v>256</v>
      </c>
      <c r="BF19" s="844">
        <v>256</v>
      </c>
      <c r="BG19" s="844">
        <v>256</v>
      </c>
      <c r="BH19" s="844">
        <v>256</v>
      </c>
      <c r="BI19" s="844">
        <v>256</v>
      </c>
      <c r="BJ19" s="844">
        <v>256</v>
      </c>
      <c r="BK19" s="844">
        <v>256</v>
      </c>
      <c r="BL19" s="844">
        <v>256</v>
      </c>
      <c r="BM19" s="844">
        <v>256</v>
      </c>
      <c r="BN19" s="844">
        <v>256</v>
      </c>
      <c r="BO19" s="844">
        <v>256</v>
      </c>
      <c r="BP19" s="844">
        <v>256</v>
      </c>
      <c r="BQ19" s="844">
        <v>256</v>
      </c>
      <c r="BR19" s="844">
        <v>256</v>
      </c>
      <c r="BS19" s="844">
        <v>256</v>
      </c>
      <c r="BT19" s="844">
        <v>256</v>
      </c>
      <c r="BU19" s="844">
        <v>256</v>
      </c>
      <c r="BV19" s="844">
        <v>256</v>
      </c>
      <c r="BW19" s="844">
        <v>256</v>
      </c>
      <c r="BX19" s="844">
        <v>256</v>
      </c>
      <c r="BY19" s="844">
        <v>256</v>
      </c>
      <c r="BZ19" s="844">
        <v>256</v>
      </c>
      <c r="CA19" s="844">
        <v>256</v>
      </c>
      <c r="CB19" s="844">
        <v>256</v>
      </c>
      <c r="CC19" s="844">
        <v>256</v>
      </c>
      <c r="CD19" s="844">
        <v>256</v>
      </c>
      <c r="CE19" s="844">
        <v>256</v>
      </c>
      <c r="CF19" s="844">
        <v>256</v>
      </c>
      <c r="CG19" s="844">
        <v>256</v>
      </c>
      <c r="CH19" s="844">
        <v>256</v>
      </c>
      <c r="CI19" s="844">
        <v>256</v>
      </c>
      <c r="CJ19" s="844">
        <v>256</v>
      </c>
      <c r="CK19" s="844">
        <v>256</v>
      </c>
      <c r="CL19" s="844">
        <v>256</v>
      </c>
      <c r="CM19" s="844">
        <v>256</v>
      </c>
      <c r="CN19" s="844">
        <v>256</v>
      </c>
      <c r="CO19" s="844">
        <v>256</v>
      </c>
      <c r="CP19" s="844">
        <v>256</v>
      </c>
      <c r="CQ19" s="844">
        <v>256</v>
      </c>
      <c r="CR19" s="844">
        <v>256</v>
      </c>
      <c r="CS19" s="844">
        <v>256</v>
      </c>
      <c r="CT19" s="844">
        <v>256</v>
      </c>
      <c r="CU19" s="844">
        <v>256</v>
      </c>
      <c r="CV19" s="844">
        <v>256</v>
      </c>
      <c r="CW19" s="844">
        <v>256</v>
      </c>
      <c r="CX19" s="844">
        <v>256</v>
      </c>
      <c r="CY19" s="844">
        <v>256</v>
      </c>
      <c r="CZ19" s="844">
        <v>256</v>
      </c>
      <c r="DA19" s="844">
        <v>256</v>
      </c>
      <c r="DB19" s="844">
        <v>256</v>
      </c>
      <c r="DC19" s="844">
        <v>256</v>
      </c>
      <c r="DD19" s="844">
        <v>256</v>
      </c>
      <c r="DE19" s="844">
        <v>256</v>
      </c>
      <c r="DF19" s="844">
        <v>256</v>
      </c>
      <c r="DG19" s="844">
        <v>256</v>
      </c>
      <c r="DH19" s="844">
        <v>256</v>
      </c>
      <c r="DI19" s="844">
        <v>256</v>
      </c>
      <c r="DJ19" s="844">
        <v>256</v>
      </c>
      <c r="DK19" s="844">
        <v>256</v>
      </c>
      <c r="DL19" s="844">
        <v>256</v>
      </c>
      <c r="DM19" s="844">
        <v>256</v>
      </c>
      <c r="DN19" s="844">
        <v>256</v>
      </c>
      <c r="DO19" s="844">
        <v>256</v>
      </c>
      <c r="DP19" s="844">
        <v>256</v>
      </c>
      <c r="DQ19" s="844">
        <v>256</v>
      </c>
      <c r="DR19" s="844">
        <v>256</v>
      </c>
      <c r="DS19" s="844">
        <v>256</v>
      </c>
      <c r="DT19" s="844">
        <v>256</v>
      </c>
      <c r="DU19" s="844">
        <v>256</v>
      </c>
      <c r="DV19" s="844">
        <v>256</v>
      </c>
      <c r="DW19" s="844">
        <v>256</v>
      </c>
      <c r="DX19" s="844">
        <v>256</v>
      </c>
      <c r="DY19" s="844">
        <v>256</v>
      </c>
      <c r="DZ19" s="844">
        <v>256</v>
      </c>
      <c r="EA19" s="844">
        <v>256</v>
      </c>
      <c r="EB19" s="844">
        <v>256</v>
      </c>
      <c r="EC19" s="844">
        <v>256</v>
      </c>
      <c r="ED19" s="844">
        <v>256</v>
      </c>
      <c r="EE19" s="844">
        <v>256</v>
      </c>
      <c r="EF19" s="844">
        <v>256</v>
      </c>
      <c r="EG19" s="844">
        <v>256</v>
      </c>
      <c r="EH19" s="767">
        <v>256</v>
      </c>
      <c r="EI19" s="767">
        <v>256</v>
      </c>
      <c r="EJ19" s="767">
        <v>256</v>
      </c>
      <c r="EK19" s="767">
        <v>256</v>
      </c>
      <c r="EL19" s="767">
        <v>256</v>
      </c>
      <c r="EM19" s="767">
        <v>256</v>
      </c>
      <c r="EN19" s="767">
        <v>256</v>
      </c>
      <c r="EO19" s="767">
        <v>256</v>
      </c>
      <c r="EP19" s="767">
        <v>256</v>
      </c>
      <c r="EQ19" s="767">
        <v>256</v>
      </c>
      <c r="ER19" s="767">
        <v>256</v>
      </c>
      <c r="ES19" s="767">
        <v>256</v>
      </c>
      <c r="ET19" s="767">
        <v>256</v>
      </c>
      <c r="EU19" s="767">
        <v>256</v>
      </c>
      <c r="EV19" s="767">
        <v>256</v>
      </c>
      <c r="EW19" s="767">
        <v>256</v>
      </c>
      <c r="EX19" s="767">
        <v>256</v>
      </c>
      <c r="EY19" s="767">
        <v>256</v>
      </c>
      <c r="EZ19" s="767">
        <v>256</v>
      </c>
      <c r="FA19" s="767">
        <v>256</v>
      </c>
      <c r="FB19" s="767">
        <v>256</v>
      </c>
      <c r="FC19" s="767">
        <v>256</v>
      </c>
      <c r="FD19" s="767">
        <v>256</v>
      </c>
      <c r="FE19" s="767">
        <v>256</v>
      </c>
      <c r="FF19"/>
    </row>
    <row r="20" spans="1:162" ht="15" x14ac:dyDescent="0.25">
      <c r="A20" t="s">
        <v>15</v>
      </c>
      <c r="B20" t="s">
        <v>507</v>
      </c>
      <c r="C20" s="509" t="s">
        <v>380</v>
      </c>
      <c r="D20" s="509" t="s">
        <v>59</v>
      </c>
      <c r="E20" t="s">
        <v>25</v>
      </c>
      <c r="F20" s="844">
        <v>3</v>
      </c>
      <c r="G20" s="844">
        <v>3</v>
      </c>
      <c r="H20" s="844">
        <v>3</v>
      </c>
      <c r="I20" s="844">
        <v>3</v>
      </c>
      <c r="J20" s="844">
        <v>3</v>
      </c>
      <c r="K20" s="844">
        <v>3</v>
      </c>
      <c r="L20" s="844">
        <v>3</v>
      </c>
      <c r="M20" s="844">
        <v>3</v>
      </c>
      <c r="N20" s="844">
        <v>3</v>
      </c>
      <c r="O20" s="844">
        <v>3</v>
      </c>
      <c r="P20" s="844">
        <v>3</v>
      </c>
      <c r="Q20" s="844">
        <v>3</v>
      </c>
      <c r="R20" s="844">
        <v>3</v>
      </c>
      <c r="S20" s="844">
        <v>3</v>
      </c>
      <c r="T20" s="844">
        <v>3</v>
      </c>
      <c r="U20" s="844">
        <v>3</v>
      </c>
      <c r="V20" s="844">
        <v>3</v>
      </c>
      <c r="W20" s="844">
        <v>3</v>
      </c>
      <c r="X20" s="844">
        <v>3</v>
      </c>
      <c r="Y20" s="844">
        <v>3</v>
      </c>
      <c r="Z20" s="844">
        <v>3</v>
      </c>
      <c r="AA20" s="844">
        <v>3</v>
      </c>
      <c r="AB20" s="844">
        <v>3</v>
      </c>
      <c r="AC20" s="844">
        <v>3</v>
      </c>
      <c r="AD20" s="844">
        <v>3</v>
      </c>
      <c r="AE20" s="844">
        <v>3</v>
      </c>
      <c r="AF20" s="844">
        <v>3</v>
      </c>
      <c r="AG20" s="844">
        <v>3</v>
      </c>
      <c r="AH20" s="844">
        <v>3</v>
      </c>
      <c r="AI20" s="844">
        <v>3</v>
      </c>
      <c r="AJ20" s="844">
        <v>3</v>
      </c>
      <c r="AK20" s="844">
        <v>3</v>
      </c>
      <c r="AL20" s="844">
        <v>3</v>
      </c>
      <c r="AM20" s="844">
        <v>3</v>
      </c>
      <c r="AN20" s="844">
        <v>3</v>
      </c>
      <c r="AO20" s="844">
        <v>3</v>
      </c>
      <c r="AP20" s="844">
        <v>3</v>
      </c>
      <c r="AQ20" s="844">
        <v>3</v>
      </c>
      <c r="AR20" s="844">
        <v>3</v>
      </c>
      <c r="AS20" s="844">
        <v>3</v>
      </c>
      <c r="AT20" s="844">
        <v>3</v>
      </c>
      <c r="AU20" s="844">
        <v>3</v>
      </c>
      <c r="AV20" s="844">
        <v>3</v>
      </c>
      <c r="AW20" s="844">
        <v>3</v>
      </c>
      <c r="AX20" s="844">
        <v>3</v>
      </c>
      <c r="AY20" s="844">
        <v>3</v>
      </c>
      <c r="AZ20" s="844">
        <v>3</v>
      </c>
      <c r="BA20" s="844">
        <v>3</v>
      </c>
      <c r="BB20" s="844">
        <v>3</v>
      </c>
      <c r="BC20" s="844">
        <v>3</v>
      </c>
      <c r="BD20" s="844">
        <v>3</v>
      </c>
      <c r="BE20" s="844">
        <v>3</v>
      </c>
      <c r="BF20" s="844">
        <v>3</v>
      </c>
      <c r="BG20" s="844">
        <v>3</v>
      </c>
      <c r="BH20" s="844">
        <v>3</v>
      </c>
      <c r="BI20" s="844">
        <v>3</v>
      </c>
      <c r="BJ20" s="844">
        <v>3</v>
      </c>
      <c r="BK20" s="844">
        <v>3</v>
      </c>
      <c r="BL20" s="844">
        <v>3</v>
      </c>
      <c r="BM20" s="844">
        <v>3</v>
      </c>
      <c r="BN20" s="844">
        <v>3</v>
      </c>
      <c r="BO20" s="844">
        <v>3</v>
      </c>
      <c r="BP20" s="844">
        <v>3</v>
      </c>
      <c r="BQ20" s="844">
        <v>3</v>
      </c>
      <c r="BR20" s="844">
        <v>3</v>
      </c>
      <c r="BS20" s="844">
        <v>3</v>
      </c>
      <c r="BT20" s="844">
        <v>3</v>
      </c>
      <c r="BU20" s="844">
        <v>3</v>
      </c>
      <c r="BV20" s="844">
        <v>3</v>
      </c>
      <c r="BW20" s="844">
        <v>3</v>
      </c>
      <c r="BX20" s="844">
        <v>3</v>
      </c>
      <c r="BY20" s="844">
        <v>3</v>
      </c>
      <c r="BZ20" s="844">
        <v>3</v>
      </c>
      <c r="CA20" s="844">
        <v>3</v>
      </c>
      <c r="CB20" s="844">
        <v>3</v>
      </c>
      <c r="CC20" s="844">
        <v>3</v>
      </c>
      <c r="CD20" s="844">
        <v>3</v>
      </c>
      <c r="CE20" s="844">
        <v>3</v>
      </c>
      <c r="CF20" s="844">
        <v>3</v>
      </c>
      <c r="CG20" s="844">
        <v>3</v>
      </c>
      <c r="CH20" s="844">
        <v>3</v>
      </c>
      <c r="CI20" s="844">
        <v>3</v>
      </c>
      <c r="CJ20" s="844">
        <v>3</v>
      </c>
      <c r="CK20" s="844">
        <v>3</v>
      </c>
      <c r="CL20" s="844">
        <v>3</v>
      </c>
      <c r="CM20" s="844">
        <v>3</v>
      </c>
      <c r="CN20" s="844">
        <v>3</v>
      </c>
      <c r="CO20" s="844">
        <v>3</v>
      </c>
      <c r="CP20" s="844">
        <v>3</v>
      </c>
      <c r="CQ20" s="844">
        <v>3</v>
      </c>
      <c r="CR20" s="844">
        <v>3</v>
      </c>
      <c r="CS20" s="844">
        <v>3</v>
      </c>
      <c r="CT20" s="844">
        <v>3</v>
      </c>
      <c r="CU20" s="844">
        <v>3</v>
      </c>
      <c r="CV20" s="844">
        <v>3</v>
      </c>
      <c r="CW20" s="844">
        <v>3</v>
      </c>
      <c r="CX20" s="844">
        <v>3</v>
      </c>
      <c r="CY20" s="844">
        <v>3</v>
      </c>
      <c r="CZ20" s="844">
        <v>3</v>
      </c>
      <c r="DA20" s="844">
        <v>3</v>
      </c>
      <c r="DB20" s="844">
        <v>3</v>
      </c>
      <c r="DC20" s="844">
        <v>3</v>
      </c>
      <c r="DD20" s="844">
        <v>3</v>
      </c>
      <c r="DE20" s="844">
        <v>3</v>
      </c>
      <c r="DF20" s="844">
        <v>3</v>
      </c>
      <c r="DG20" s="844">
        <v>3</v>
      </c>
      <c r="DH20" s="844">
        <v>3</v>
      </c>
      <c r="DI20" s="844">
        <v>3</v>
      </c>
      <c r="DJ20" s="844">
        <v>3</v>
      </c>
      <c r="DK20" s="844">
        <v>3</v>
      </c>
      <c r="DL20" s="844">
        <v>3</v>
      </c>
      <c r="DM20" s="844">
        <v>3</v>
      </c>
      <c r="DN20" s="844">
        <v>3</v>
      </c>
      <c r="DO20" s="844">
        <v>3</v>
      </c>
      <c r="DP20" s="844">
        <v>3</v>
      </c>
      <c r="DQ20" s="844">
        <v>3</v>
      </c>
      <c r="DR20" s="844">
        <v>3</v>
      </c>
      <c r="DS20" s="844">
        <v>3</v>
      </c>
      <c r="DT20" s="844">
        <v>3</v>
      </c>
      <c r="DU20" s="844">
        <v>3</v>
      </c>
      <c r="DV20" s="844">
        <v>3</v>
      </c>
      <c r="DW20" s="844">
        <v>3</v>
      </c>
      <c r="DX20" s="844">
        <v>3</v>
      </c>
      <c r="DY20" s="844">
        <v>3</v>
      </c>
      <c r="DZ20" s="844">
        <v>3</v>
      </c>
      <c r="EA20" s="844">
        <v>3</v>
      </c>
      <c r="EB20" s="844">
        <v>3</v>
      </c>
      <c r="EC20" s="844">
        <v>3</v>
      </c>
      <c r="ED20" s="844">
        <v>3</v>
      </c>
      <c r="EE20" s="844">
        <v>3</v>
      </c>
      <c r="EF20" s="844">
        <v>3</v>
      </c>
      <c r="EG20" s="844">
        <v>3</v>
      </c>
      <c r="EH20" s="767">
        <v>2</v>
      </c>
      <c r="EI20" s="767">
        <v>2</v>
      </c>
      <c r="EJ20" s="767">
        <v>2</v>
      </c>
      <c r="EK20" s="767">
        <v>2</v>
      </c>
      <c r="EL20" s="767">
        <v>2</v>
      </c>
      <c r="EM20" s="767">
        <v>2</v>
      </c>
      <c r="EN20" s="767">
        <v>2</v>
      </c>
      <c r="EO20" s="767">
        <v>2</v>
      </c>
      <c r="EP20" s="767">
        <v>2</v>
      </c>
      <c r="EQ20" s="767">
        <v>2</v>
      </c>
      <c r="ER20" s="767">
        <v>2</v>
      </c>
      <c r="ES20" s="767">
        <v>2</v>
      </c>
      <c r="ET20" s="767">
        <v>2</v>
      </c>
      <c r="EU20" s="767">
        <v>2</v>
      </c>
      <c r="EV20" s="767">
        <v>2</v>
      </c>
      <c r="EW20" s="767">
        <v>2</v>
      </c>
      <c r="EX20" s="767">
        <v>2</v>
      </c>
      <c r="EY20" s="767">
        <v>2</v>
      </c>
      <c r="EZ20" s="767">
        <v>2</v>
      </c>
      <c r="FA20" s="767">
        <v>2</v>
      </c>
      <c r="FB20" s="767">
        <v>2</v>
      </c>
      <c r="FC20" s="767">
        <v>2</v>
      </c>
      <c r="FD20" s="767">
        <v>2</v>
      </c>
      <c r="FE20" s="767">
        <v>2</v>
      </c>
      <c r="FF20"/>
    </row>
    <row r="21" spans="1:162" ht="15" x14ac:dyDescent="0.25">
      <c r="A21" t="s">
        <v>15</v>
      </c>
      <c r="B21" t="s">
        <v>508</v>
      </c>
      <c r="C21" s="509" t="s">
        <v>381</v>
      </c>
      <c r="D21" s="509" t="s">
        <v>59</v>
      </c>
      <c r="E21" t="s">
        <v>25</v>
      </c>
      <c r="F21" s="844">
        <v>1</v>
      </c>
      <c r="G21" s="844">
        <v>1</v>
      </c>
      <c r="H21" s="844">
        <v>1</v>
      </c>
      <c r="I21" s="844">
        <v>1</v>
      </c>
      <c r="J21" s="844">
        <v>1</v>
      </c>
      <c r="K21" s="844">
        <v>1</v>
      </c>
      <c r="L21" s="844">
        <v>1</v>
      </c>
      <c r="M21" s="844">
        <v>1</v>
      </c>
      <c r="N21" s="844">
        <v>1</v>
      </c>
      <c r="O21" s="844">
        <v>1</v>
      </c>
      <c r="P21" s="844">
        <v>1</v>
      </c>
      <c r="Q21" s="844">
        <v>1</v>
      </c>
      <c r="R21" s="844">
        <v>1</v>
      </c>
      <c r="S21" s="844">
        <v>1</v>
      </c>
      <c r="T21" s="844">
        <v>1</v>
      </c>
      <c r="U21" s="844">
        <v>1</v>
      </c>
      <c r="V21" s="844">
        <v>1</v>
      </c>
      <c r="W21" s="844">
        <v>1</v>
      </c>
      <c r="X21" s="844">
        <v>1</v>
      </c>
      <c r="Y21" s="844">
        <v>1</v>
      </c>
      <c r="Z21" s="844">
        <v>1</v>
      </c>
      <c r="AA21" s="844">
        <v>1</v>
      </c>
      <c r="AB21" s="844">
        <v>1</v>
      </c>
      <c r="AC21" s="844">
        <v>1</v>
      </c>
      <c r="AD21" s="844">
        <v>1</v>
      </c>
      <c r="AE21" s="844">
        <v>1</v>
      </c>
      <c r="AF21" s="844">
        <v>1</v>
      </c>
      <c r="AG21" s="844">
        <v>1</v>
      </c>
      <c r="AH21" s="844">
        <v>1</v>
      </c>
      <c r="AI21" s="844">
        <v>1</v>
      </c>
      <c r="AJ21" s="844">
        <v>1</v>
      </c>
      <c r="AK21" s="844">
        <v>1</v>
      </c>
      <c r="AL21" s="844">
        <v>1</v>
      </c>
      <c r="AM21" s="844">
        <v>1</v>
      </c>
      <c r="AN21" s="844">
        <v>1</v>
      </c>
      <c r="AO21" s="844">
        <v>1</v>
      </c>
      <c r="AP21" s="844">
        <v>1</v>
      </c>
      <c r="AQ21" s="844">
        <v>1</v>
      </c>
      <c r="AR21" s="844">
        <v>1</v>
      </c>
      <c r="AS21" s="844">
        <v>1</v>
      </c>
      <c r="AT21" s="844">
        <v>1</v>
      </c>
      <c r="AU21" s="844">
        <v>1</v>
      </c>
      <c r="AV21" s="844">
        <v>1</v>
      </c>
      <c r="AW21" s="844">
        <v>1</v>
      </c>
      <c r="AX21" s="844">
        <v>1</v>
      </c>
      <c r="AY21" s="844">
        <v>1</v>
      </c>
      <c r="AZ21" s="844">
        <v>1</v>
      </c>
      <c r="BA21" s="844">
        <v>1</v>
      </c>
      <c r="BB21" s="844">
        <v>1</v>
      </c>
      <c r="BC21" s="844">
        <v>1</v>
      </c>
      <c r="BD21" s="844">
        <v>1</v>
      </c>
      <c r="BE21" s="844">
        <v>1</v>
      </c>
      <c r="BF21" s="844">
        <v>1</v>
      </c>
      <c r="BG21" s="844">
        <v>1</v>
      </c>
      <c r="BH21" s="844">
        <v>1</v>
      </c>
      <c r="BI21" s="844">
        <v>1</v>
      </c>
      <c r="BJ21" s="844">
        <v>1</v>
      </c>
      <c r="BK21" s="844">
        <v>1</v>
      </c>
      <c r="BL21" s="844">
        <v>1</v>
      </c>
      <c r="BM21" s="844">
        <v>1</v>
      </c>
      <c r="BN21" s="844">
        <v>1</v>
      </c>
      <c r="BO21" s="844">
        <v>1</v>
      </c>
      <c r="BP21" s="844">
        <v>1</v>
      </c>
      <c r="BQ21" s="844">
        <v>1</v>
      </c>
      <c r="BR21" s="844">
        <v>1</v>
      </c>
      <c r="BS21" s="844">
        <v>1</v>
      </c>
      <c r="BT21" s="844">
        <v>1</v>
      </c>
      <c r="BU21" s="844">
        <v>1</v>
      </c>
      <c r="BV21" s="844">
        <v>1</v>
      </c>
      <c r="BW21" s="844">
        <v>1</v>
      </c>
      <c r="BX21" s="844">
        <v>1</v>
      </c>
      <c r="BY21" s="844">
        <v>1</v>
      </c>
      <c r="BZ21" s="844">
        <v>1</v>
      </c>
      <c r="CA21" s="844">
        <v>1</v>
      </c>
      <c r="CB21" s="844">
        <v>1</v>
      </c>
      <c r="CC21" s="844">
        <v>1</v>
      </c>
      <c r="CD21" s="844">
        <v>1</v>
      </c>
      <c r="CE21" s="844">
        <v>1</v>
      </c>
      <c r="CF21" s="844">
        <v>1</v>
      </c>
      <c r="CG21" s="844">
        <v>1</v>
      </c>
      <c r="CH21" s="844">
        <v>1</v>
      </c>
      <c r="CI21" s="844">
        <v>1</v>
      </c>
      <c r="CJ21" s="844">
        <v>1</v>
      </c>
      <c r="CK21" s="844">
        <v>1</v>
      </c>
      <c r="CL21" s="844">
        <v>1</v>
      </c>
      <c r="CM21" s="844">
        <v>1</v>
      </c>
      <c r="CN21" s="844">
        <v>1</v>
      </c>
      <c r="CO21" s="844">
        <v>1</v>
      </c>
      <c r="CP21" s="844">
        <v>1</v>
      </c>
      <c r="CQ21" s="844">
        <v>1</v>
      </c>
      <c r="CR21" s="844">
        <v>1</v>
      </c>
      <c r="CS21" s="844">
        <v>1</v>
      </c>
      <c r="CT21" s="844">
        <v>1</v>
      </c>
      <c r="CU21" s="844">
        <v>1</v>
      </c>
      <c r="CV21" s="844">
        <v>1</v>
      </c>
      <c r="CW21" s="844">
        <v>1</v>
      </c>
      <c r="CX21" s="844">
        <v>1</v>
      </c>
      <c r="CY21" s="844">
        <v>1</v>
      </c>
      <c r="CZ21" s="844">
        <v>1</v>
      </c>
      <c r="DA21" s="844">
        <v>1</v>
      </c>
      <c r="DB21" s="844">
        <v>1</v>
      </c>
      <c r="DC21" s="844">
        <v>1</v>
      </c>
      <c r="DD21" s="844">
        <v>1</v>
      </c>
      <c r="DE21" s="844">
        <v>1</v>
      </c>
      <c r="DF21" s="844">
        <v>1</v>
      </c>
      <c r="DG21" s="844">
        <v>1</v>
      </c>
      <c r="DH21" s="844">
        <v>1</v>
      </c>
      <c r="DI21" s="844">
        <v>1</v>
      </c>
      <c r="DJ21" s="844">
        <v>1</v>
      </c>
      <c r="DK21" s="844">
        <v>1</v>
      </c>
      <c r="DL21" s="844">
        <v>1</v>
      </c>
      <c r="DM21" s="844">
        <v>1</v>
      </c>
      <c r="DN21" s="844">
        <v>1</v>
      </c>
      <c r="DO21" s="844">
        <v>1</v>
      </c>
      <c r="DP21" s="844">
        <v>1</v>
      </c>
      <c r="DQ21" s="844">
        <v>1</v>
      </c>
      <c r="DR21" s="844">
        <v>1</v>
      </c>
      <c r="DS21" s="844">
        <v>1</v>
      </c>
      <c r="DT21" s="844">
        <v>1</v>
      </c>
      <c r="DU21" s="844">
        <v>1</v>
      </c>
      <c r="DV21" s="844">
        <v>1</v>
      </c>
      <c r="DW21" s="844">
        <v>1</v>
      </c>
      <c r="DX21" s="844">
        <v>1</v>
      </c>
      <c r="DY21" s="844">
        <v>1</v>
      </c>
      <c r="DZ21" s="844">
        <v>1</v>
      </c>
      <c r="EA21" s="844">
        <v>1</v>
      </c>
      <c r="EB21" s="844">
        <v>1</v>
      </c>
      <c r="EC21" s="844">
        <v>1</v>
      </c>
      <c r="ED21" s="844">
        <v>1</v>
      </c>
      <c r="EE21" s="844">
        <v>1</v>
      </c>
      <c r="EF21" s="844">
        <v>1</v>
      </c>
      <c r="EG21" s="844">
        <v>1</v>
      </c>
      <c r="EH21" s="767">
        <v>1</v>
      </c>
      <c r="EI21" s="767">
        <v>1</v>
      </c>
      <c r="EJ21" s="767">
        <v>1</v>
      </c>
      <c r="EK21" s="767">
        <v>1</v>
      </c>
      <c r="EL21" s="767">
        <v>1</v>
      </c>
      <c r="EM21" s="767">
        <v>1</v>
      </c>
      <c r="EN21" s="767">
        <v>1</v>
      </c>
      <c r="EO21" s="767">
        <v>1</v>
      </c>
      <c r="EP21" s="767">
        <v>1</v>
      </c>
      <c r="EQ21" s="767">
        <v>1</v>
      </c>
      <c r="ER21" s="767">
        <v>1</v>
      </c>
      <c r="ES21" s="767">
        <v>1</v>
      </c>
      <c r="ET21" s="767">
        <v>1</v>
      </c>
      <c r="EU21" s="767">
        <v>1</v>
      </c>
      <c r="EV21" s="767">
        <v>1</v>
      </c>
      <c r="EW21" s="767">
        <v>1</v>
      </c>
      <c r="EX21" s="767">
        <v>1</v>
      </c>
      <c r="EY21" s="767">
        <v>1</v>
      </c>
      <c r="EZ21" s="767">
        <v>1</v>
      </c>
      <c r="FA21" s="767">
        <v>1</v>
      </c>
      <c r="FB21" s="767">
        <v>1</v>
      </c>
      <c r="FC21" s="767">
        <v>1</v>
      </c>
      <c r="FD21" s="767">
        <v>1</v>
      </c>
      <c r="FE21" s="767">
        <v>1</v>
      </c>
      <c r="FF21"/>
    </row>
    <row r="22" spans="1:162" ht="15" x14ac:dyDescent="0.25">
      <c r="A22" t="s">
        <v>15</v>
      </c>
      <c r="B22" t="s">
        <v>608</v>
      </c>
      <c r="C22" s="509"/>
      <c r="D22" s="509" t="s">
        <v>553</v>
      </c>
      <c r="E22" t="s">
        <v>685</v>
      </c>
      <c r="F22" s="844">
        <v>1</v>
      </c>
      <c r="G22" s="844">
        <v>1</v>
      </c>
      <c r="H22" s="844">
        <v>1</v>
      </c>
      <c r="I22" s="844">
        <v>1</v>
      </c>
      <c r="J22" s="844">
        <v>1</v>
      </c>
      <c r="K22" s="844">
        <v>1</v>
      </c>
      <c r="L22" s="844">
        <v>1</v>
      </c>
      <c r="M22" s="844">
        <v>1</v>
      </c>
      <c r="N22" s="844">
        <v>1</v>
      </c>
      <c r="O22" s="844">
        <v>1</v>
      </c>
      <c r="P22" s="844">
        <v>1</v>
      </c>
      <c r="Q22" s="844">
        <v>1</v>
      </c>
      <c r="R22" s="844">
        <v>1</v>
      </c>
      <c r="S22" s="844">
        <v>1</v>
      </c>
      <c r="T22" s="844">
        <v>1</v>
      </c>
      <c r="U22" s="844">
        <v>1</v>
      </c>
      <c r="V22" s="844">
        <v>1</v>
      </c>
      <c r="W22" s="844">
        <v>1</v>
      </c>
      <c r="X22" s="844">
        <v>1</v>
      </c>
      <c r="Y22" s="844">
        <v>1</v>
      </c>
      <c r="Z22" s="844">
        <v>1</v>
      </c>
      <c r="AA22" s="844">
        <v>1</v>
      </c>
      <c r="AB22" s="844">
        <v>1</v>
      </c>
      <c r="AC22" s="844">
        <v>1</v>
      </c>
      <c r="AD22" s="844">
        <v>1</v>
      </c>
      <c r="AE22" s="844">
        <v>1</v>
      </c>
      <c r="AF22" s="844">
        <v>1</v>
      </c>
      <c r="AG22" s="844">
        <v>1</v>
      </c>
      <c r="AH22" s="844">
        <v>1</v>
      </c>
      <c r="AI22" s="844">
        <v>1</v>
      </c>
      <c r="AJ22" s="844">
        <v>1</v>
      </c>
      <c r="AK22" s="844">
        <v>1</v>
      </c>
      <c r="AL22" s="844">
        <v>1</v>
      </c>
      <c r="AM22" s="844">
        <v>1</v>
      </c>
      <c r="AN22" s="844">
        <v>1</v>
      </c>
      <c r="AO22" s="844">
        <v>1</v>
      </c>
      <c r="AP22" s="844">
        <v>1</v>
      </c>
      <c r="AQ22" s="844">
        <v>1</v>
      </c>
      <c r="AR22" s="844">
        <v>1</v>
      </c>
      <c r="AS22" s="844">
        <v>1</v>
      </c>
      <c r="AT22" s="844">
        <v>1</v>
      </c>
      <c r="AU22" s="844">
        <v>1</v>
      </c>
      <c r="AV22" s="844">
        <v>1</v>
      </c>
      <c r="AW22" s="844">
        <v>1</v>
      </c>
      <c r="AX22" s="844">
        <v>1</v>
      </c>
      <c r="AY22" s="844">
        <v>1</v>
      </c>
      <c r="AZ22" s="844">
        <v>1</v>
      </c>
      <c r="BA22" s="844">
        <v>1</v>
      </c>
      <c r="BB22" s="844">
        <v>1</v>
      </c>
      <c r="BC22" s="844">
        <v>1</v>
      </c>
      <c r="BD22" s="844">
        <v>1</v>
      </c>
      <c r="BE22" s="844">
        <v>1</v>
      </c>
      <c r="BF22" s="844">
        <v>1</v>
      </c>
      <c r="BG22" s="844">
        <v>1</v>
      </c>
      <c r="BH22" s="844">
        <v>1</v>
      </c>
      <c r="BI22" s="844">
        <v>1</v>
      </c>
      <c r="BJ22" s="844">
        <v>1</v>
      </c>
      <c r="BK22" s="844">
        <v>1</v>
      </c>
      <c r="BL22" s="844">
        <v>1</v>
      </c>
      <c r="BM22" s="844">
        <v>1</v>
      </c>
      <c r="BN22" s="844">
        <v>1</v>
      </c>
      <c r="BO22" s="844">
        <v>1</v>
      </c>
      <c r="BP22" s="844">
        <v>1</v>
      </c>
      <c r="BQ22" s="844">
        <v>1</v>
      </c>
      <c r="BR22" s="844">
        <v>1</v>
      </c>
      <c r="BS22" s="844">
        <v>1</v>
      </c>
      <c r="BT22" s="844">
        <v>1</v>
      </c>
      <c r="BU22" s="844">
        <v>1</v>
      </c>
      <c r="BV22" s="844">
        <v>1</v>
      </c>
      <c r="BW22" s="844">
        <v>1</v>
      </c>
      <c r="BX22" s="844">
        <v>1</v>
      </c>
      <c r="BY22" s="844">
        <v>1</v>
      </c>
      <c r="BZ22" s="844">
        <v>1</v>
      </c>
      <c r="CA22" s="844">
        <v>1</v>
      </c>
      <c r="CB22" s="844">
        <v>1</v>
      </c>
      <c r="CC22" s="844">
        <v>1</v>
      </c>
      <c r="CD22" s="844">
        <v>1</v>
      </c>
      <c r="CE22" s="844">
        <v>1</v>
      </c>
      <c r="CF22" s="844">
        <v>1</v>
      </c>
      <c r="CG22" s="844">
        <v>1</v>
      </c>
      <c r="CH22" s="844">
        <v>1</v>
      </c>
      <c r="CI22" s="844">
        <v>1</v>
      </c>
      <c r="CJ22" s="844">
        <v>1</v>
      </c>
      <c r="CK22" s="844">
        <v>1</v>
      </c>
      <c r="CL22" s="844">
        <v>1</v>
      </c>
      <c r="CM22" s="844">
        <v>1</v>
      </c>
      <c r="CN22" s="844">
        <v>1</v>
      </c>
      <c r="CO22" s="844">
        <v>1</v>
      </c>
      <c r="CP22" s="844">
        <v>1</v>
      </c>
      <c r="CQ22" s="844">
        <v>1</v>
      </c>
      <c r="CR22" s="844">
        <v>1</v>
      </c>
      <c r="CS22" s="844">
        <v>1</v>
      </c>
      <c r="CT22" s="844">
        <v>1</v>
      </c>
      <c r="CU22" s="844">
        <v>1</v>
      </c>
      <c r="CV22" s="844">
        <v>1</v>
      </c>
      <c r="CW22" s="844">
        <v>1</v>
      </c>
      <c r="CX22" s="844">
        <v>1</v>
      </c>
      <c r="CY22" s="844">
        <v>1</v>
      </c>
      <c r="CZ22" s="844">
        <v>1</v>
      </c>
      <c r="DA22" s="844">
        <v>1</v>
      </c>
      <c r="DB22" s="844">
        <v>1</v>
      </c>
      <c r="DC22" s="844">
        <v>1</v>
      </c>
      <c r="DD22" s="844">
        <v>1</v>
      </c>
      <c r="DE22" s="844">
        <v>1</v>
      </c>
      <c r="DF22" s="844">
        <v>1</v>
      </c>
      <c r="DG22" s="844">
        <v>1</v>
      </c>
      <c r="DH22" s="844">
        <v>1</v>
      </c>
      <c r="DI22" s="844">
        <v>1</v>
      </c>
      <c r="DJ22" s="844">
        <v>1</v>
      </c>
      <c r="DK22" s="844">
        <v>1</v>
      </c>
      <c r="DL22" s="844">
        <v>1</v>
      </c>
      <c r="DM22" s="844">
        <v>1</v>
      </c>
      <c r="DN22" s="844">
        <v>1</v>
      </c>
      <c r="DO22" s="844">
        <v>1</v>
      </c>
      <c r="DP22" s="844">
        <v>1</v>
      </c>
      <c r="DQ22" s="844">
        <v>1</v>
      </c>
      <c r="DR22" s="844">
        <v>1</v>
      </c>
      <c r="DS22" s="844">
        <v>1</v>
      </c>
      <c r="DT22" s="844">
        <v>1</v>
      </c>
      <c r="DU22" s="844">
        <v>1</v>
      </c>
      <c r="DV22" s="844">
        <v>1</v>
      </c>
      <c r="DW22" s="844">
        <v>1</v>
      </c>
      <c r="DX22" s="844">
        <v>1</v>
      </c>
      <c r="DY22" s="844">
        <v>1</v>
      </c>
      <c r="DZ22" s="844">
        <v>1</v>
      </c>
      <c r="EA22" s="844">
        <v>1</v>
      </c>
      <c r="EB22" s="844">
        <v>1</v>
      </c>
      <c r="EC22" s="844">
        <v>1</v>
      </c>
      <c r="ED22" s="844">
        <v>1</v>
      </c>
      <c r="EE22" s="844">
        <v>1</v>
      </c>
      <c r="EF22" s="844">
        <v>1</v>
      </c>
      <c r="EG22" s="844">
        <v>1</v>
      </c>
      <c r="EH22" s="767">
        <v>1</v>
      </c>
      <c r="EI22" s="767">
        <v>1</v>
      </c>
      <c r="EJ22" s="767">
        <v>1</v>
      </c>
      <c r="EK22" s="767">
        <v>1</v>
      </c>
      <c r="EL22" s="767">
        <v>1</v>
      </c>
      <c r="EM22" s="767">
        <v>1</v>
      </c>
      <c r="EN22" s="767">
        <v>1</v>
      </c>
      <c r="EO22" s="767">
        <v>1</v>
      </c>
      <c r="EP22" s="767">
        <v>1</v>
      </c>
      <c r="EQ22" s="767">
        <v>1</v>
      </c>
      <c r="ER22" s="767">
        <v>1</v>
      </c>
      <c r="ES22" s="767">
        <v>1</v>
      </c>
      <c r="ET22" s="767">
        <v>1</v>
      </c>
      <c r="EU22" s="767">
        <v>1</v>
      </c>
      <c r="EV22" s="767">
        <v>1</v>
      </c>
      <c r="EW22" s="767">
        <v>1</v>
      </c>
      <c r="EX22" s="767">
        <v>1</v>
      </c>
      <c r="EY22" s="767">
        <v>1</v>
      </c>
      <c r="EZ22" s="767">
        <v>1</v>
      </c>
      <c r="FA22" s="767">
        <v>1</v>
      </c>
      <c r="FB22" s="767">
        <v>1</v>
      </c>
      <c r="FC22" s="767">
        <v>1</v>
      </c>
      <c r="FD22" s="767">
        <v>1</v>
      </c>
      <c r="FE22" s="767">
        <v>1</v>
      </c>
      <c r="FF22"/>
    </row>
    <row r="23" spans="1:162" ht="15" x14ac:dyDescent="0.25">
      <c r="A23"/>
      <c r="B23"/>
      <c r="C23" s="509"/>
      <c r="D23" s="509"/>
      <c r="E23"/>
      <c r="F23" s="844"/>
      <c r="G23" s="844"/>
      <c r="H23" s="844"/>
      <c r="I23" s="844"/>
      <c r="J23" s="844"/>
      <c r="K23" s="844"/>
      <c r="L23" s="844"/>
      <c r="M23" s="844"/>
      <c r="N23" s="844"/>
      <c r="O23" s="844"/>
      <c r="P23" s="844"/>
      <c r="Q23" s="844"/>
      <c r="R23" s="844"/>
      <c r="S23" s="844"/>
      <c r="T23" s="844"/>
      <c r="U23" s="844"/>
      <c r="V23" s="844"/>
      <c r="W23" s="844"/>
      <c r="X23" s="844"/>
      <c r="Y23" s="844"/>
      <c r="Z23" s="844"/>
      <c r="AA23" s="844"/>
      <c r="AB23" s="844"/>
      <c r="AC23" s="844"/>
      <c r="AD23" s="844"/>
      <c r="AE23" s="844"/>
      <c r="AF23" s="844"/>
      <c r="AG23" s="844"/>
      <c r="AH23" s="844"/>
      <c r="AI23" s="844"/>
      <c r="AJ23" s="844"/>
      <c r="AK23" s="844"/>
      <c r="AL23" s="844"/>
      <c r="AM23" s="844"/>
      <c r="AN23" s="844"/>
      <c r="AO23" s="844"/>
      <c r="AP23" s="844"/>
      <c r="AQ23" s="844"/>
      <c r="AR23" s="844"/>
      <c r="AS23" s="844"/>
      <c r="AT23" s="844"/>
      <c r="AU23" s="844"/>
      <c r="AV23" s="844"/>
      <c r="AW23" s="844"/>
      <c r="AX23" s="844"/>
      <c r="AY23" s="844"/>
      <c r="AZ23" s="844"/>
      <c r="BA23" s="844"/>
      <c r="BB23" s="844"/>
      <c r="BC23" s="844"/>
      <c r="BD23" s="844"/>
      <c r="BE23" s="844"/>
      <c r="BF23" s="844"/>
      <c r="BG23" s="844"/>
      <c r="BH23" s="844"/>
      <c r="BI23" s="844"/>
      <c r="BJ23" s="844"/>
      <c r="BK23" s="844"/>
      <c r="BL23" s="844"/>
      <c r="BM23" s="844"/>
      <c r="BN23" s="844"/>
      <c r="BO23" s="844"/>
      <c r="BP23" s="844"/>
      <c r="BQ23" s="844"/>
      <c r="BR23" s="844"/>
      <c r="BS23" s="844"/>
      <c r="BT23" s="844"/>
      <c r="BU23" s="844"/>
      <c r="BV23" s="844"/>
      <c r="BW23" s="844"/>
      <c r="BX23" s="844"/>
      <c r="BY23" s="844"/>
      <c r="BZ23" s="844"/>
      <c r="CA23" s="844"/>
      <c r="CB23" s="844"/>
      <c r="CC23" s="844"/>
      <c r="CD23" s="844"/>
      <c r="CE23" s="844"/>
      <c r="CF23" s="844"/>
      <c r="CG23" s="844"/>
      <c r="CH23" s="844"/>
      <c r="CI23" s="844"/>
      <c r="CJ23" s="844"/>
      <c r="CK23" s="844"/>
      <c r="CL23" s="844"/>
      <c r="CM23" s="844"/>
      <c r="CN23" s="844"/>
      <c r="CO23" s="844"/>
      <c r="CP23" s="844"/>
      <c r="CQ23" s="844"/>
      <c r="CR23" s="844"/>
      <c r="CS23" s="844"/>
      <c r="CT23" s="844"/>
      <c r="CU23" s="844"/>
      <c r="CV23" s="844"/>
      <c r="CW23" s="844"/>
      <c r="CX23" s="844"/>
      <c r="CY23" s="844"/>
      <c r="CZ23" s="844"/>
      <c r="DA23" s="844"/>
      <c r="DB23" s="844"/>
      <c r="DC23" s="844"/>
      <c r="DD23" s="844"/>
      <c r="DE23" s="844"/>
      <c r="DF23" s="844"/>
      <c r="DG23" s="844"/>
      <c r="DH23" s="844"/>
      <c r="DI23" s="844"/>
      <c r="DJ23" s="844"/>
      <c r="DK23" s="844"/>
      <c r="DL23" s="844"/>
      <c r="DM23" s="844"/>
      <c r="DN23" s="844"/>
      <c r="DO23" s="844"/>
      <c r="DP23" s="844"/>
      <c r="DQ23" s="844"/>
      <c r="DR23" s="844"/>
      <c r="DS23" s="844"/>
      <c r="DT23" s="844"/>
      <c r="DU23" s="844"/>
      <c r="DV23" s="844"/>
      <c r="DW23" s="844"/>
      <c r="DX23" s="844"/>
      <c r="DY23" s="844"/>
      <c r="DZ23" s="844"/>
      <c r="EA23" s="844"/>
      <c r="EB23" s="844"/>
      <c r="EC23" s="844"/>
      <c r="ED23" s="844"/>
      <c r="EE23" s="844"/>
      <c r="EF23" s="844"/>
      <c r="EG23" s="844"/>
      <c r="EH23" s="768"/>
      <c r="EI23" s="768"/>
      <c r="EJ23" s="768"/>
      <c r="EK23" s="768"/>
      <c r="EL23" s="768"/>
      <c r="EM23" s="768"/>
      <c r="EN23" s="768"/>
      <c r="EO23" s="768"/>
      <c r="EP23" s="768"/>
      <c r="EQ23" s="768"/>
      <c r="ER23" s="768"/>
      <c r="ES23" s="768"/>
      <c r="ET23" s="768"/>
      <c r="EU23" s="768"/>
      <c r="EV23" s="768"/>
      <c r="EW23" s="768"/>
      <c r="EX23" s="768"/>
      <c r="EY23" s="768"/>
      <c r="EZ23" s="768"/>
      <c r="FA23" s="768"/>
      <c r="FB23" s="768"/>
      <c r="FC23" s="768"/>
      <c r="FD23" s="768"/>
      <c r="FE23" s="768"/>
      <c r="FF23"/>
    </row>
    <row r="24" spans="1:162" ht="15" x14ac:dyDescent="0.25">
      <c r="A24" t="s">
        <v>941</v>
      </c>
      <c r="B24" t="s">
        <v>610</v>
      </c>
      <c r="C24" s="509"/>
      <c r="D24" s="509" t="s">
        <v>610</v>
      </c>
      <c r="E24" t="s">
        <v>940</v>
      </c>
      <c r="F24" s="844">
        <v>77</v>
      </c>
      <c r="G24" s="844">
        <v>77</v>
      </c>
      <c r="H24" s="844">
        <v>78</v>
      </c>
      <c r="I24" s="844">
        <v>80</v>
      </c>
      <c r="J24" s="844">
        <v>80</v>
      </c>
      <c r="K24" s="844">
        <v>81</v>
      </c>
      <c r="L24" s="844">
        <v>82</v>
      </c>
      <c r="M24" s="844">
        <v>83</v>
      </c>
      <c r="N24" s="844">
        <v>84</v>
      </c>
      <c r="O24" s="844">
        <v>85</v>
      </c>
      <c r="P24" s="844">
        <v>86</v>
      </c>
      <c r="Q24" s="844">
        <v>87</v>
      </c>
      <c r="R24" s="844">
        <v>77</v>
      </c>
      <c r="S24" s="844">
        <v>77</v>
      </c>
      <c r="T24" s="844">
        <v>78</v>
      </c>
      <c r="U24" s="844">
        <v>79</v>
      </c>
      <c r="V24" s="844">
        <v>79</v>
      </c>
      <c r="W24" s="844">
        <v>80</v>
      </c>
      <c r="X24" s="844">
        <v>80</v>
      </c>
      <c r="Y24" s="844">
        <v>82</v>
      </c>
      <c r="Z24" s="844">
        <v>83</v>
      </c>
      <c r="AA24" s="844">
        <v>84</v>
      </c>
      <c r="AB24" s="844">
        <v>85</v>
      </c>
      <c r="AC24" s="844">
        <v>86</v>
      </c>
      <c r="AD24" s="844">
        <v>76</v>
      </c>
      <c r="AE24" s="844">
        <v>76</v>
      </c>
      <c r="AF24" s="844">
        <v>77</v>
      </c>
      <c r="AG24" s="844">
        <v>78</v>
      </c>
      <c r="AH24" s="844">
        <v>79</v>
      </c>
      <c r="AI24" s="844">
        <v>80</v>
      </c>
      <c r="AJ24" s="844">
        <v>80</v>
      </c>
      <c r="AK24" s="844">
        <v>81</v>
      </c>
      <c r="AL24" s="844">
        <v>83</v>
      </c>
      <c r="AM24" s="844">
        <v>84</v>
      </c>
      <c r="AN24" s="844">
        <v>84</v>
      </c>
      <c r="AO24" s="844">
        <v>86</v>
      </c>
      <c r="AP24" s="844">
        <v>76</v>
      </c>
      <c r="AQ24" s="844">
        <v>76</v>
      </c>
      <c r="AR24" s="844">
        <v>77</v>
      </c>
      <c r="AS24" s="844">
        <v>78</v>
      </c>
      <c r="AT24" s="844">
        <v>79</v>
      </c>
      <c r="AU24" s="844">
        <v>80</v>
      </c>
      <c r="AV24" s="844">
        <v>80</v>
      </c>
      <c r="AW24" s="844">
        <v>81</v>
      </c>
      <c r="AX24" s="844">
        <v>83</v>
      </c>
      <c r="AY24" s="844">
        <v>84</v>
      </c>
      <c r="AZ24" s="844">
        <v>84</v>
      </c>
      <c r="BA24" s="844">
        <v>85</v>
      </c>
      <c r="BB24" s="844">
        <v>76</v>
      </c>
      <c r="BC24" s="844">
        <v>76</v>
      </c>
      <c r="BD24" s="844">
        <v>77</v>
      </c>
      <c r="BE24" s="844">
        <v>78</v>
      </c>
      <c r="BF24" s="844">
        <v>78</v>
      </c>
      <c r="BG24" s="844">
        <v>79</v>
      </c>
      <c r="BH24" s="844">
        <v>80</v>
      </c>
      <c r="BI24" s="844">
        <v>81</v>
      </c>
      <c r="BJ24" s="844">
        <v>82</v>
      </c>
      <c r="BK24" s="844">
        <v>84</v>
      </c>
      <c r="BL24" s="844">
        <v>84</v>
      </c>
      <c r="BM24" s="844">
        <v>85</v>
      </c>
      <c r="BN24" s="844">
        <v>75</v>
      </c>
      <c r="BO24" s="844">
        <v>76</v>
      </c>
      <c r="BP24" s="844">
        <v>77</v>
      </c>
      <c r="BQ24" s="844">
        <v>78</v>
      </c>
      <c r="BR24" s="844">
        <v>78</v>
      </c>
      <c r="BS24" s="844">
        <v>79</v>
      </c>
      <c r="BT24" s="844">
        <v>79</v>
      </c>
      <c r="BU24" s="844">
        <v>81</v>
      </c>
      <c r="BV24" s="844">
        <v>82</v>
      </c>
      <c r="BW24" s="844">
        <v>83</v>
      </c>
      <c r="BX24" s="844">
        <v>84</v>
      </c>
      <c r="BY24" s="844">
        <v>85</v>
      </c>
      <c r="BZ24" s="844">
        <v>75</v>
      </c>
      <c r="CA24" s="844">
        <v>75</v>
      </c>
      <c r="CB24" s="844">
        <v>77</v>
      </c>
      <c r="CC24" s="844">
        <v>77</v>
      </c>
      <c r="CD24" s="844">
        <v>78</v>
      </c>
      <c r="CE24" s="844">
        <v>79</v>
      </c>
      <c r="CF24" s="844">
        <v>79</v>
      </c>
      <c r="CG24" s="844">
        <v>80</v>
      </c>
      <c r="CH24" s="844">
        <v>82</v>
      </c>
      <c r="CI24" s="844">
        <v>83</v>
      </c>
      <c r="CJ24" s="844">
        <v>84</v>
      </c>
      <c r="CK24" s="844">
        <v>85</v>
      </c>
      <c r="CL24" s="844">
        <v>75</v>
      </c>
      <c r="CM24" s="844">
        <v>75</v>
      </c>
      <c r="CN24" s="844">
        <v>76</v>
      </c>
      <c r="CO24" s="844">
        <v>77</v>
      </c>
      <c r="CP24" s="844">
        <v>78</v>
      </c>
      <c r="CQ24" s="844">
        <v>79</v>
      </c>
      <c r="CR24" s="844">
        <v>79</v>
      </c>
      <c r="CS24" s="844">
        <v>80</v>
      </c>
      <c r="CT24" s="844">
        <v>82</v>
      </c>
      <c r="CU24" s="844">
        <v>83</v>
      </c>
      <c r="CV24" s="844">
        <v>83</v>
      </c>
      <c r="CW24" s="844">
        <v>84</v>
      </c>
      <c r="CX24" s="844">
        <v>74</v>
      </c>
      <c r="CY24" s="844">
        <v>75</v>
      </c>
      <c r="CZ24" s="844">
        <v>76</v>
      </c>
      <c r="DA24" s="844">
        <v>77</v>
      </c>
      <c r="DB24" s="844">
        <v>77</v>
      </c>
      <c r="DC24" s="844">
        <v>78</v>
      </c>
      <c r="DD24" s="844">
        <v>79</v>
      </c>
      <c r="DE24" s="844">
        <v>80</v>
      </c>
      <c r="DF24" s="844">
        <v>81</v>
      </c>
      <c r="DG24" s="844">
        <v>82</v>
      </c>
      <c r="DH24" s="844">
        <v>83</v>
      </c>
      <c r="DI24" s="844">
        <v>84</v>
      </c>
      <c r="DJ24" s="844">
        <v>74</v>
      </c>
      <c r="DK24" s="844">
        <v>75</v>
      </c>
      <c r="DL24" s="844">
        <v>76</v>
      </c>
      <c r="DM24" s="844">
        <v>76</v>
      </c>
      <c r="DN24" s="844">
        <v>77</v>
      </c>
      <c r="DO24" s="844">
        <v>78</v>
      </c>
      <c r="DP24" s="844">
        <v>78</v>
      </c>
      <c r="DQ24" s="844">
        <v>79</v>
      </c>
      <c r="DR24" s="844">
        <v>81</v>
      </c>
      <c r="DS24" s="844">
        <v>82</v>
      </c>
      <c r="DT24" s="844">
        <v>83</v>
      </c>
      <c r="DU24" s="844">
        <v>84</v>
      </c>
      <c r="DV24" s="844">
        <v>74</v>
      </c>
      <c r="DW24" s="844">
        <v>74</v>
      </c>
      <c r="DX24" s="844">
        <v>75</v>
      </c>
      <c r="DY24" s="844">
        <v>76</v>
      </c>
      <c r="DZ24" s="844">
        <v>77</v>
      </c>
      <c r="EA24" s="844">
        <v>78</v>
      </c>
      <c r="EB24" s="844">
        <v>78</v>
      </c>
      <c r="EC24" s="844">
        <v>79</v>
      </c>
      <c r="ED24" s="844">
        <v>81</v>
      </c>
      <c r="EE24" s="844">
        <v>82</v>
      </c>
      <c r="EF24" s="844">
        <v>82</v>
      </c>
      <c r="EG24" s="844">
        <v>84</v>
      </c>
      <c r="EH24" s="757">
        <v>67</v>
      </c>
      <c r="EI24" s="757">
        <v>67</v>
      </c>
      <c r="EJ24" s="757">
        <v>67</v>
      </c>
      <c r="EK24" s="757">
        <v>67</v>
      </c>
      <c r="EL24" s="757">
        <v>67</v>
      </c>
      <c r="EM24" s="757">
        <v>67</v>
      </c>
      <c r="EN24" s="757">
        <v>67</v>
      </c>
      <c r="EO24" s="757">
        <v>67</v>
      </c>
      <c r="EP24" s="757">
        <v>67</v>
      </c>
      <c r="EQ24" s="757">
        <v>67</v>
      </c>
      <c r="ER24" s="757">
        <v>67</v>
      </c>
      <c r="ES24" s="757">
        <v>67</v>
      </c>
      <c r="ET24" s="757">
        <v>67</v>
      </c>
      <c r="EU24" s="757">
        <v>67</v>
      </c>
      <c r="EV24" s="757">
        <v>67</v>
      </c>
      <c r="EW24" s="757">
        <v>67</v>
      </c>
      <c r="EX24" s="757">
        <v>67</v>
      </c>
      <c r="EY24" s="757">
        <v>67</v>
      </c>
      <c r="EZ24" s="757">
        <v>67</v>
      </c>
      <c r="FA24" s="757">
        <v>67</v>
      </c>
      <c r="FB24" s="757">
        <v>67</v>
      </c>
      <c r="FC24" s="757">
        <v>67</v>
      </c>
      <c r="FD24" s="757">
        <v>67</v>
      </c>
      <c r="FE24" s="757">
        <v>67</v>
      </c>
      <c r="FF24"/>
    </row>
    <row r="25" spans="1:162" ht="15" x14ac:dyDescent="0.25">
      <c r="A25" t="s">
        <v>320</v>
      </c>
      <c r="B25" t="s">
        <v>509</v>
      </c>
      <c r="C25" s="509"/>
      <c r="D25" s="509" t="s">
        <v>445</v>
      </c>
      <c r="E25" t="s">
        <v>378</v>
      </c>
      <c r="F25" s="844">
        <v>0</v>
      </c>
      <c r="G25" s="844">
        <v>0</v>
      </c>
      <c r="H25" s="844">
        <v>0</v>
      </c>
      <c r="I25" s="844">
        <v>0</v>
      </c>
      <c r="J25" s="844">
        <v>0</v>
      </c>
      <c r="K25" s="844">
        <v>0</v>
      </c>
      <c r="L25" s="844">
        <v>0</v>
      </c>
      <c r="M25" s="844">
        <v>0</v>
      </c>
      <c r="N25" s="844">
        <v>0</v>
      </c>
      <c r="O25" s="844">
        <v>0</v>
      </c>
      <c r="P25" s="844">
        <v>1</v>
      </c>
      <c r="Q25" s="844">
        <v>1</v>
      </c>
      <c r="R25" s="844">
        <v>1</v>
      </c>
      <c r="S25" s="844">
        <v>1</v>
      </c>
      <c r="T25" s="844">
        <v>1</v>
      </c>
      <c r="U25" s="844">
        <v>1</v>
      </c>
      <c r="V25" s="844">
        <v>1</v>
      </c>
      <c r="W25" s="844">
        <v>1</v>
      </c>
      <c r="X25" s="844">
        <v>1</v>
      </c>
      <c r="Y25" s="844">
        <v>1</v>
      </c>
      <c r="Z25" s="844">
        <v>1</v>
      </c>
      <c r="AA25" s="844">
        <v>1</v>
      </c>
      <c r="AB25" s="844">
        <v>1</v>
      </c>
      <c r="AC25" s="844">
        <v>1</v>
      </c>
      <c r="AD25" s="844">
        <v>1</v>
      </c>
      <c r="AE25" s="844">
        <v>1</v>
      </c>
      <c r="AF25" s="844">
        <v>1</v>
      </c>
      <c r="AG25" s="844">
        <v>1</v>
      </c>
      <c r="AH25" s="844">
        <v>1</v>
      </c>
      <c r="AI25" s="844">
        <v>1</v>
      </c>
      <c r="AJ25" s="844">
        <v>1</v>
      </c>
      <c r="AK25" s="844">
        <v>1</v>
      </c>
      <c r="AL25" s="844">
        <v>1</v>
      </c>
      <c r="AM25" s="844">
        <v>1</v>
      </c>
      <c r="AN25" s="844">
        <v>1</v>
      </c>
      <c r="AO25" s="844">
        <v>1</v>
      </c>
      <c r="AP25" s="844">
        <v>1</v>
      </c>
      <c r="AQ25" s="844">
        <v>1</v>
      </c>
      <c r="AR25" s="844">
        <v>1</v>
      </c>
      <c r="AS25" s="844">
        <v>1</v>
      </c>
      <c r="AT25" s="844">
        <v>1</v>
      </c>
      <c r="AU25" s="844">
        <v>1</v>
      </c>
      <c r="AV25" s="844">
        <v>1</v>
      </c>
      <c r="AW25" s="844">
        <v>1</v>
      </c>
      <c r="AX25" s="844">
        <v>1</v>
      </c>
      <c r="AY25" s="844">
        <v>1</v>
      </c>
      <c r="AZ25" s="844">
        <v>1</v>
      </c>
      <c r="BA25" s="844">
        <v>1</v>
      </c>
      <c r="BB25" s="844">
        <v>1</v>
      </c>
      <c r="BC25" s="844">
        <v>1</v>
      </c>
      <c r="BD25" s="844">
        <v>1</v>
      </c>
      <c r="BE25" s="844">
        <v>1</v>
      </c>
      <c r="BF25" s="844">
        <v>1</v>
      </c>
      <c r="BG25" s="844">
        <v>1</v>
      </c>
      <c r="BH25" s="844">
        <v>1</v>
      </c>
      <c r="BI25" s="844">
        <v>1</v>
      </c>
      <c r="BJ25" s="844">
        <v>1</v>
      </c>
      <c r="BK25" s="844">
        <v>1</v>
      </c>
      <c r="BL25" s="844">
        <v>1</v>
      </c>
      <c r="BM25" s="844">
        <v>1</v>
      </c>
      <c r="BN25" s="844">
        <v>1</v>
      </c>
      <c r="BO25" s="844">
        <v>1</v>
      </c>
      <c r="BP25" s="844">
        <v>1</v>
      </c>
      <c r="BQ25" s="844">
        <v>1</v>
      </c>
      <c r="BR25" s="844">
        <v>1</v>
      </c>
      <c r="BS25" s="844">
        <v>1</v>
      </c>
      <c r="BT25" s="844">
        <v>1</v>
      </c>
      <c r="BU25" s="844">
        <v>1</v>
      </c>
      <c r="BV25" s="844">
        <v>1</v>
      </c>
      <c r="BW25" s="844">
        <v>1</v>
      </c>
      <c r="BX25" s="844">
        <v>1</v>
      </c>
      <c r="BY25" s="844">
        <v>1</v>
      </c>
      <c r="BZ25" s="844">
        <v>1</v>
      </c>
      <c r="CA25" s="844">
        <v>1</v>
      </c>
      <c r="CB25" s="844">
        <v>1</v>
      </c>
      <c r="CC25" s="844">
        <v>1</v>
      </c>
      <c r="CD25" s="844">
        <v>1</v>
      </c>
      <c r="CE25" s="844">
        <v>1</v>
      </c>
      <c r="CF25" s="844">
        <v>1</v>
      </c>
      <c r="CG25" s="844">
        <v>1</v>
      </c>
      <c r="CH25" s="844">
        <v>1</v>
      </c>
      <c r="CI25" s="844">
        <v>1</v>
      </c>
      <c r="CJ25" s="844">
        <v>1</v>
      </c>
      <c r="CK25" s="844">
        <v>1</v>
      </c>
      <c r="CL25" s="844">
        <v>1</v>
      </c>
      <c r="CM25" s="844">
        <v>1</v>
      </c>
      <c r="CN25" s="844">
        <v>1</v>
      </c>
      <c r="CO25" s="844">
        <v>1</v>
      </c>
      <c r="CP25" s="844">
        <v>1</v>
      </c>
      <c r="CQ25" s="844">
        <v>1</v>
      </c>
      <c r="CR25" s="844">
        <v>1</v>
      </c>
      <c r="CS25" s="844">
        <v>1</v>
      </c>
      <c r="CT25" s="844">
        <v>1</v>
      </c>
      <c r="CU25" s="844">
        <v>1</v>
      </c>
      <c r="CV25" s="844">
        <v>1</v>
      </c>
      <c r="CW25" s="844">
        <v>1</v>
      </c>
      <c r="CX25" s="844">
        <v>1</v>
      </c>
      <c r="CY25" s="844">
        <v>1</v>
      </c>
      <c r="CZ25" s="844">
        <v>1</v>
      </c>
      <c r="DA25" s="844">
        <v>1</v>
      </c>
      <c r="DB25" s="844">
        <v>1</v>
      </c>
      <c r="DC25" s="844">
        <v>1</v>
      </c>
      <c r="DD25" s="844">
        <v>1</v>
      </c>
      <c r="DE25" s="844">
        <v>1</v>
      </c>
      <c r="DF25" s="844">
        <v>1</v>
      </c>
      <c r="DG25" s="844">
        <v>1</v>
      </c>
      <c r="DH25" s="844">
        <v>1</v>
      </c>
      <c r="DI25" s="844">
        <v>1</v>
      </c>
      <c r="DJ25" s="844">
        <v>1</v>
      </c>
      <c r="DK25" s="844">
        <v>1</v>
      </c>
      <c r="DL25" s="844">
        <v>1</v>
      </c>
      <c r="DM25" s="844">
        <v>1</v>
      </c>
      <c r="DN25" s="844">
        <v>1</v>
      </c>
      <c r="DO25" s="844">
        <v>1</v>
      </c>
      <c r="DP25" s="844">
        <v>1</v>
      </c>
      <c r="DQ25" s="844">
        <v>1</v>
      </c>
      <c r="DR25" s="844">
        <v>1</v>
      </c>
      <c r="DS25" s="844">
        <v>1</v>
      </c>
      <c r="DT25" s="844">
        <v>1</v>
      </c>
      <c r="DU25" s="844">
        <v>1</v>
      </c>
      <c r="DV25" s="844">
        <v>1</v>
      </c>
      <c r="DW25" s="844">
        <v>1</v>
      </c>
      <c r="DX25" s="844">
        <v>1</v>
      </c>
      <c r="DY25" s="844">
        <v>1</v>
      </c>
      <c r="DZ25" s="844">
        <v>1</v>
      </c>
      <c r="EA25" s="844">
        <v>1</v>
      </c>
      <c r="EB25" s="844">
        <v>1</v>
      </c>
      <c r="EC25" s="844">
        <v>1</v>
      </c>
      <c r="ED25" s="844">
        <v>1</v>
      </c>
      <c r="EE25" s="844">
        <v>1</v>
      </c>
      <c r="EF25" s="844">
        <v>1</v>
      </c>
      <c r="EG25" s="844">
        <v>1</v>
      </c>
      <c r="EH25" s="757">
        <v>1</v>
      </c>
      <c r="EI25" s="757">
        <v>1</v>
      </c>
      <c r="EJ25" s="757">
        <v>1</v>
      </c>
      <c r="EK25" s="757">
        <v>1</v>
      </c>
      <c r="EL25" s="757">
        <v>1</v>
      </c>
      <c r="EM25" s="757">
        <v>1</v>
      </c>
      <c r="EN25" s="757">
        <v>1</v>
      </c>
      <c r="EO25" s="757">
        <v>1</v>
      </c>
      <c r="EP25" s="757">
        <v>1</v>
      </c>
      <c r="EQ25" s="757">
        <v>1</v>
      </c>
      <c r="ER25" s="757">
        <v>1</v>
      </c>
      <c r="ES25" s="757">
        <v>1</v>
      </c>
      <c r="ET25" s="757">
        <v>1</v>
      </c>
      <c r="EU25" s="757">
        <v>1</v>
      </c>
      <c r="EV25" s="757">
        <v>1</v>
      </c>
      <c r="EW25" s="757">
        <v>1</v>
      </c>
      <c r="EX25" s="757">
        <v>1</v>
      </c>
      <c r="EY25" s="757">
        <v>1</v>
      </c>
      <c r="EZ25" s="757">
        <v>1</v>
      </c>
      <c r="FA25" s="757">
        <v>1</v>
      </c>
      <c r="FB25" s="757">
        <v>1</v>
      </c>
      <c r="FC25" s="757">
        <v>1</v>
      </c>
      <c r="FD25" s="757">
        <v>1</v>
      </c>
      <c r="FE25" s="757">
        <v>1</v>
      </c>
      <c r="FF25"/>
    </row>
    <row r="26" spans="1:162" ht="15" x14ac:dyDescent="0.25">
      <c r="A26" t="s">
        <v>320</v>
      </c>
      <c r="B26" t="s">
        <v>509</v>
      </c>
      <c r="C26" s="509" t="s">
        <v>381</v>
      </c>
      <c r="D26" s="509" t="s">
        <v>549</v>
      </c>
      <c r="E26" t="s">
        <v>328</v>
      </c>
      <c r="F26" s="844">
        <v>8</v>
      </c>
      <c r="G26" s="844">
        <v>8</v>
      </c>
      <c r="H26" s="844">
        <v>8</v>
      </c>
      <c r="I26" s="844">
        <v>8</v>
      </c>
      <c r="J26" s="844">
        <v>8</v>
      </c>
      <c r="K26" s="844">
        <v>8</v>
      </c>
      <c r="L26" s="844">
        <v>8</v>
      </c>
      <c r="M26" s="844">
        <v>8</v>
      </c>
      <c r="N26" s="844">
        <v>8</v>
      </c>
      <c r="O26" s="844">
        <v>8</v>
      </c>
      <c r="P26" s="844">
        <v>8</v>
      </c>
      <c r="Q26" s="844">
        <v>8</v>
      </c>
      <c r="R26" s="844">
        <v>8</v>
      </c>
      <c r="S26" s="844">
        <v>8</v>
      </c>
      <c r="T26" s="844">
        <v>8</v>
      </c>
      <c r="U26" s="844">
        <v>8</v>
      </c>
      <c r="V26" s="844">
        <v>8</v>
      </c>
      <c r="W26" s="844">
        <v>8</v>
      </c>
      <c r="X26" s="844">
        <v>8</v>
      </c>
      <c r="Y26" s="844">
        <v>8</v>
      </c>
      <c r="Z26" s="844">
        <v>8</v>
      </c>
      <c r="AA26" s="844">
        <v>8</v>
      </c>
      <c r="AB26" s="844">
        <v>8</v>
      </c>
      <c r="AC26" s="844">
        <v>8</v>
      </c>
      <c r="AD26" s="844">
        <v>8</v>
      </c>
      <c r="AE26" s="844">
        <v>8</v>
      </c>
      <c r="AF26" s="844">
        <v>8</v>
      </c>
      <c r="AG26" s="844">
        <v>8</v>
      </c>
      <c r="AH26" s="844">
        <v>8</v>
      </c>
      <c r="AI26" s="844">
        <v>8</v>
      </c>
      <c r="AJ26" s="844">
        <v>8</v>
      </c>
      <c r="AK26" s="844">
        <v>8</v>
      </c>
      <c r="AL26" s="844">
        <v>8</v>
      </c>
      <c r="AM26" s="844">
        <v>8</v>
      </c>
      <c r="AN26" s="844">
        <v>8</v>
      </c>
      <c r="AO26" s="844">
        <v>8</v>
      </c>
      <c r="AP26" s="844">
        <v>8</v>
      </c>
      <c r="AQ26" s="844">
        <v>8</v>
      </c>
      <c r="AR26" s="844">
        <v>8</v>
      </c>
      <c r="AS26" s="844">
        <v>8</v>
      </c>
      <c r="AT26" s="844">
        <v>8</v>
      </c>
      <c r="AU26" s="844">
        <v>8</v>
      </c>
      <c r="AV26" s="844">
        <v>8</v>
      </c>
      <c r="AW26" s="844">
        <v>8</v>
      </c>
      <c r="AX26" s="844">
        <v>8</v>
      </c>
      <c r="AY26" s="844">
        <v>8</v>
      </c>
      <c r="AZ26" s="844">
        <v>8</v>
      </c>
      <c r="BA26" s="844">
        <v>8</v>
      </c>
      <c r="BB26" s="844">
        <v>8</v>
      </c>
      <c r="BC26" s="844">
        <v>8</v>
      </c>
      <c r="BD26" s="844">
        <v>8</v>
      </c>
      <c r="BE26" s="844">
        <v>8</v>
      </c>
      <c r="BF26" s="844">
        <v>8</v>
      </c>
      <c r="BG26" s="844">
        <v>8</v>
      </c>
      <c r="BH26" s="844">
        <v>8</v>
      </c>
      <c r="BI26" s="844">
        <v>8</v>
      </c>
      <c r="BJ26" s="844">
        <v>8</v>
      </c>
      <c r="BK26" s="844">
        <v>8</v>
      </c>
      <c r="BL26" s="844">
        <v>8</v>
      </c>
      <c r="BM26" s="844">
        <v>8</v>
      </c>
      <c r="BN26" s="844">
        <v>8</v>
      </c>
      <c r="BO26" s="844">
        <v>8</v>
      </c>
      <c r="BP26" s="844">
        <v>8</v>
      </c>
      <c r="BQ26" s="844">
        <v>8</v>
      </c>
      <c r="BR26" s="844">
        <v>8</v>
      </c>
      <c r="BS26" s="844">
        <v>8</v>
      </c>
      <c r="BT26" s="844">
        <v>8</v>
      </c>
      <c r="BU26" s="844">
        <v>8</v>
      </c>
      <c r="BV26" s="844">
        <v>8</v>
      </c>
      <c r="BW26" s="844">
        <v>8</v>
      </c>
      <c r="BX26" s="844">
        <v>8</v>
      </c>
      <c r="BY26" s="844">
        <v>8</v>
      </c>
      <c r="BZ26" s="844">
        <v>8</v>
      </c>
      <c r="CA26" s="844">
        <v>8</v>
      </c>
      <c r="CB26" s="844">
        <v>8</v>
      </c>
      <c r="CC26" s="844">
        <v>8</v>
      </c>
      <c r="CD26" s="844">
        <v>8</v>
      </c>
      <c r="CE26" s="844">
        <v>8</v>
      </c>
      <c r="CF26" s="844">
        <v>8</v>
      </c>
      <c r="CG26" s="844">
        <v>8</v>
      </c>
      <c r="CH26" s="844">
        <v>8</v>
      </c>
      <c r="CI26" s="844">
        <v>8</v>
      </c>
      <c r="CJ26" s="844">
        <v>8</v>
      </c>
      <c r="CK26" s="844">
        <v>8</v>
      </c>
      <c r="CL26" s="844">
        <v>8</v>
      </c>
      <c r="CM26" s="844">
        <v>8</v>
      </c>
      <c r="CN26" s="844">
        <v>8</v>
      </c>
      <c r="CO26" s="844">
        <v>8</v>
      </c>
      <c r="CP26" s="844">
        <v>8</v>
      </c>
      <c r="CQ26" s="844">
        <v>8</v>
      </c>
      <c r="CR26" s="844">
        <v>8</v>
      </c>
      <c r="CS26" s="844">
        <v>8</v>
      </c>
      <c r="CT26" s="844">
        <v>8</v>
      </c>
      <c r="CU26" s="844">
        <v>8</v>
      </c>
      <c r="CV26" s="844">
        <v>8</v>
      </c>
      <c r="CW26" s="844">
        <v>8</v>
      </c>
      <c r="CX26" s="844">
        <v>8</v>
      </c>
      <c r="CY26" s="844">
        <v>8</v>
      </c>
      <c r="CZ26" s="844">
        <v>8</v>
      </c>
      <c r="DA26" s="844">
        <v>8</v>
      </c>
      <c r="DB26" s="844">
        <v>8</v>
      </c>
      <c r="DC26" s="844">
        <v>8</v>
      </c>
      <c r="DD26" s="844">
        <v>8</v>
      </c>
      <c r="DE26" s="844">
        <v>8</v>
      </c>
      <c r="DF26" s="844">
        <v>8</v>
      </c>
      <c r="DG26" s="844">
        <v>8</v>
      </c>
      <c r="DH26" s="844">
        <v>8</v>
      </c>
      <c r="DI26" s="844">
        <v>8</v>
      </c>
      <c r="DJ26" s="844">
        <v>8</v>
      </c>
      <c r="DK26" s="844">
        <v>8</v>
      </c>
      <c r="DL26" s="844">
        <v>8</v>
      </c>
      <c r="DM26" s="844">
        <v>8</v>
      </c>
      <c r="DN26" s="844">
        <v>8</v>
      </c>
      <c r="DO26" s="844">
        <v>8</v>
      </c>
      <c r="DP26" s="844">
        <v>8</v>
      </c>
      <c r="DQ26" s="844">
        <v>8</v>
      </c>
      <c r="DR26" s="844">
        <v>8</v>
      </c>
      <c r="DS26" s="844">
        <v>8</v>
      </c>
      <c r="DT26" s="844">
        <v>8</v>
      </c>
      <c r="DU26" s="844">
        <v>8</v>
      </c>
      <c r="DV26" s="844">
        <v>8</v>
      </c>
      <c r="DW26" s="844">
        <v>8</v>
      </c>
      <c r="DX26" s="844">
        <v>8</v>
      </c>
      <c r="DY26" s="844">
        <v>8</v>
      </c>
      <c r="DZ26" s="844">
        <v>8</v>
      </c>
      <c r="EA26" s="844">
        <v>8</v>
      </c>
      <c r="EB26" s="844">
        <v>8</v>
      </c>
      <c r="EC26" s="844">
        <v>8</v>
      </c>
      <c r="ED26" s="844">
        <v>8</v>
      </c>
      <c r="EE26" s="844">
        <v>8</v>
      </c>
      <c r="EF26" s="844">
        <v>8</v>
      </c>
      <c r="EG26" s="844">
        <v>8</v>
      </c>
      <c r="EH26" s="757">
        <v>5</v>
      </c>
      <c r="EI26" s="757">
        <v>5</v>
      </c>
      <c r="EJ26" s="757">
        <v>5</v>
      </c>
      <c r="EK26" s="757">
        <v>5</v>
      </c>
      <c r="EL26" s="757">
        <v>5</v>
      </c>
      <c r="EM26" s="757">
        <v>5</v>
      </c>
      <c r="EN26" s="757">
        <v>5</v>
      </c>
      <c r="EO26" s="757">
        <v>5</v>
      </c>
      <c r="EP26" s="757">
        <v>5</v>
      </c>
      <c r="EQ26" s="757">
        <v>5</v>
      </c>
      <c r="ER26" s="757">
        <v>5</v>
      </c>
      <c r="ES26" s="757">
        <v>5</v>
      </c>
      <c r="ET26" s="757">
        <v>5</v>
      </c>
      <c r="EU26" s="757">
        <v>5</v>
      </c>
      <c r="EV26" s="757">
        <v>5</v>
      </c>
      <c r="EW26" s="757">
        <v>5</v>
      </c>
      <c r="EX26" s="757">
        <v>5</v>
      </c>
      <c r="EY26" s="757">
        <v>5</v>
      </c>
      <c r="EZ26" s="757">
        <v>5</v>
      </c>
      <c r="FA26" s="757">
        <v>5</v>
      </c>
      <c r="FB26" s="757">
        <v>5</v>
      </c>
      <c r="FC26" s="757">
        <v>5</v>
      </c>
      <c r="FD26" s="757">
        <v>5</v>
      </c>
      <c r="FE26" s="757">
        <v>5</v>
      </c>
      <c r="FF26"/>
    </row>
    <row r="27" spans="1:162" s="356" customFormat="1" ht="15" x14ac:dyDescent="0.25">
      <c r="A27" t="s">
        <v>319</v>
      </c>
      <c r="B27" t="s">
        <v>509</v>
      </c>
      <c r="C27" s="509"/>
      <c r="D27" s="509" t="s">
        <v>445</v>
      </c>
      <c r="E27" t="s">
        <v>378</v>
      </c>
      <c r="F27" s="844">
        <v>1</v>
      </c>
      <c r="G27" s="844">
        <v>1</v>
      </c>
      <c r="H27" s="844">
        <v>1</v>
      </c>
      <c r="I27" s="844">
        <v>1</v>
      </c>
      <c r="J27" s="844">
        <v>1</v>
      </c>
      <c r="K27" s="844">
        <v>1</v>
      </c>
      <c r="L27" s="844">
        <v>1</v>
      </c>
      <c r="M27" s="844">
        <v>1</v>
      </c>
      <c r="N27" s="844">
        <v>1</v>
      </c>
      <c r="O27" s="844">
        <v>1</v>
      </c>
      <c r="P27" s="844">
        <v>0</v>
      </c>
      <c r="Q27" s="844">
        <v>0</v>
      </c>
      <c r="R27" s="844">
        <v>0</v>
      </c>
      <c r="S27" s="844">
        <v>0</v>
      </c>
      <c r="T27" s="844">
        <v>0</v>
      </c>
      <c r="U27" s="844">
        <v>0</v>
      </c>
      <c r="V27" s="844">
        <v>0</v>
      </c>
      <c r="W27" s="844">
        <v>0</v>
      </c>
      <c r="X27" s="844">
        <v>0</v>
      </c>
      <c r="Y27" s="844">
        <v>0</v>
      </c>
      <c r="Z27" s="844">
        <v>0</v>
      </c>
      <c r="AA27" s="844">
        <v>0</v>
      </c>
      <c r="AB27" s="844">
        <v>0</v>
      </c>
      <c r="AC27" s="844">
        <v>0</v>
      </c>
      <c r="AD27" s="844">
        <v>0</v>
      </c>
      <c r="AE27" s="844">
        <v>0</v>
      </c>
      <c r="AF27" s="844">
        <v>0</v>
      </c>
      <c r="AG27" s="844">
        <v>0</v>
      </c>
      <c r="AH27" s="844">
        <v>0</v>
      </c>
      <c r="AI27" s="844">
        <v>0</v>
      </c>
      <c r="AJ27" s="844">
        <v>0</v>
      </c>
      <c r="AK27" s="844">
        <v>0</v>
      </c>
      <c r="AL27" s="844">
        <v>0</v>
      </c>
      <c r="AM27" s="844">
        <v>0</v>
      </c>
      <c r="AN27" s="844">
        <v>0</v>
      </c>
      <c r="AO27" s="844">
        <v>0</v>
      </c>
      <c r="AP27" s="844">
        <v>0</v>
      </c>
      <c r="AQ27" s="844">
        <v>0</v>
      </c>
      <c r="AR27" s="844">
        <v>0</v>
      </c>
      <c r="AS27" s="844">
        <v>0</v>
      </c>
      <c r="AT27" s="844">
        <v>0</v>
      </c>
      <c r="AU27" s="844">
        <v>0</v>
      </c>
      <c r="AV27" s="844">
        <v>0</v>
      </c>
      <c r="AW27" s="844">
        <v>0</v>
      </c>
      <c r="AX27" s="844">
        <v>0</v>
      </c>
      <c r="AY27" s="844">
        <v>0</v>
      </c>
      <c r="AZ27" s="844">
        <v>0</v>
      </c>
      <c r="BA27" s="844">
        <v>0</v>
      </c>
      <c r="BB27" s="844">
        <v>0</v>
      </c>
      <c r="BC27" s="844">
        <v>0</v>
      </c>
      <c r="BD27" s="844">
        <v>0</v>
      </c>
      <c r="BE27" s="844">
        <v>0</v>
      </c>
      <c r="BF27" s="844">
        <v>0</v>
      </c>
      <c r="BG27" s="844">
        <v>0</v>
      </c>
      <c r="BH27" s="844">
        <v>0</v>
      </c>
      <c r="BI27" s="844">
        <v>0</v>
      </c>
      <c r="BJ27" s="844">
        <v>0</v>
      </c>
      <c r="BK27" s="844">
        <v>0</v>
      </c>
      <c r="BL27" s="844">
        <v>0</v>
      </c>
      <c r="BM27" s="844">
        <v>0</v>
      </c>
      <c r="BN27" s="844">
        <v>0</v>
      </c>
      <c r="BO27" s="844">
        <v>0</v>
      </c>
      <c r="BP27" s="844">
        <v>0</v>
      </c>
      <c r="BQ27" s="844">
        <v>0</v>
      </c>
      <c r="BR27" s="844">
        <v>0</v>
      </c>
      <c r="BS27" s="844">
        <v>0</v>
      </c>
      <c r="BT27" s="844">
        <v>0</v>
      </c>
      <c r="BU27" s="844">
        <v>0</v>
      </c>
      <c r="BV27" s="844">
        <v>0</v>
      </c>
      <c r="BW27" s="844">
        <v>0</v>
      </c>
      <c r="BX27" s="844">
        <v>0</v>
      </c>
      <c r="BY27" s="844">
        <v>0</v>
      </c>
      <c r="BZ27" s="844">
        <v>0</v>
      </c>
      <c r="CA27" s="844">
        <v>0</v>
      </c>
      <c r="CB27" s="844">
        <v>0</v>
      </c>
      <c r="CC27" s="844">
        <v>0</v>
      </c>
      <c r="CD27" s="844">
        <v>0</v>
      </c>
      <c r="CE27" s="844">
        <v>0</v>
      </c>
      <c r="CF27" s="844">
        <v>0</v>
      </c>
      <c r="CG27" s="844">
        <v>0</v>
      </c>
      <c r="CH27" s="844">
        <v>0</v>
      </c>
      <c r="CI27" s="844">
        <v>0</v>
      </c>
      <c r="CJ27" s="844">
        <v>0</v>
      </c>
      <c r="CK27" s="844">
        <v>0</v>
      </c>
      <c r="CL27" s="844">
        <v>0</v>
      </c>
      <c r="CM27" s="844">
        <v>0</v>
      </c>
      <c r="CN27" s="844">
        <v>0</v>
      </c>
      <c r="CO27" s="844">
        <v>0</v>
      </c>
      <c r="CP27" s="844">
        <v>0</v>
      </c>
      <c r="CQ27" s="844">
        <v>0</v>
      </c>
      <c r="CR27" s="844">
        <v>0</v>
      </c>
      <c r="CS27" s="844">
        <v>0</v>
      </c>
      <c r="CT27" s="844">
        <v>0</v>
      </c>
      <c r="CU27" s="844">
        <v>0</v>
      </c>
      <c r="CV27" s="844">
        <v>0</v>
      </c>
      <c r="CW27" s="844">
        <v>0</v>
      </c>
      <c r="CX27" s="844">
        <v>0</v>
      </c>
      <c r="CY27" s="844">
        <v>0</v>
      </c>
      <c r="CZ27" s="844">
        <v>0</v>
      </c>
      <c r="DA27" s="844">
        <v>0</v>
      </c>
      <c r="DB27" s="844">
        <v>0</v>
      </c>
      <c r="DC27" s="844">
        <v>0</v>
      </c>
      <c r="DD27" s="844">
        <v>0</v>
      </c>
      <c r="DE27" s="844">
        <v>0</v>
      </c>
      <c r="DF27" s="844">
        <v>0</v>
      </c>
      <c r="DG27" s="844">
        <v>0</v>
      </c>
      <c r="DH27" s="844">
        <v>0</v>
      </c>
      <c r="DI27" s="844">
        <v>0</v>
      </c>
      <c r="DJ27" s="844">
        <v>0</v>
      </c>
      <c r="DK27" s="844">
        <v>0</v>
      </c>
      <c r="DL27" s="844">
        <v>0</v>
      </c>
      <c r="DM27" s="844">
        <v>0</v>
      </c>
      <c r="DN27" s="844">
        <v>0</v>
      </c>
      <c r="DO27" s="844">
        <v>0</v>
      </c>
      <c r="DP27" s="844">
        <v>0</v>
      </c>
      <c r="DQ27" s="844">
        <v>0</v>
      </c>
      <c r="DR27" s="844">
        <v>0</v>
      </c>
      <c r="DS27" s="844">
        <v>0</v>
      </c>
      <c r="DT27" s="844">
        <v>0</v>
      </c>
      <c r="DU27" s="844">
        <v>0</v>
      </c>
      <c r="DV27" s="844">
        <v>0</v>
      </c>
      <c r="DW27" s="844">
        <v>0</v>
      </c>
      <c r="DX27" s="844">
        <v>0</v>
      </c>
      <c r="DY27" s="844">
        <v>0</v>
      </c>
      <c r="DZ27" s="844">
        <v>0</v>
      </c>
      <c r="EA27" s="844">
        <v>0</v>
      </c>
      <c r="EB27" s="844">
        <v>0</v>
      </c>
      <c r="EC27" s="844">
        <v>0</v>
      </c>
      <c r="ED27" s="844">
        <v>0</v>
      </c>
      <c r="EE27" s="844">
        <v>0</v>
      </c>
      <c r="EF27" s="844">
        <v>0</v>
      </c>
      <c r="EG27" s="844">
        <v>0</v>
      </c>
      <c r="EH27" s="757">
        <v>7</v>
      </c>
      <c r="EI27" s="757">
        <v>7</v>
      </c>
      <c r="EJ27" s="757">
        <v>7</v>
      </c>
      <c r="EK27" s="757">
        <v>7</v>
      </c>
      <c r="EL27" s="757">
        <v>7</v>
      </c>
      <c r="EM27" s="757">
        <v>7</v>
      </c>
      <c r="EN27" s="757">
        <v>7</v>
      </c>
      <c r="EO27" s="757">
        <v>7</v>
      </c>
      <c r="EP27" s="757">
        <v>7</v>
      </c>
      <c r="EQ27" s="757">
        <v>7</v>
      </c>
      <c r="ER27" s="757">
        <v>7</v>
      </c>
      <c r="ES27" s="757">
        <v>7</v>
      </c>
      <c r="ET27" s="757">
        <v>7</v>
      </c>
      <c r="EU27" s="757">
        <v>7</v>
      </c>
      <c r="EV27" s="757">
        <v>7</v>
      </c>
      <c r="EW27" s="757">
        <v>7</v>
      </c>
      <c r="EX27" s="757">
        <v>7</v>
      </c>
      <c r="EY27" s="757">
        <v>7</v>
      </c>
      <c r="EZ27" s="757">
        <v>7</v>
      </c>
      <c r="FA27" s="757">
        <v>7</v>
      </c>
      <c r="FB27" s="757">
        <v>7</v>
      </c>
      <c r="FC27" s="757">
        <v>7</v>
      </c>
      <c r="FD27" s="757">
        <v>7</v>
      </c>
      <c r="FE27" s="757">
        <v>7</v>
      </c>
      <c r="FF27"/>
    </row>
    <row r="28" spans="1:162" s="356" customFormat="1" ht="15" x14ac:dyDescent="0.25">
      <c r="A28" t="s">
        <v>85</v>
      </c>
      <c r="B28" t="s">
        <v>510</v>
      </c>
      <c r="C28" s="509"/>
      <c r="D28" s="509" t="s">
        <v>495</v>
      </c>
      <c r="E28" t="s">
        <v>33</v>
      </c>
      <c r="F28" s="844">
        <v>1</v>
      </c>
      <c r="G28" s="844">
        <v>1</v>
      </c>
      <c r="H28" s="844">
        <v>1</v>
      </c>
      <c r="I28" s="844">
        <v>1</v>
      </c>
      <c r="J28" s="844">
        <v>1</v>
      </c>
      <c r="K28" s="844">
        <v>1</v>
      </c>
      <c r="L28" s="844">
        <v>1</v>
      </c>
      <c r="M28" s="844">
        <v>1</v>
      </c>
      <c r="N28" s="844">
        <v>1</v>
      </c>
      <c r="O28" s="844">
        <v>1</v>
      </c>
      <c r="P28" s="844">
        <v>1</v>
      </c>
      <c r="Q28" s="844">
        <v>1</v>
      </c>
      <c r="R28" s="844">
        <v>1</v>
      </c>
      <c r="S28" s="844">
        <v>1</v>
      </c>
      <c r="T28" s="844">
        <v>1</v>
      </c>
      <c r="U28" s="844">
        <v>1</v>
      </c>
      <c r="V28" s="844">
        <v>1</v>
      </c>
      <c r="W28" s="844">
        <v>1</v>
      </c>
      <c r="X28" s="844">
        <v>1</v>
      </c>
      <c r="Y28" s="844">
        <v>1</v>
      </c>
      <c r="Z28" s="844">
        <v>1</v>
      </c>
      <c r="AA28" s="844">
        <v>1</v>
      </c>
      <c r="AB28" s="844">
        <v>1</v>
      </c>
      <c r="AC28" s="844">
        <v>1</v>
      </c>
      <c r="AD28" s="844">
        <v>1</v>
      </c>
      <c r="AE28" s="844">
        <v>1</v>
      </c>
      <c r="AF28" s="844">
        <v>1</v>
      </c>
      <c r="AG28" s="844">
        <v>1</v>
      </c>
      <c r="AH28" s="844">
        <v>1</v>
      </c>
      <c r="AI28" s="844">
        <v>1</v>
      </c>
      <c r="AJ28" s="844">
        <v>1</v>
      </c>
      <c r="AK28" s="844">
        <v>1</v>
      </c>
      <c r="AL28" s="844">
        <v>1</v>
      </c>
      <c r="AM28" s="844">
        <v>1</v>
      </c>
      <c r="AN28" s="844">
        <v>1</v>
      </c>
      <c r="AO28" s="844">
        <v>1</v>
      </c>
      <c r="AP28" s="844">
        <v>1</v>
      </c>
      <c r="AQ28" s="844">
        <v>1</v>
      </c>
      <c r="AR28" s="844">
        <v>1</v>
      </c>
      <c r="AS28" s="844">
        <v>1</v>
      </c>
      <c r="AT28" s="844">
        <v>1</v>
      </c>
      <c r="AU28" s="844">
        <v>1</v>
      </c>
      <c r="AV28" s="844">
        <v>1</v>
      </c>
      <c r="AW28" s="844">
        <v>1</v>
      </c>
      <c r="AX28" s="844">
        <v>1</v>
      </c>
      <c r="AY28" s="844">
        <v>1</v>
      </c>
      <c r="AZ28" s="844">
        <v>1</v>
      </c>
      <c r="BA28" s="844">
        <v>1</v>
      </c>
      <c r="BB28" s="844">
        <v>1</v>
      </c>
      <c r="BC28" s="844">
        <v>1</v>
      </c>
      <c r="BD28" s="844">
        <v>1</v>
      </c>
      <c r="BE28" s="844">
        <v>1</v>
      </c>
      <c r="BF28" s="844">
        <v>1</v>
      </c>
      <c r="BG28" s="844">
        <v>1</v>
      </c>
      <c r="BH28" s="844">
        <v>1</v>
      </c>
      <c r="BI28" s="844">
        <v>1</v>
      </c>
      <c r="BJ28" s="844">
        <v>1</v>
      </c>
      <c r="BK28" s="844">
        <v>1</v>
      </c>
      <c r="BL28" s="844">
        <v>1</v>
      </c>
      <c r="BM28" s="844">
        <v>1</v>
      </c>
      <c r="BN28" s="844">
        <v>1</v>
      </c>
      <c r="BO28" s="844">
        <v>1</v>
      </c>
      <c r="BP28" s="844">
        <v>1</v>
      </c>
      <c r="BQ28" s="844">
        <v>1</v>
      </c>
      <c r="BR28" s="844">
        <v>1</v>
      </c>
      <c r="BS28" s="844">
        <v>1</v>
      </c>
      <c r="BT28" s="844">
        <v>1</v>
      </c>
      <c r="BU28" s="844">
        <v>1</v>
      </c>
      <c r="BV28" s="844">
        <v>1</v>
      </c>
      <c r="BW28" s="844">
        <v>1</v>
      </c>
      <c r="BX28" s="844">
        <v>1</v>
      </c>
      <c r="BY28" s="844">
        <v>1</v>
      </c>
      <c r="BZ28" s="844">
        <v>1</v>
      </c>
      <c r="CA28" s="844">
        <v>1</v>
      </c>
      <c r="CB28" s="844">
        <v>1</v>
      </c>
      <c r="CC28" s="844">
        <v>1</v>
      </c>
      <c r="CD28" s="844">
        <v>1</v>
      </c>
      <c r="CE28" s="844">
        <v>1</v>
      </c>
      <c r="CF28" s="844">
        <v>1</v>
      </c>
      <c r="CG28" s="844">
        <v>1</v>
      </c>
      <c r="CH28" s="844">
        <v>1</v>
      </c>
      <c r="CI28" s="844">
        <v>1</v>
      </c>
      <c r="CJ28" s="844">
        <v>1</v>
      </c>
      <c r="CK28" s="844">
        <v>1</v>
      </c>
      <c r="CL28" s="844">
        <v>1</v>
      </c>
      <c r="CM28" s="844">
        <v>1</v>
      </c>
      <c r="CN28" s="844">
        <v>1</v>
      </c>
      <c r="CO28" s="844">
        <v>1</v>
      </c>
      <c r="CP28" s="844">
        <v>1</v>
      </c>
      <c r="CQ28" s="844">
        <v>1</v>
      </c>
      <c r="CR28" s="844">
        <v>1</v>
      </c>
      <c r="CS28" s="844">
        <v>1</v>
      </c>
      <c r="CT28" s="844">
        <v>1</v>
      </c>
      <c r="CU28" s="844">
        <v>1</v>
      </c>
      <c r="CV28" s="844">
        <v>1</v>
      </c>
      <c r="CW28" s="844">
        <v>1</v>
      </c>
      <c r="CX28" s="844">
        <v>1</v>
      </c>
      <c r="CY28" s="844">
        <v>1</v>
      </c>
      <c r="CZ28" s="844">
        <v>1</v>
      </c>
      <c r="DA28" s="844">
        <v>1</v>
      </c>
      <c r="DB28" s="844">
        <v>1</v>
      </c>
      <c r="DC28" s="844">
        <v>1</v>
      </c>
      <c r="DD28" s="844">
        <v>1</v>
      </c>
      <c r="DE28" s="844">
        <v>1</v>
      </c>
      <c r="DF28" s="844">
        <v>1</v>
      </c>
      <c r="DG28" s="844">
        <v>1</v>
      </c>
      <c r="DH28" s="844">
        <v>1</v>
      </c>
      <c r="DI28" s="844">
        <v>1</v>
      </c>
      <c r="DJ28" s="844">
        <v>1</v>
      </c>
      <c r="DK28" s="844">
        <v>1</v>
      </c>
      <c r="DL28" s="844">
        <v>1</v>
      </c>
      <c r="DM28" s="844">
        <v>1</v>
      </c>
      <c r="DN28" s="844">
        <v>1</v>
      </c>
      <c r="DO28" s="844">
        <v>1</v>
      </c>
      <c r="DP28" s="844">
        <v>1</v>
      </c>
      <c r="DQ28" s="844">
        <v>1</v>
      </c>
      <c r="DR28" s="844">
        <v>1</v>
      </c>
      <c r="DS28" s="844">
        <v>1</v>
      </c>
      <c r="DT28" s="844">
        <v>1</v>
      </c>
      <c r="DU28" s="844">
        <v>1</v>
      </c>
      <c r="DV28" s="844">
        <v>1</v>
      </c>
      <c r="DW28" s="844">
        <v>1</v>
      </c>
      <c r="DX28" s="844">
        <v>1</v>
      </c>
      <c r="DY28" s="844">
        <v>1</v>
      </c>
      <c r="DZ28" s="844">
        <v>1</v>
      </c>
      <c r="EA28" s="844">
        <v>1</v>
      </c>
      <c r="EB28" s="844">
        <v>1</v>
      </c>
      <c r="EC28" s="844">
        <v>1</v>
      </c>
      <c r="ED28" s="844">
        <v>1</v>
      </c>
      <c r="EE28" s="844">
        <v>1</v>
      </c>
      <c r="EF28" s="844">
        <v>1</v>
      </c>
      <c r="EG28" s="844">
        <v>1</v>
      </c>
      <c r="EH28" s="768">
        <v>2</v>
      </c>
      <c r="EI28" s="768">
        <v>2</v>
      </c>
      <c r="EJ28" s="768">
        <v>2</v>
      </c>
      <c r="EK28" s="768">
        <v>2</v>
      </c>
      <c r="EL28" s="768">
        <v>2</v>
      </c>
      <c r="EM28" s="768">
        <v>2</v>
      </c>
      <c r="EN28" s="768">
        <v>2</v>
      </c>
      <c r="EO28" s="768">
        <v>2</v>
      </c>
      <c r="EP28" s="768">
        <v>2</v>
      </c>
      <c r="EQ28" s="768">
        <v>2</v>
      </c>
      <c r="ER28" s="768">
        <v>2</v>
      </c>
      <c r="ES28" s="768">
        <v>2</v>
      </c>
      <c r="ET28" s="768">
        <v>2</v>
      </c>
      <c r="EU28" s="768">
        <v>2</v>
      </c>
      <c r="EV28" s="768">
        <v>2</v>
      </c>
      <c r="EW28" s="768">
        <v>2</v>
      </c>
      <c r="EX28" s="768">
        <v>2</v>
      </c>
      <c r="EY28" s="768">
        <v>2</v>
      </c>
      <c r="EZ28" s="768">
        <v>2</v>
      </c>
      <c r="FA28" s="768">
        <v>2</v>
      </c>
      <c r="FB28" s="768">
        <v>2</v>
      </c>
      <c r="FC28" s="768">
        <v>2</v>
      </c>
      <c r="FD28" s="768">
        <v>2</v>
      </c>
      <c r="FE28" s="768">
        <v>2</v>
      </c>
      <c r="FF28"/>
    </row>
    <row r="29" spans="1:162" s="356" customFormat="1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</row>
    <row r="30" spans="1:162" s="356" customFormat="1" ht="15" x14ac:dyDescent="0.25">
      <c r="A30" t="s">
        <v>512</v>
      </c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</row>
    <row r="31" spans="1:162" s="356" customFormat="1" ht="15" x14ac:dyDescent="0.25">
      <c r="A31" t="s">
        <v>513</v>
      </c>
      <c r="B31"/>
      <c r="C31"/>
      <c r="D31" s="509" t="s">
        <v>62</v>
      </c>
      <c r="E31"/>
      <c r="F31" s="768">
        <f t="shared" ref="F31:Q40" si="0">SUMIF($D$5:$D$28,$D31,F$5:F$28)</f>
        <v>301130</v>
      </c>
      <c r="G31" s="768">
        <f t="shared" si="0"/>
        <v>301068</v>
      </c>
      <c r="H31" s="768">
        <f t="shared" si="0"/>
        <v>301692</v>
      </c>
      <c r="I31" s="768">
        <f t="shared" si="0"/>
        <v>301026</v>
      </c>
      <c r="J31" s="768">
        <f t="shared" si="0"/>
        <v>301201</v>
      </c>
      <c r="K31" s="768">
        <f t="shared" si="0"/>
        <v>300734</v>
      </c>
      <c r="L31" s="768">
        <f t="shared" si="0"/>
        <v>300330</v>
      </c>
      <c r="M31" s="768">
        <f t="shared" si="0"/>
        <v>300090</v>
      </c>
      <c r="N31" s="768">
        <f t="shared" si="0"/>
        <v>299489</v>
      </c>
      <c r="O31" s="768">
        <f t="shared" si="0"/>
        <v>299810</v>
      </c>
      <c r="P31" s="768">
        <f t="shared" si="0"/>
        <v>300127</v>
      </c>
      <c r="Q31" s="768">
        <f t="shared" si="0"/>
        <v>301386</v>
      </c>
      <c r="R31" s="768">
        <f t="shared" ref="R31:S40" si="1">SUMIF($D$5:$D$28,$D31,R$5:R$28)</f>
        <v>301961</v>
      </c>
      <c r="S31" s="768">
        <f t="shared" si="1"/>
        <v>302059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</row>
    <row r="32" spans="1:162" s="356" customFormat="1" ht="15" x14ac:dyDescent="0.25">
      <c r="A32" t="s">
        <v>514</v>
      </c>
      <c r="B32"/>
      <c r="C32"/>
      <c r="D32" s="509" t="s">
        <v>56</v>
      </c>
      <c r="E32"/>
      <c r="F32" s="768">
        <f t="shared" si="0"/>
        <v>26173</v>
      </c>
      <c r="G32" s="768">
        <f t="shared" si="0"/>
        <v>26200</v>
      </c>
      <c r="H32" s="768">
        <f t="shared" si="0"/>
        <v>26198</v>
      </c>
      <c r="I32" s="768">
        <f t="shared" si="0"/>
        <v>25974</v>
      </c>
      <c r="J32" s="768">
        <f t="shared" si="0"/>
        <v>25727</v>
      </c>
      <c r="K32" s="768">
        <f t="shared" si="0"/>
        <v>25441</v>
      </c>
      <c r="L32" s="768">
        <f t="shared" si="0"/>
        <v>25283</v>
      </c>
      <c r="M32" s="768">
        <f t="shared" si="0"/>
        <v>25164</v>
      </c>
      <c r="N32" s="768">
        <f t="shared" si="0"/>
        <v>25091</v>
      </c>
      <c r="O32" s="768">
        <f t="shared" si="0"/>
        <v>25233</v>
      </c>
      <c r="P32" s="768">
        <f t="shared" si="0"/>
        <v>25644</v>
      </c>
      <c r="Q32" s="768">
        <f t="shared" si="0"/>
        <v>25967</v>
      </c>
      <c r="R32" s="768">
        <f t="shared" si="1"/>
        <v>26116</v>
      </c>
      <c r="S32" s="768">
        <f t="shared" si="1"/>
        <v>26143</v>
      </c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</row>
    <row r="33" spans="1:162" s="356" customFormat="1" ht="15" x14ac:dyDescent="0.25">
      <c r="A33" t="s">
        <v>515</v>
      </c>
      <c r="B33"/>
      <c r="C33"/>
      <c r="D33" s="509" t="s">
        <v>59</v>
      </c>
      <c r="E33"/>
      <c r="F33" s="768">
        <f t="shared" si="0"/>
        <v>219</v>
      </c>
      <c r="G33" s="768">
        <f t="shared" si="0"/>
        <v>216</v>
      </c>
      <c r="H33" s="768">
        <f t="shared" si="0"/>
        <v>235</v>
      </c>
      <c r="I33" s="768">
        <f t="shared" si="0"/>
        <v>224</v>
      </c>
      <c r="J33" s="768">
        <f t="shared" si="0"/>
        <v>217</v>
      </c>
      <c r="K33" s="768">
        <f t="shared" si="0"/>
        <v>199</v>
      </c>
      <c r="L33" s="768">
        <f t="shared" si="0"/>
        <v>182</v>
      </c>
      <c r="M33" s="768">
        <f t="shared" si="0"/>
        <v>177</v>
      </c>
      <c r="N33" s="768">
        <f>SUMIF($D$5:$D$28,$D33,N$5:N$28)</f>
        <v>184</v>
      </c>
      <c r="O33" s="768">
        <f t="shared" si="0"/>
        <v>194</v>
      </c>
      <c r="P33" s="768">
        <f t="shared" si="0"/>
        <v>212</v>
      </c>
      <c r="Q33" s="768">
        <f t="shared" si="0"/>
        <v>216</v>
      </c>
      <c r="R33" s="768">
        <f t="shared" si="1"/>
        <v>216</v>
      </c>
      <c r="S33" s="768">
        <f t="shared" si="1"/>
        <v>212</v>
      </c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</row>
    <row r="34" spans="1:162" s="770" customFormat="1" ht="15" x14ac:dyDescent="0.25">
      <c r="A34" s="769"/>
      <c r="B34" s="769"/>
      <c r="C34" s="769"/>
      <c r="D34" s="509" t="s">
        <v>223</v>
      </c>
      <c r="E34" s="769"/>
      <c r="F34" s="768">
        <f t="shared" si="0"/>
        <v>3</v>
      </c>
      <c r="G34" s="768">
        <f t="shared" si="0"/>
        <v>3</v>
      </c>
      <c r="H34" s="768">
        <f t="shared" si="0"/>
        <v>3</v>
      </c>
      <c r="I34" s="768">
        <f t="shared" si="0"/>
        <v>3</v>
      </c>
      <c r="J34" s="768">
        <f t="shared" si="0"/>
        <v>3</v>
      </c>
      <c r="K34" s="768">
        <f t="shared" si="0"/>
        <v>3</v>
      </c>
      <c r="L34" s="768">
        <f t="shared" si="0"/>
        <v>3</v>
      </c>
      <c r="M34" s="768">
        <f t="shared" si="0"/>
        <v>3</v>
      </c>
      <c r="N34" s="768">
        <f t="shared" si="0"/>
        <v>3</v>
      </c>
      <c r="O34" s="768">
        <f t="shared" si="0"/>
        <v>3</v>
      </c>
      <c r="P34" s="768">
        <f t="shared" si="0"/>
        <v>2</v>
      </c>
      <c r="Q34" s="768">
        <f t="shared" si="0"/>
        <v>2</v>
      </c>
      <c r="R34" s="768">
        <f t="shared" si="1"/>
        <v>2</v>
      </c>
      <c r="S34" s="768">
        <f t="shared" si="1"/>
        <v>2</v>
      </c>
      <c r="T34" s="769"/>
      <c r="U34" s="769"/>
      <c r="V34" s="769"/>
      <c r="W34" s="769"/>
      <c r="X34" s="769"/>
      <c r="Y34" s="769"/>
      <c r="Z34" s="769"/>
      <c r="AA34" s="769"/>
      <c r="AB34" s="769"/>
      <c r="AC34" s="769"/>
      <c r="AD34" s="769"/>
      <c r="AE34" s="769"/>
      <c r="AF34" s="769"/>
      <c r="AG34" s="769"/>
      <c r="AH34" s="769"/>
      <c r="AI34" s="769"/>
      <c r="AJ34" s="769"/>
      <c r="AK34" s="769"/>
      <c r="AL34" s="769"/>
      <c r="AM34" s="769"/>
      <c r="AN34" s="769"/>
      <c r="AO34" s="769"/>
      <c r="AP34" s="769"/>
      <c r="AQ34" s="769"/>
      <c r="AR34" s="769"/>
      <c r="AS34" s="769">
        <v>0</v>
      </c>
      <c r="AT34" s="769">
        <v>0</v>
      </c>
      <c r="AU34" s="769">
        <v>0</v>
      </c>
      <c r="AV34" s="769">
        <v>0</v>
      </c>
      <c r="AW34" s="769">
        <v>0</v>
      </c>
      <c r="AX34" s="769">
        <v>0</v>
      </c>
      <c r="AY34" s="769">
        <v>0</v>
      </c>
      <c r="AZ34" s="769">
        <v>0</v>
      </c>
      <c r="BA34" s="769">
        <v>0</v>
      </c>
      <c r="BB34" s="769">
        <v>0</v>
      </c>
      <c r="BC34" s="769">
        <v>0</v>
      </c>
      <c r="BD34" s="769">
        <v>0</v>
      </c>
      <c r="BE34" s="769">
        <v>0</v>
      </c>
      <c r="BF34" s="769">
        <v>0</v>
      </c>
      <c r="BG34" s="769">
        <v>0</v>
      </c>
      <c r="BH34" s="769">
        <v>0</v>
      </c>
      <c r="BI34" s="769">
        <v>0</v>
      </c>
      <c r="BJ34" s="769">
        <v>0</v>
      </c>
      <c r="BK34" s="769">
        <v>0</v>
      </c>
      <c r="BL34" s="769">
        <v>0</v>
      </c>
      <c r="BM34" s="769">
        <v>0</v>
      </c>
      <c r="BN34" s="769">
        <v>0</v>
      </c>
      <c r="BO34" s="769">
        <v>0</v>
      </c>
      <c r="BP34" s="769">
        <v>0</v>
      </c>
      <c r="BQ34" s="769">
        <v>0</v>
      </c>
      <c r="BR34" s="769">
        <v>0</v>
      </c>
      <c r="BS34" s="769">
        <v>0</v>
      </c>
      <c r="BT34" s="769">
        <v>0</v>
      </c>
      <c r="BU34" s="769">
        <v>0</v>
      </c>
      <c r="BV34" s="769">
        <v>0</v>
      </c>
      <c r="BW34" s="769">
        <v>0</v>
      </c>
      <c r="BX34" s="769">
        <v>0</v>
      </c>
      <c r="BY34" s="769">
        <v>0</v>
      </c>
      <c r="BZ34" s="769">
        <v>0</v>
      </c>
      <c r="CA34" s="769">
        <v>0</v>
      </c>
      <c r="CB34" s="769">
        <v>0</v>
      </c>
      <c r="CC34" s="769">
        <v>0</v>
      </c>
      <c r="CD34" s="769">
        <v>0</v>
      </c>
      <c r="CE34" s="769">
        <v>0</v>
      </c>
      <c r="CF34" s="769">
        <v>0</v>
      </c>
      <c r="CG34" s="769">
        <v>0</v>
      </c>
      <c r="CH34" s="769">
        <v>0</v>
      </c>
      <c r="CI34" s="769">
        <v>0</v>
      </c>
      <c r="CJ34" s="769">
        <v>0</v>
      </c>
      <c r="CK34" s="769">
        <v>0</v>
      </c>
      <c r="CL34" s="769">
        <v>0</v>
      </c>
      <c r="CM34" s="769">
        <v>0</v>
      </c>
      <c r="CN34" s="769">
        <v>0</v>
      </c>
      <c r="CO34" s="769">
        <v>0</v>
      </c>
      <c r="CP34" s="769">
        <v>0</v>
      </c>
      <c r="CQ34" s="769">
        <v>0</v>
      </c>
      <c r="CR34" s="769">
        <v>0</v>
      </c>
      <c r="CS34" s="769">
        <v>0</v>
      </c>
      <c r="CT34" s="769">
        <v>0</v>
      </c>
      <c r="CU34" s="769">
        <v>0</v>
      </c>
      <c r="CV34" s="769">
        <v>0</v>
      </c>
      <c r="CW34" s="769">
        <v>0</v>
      </c>
      <c r="CX34" s="769">
        <v>0</v>
      </c>
      <c r="CY34" s="769">
        <v>0</v>
      </c>
      <c r="CZ34" s="769">
        <v>0</v>
      </c>
      <c r="DA34" s="769">
        <v>0</v>
      </c>
      <c r="DB34" s="769">
        <v>0</v>
      </c>
      <c r="DC34" s="769">
        <v>0</v>
      </c>
      <c r="DD34" s="769">
        <v>0</v>
      </c>
      <c r="DE34" s="769">
        <v>0</v>
      </c>
      <c r="DF34" s="769">
        <v>0</v>
      </c>
      <c r="DG34" s="769">
        <v>0</v>
      </c>
      <c r="DH34" s="769">
        <v>0</v>
      </c>
      <c r="DI34" s="769">
        <v>0</v>
      </c>
      <c r="DJ34" s="769">
        <v>0</v>
      </c>
      <c r="DK34" s="769">
        <v>0</v>
      </c>
      <c r="DL34" s="769">
        <v>0</v>
      </c>
      <c r="DM34" s="769">
        <v>0</v>
      </c>
      <c r="DN34" s="769">
        <v>0</v>
      </c>
      <c r="DO34" s="769">
        <v>0</v>
      </c>
      <c r="DP34" s="769">
        <v>0</v>
      </c>
      <c r="DQ34" s="769">
        <v>0</v>
      </c>
      <c r="DR34" s="769">
        <v>0</v>
      </c>
      <c r="DS34" s="769">
        <v>0</v>
      </c>
      <c r="DT34" s="769">
        <v>0</v>
      </c>
      <c r="DU34" s="769">
        <v>0</v>
      </c>
      <c r="DV34" s="769">
        <v>0</v>
      </c>
      <c r="DW34" s="769">
        <v>0</v>
      </c>
      <c r="DX34" s="769">
        <v>0</v>
      </c>
      <c r="DY34" s="769">
        <v>0</v>
      </c>
      <c r="DZ34" s="769">
        <v>0</v>
      </c>
      <c r="EA34" s="769">
        <v>0</v>
      </c>
      <c r="EB34" s="769">
        <v>0</v>
      </c>
      <c r="EC34" s="769">
        <v>0</v>
      </c>
      <c r="ED34" s="769">
        <v>0</v>
      </c>
      <c r="EE34" s="769">
        <v>0</v>
      </c>
      <c r="EF34" s="769">
        <v>0</v>
      </c>
      <c r="EG34" s="769">
        <v>0</v>
      </c>
      <c r="EH34" s="769">
        <v>0</v>
      </c>
      <c r="EI34" s="769">
        <v>0</v>
      </c>
      <c r="EJ34" s="769">
        <v>0</v>
      </c>
      <c r="EK34" s="769">
        <v>0</v>
      </c>
      <c r="EL34" s="769">
        <v>0</v>
      </c>
      <c r="EM34" s="769">
        <v>0</v>
      </c>
      <c r="EN34" s="769">
        <v>0</v>
      </c>
      <c r="EO34" s="769">
        <v>0</v>
      </c>
      <c r="EP34" s="769">
        <v>0</v>
      </c>
      <c r="EQ34" s="769">
        <v>0</v>
      </c>
      <c r="ER34" s="769">
        <v>0</v>
      </c>
      <c r="ES34" s="769">
        <v>0</v>
      </c>
      <c r="ET34" s="769">
        <v>0</v>
      </c>
      <c r="EU34" s="769">
        <v>0</v>
      </c>
      <c r="EV34" s="769">
        <v>0</v>
      </c>
      <c r="EW34" s="769">
        <v>0</v>
      </c>
      <c r="EX34" s="769">
        <v>0</v>
      </c>
      <c r="EY34" s="769">
        <v>0</v>
      </c>
      <c r="EZ34" s="769">
        <v>0</v>
      </c>
      <c r="FA34" s="769">
        <v>0</v>
      </c>
      <c r="FB34" s="769">
        <v>0</v>
      </c>
      <c r="FC34" s="769">
        <v>0</v>
      </c>
      <c r="FD34" s="769">
        <v>0</v>
      </c>
      <c r="FE34" s="769">
        <v>0</v>
      </c>
      <c r="FF34" s="769"/>
    </row>
    <row r="35" spans="1:162" ht="15" x14ac:dyDescent="0.25">
      <c r="A35"/>
      <c r="B35"/>
      <c r="C35"/>
      <c r="D35" s="509" t="s">
        <v>553</v>
      </c>
      <c r="E35"/>
      <c r="F35" s="768">
        <f t="shared" si="0"/>
        <v>1</v>
      </c>
      <c r="G35" s="768">
        <f t="shared" si="0"/>
        <v>1</v>
      </c>
      <c r="H35" s="768">
        <f t="shared" si="0"/>
        <v>1</v>
      </c>
      <c r="I35" s="768">
        <f t="shared" si="0"/>
        <v>1</v>
      </c>
      <c r="J35" s="768">
        <f t="shared" si="0"/>
        <v>1</v>
      </c>
      <c r="K35" s="768">
        <f t="shared" si="0"/>
        <v>1</v>
      </c>
      <c r="L35" s="768">
        <f t="shared" si="0"/>
        <v>1</v>
      </c>
      <c r="M35" s="768">
        <f t="shared" si="0"/>
        <v>1</v>
      </c>
      <c r="N35" s="768">
        <f t="shared" si="0"/>
        <v>1</v>
      </c>
      <c r="O35" s="768">
        <f t="shared" si="0"/>
        <v>1</v>
      </c>
      <c r="P35" s="768">
        <f t="shared" si="0"/>
        <v>1</v>
      </c>
      <c r="Q35" s="768">
        <f t="shared" si="0"/>
        <v>1</v>
      </c>
      <c r="R35" s="768">
        <f t="shared" si="1"/>
        <v>1</v>
      </c>
      <c r="S35" s="768">
        <f t="shared" si="1"/>
        <v>1</v>
      </c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</row>
    <row r="36" spans="1:162" ht="15" x14ac:dyDescent="0.25">
      <c r="A36"/>
      <c r="B36"/>
      <c r="C36"/>
      <c r="D36" s="509" t="s">
        <v>428</v>
      </c>
      <c r="E36"/>
      <c r="F36" s="768">
        <f t="shared" si="0"/>
        <v>2</v>
      </c>
      <c r="G36" s="768">
        <f t="shared" si="0"/>
        <v>2</v>
      </c>
      <c r="H36" s="768">
        <f t="shared" si="0"/>
        <v>2</v>
      </c>
      <c r="I36" s="768">
        <f t="shared" si="0"/>
        <v>2</v>
      </c>
      <c r="J36" s="768">
        <f t="shared" si="0"/>
        <v>2</v>
      </c>
      <c r="K36" s="768">
        <f t="shared" si="0"/>
        <v>2</v>
      </c>
      <c r="L36" s="768">
        <f t="shared" si="0"/>
        <v>2</v>
      </c>
      <c r="M36" s="768">
        <f t="shared" si="0"/>
        <v>2</v>
      </c>
      <c r="N36" s="768">
        <f t="shared" si="0"/>
        <v>2</v>
      </c>
      <c r="O36" s="768">
        <f t="shared" si="0"/>
        <v>2</v>
      </c>
      <c r="P36" s="768">
        <f t="shared" si="0"/>
        <v>2</v>
      </c>
      <c r="Q36" s="768">
        <f t="shared" si="0"/>
        <v>2</v>
      </c>
      <c r="R36" s="768">
        <f t="shared" si="1"/>
        <v>2</v>
      </c>
      <c r="S36" s="768">
        <f t="shared" si="1"/>
        <v>2</v>
      </c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</row>
    <row r="37" spans="1:162" ht="15" x14ac:dyDescent="0.25">
      <c r="A37"/>
      <c r="B37"/>
      <c r="C37"/>
      <c r="D37" s="509" t="s">
        <v>495</v>
      </c>
      <c r="E37"/>
      <c r="F37" s="768">
        <f t="shared" si="0"/>
        <v>1</v>
      </c>
      <c r="G37" s="768">
        <f t="shared" si="0"/>
        <v>1</v>
      </c>
      <c r="H37" s="768">
        <f t="shared" si="0"/>
        <v>1</v>
      </c>
      <c r="I37" s="768">
        <f t="shared" si="0"/>
        <v>1</v>
      </c>
      <c r="J37" s="768">
        <f t="shared" si="0"/>
        <v>1</v>
      </c>
      <c r="K37" s="768">
        <f t="shared" si="0"/>
        <v>1</v>
      </c>
      <c r="L37" s="768">
        <f t="shared" si="0"/>
        <v>1</v>
      </c>
      <c r="M37" s="768">
        <f t="shared" si="0"/>
        <v>1</v>
      </c>
      <c r="N37" s="768">
        <f t="shared" si="0"/>
        <v>1</v>
      </c>
      <c r="O37" s="768">
        <f t="shared" si="0"/>
        <v>1</v>
      </c>
      <c r="P37" s="768">
        <f t="shared" si="0"/>
        <v>1</v>
      </c>
      <c r="Q37" s="768">
        <f t="shared" si="0"/>
        <v>1</v>
      </c>
      <c r="R37" s="768">
        <f t="shared" si="1"/>
        <v>1</v>
      </c>
      <c r="S37" s="768">
        <f t="shared" si="1"/>
        <v>1</v>
      </c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</row>
    <row r="38" spans="1:162" ht="15" x14ac:dyDescent="0.25">
      <c r="A38"/>
      <c r="B38"/>
      <c r="C38"/>
      <c r="D38" s="509" t="s">
        <v>610</v>
      </c>
      <c r="E38"/>
      <c r="F38" s="768">
        <f t="shared" si="0"/>
        <v>77</v>
      </c>
      <c r="G38" s="768">
        <f t="shared" si="0"/>
        <v>77</v>
      </c>
      <c r="H38" s="768">
        <f t="shared" si="0"/>
        <v>78</v>
      </c>
      <c r="I38" s="768">
        <f t="shared" si="0"/>
        <v>80</v>
      </c>
      <c r="J38" s="768">
        <f t="shared" si="0"/>
        <v>80</v>
      </c>
      <c r="K38" s="768">
        <f t="shared" si="0"/>
        <v>81</v>
      </c>
      <c r="L38" s="768">
        <f t="shared" si="0"/>
        <v>82</v>
      </c>
      <c r="M38" s="768">
        <f t="shared" si="0"/>
        <v>83</v>
      </c>
      <c r="N38" s="768">
        <f t="shared" si="0"/>
        <v>84</v>
      </c>
      <c r="O38" s="768">
        <f t="shared" si="0"/>
        <v>85</v>
      </c>
      <c r="P38" s="768">
        <f t="shared" si="0"/>
        <v>86</v>
      </c>
      <c r="Q38" s="768">
        <f t="shared" si="0"/>
        <v>87</v>
      </c>
      <c r="R38" s="768">
        <f t="shared" si="1"/>
        <v>77</v>
      </c>
      <c r="S38" s="768">
        <f t="shared" si="1"/>
        <v>77</v>
      </c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</row>
    <row r="39" spans="1:162" ht="15" x14ac:dyDescent="0.25">
      <c r="A39"/>
      <c r="B39"/>
      <c r="C39"/>
      <c r="D39" s="509" t="s">
        <v>445</v>
      </c>
      <c r="E39"/>
      <c r="F39" s="768">
        <f t="shared" si="0"/>
        <v>1</v>
      </c>
      <c r="G39" s="768">
        <f t="shared" si="0"/>
        <v>1</v>
      </c>
      <c r="H39" s="768">
        <f t="shared" si="0"/>
        <v>1</v>
      </c>
      <c r="I39" s="768">
        <f t="shared" si="0"/>
        <v>1</v>
      </c>
      <c r="J39" s="768">
        <f t="shared" si="0"/>
        <v>1</v>
      </c>
      <c r="K39" s="768">
        <f t="shared" si="0"/>
        <v>1</v>
      </c>
      <c r="L39" s="768">
        <f t="shared" si="0"/>
        <v>1</v>
      </c>
      <c r="M39" s="768">
        <f t="shared" si="0"/>
        <v>1</v>
      </c>
      <c r="N39" s="768">
        <f t="shared" si="0"/>
        <v>1</v>
      </c>
      <c r="O39" s="768">
        <f t="shared" si="0"/>
        <v>1</v>
      </c>
      <c r="P39" s="768">
        <f t="shared" si="0"/>
        <v>1</v>
      </c>
      <c r="Q39" s="768">
        <f t="shared" si="0"/>
        <v>1</v>
      </c>
      <c r="R39" s="768">
        <f t="shared" si="1"/>
        <v>1</v>
      </c>
      <c r="S39" s="768">
        <f t="shared" si="1"/>
        <v>1</v>
      </c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</row>
    <row r="40" spans="1:162" ht="15" x14ac:dyDescent="0.25">
      <c r="A40"/>
      <c r="B40"/>
      <c r="C40"/>
      <c r="D40" s="509" t="s">
        <v>549</v>
      </c>
      <c r="E40"/>
      <c r="F40" s="768">
        <f t="shared" si="0"/>
        <v>8</v>
      </c>
      <c r="G40" s="768">
        <f t="shared" si="0"/>
        <v>8</v>
      </c>
      <c r="H40" s="768">
        <f t="shared" si="0"/>
        <v>8</v>
      </c>
      <c r="I40" s="768">
        <f t="shared" si="0"/>
        <v>8</v>
      </c>
      <c r="J40" s="768">
        <f t="shared" si="0"/>
        <v>8</v>
      </c>
      <c r="K40" s="768">
        <f t="shared" si="0"/>
        <v>8</v>
      </c>
      <c r="L40" s="768">
        <f t="shared" si="0"/>
        <v>8</v>
      </c>
      <c r="M40" s="768">
        <f t="shared" si="0"/>
        <v>8</v>
      </c>
      <c r="N40" s="768">
        <f t="shared" si="0"/>
        <v>8</v>
      </c>
      <c r="O40" s="768">
        <f t="shared" si="0"/>
        <v>8</v>
      </c>
      <c r="P40" s="768">
        <f t="shared" si="0"/>
        <v>8</v>
      </c>
      <c r="Q40" s="768">
        <f t="shared" si="0"/>
        <v>8</v>
      </c>
      <c r="R40" s="768">
        <f t="shared" si="1"/>
        <v>8</v>
      </c>
      <c r="S40" s="768">
        <f t="shared" si="1"/>
        <v>8</v>
      </c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</row>
    <row r="41" spans="1:162" ht="15" x14ac:dyDescent="0.25">
      <c r="A41"/>
      <c r="B41"/>
      <c r="C41"/>
      <c r="D41"/>
      <c r="E41"/>
      <c r="F41" s="77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</row>
    <row r="42" spans="1:162" ht="15" x14ac:dyDescent="0.25">
      <c r="A42"/>
      <c r="B42"/>
      <c r="C42"/>
      <c r="D42" s="509"/>
      <c r="E42"/>
      <c r="F42"/>
      <c r="G42"/>
      <c r="H42"/>
      <c r="I42"/>
      <c r="J42"/>
      <c r="K42"/>
      <c r="L42"/>
      <c r="M42"/>
      <c r="N42" s="272">
        <f>SUM(N31:S40)</f>
        <v>1960848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</row>
    <row r="43" spans="1:162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</row>
    <row r="44" spans="1:162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</row>
    <row r="45" spans="1:162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</row>
    <row r="46" spans="1:162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</row>
    <row r="47" spans="1:162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</row>
    <row r="48" spans="1:162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</row>
    <row r="49" spans="1:162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</row>
    <row r="50" spans="1:162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</row>
    <row r="51" spans="1:162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</row>
    <row r="52" spans="1:162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</sheetPr>
  <dimension ref="A1:FK47"/>
  <sheetViews>
    <sheetView workbookViewId="0">
      <selection activeCell="E42" sqref="E42"/>
    </sheetView>
  </sheetViews>
  <sheetFormatPr defaultRowHeight="12.75" x14ac:dyDescent="0.2"/>
  <cols>
    <col min="1" max="1" width="27.5703125" style="355" customWidth="1"/>
    <col min="2" max="2" width="37.28515625" style="355" bestFit="1" customWidth="1"/>
    <col min="3" max="4" width="12.28515625" style="355" customWidth="1"/>
    <col min="5" max="5" width="40.85546875" style="355" customWidth="1"/>
    <col min="6" max="9" width="13.42578125" style="355" customWidth="1"/>
    <col min="10" max="13" width="11.7109375" style="355" customWidth="1"/>
    <col min="14" max="14" width="11.7109375" style="355" bestFit="1" customWidth="1"/>
    <col min="15" max="15" width="12.140625" style="355" bestFit="1" customWidth="1"/>
    <col min="16" max="21" width="13.42578125" style="355" bestFit="1" customWidth="1"/>
    <col min="22" max="26" width="11.7109375" style="355" bestFit="1" customWidth="1"/>
    <col min="27" max="27" width="12.140625" style="355" bestFit="1" customWidth="1"/>
    <col min="28" max="30" width="13.42578125" style="355" bestFit="1" customWidth="1"/>
    <col min="31" max="33" width="13.28515625" style="355" bestFit="1" customWidth="1"/>
    <col min="34" max="39" width="11.5703125" style="355" bestFit="1" customWidth="1"/>
    <col min="40" max="45" width="13.28515625" style="355" bestFit="1" customWidth="1"/>
    <col min="46" max="51" width="11.5703125" style="355" bestFit="1" customWidth="1"/>
    <col min="52" max="57" width="13.28515625" style="355" bestFit="1" customWidth="1"/>
    <col min="58" max="63" width="11.5703125" style="355" bestFit="1" customWidth="1"/>
    <col min="64" max="69" width="13.28515625" style="355" bestFit="1" customWidth="1"/>
    <col min="70" max="75" width="11.5703125" style="355" bestFit="1" customWidth="1"/>
    <col min="76" max="81" width="13.28515625" style="355" bestFit="1" customWidth="1"/>
    <col min="82" max="87" width="11.5703125" style="355" bestFit="1" customWidth="1"/>
    <col min="88" max="93" width="13.28515625" style="355" bestFit="1" customWidth="1"/>
    <col min="94" max="99" width="11.5703125" style="355" bestFit="1" customWidth="1"/>
    <col min="100" max="105" width="13.28515625" style="355" bestFit="1" customWidth="1"/>
    <col min="106" max="111" width="11.5703125" style="355" bestFit="1" customWidth="1"/>
    <col min="112" max="117" width="13.28515625" style="355" bestFit="1" customWidth="1"/>
    <col min="118" max="123" width="11.5703125" style="355" bestFit="1" customWidth="1"/>
    <col min="124" max="125" width="13.28515625" style="355" bestFit="1" customWidth="1"/>
    <col min="126" max="149" width="13.28515625" style="355" customWidth="1"/>
    <col min="150" max="153" width="13.28515625" style="355" bestFit="1" customWidth="1"/>
    <col min="154" max="159" width="11.5703125" style="355" bestFit="1" customWidth="1"/>
    <col min="160" max="161" width="13.28515625" style="355" bestFit="1" customWidth="1"/>
    <col min="162" max="16384" width="9.140625" style="355"/>
  </cols>
  <sheetData>
    <row r="1" spans="1:167" ht="15" x14ac:dyDescent="0.25">
      <c r="A1" s="354" t="s">
        <v>499</v>
      </c>
      <c r="B1" s="358"/>
      <c r="C1" s="358"/>
      <c r="D1" s="358"/>
      <c r="E1" s="358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</row>
    <row r="2" spans="1:167" ht="15" x14ac:dyDescent="0.25">
      <c r="A2" s="354" t="s">
        <v>939</v>
      </c>
      <c r="B2" s="358"/>
      <c r="C2" s="358"/>
      <c r="D2" s="358"/>
      <c r="E2" s="358"/>
      <c r="F2">
        <v>2020</v>
      </c>
      <c r="G2">
        <v>2020</v>
      </c>
      <c r="H2">
        <v>2020</v>
      </c>
      <c r="I2">
        <v>2020</v>
      </c>
      <c r="J2">
        <v>2020</v>
      </c>
      <c r="K2">
        <v>2020</v>
      </c>
      <c r="L2">
        <v>2020</v>
      </c>
      <c r="M2">
        <v>2020</v>
      </c>
      <c r="N2">
        <v>2020</v>
      </c>
      <c r="O2">
        <v>2020</v>
      </c>
      <c r="P2">
        <v>2020</v>
      </c>
      <c r="Q2">
        <v>2020</v>
      </c>
      <c r="R2">
        <v>2021</v>
      </c>
      <c r="S2">
        <v>2021</v>
      </c>
      <c r="T2">
        <v>2021</v>
      </c>
      <c r="U2">
        <v>2021</v>
      </c>
      <c r="V2">
        <v>2021</v>
      </c>
      <c r="W2">
        <v>2021</v>
      </c>
      <c r="X2">
        <v>2021</v>
      </c>
      <c r="Y2">
        <v>2021</v>
      </c>
      <c r="Z2">
        <v>2021</v>
      </c>
      <c r="AA2">
        <v>2021</v>
      </c>
      <c r="AB2">
        <v>2021</v>
      </c>
      <c r="AC2">
        <v>2021</v>
      </c>
      <c r="AD2">
        <v>2022</v>
      </c>
      <c r="AE2">
        <v>2022</v>
      </c>
      <c r="AF2">
        <v>2022</v>
      </c>
      <c r="AG2">
        <v>2022</v>
      </c>
      <c r="AH2">
        <v>2022</v>
      </c>
      <c r="AI2">
        <v>2022</v>
      </c>
      <c r="AJ2">
        <v>2022</v>
      </c>
      <c r="AK2">
        <v>2022</v>
      </c>
      <c r="AL2">
        <v>2022</v>
      </c>
      <c r="AM2">
        <v>2022</v>
      </c>
      <c r="AN2">
        <v>2022</v>
      </c>
      <c r="AO2">
        <v>2022</v>
      </c>
      <c r="AP2">
        <v>2023</v>
      </c>
      <c r="AQ2">
        <v>2023</v>
      </c>
      <c r="AR2">
        <v>2023</v>
      </c>
      <c r="AS2">
        <v>2023</v>
      </c>
      <c r="AT2">
        <v>2023</v>
      </c>
      <c r="AU2">
        <v>2023</v>
      </c>
      <c r="AV2">
        <v>2023</v>
      </c>
      <c r="AW2">
        <v>2023</v>
      </c>
      <c r="AX2">
        <v>2023</v>
      </c>
      <c r="AY2">
        <v>2023</v>
      </c>
      <c r="AZ2">
        <v>2023</v>
      </c>
      <c r="BA2">
        <v>2023</v>
      </c>
      <c r="BB2">
        <v>2024</v>
      </c>
      <c r="BC2">
        <v>2024</v>
      </c>
      <c r="BD2">
        <v>2024</v>
      </c>
      <c r="BE2">
        <v>2024</v>
      </c>
      <c r="BF2">
        <v>2024</v>
      </c>
      <c r="BG2">
        <v>2024</v>
      </c>
      <c r="BH2">
        <v>2024</v>
      </c>
      <c r="BI2">
        <v>2024</v>
      </c>
      <c r="BJ2">
        <v>2024</v>
      </c>
      <c r="BK2">
        <v>2024</v>
      </c>
      <c r="BL2">
        <v>2024</v>
      </c>
      <c r="BM2">
        <v>2024</v>
      </c>
      <c r="BN2">
        <v>2025</v>
      </c>
      <c r="BO2">
        <v>2025</v>
      </c>
      <c r="BP2">
        <v>2025</v>
      </c>
      <c r="BQ2">
        <v>2025</v>
      </c>
      <c r="BR2">
        <v>2025</v>
      </c>
      <c r="BS2">
        <v>2025</v>
      </c>
      <c r="BT2">
        <v>2025</v>
      </c>
      <c r="BU2">
        <v>2025</v>
      </c>
      <c r="BV2">
        <v>2025</v>
      </c>
      <c r="BW2">
        <v>2025</v>
      </c>
      <c r="BX2">
        <v>2025</v>
      </c>
      <c r="BY2">
        <v>2025</v>
      </c>
      <c r="BZ2">
        <v>2026</v>
      </c>
      <c r="CA2">
        <v>2026</v>
      </c>
      <c r="CB2">
        <v>2026</v>
      </c>
      <c r="CC2">
        <v>2026</v>
      </c>
      <c r="CD2">
        <v>2026</v>
      </c>
      <c r="CE2">
        <v>2026</v>
      </c>
      <c r="CF2">
        <v>2026</v>
      </c>
      <c r="CG2">
        <v>2026</v>
      </c>
      <c r="CH2">
        <v>2026</v>
      </c>
      <c r="CI2">
        <v>2026</v>
      </c>
      <c r="CJ2">
        <v>2026</v>
      </c>
      <c r="CK2">
        <v>2026</v>
      </c>
      <c r="CL2">
        <v>2027</v>
      </c>
      <c r="CM2">
        <v>2027</v>
      </c>
      <c r="CN2">
        <v>2027</v>
      </c>
      <c r="CO2">
        <v>2027</v>
      </c>
      <c r="CP2">
        <v>2027</v>
      </c>
      <c r="CQ2">
        <v>2027</v>
      </c>
      <c r="CR2">
        <v>2027</v>
      </c>
      <c r="CS2">
        <v>2027</v>
      </c>
      <c r="CT2">
        <v>2027</v>
      </c>
      <c r="CU2">
        <v>2027</v>
      </c>
      <c r="CV2">
        <v>2027</v>
      </c>
      <c r="CW2">
        <v>2027</v>
      </c>
      <c r="CX2">
        <v>2028</v>
      </c>
      <c r="CY2">
        <v>2028</v>
      </c>
      <c r="CZ2">
        <v>2028</v>
      </c>
      <c r="DA2">
        <v>2028</v>
      </c>
      <c r="DB2">
        <v>2028</v>
      </c>
      <c r="DC2">
        <v>2028</v>
      </c>
      <c r="DD2">
        <v>2028</v>
      </c>
      <c r="DE2">
        <v>2028</v>
      </c>
      <c r="DF2">
        <v>2028</v>
      </c>
      <c r="DG2">
        <v>2028</v>
      </c>
      <c r="DH2">
        <v>2028</v>
      </c>
      <c r="DI2">
        <v>2028</v>
      </c>
      <c r="DJ2">
        <v>2029</v>
      </c>
      <c r="DK2">
        <v>2029</v>
      </c>
      <c r="DL2">
        <v>2029</v>
      </c>
      <c r="DM2">
        <v>2029</v>
      </c>
      <c r="DN2">
        <v>2029</v>
      </c>
      <c r="DO2">
        <v>2029</v>
      </c>
      <c r="DP2">
        <v>2029</v>
      </c>
      <c r="DQ2">
        <v>2029</v>
      </c>
      <c r="DR2">
        <v>2029</v>
      </c>
      <c r="DS2">
        <v>2029</v>
      </c>
      <c r="DT2">
        <v>2029</v>
      </c>
      <c r="DU2">
        <v>2029</v>
      </c>
      <c r="DV2">
        <v>2030</v>
      </c>
      <c r="DW2">
        <v>2030</v>
      </c>
      <c r="DX2">
        <v>2030</v>
      </c>
      <c r="DY2">
        <v>2030</v>
      </c>
      <c r="DZ2">
        <v>2030</v>
      </c>
      <c r="EA2">
        <v>2030</v>
      </c>
      <c r="EB2">
        <v>2030</v>
      </c>
      <c r="EC2">
        <v>2030</v>
      </c>
      <c r="ED2">
        <v>2030</v>
      </c>
      <c r="EE2">
        <v>2030</v>
      </c>
      <c r="EF2">
        <v>2030</v>
      </c>
      <c r="EG2">
        <v>2030</v>
      </c>
      <c r="EH2">
        <v>2029</v>
      </c>
      <c r="EI2">
        <v>2029</v>
      </c>
      <c r="EJ2">
        <v>2029</v>
      </c>
      <c r="EK2">
        <v>2029</v>
      </c>
      <c r="EL2">
        <v>2029</v>
      </c>
      <c r="EM2">
        <v>2029</v>
      </c>
      <c r="EN2">
        <v>2029</v>
      </c>
      <c r="EO2">
        <v>2029</v>
      </c>
      <c r="EP2">
        <v>2029</v>
      </c>
      <c r="EQ2">
        <v>2029</v>
      </c>
      <c r="ER2">
        <v>2029</v>
      </c>
      <c r="ES2">
        <v>2029</v>
      </c>
      <c r="ET2">
        <v>2030</v>
      </c>
      <c r="EU2">
        <v>2030</v>
      </c>
      <c r="EV2">
        <v>2030</v>
      </c>
      <c r="EW2">
        <v>2030</v>
      </c>
      <c r="EX2">
        <v>2030</v>
      </c>
      <c r="EY2">
        <v>2030</v>
      </c>
      <c r="EZ2">
        <v>2030</v>
      </c>
      <c r="FA2">
        <v>2030</v>
      </c>
      <c r="FB2">
        <v>2030</v>
      </c>
      <c r="FC2">
        <v>2030</v>
      </c>
      <c r="FD2">
        <v>2030</v>
      </c>
      <c r="FE2">
        <v>2030</v>
      </c>
      <c r="FF2"/>
      <c r="FG2"/>
      <c r="FH2"/>
      <c r="FI2"/>
      <c r="FJ2"/>
      <c r="FK2"/>
    </row>
    <row r="3" spans="1:167" ht="15" x14ac:dyDescent="0.25">
      <c r="A3" s="359"/>
      <c r="B3" s="360"/>
      <c r="D3" s="361"/>
      <c r="E3" s="361"/>
      <c r="F3">
        <v>1</v>
      </c>
      <c r="G3">
        <v>2</v>
      </c>
      <c r="H3">
        <v>3</v>
      </c>
      <c r="I3">
        <v>4</v>
      </c>
      <c r="J3">
        <v>5</v>
      </c>
      <c r="K3">
        <v>6</v>
      </c>
      <c r="L3">
        <v>7</v>
      </c>
      <c r="M3">
        <v>8</v>
      </c>
      <c r="N3">
        <v>9</v>
      </c>
      <c r="O3">
        <v>10</v>
      </c>
      <c r="P3">
        <v>11</v>
      </c>
      <c r="Q3">
        <v>12</v>
      </c>
      <c r="R3">
        <v>1</v>
      </c>
      <c r="S3">
        <v>2</v>
      </c>
      <c r="T3">
        <v>3</v>
      </c>
      <c r="U3">
        <v>4</v>
      </c>
      <c r="V3">
        <v>5</v>
      </c>
      <c r="W3">
        <v>6</v>
      </c>
      <c r="X3">
        <v>7</v>
      </c>
      <c r="Y3">
        <v>8</v>
      </c>
      <c r="Z3">
        <v>9</v>
      </c>
      <c r="AA3">
        <v>10</v>
      </c>
      <c r="AB3">
        <v>11</v>
      </c>
      <c r="AC3">
        <v>12</v>
      </c>
      <c r="AD3">
        <v>1</v>
      </c>
      <c r="AE3">
        <v>2</v>
      </c>
      <c r="AF3">
        <v>3</v>
      </c>
      <c r="AG3">
        <v>4</v>
      </c>
      <c r="AH3">
        <v>5</v>
      </c>
      <c r="AI3">
        <v>6</v>
      </c>
      <c r="AJ3">
        <v>7</v>
      </c>
      <c r="AK3">
        <v>8</v>
      </c>
      <c r="AL3">
        <v>9</v>
      </c>
      <c r="AM3">
        <v>10</v>
      </c>
      <c r="AN3">
        <v>11</v>
      </c>
      <c r="AO3">
        <v>12</v>
      </c>
      <c r="AP3">
        <v>1</v>
      </c>
      <c r="AQ3">
        <v>2</v>
      </c>
      <c r="AR3">
        <v>3</v>
      </c>
      <c r="AS3">
        <v>4</v>
      </c>
      <c r="AT3">
        <v>5</v>
      </c>
      <c r="AU3">
        <v>6</v>
      </c>
      <c r="AV3">
        <v>7</v>
      </c>
      <c r="AW3">
        <v>8</v>
      </c>
      <c r="AX3">
        <v>9</v>
      </c>
      <c r="AY3">
        <v>10</v>
      </c>
      <c r="AZ3">
        <v>11</v>
      </c>
      <c r="BA3">
        <v>12</v>
      </c>
      <c r="BB3">
        <v>1</v>
      </c>
      <c r="BC3">
        <v>2</v>
      </c>
      <c r="BD3">
        <v>3</v>
      </c>
      <c r="BE3">
        <v>4</v>
      </c>
      <c r="BF3">
        <v>5</v>
      </c>
      <c r="BG3">
        <v>6</v>
      </c>
      <c r="BH3">
        <v>7</v>
      </c>
      <c r="BI3">
        <v>8</v>
      </c>
      <c r="BJ3">
        <v>9</v>
      </c>
      <c r="BK3">
        <v>10</v>
      </c>
      <c r="BL3">
        <v>11</v>
      </c>
      <c r="BM3">
        <v>12</v>
      </c>
      <c r="BN3">
        <v>1</v>
      </c>
      <c r="BO3">
        <v>2</v>
      </c>
      <c r="BP3">
        <v>3</v>
      </c>
      <c r="BQ3">
        <v>4</v>
      </c>
      <c r="BR3">
        <v>5</v>
      </c>
      <c r="BS3">
        <v>6</v>
      </c>
      <c r="BT3">
        <v>7</v>
      </c>
      <c r="BU3">
        <v>8</v>
      </c>
      <c r="BV3">
        <v>9</v>
      </c>
      <c r="BW3">
        <v>10</v>
      </c>
      <c r="BX3">
        <v>11</v>
      </c>
      <c r="BY3">
        <v>12</v>
      </c>
      <c r="BZ3">
        <v>1</v>
      </c>
      <c r="CA3">
        <v>2</v>
      </c>
      <c r="CB3">
        <v>3</v>
      </c>
      <c r="CC3">
        <v>4</v>
      </c>
      <c r="CD3">
        <v>5</v>
      </c>
      <c r="CE3">
        <v>6</v>
      </c>
      <c r="CF3">
        <v>7</v>
      </c>
      <c r="CG3">
        <v>8</v>
      </c>
      <c r="CH3">
        <v>9</v>
      </c>
      <c r="CI3">
        <v>10</v>
      </c>
      <c r="CJ3">
        <v>11</v>
      </c>
      <c r="CK3">
        <v>12</v>
      </c>
      <c r="CL3">
        <v>1</v>
      </c>
      <c r="CM3">
        <v>2</v>
      </c>
      <c r="CN3">
        <v>3</v>
      </c>
      <c r="CO3">
        <v>4</v>
      </c>
      <c r="CP3">
        <v>5</v>
      </c>
      <c r="CQ3">
        <v>6</v>
      </c>
      <c r="CR3">
        <v>7</v>
      </c>
      <c r="CS3">
        <v>8</v>
      </c>
      <c r="CT3">
        <v>9</v>
      </c>
      <c r="CU3">
        <v>10</v>
      </c>
      <c r="CV3">
        <v>11</v>
      </c>
      <c r="CW3">
        <v>12</v>
      </c>
      <c r="CX3">
        <v>1</v>
      </c>
      <c r="CY3">
        <v>2</v>
      </c>
      <c r="CZ3">
        <v>3</v>
      </c>
      <c r="DA3">
        <v>4</v>
      </c>
      <c r="DB3">
        <v>5</v>
      </c>
      <c r="DC3">
        <v>6</v>
      </c>
      <c r="DD3">
        <v>7</v>
      </c>
      <c r="DE3">
        <v>8</v>
      </c>
      <c r="DF3">
        <v>9</v>
      </c>
      <c r="DG3">
        <v>10</v>
      </c>
      <c r="DH3">
        <v>11</v>
      </c>
      <c r="DI3">
        <v>12</v>
      </c>
      <c r="DJ3">
        <v>1</v>
      </c>
      <c r="DK3">
        <v>2</v>
      </c>
      <c r="DL3">
        <v>3</v>
      </c>
      <c r="DM3">
        <v>4</v>
      </c>
      <c r="DN3">
        <v>5</v>
      </c>
      <c r="DO3">
        <v>6</v>
      </c>
      <c r="DP3">
        <v>7</v>
      </c>
      <c r="DQ3">
        <v>8</v>
      </c>
      <c r="DR3">
        <v>9</v>
      </c>
      <c r="DS3">
        <v>10</v>
      </c>
      <c r="DT3">
        <v>11</v>
      </c>
      <c r="DU3">
        <v>12</v>
      </c>
      <c r="DV3">
        <v>1</v>
      </c>
      <c r="DW3">
        <v>2</v>
      </c>
      <c r="DX3">
        <v>3</v>
      </c>
      <c r="DY3">
        <v>4</v>
      </c>
      <c r="DZ3">
        <v>5</v>
      </c>
      <c r="EA3">
        <v>6</v>
      </c>
      <c r="EB3">
        <v>7</v>
      </c>
      <c r="EC3">
        <v>8</v>
      </c>
      <c r="ED3">
        <v>9</v>
      </c>
      <c r="EE3">
        <v>10</v>
      </c>
      <c r="EF3">
        <v>11</v>
      </c>
      <c r="EG3">
        <v>12</v>
      </c>
      <c r="EH3">
        <v>1</v>
      </c>
      <c r="EI3">
        <v>2</v>
      </c>
      <c r="EJ3">
        <v>3</v>
      </c>
      <c r="EK3">
        <v>4</v>
      </c>
      <c r="EL3">
        <v>5</v>
      </c>
      <c r="EM3">
        <v>6</v>
      </c>
      <c r="EN3">
        <v>7</v>
      </c>
      <c r="EO3">
        <v>8</v>
      </c>
      <c r="EP3">
        <v>9</v>
      </c>
      <c r="EQ3">
        <v>10</v>
      </c>
      <c r="ER3">
        <v>11</v>
      </c>
      <c r="ES3">
        <v>12</v>
      </c>
      <c r="ET3">
        <v>1</v>
      </c>
      <c r="EU3">
        <v>2</v>
      </c>
      <c r="EV3">
        <v>3</v>
      </c>
      <c r="EW3">
        <v>4</v>
      </c>
      <c r="EX3">
        <v>5</v>
      </c>
      <c r="EY3">
        <v>6</v>
      </c>
      <c r="EZ3">
        <v>7</v>
      </c>
      <c r="FA3">
        <v>8</v>
      </c>
      <c r="FB3">
        <v>9</v>
      </c>
      <c r="FC3">
        <v>10</v>
      </c>
      <c r="FD3">
        <v>11</v>
      </c>
      <c r="FE3">
        <v>12</v>
      </c>
      <c r="FF3"/>
      <c r="FG3"/>
      <c r="FH3"/>
      <c r="FI3"/>
      <c r="FJ3"/>
      <c r="FK3"/>
    </row>
    <row r="4" spans="1:167" ht="15" x14ac:dyDescent="0.25">
      <c r="A4" s="772" t="s">
        <v>500</v>
      </c>
      <c r="B4" s="772" t="s">
        <v>501</v>
      </c>
      <c r="C4" s="775" t="s">
        <v>686</v>
      </c>
      <c r="D4" s="772"/>
      <c r="E4" s="772" t="s">
        <v>502</v>
      </c>
      <c r="F4" s="772">
        <v>202001</v>
      </c>
      <c r="G4" s="772">
        <v>202002</v>
      </c>
      <c r="H4" s="772">
        <v>202003</v>
      </c>
      <c r="I4" s="772">
        <v>202004</v>
      </c>
      <c r="J4" s="772">
        <v>202005</v>
      </c>
      <c r="K4" s="772">
        <v>202006</v>
      </c>
      <c r="L4" s="772">
        <v>202007</v>
      </c>
      <c r="M4" s="772">
        <v>202008</v>
      </c>
      <c r="N4" s="772">
        <v>202009</v>
      </c>
      <c r="O4" s="772">
        <v>202010</v>
      </c>
      <c r="P4" s="772">
        <v>202011</v>
      </c>
      <c r="Q4" s="772">
        <v>202012</v>
      </c>
      <c r="R4">
        <v>202101</v>
      </c>
      <c r="S4">
        <v>202102</v>
      </c>
      <c r="T4">
        <v>202103</v>
      </c>
      <c r="U4">
        <v>202104</v>
      </c>
      <c r="V4">
        <v>202105</v>
      </c>
      <c r="W4">
        <v>202106</v>
      </c>
      <c r="X4">
        <v>202107</v>
      </c>
      <c r="Y4">
        <v>202108</v>
      </c>
      <c r="Z4">
        <v>202109</v>
      </c>
      <c r="AA4">
        <v>202110</v>
      </c>
      <c r="AB4">
        <v>202111</v>
      </c>
      <c r="AC4">
        <v>202112</v>
      </c>
      <c r="AD4">
        <v>202201</v>
      </c>
      <c r="AE4">
        <v>202202</v>
      </c>
      <c r="AF4">
        <v>202203</v>
      </c>
      <c r="AG4">
        <v>202204</v>
      </c>
      <c r="AH4">
        <v>202205</v>
      </c>
      <c r="AI4">
        <v>202206</v>
      </c>
      <c r="AJ4">
        <v>202207</v>
      </c>
      <c r="AK4">
        <v>202208</v>
      </c>
      <c r="AL4">
        <v>202209</v>
      </c>
      <c r="AM4">
        <v>202210</v>
      </c>
      <c r="AN4">
        <v>202211</v>
      </c>
      <c r="AO4">
        <v>202212</v>
      </c>
      <c r="AP4">
        <v>202301</v>
      </c>
      <c r="AQ4">
        <v>202302</v>
      </c>
      <c r="AR4">
        <v>202303</v>
      </c>
      <c r="AS4">
        <v>202304</v>
      </c>
      <c r="AT4">
        <v>202305</v>
      </c>
      <c r="AU4">
        <v>202306</v>
      </c>
      <c r="AV4">
        <v>202307</v>
      </c>
      <c r="AW4">
        <v>202308</v>
      </c>
      <c r="AX4">
        <v>202309</v>
      </c>
      <c r="AY4">
        <v>202310</v>
      </c>
      <c r="AZ4">
        <v>202311</v>
      </c>
      <c r="BA4">
        <v>202312</v>
      </c>
      <c r="BB4">
        <v>202401</v>
      </c>
      <c r="BC4">
        <v>202402</v>
      </c>
      <c r="BD4">
        <v>202403</v>
      </c>
      <c r="BE4">
        <v>202404</v>
      </c>
      <c r="BF4">
        <v>202405</v>
      </c>
      <c r="BG4">
        <v>202406</v>
      </c>
      <c r="BH4">
        <v>202407</v>
      </c>
      <c r="BI4">
        <v>202408</v>
      </c>
      <c r="BJ4">
        <v>202409</v>
      </c>
      <c r="BK4">
        <v>202410</v>
      </c>
      <c r="BL4">
        <v>202411</v>
      </c>
      <c r="BM4">
        <v>202412</v>
      </c>
      <c r="BN4">
        <v>202501</v>
      </c>
      <c r="BO4">
        <v>202502</v>
      </c>
      <c r="BP4">
        <v>202503</v>
      </c>
      <c r="BQ4">
        <v>202504</v>
      </c>
      <c r="BR4">
        <v>202505</v>
      </c>
      <c r="BS4">
        <v>202506</v>
      </c>
      <c r="BT4">
        <v>202507</v>
      </c>
      <c r="BU4">
        <v>202508</v>
      </c>
      <c r="BV4">
        <v>202509</v>
      </c>
      <c r="BW4">
        <v>202510</v>
      </c>
      <c r="BX4">
        <v>202511</v>
      </c>
      <c r="BY4">
        <v>202512</v>
      </c>
      <c r="BZ4">
        <v>202601</v>
      </c>
      <c r="CA4">
        <v>202602</v>
      </c>
      <c r="CB4">
        <v>202603</v>
      </c>
      <c r="CC4">
        <v>202604</v>
      </c>
      <c r="CD4">
        <v>202605</v>
      </c>
      <c r="CE4">
        <v>202606</v>
      </c>
      <c r="CF4">
        <v>202607</v>
      </c>
      <c r="CG4">
        <v>202608</v>
      </c>
      <c r="CH4">
        <v>202609</v>
      </c>
      <c r="CI4">
        <v>202610</v>
      </c>
      <c r="CJ4">
        <v>202611</v>
      </c>
      <c r="CK4">
        <v>202612</v>
      </c>
      <c r="CL4">
        <v>202701</v>
      </c>
      <c r="CM4">
        <v>202702</v>
      </c>
      <c r="CN4">
        <v>202703</v>
      </c>
      <c r="CO4">
        <v>202704</v>
      </c>
      <c r="CP4">
        <v>202705</v>
      </c>
      <c r="CQ4">
        <v>202706</v>
      </c>
      <c r="CR4">
        <v>202707</v>
      </c>
      <c r="CS4">
        <v>202708</v>
      </c>
      <c r="CT4">
        <v>202709</v>
      </c>
      <c r="CU4">
        <v>202710</v>
      </c>
      <c r="CV4">
        <v>202711</v>
      </c>
      <c r="CW4">
        <v>202712</v>
      </c>
      <c r="CX4">
        <v>202801</v>
      </c>
      <c r="CY4">
        <v>202802</v>
      </c>
      <c r="CZ4">
        <v>202803</v>
      </c>
      <c r="DA4">
        <v>202804</v>
      </c>
      <c r="DB4">
        <v>202805</v>
      </c>
      <c r="DC4">
        <v>202806</v>
      </c>
      <c r="DD4">
        <v>202807</v>
      </c>
      <c r="DE4">
        <v>202808</v>
      </c>
      <c r="DF4">
        <v>202809</v>
      </c>
      <c r="DG4">
        <v>202810</v>
      </c>
      <c r="DH4">
        <v>202811</v>
      </c>
      <c r="DI4">
        <v>202812</v>
      </c>
      <c r="DJ4">
        <v>202901</v>
      </c>
      <c r="DK4">
        <v>202902</v>
      </c>
      <c r="DL4">
        <v>202903</v>
      </c>
      <c r="DM4">
        <v>202904</v>
      </c>
      <c r="DN4">
        <v>202905</v>
      </c>
      <c r="DO4">
        <v>202906</v>
      </c>
      <c r="DP4">
        <v>202907</v>
      </c>
      <c r="DQ4">
        <v>202908</v>
      </c>
      <c r="DR4">
        <v>202909</v>
      </c>
      <c r="DS4">
        <v>202910</v>
      </c>
      <c r="DT4">
        <v>202911</v>
      </c>
      <c r="DU4">
        <v>202912</v>
      </c>
      <c r="DV4">
        <v>203001</v>
      </c>
      <c r="DW4">
        <v>203002</v>
      </c>
      <c r="DX4">
        <v>203003</v>
      </c>
      <c r="DY4">
        <v>203004</v>
      </c>
      <c r="DZ4">
        <v>203005</v>
      </c>
      <c r="EA4">
        <v>203006</v>
      </c>
      <c r="EB4">
        <v>203007</v>
      </c>
      <c r="EC4">
        <v>203008</v>
      </c>
      <c r="ED4">
        <v>203009</v>
      </c>
      <c r="EE4">
        <v>203010</v>
      </c>
      <c r="EF4">
        <v>203011</v>
      </c>
      <c r="EG4">
        <v>203012</v>
      </c>
      <c r="EH4">
        <v>202901</v>
      </c>
      <c r="EI4">
        <v>202902</v>
      </c>
      <c r="EJ4">
        <v>202903</v>
      </c>
      <c r="EK4">
        <v>202904</v>
      </c>
      <c r="EL4">
        <v>202905</v>
      </c>
      <c r="EM4">
        <v>202906</v>
      </c>
      <c r="EN4">
        <v>202907</v>
      </c>
      <c r="EO4">
        <v>202908</v>
      </c>
      <c r="EP4">
        <v>202909</v>
      </c>
      <c r="EQ4">
        <v>202910</v>
      </c>
      <c r="ER4">
        <v>202911</v>
      </c>
      <c r="ES4">
        <v>202912</v>
      </c>
      <c r="ET4">
        <v>203001</v>
      </c>
      <c r="EU4">
        <v>203002</v>
      </c>
      <c r="EV4">
        <v>203003</v>
      </c>
      <c r="EW4">
        <v>203004</v>
      </c>
      <c r="EX4">
        <v>203005</v>
      </c>
      <c r="EY4">
        <v>203006</v>
      </c>
      <c r="EZ4">
        <v>203007</v>
      </c>
      <c r="FA4">
        <v>203008</v>
      </c>
      <c r="FB4">
        <v>203009</v>
      </c>
      <c r="FC4">
        <v>203010</v>
      </c>
      <c r="FD4">
        <v>203011</v>
      </c>
      <c r="FE4">
        <v>203012</v>
      </c>
      <c r="FF4"/>
      <c r="FG4"/>
      <c r="FH4"/>
      <c r="FI4"/>
      <c r="FJ4"/>
      <c r="FK4"/>
    </row>
    <row r="5" spans="1:167" ht="15" x14ac:dyDescent="0.25">
      <c r="A5" t="s">
        <v>21</v>
      </c>
      <c r="B5" t="s">
        <v>62</v>
      </c>
      <c r="C5" s="509"/>
      <c r="D5" s="509" t="s">
        <v>62</v>
      </c>
      <c r="E5" t="s">
        <v>27</v>
      </c>
      <c r="F5" s="272">
        <v>4236263.3453903534</v>
      </c>
      <c r="G5" s="272">
        <v>3243220.9449591101</v>
      </c>
      <c r="H5" s="272">
        <v>2473174.8336402578</v>
      </c>
      <c r="I5" s="272">
        <v>1142733.1696802408</v>
      </c>
      <c r="J5" s="272">
        <v>579877.89327186206</v>
      </c>
      <c r="K5" s="272">
        <v>370358.75034150877</v>
      </c>
      <c r="L5" s="272">
        <v>325018.81762358401</v>
      </c>
      <c r="M5" s="272">
        <v>332910.22529565665</v>
      </c>
      <c r="N5" s="272">
        <v>415490.08122709522</v>
      </c>
      <c r="O5" s="272">
        <v>874033.93806786626</v>
      </c>
      <c r="P5" s="272">
        <v>2365640.3883570409</v>
      </c>
      <c r="Q5" s="272">
        <v>3306075.5006339075</v>
      </c>
      <c r="R5" s="272">
        <v>4165302.9292538371</v>
      </c>
      <c r="S5" s="272">
        <v>3243328.3820169917</v>
      </c>
      <c r="T5" s="272">
        <v>2474188.4255102295</v>
      </c>
      <c r="U5" s="272">
        <v>1121174.3350611601</v>
      </c>
      <c r="V5" s="272">
        <v>575219.21535864309</v>
      </c>
      <c r="W5" s="272">
        <v>368148.3800469499</v>
      </c>
      <c r="X5" s="272">
        <v>325798.62681222364</v>
      </c>
      <c r="Y5" s="272">
        <v>335437.56802253425</v>
      </c>
      <c r="Z5" s="272">
        <v>415159.82018556312</v>
      </c>
      <c r="AA5" s="272">
        <v>890311.71937256574</v>
      </c>
      <c r="AB5" s="272">
        <v>2334449.0043782797</v>
      </c>
      <c r="AC5" s="272">
        <v>3268360.8913291157</v>
      </c>
      <c r="AD5" s="272">
        <v>4156495.7014828832</v>
      </c>
      <c r="AE5" s="774">
        <v>3237648.7102712062</v>
      </c>
      <c r="AF5" s="774">
        <v>2469964.9668598119</v>
      </c>
      <c r="AG5" s="774">
        <v>1118381.9081116323</v>
      </c>
      <c r="AH5" s="774">
        <v>573619.2961767168</v>
      </c>
      <c r="AI5" s="774">
        <v>366739.76221810735</v>
      </c>
      <c r="AJ5" s="774">
        <v>324163.666992707</v>
      </c>
      <c r="AK5" s="774">
        <v>333628.52380129427</v>
      </c>
      <c r="AL5" s="774">
        <v>412766.56656407798</v>
      </c>
      <c r="AM5" s="774">
        <v>885834.60003012698</v>
      </c>
      <c r="AN5" s="774">
        <v>2327363.9018869386</v>
      </c>
      <c r="AO5" s="774">
        <v>3258289.7483335375</v>
      </c>
      <c r="AP5" s="774">
        <v>4148603.9289225037</v>
      </c>
      <c r="AQ5" s="774">
        <v>3231516.8591051246</v>
      </c>
      <c r="AR5" s="774">
        <v>2465733.4337728703</v>
      </c>
      <c r="AS5" s="774">
        <v>1115613.0232256455</v>
      </c>
      <c r="AT5" s="774">
        <v>571841.76661335398</v>
      </c>
      <c r="AU5" s="774">
        <v>365114.41983158136</v>
      </c>
      <c r="AV5" s="774">
        <v>322579.34730097139</v>
      </c>
      <c r="AW5" s="774">
        <v>332198.30023503239</v>
      </c>
      <c r="AX5" s="774">
        <v>410158.07579679077</v>
      </c>
      <c r="AY5" s="774">
        <v>879928.31732693978</v>
      </c>
      <c r="AZ5" s="774">
        <v>2316285.0480913557</v>
      </c>
      <c r="BA5" s="774">
        <v>3241198.6410314483</v>
      </c>
      <c r="BB5" s="774">
        <v>4130852.5648842738</v>
      </c>
      <c r="BC5" s="774">
        <v>3273811.1266296622</v>
      </c>
      <c r="BD5" s="774">
        <v>2494580.7733005323</v>
      </c>
      <c r="BE5" s="774">
        <v>1110476.9660339914</v>
      </c>
      <c r="BF5" s="774">
        <v>569059.89525496576</v>
      </c>
      <c r="BG5" s="774">
        <v>363177.7447196914</v>
      </c>
      <c r="BH5" s="774">
        <v>320786.1375773006</v>
      </c>
      <c r="BI5" s="774">
        <v>330108.41095971112</v>
      </c>
      <c r="BJ5" s="774">
        <v>406649.71602326597</v>
      </c>
      <c r="BK5" s="774">
        <v>872197.93839353742</v>
      </c>
      <c r="BL5" s="774">
        <v>2301755.0366489389</v>
      </c>
      <c r="BM5" s="774">
        <v>3219195.157248945</v>
      </c>
      <c r="BN5" s="774">
        <v>4113079.902787602</v>
      </c>
      <c r="BO5" s="774">
        <v>3203759.9051609333</v>
      </c>
      <c r="BP5" s="774">
        <v>2447118.1677871509</v>
      </c>
      <c r="BQ5" s="774">
        <v>1105851.6780177397</v>
      </c>
      <c r="BR5" s="774">
        <v>567130.35776293522</v>
      </c>
      <c r="BS5" s="774">
        <v>361978.19655532797</v>
      </c>
      <c r="BT5" s="774">
        <v>319356.42608300201</v>
      </c>
      <c r="BU5" s="774">
        <v>328434.81933066866</v>
      </c>
      <c r="BV5" s="774">
        <v>403648.1599205049</v>
      </c>
      <c r="BW5" s="774">
        <v>864894.92191940662</v>
      </c>
      <c r="BX5" s="774">
        <v>2287924.3795236056</v>
      </c>
      <c r="BY5" s="774">
        <v>3198940.6527449368</v>
      </c>
      <c r="BZ5" s="774">
        <v>4093043.2275568927</v>
      </c>
      <c r="CA5" s="774">
        <v>3188643.2691142284</v>
      </c>
      <c r="CB5" s="774">
        <v>2437123.3824815615</v>
      </c>
      <c r="CC5" s="774">
        <v>1100581.1091235951</v>
      </c>
      <c r="CD5" s="774">
        <v>564568.60165271256</v>
      </c>
      <c r="CE5" s="774">
        <v>360187.07666209969</v>
      </c>
      <c r="CF5" s="774">
        <v>317776.14378239645</v>
      </c>
      <c r="CG5" s="774">
        <v>326864.31813321658</v>
      </c>
      <c r="CH5" s="774">
        <v>400743.19893978123</v>
      </c>
      <c r="CI5" s="774">
        <v>857358.05563042453</v>
      </c>
      <c r="CJ5" s="774">
        <v>2273475.5832179082</v>
      </c>
      <c r="CK5" s="774">
        <v>3178630.7937015956</v>
      </c>
      <c r="CL5" s="774">
        <v>4074447.375356508</v>
      </c>
      <c r="CM5" s="774">
        <v>3174535.2853418477</v>
      </c>
      <c r="CN5" s="774">
        <v>2428001.4419897525</v>
      </c>
      <c r="CO5" s="774">
        <v>1096066.4204732208</v>
      </c>
      <c r="CP5" s="774">
        <v>562519.03111943882</v>
      </c>
      <c r="CQ5" s="774">
        <v>358571.80556707626</v>
      </c>
      <c r="CR5" s="774">
        <v>316130.52865166037</v>
      </c>
      <c r="CS5" s="774">
        <v>325183.39900642075</v>
      </c>
      <c r="CT5" s="774">
        <v>397855.03595263168</v>
      </c>
      <c r="CU5" s="774">
        <v>850412.67730345996</v>
      </c>
      <c r="CV5" s="774">
        <v>2260373.3715048479</v>
      </c>
      <c r="CW5" s="774">
        <v>3160581.7845415869</v>
      </c>
      <c r="CX5" s="774">
        <v>4056912.1777904676</v>
      </c>
      <c r="CY5" s="774">
        <v>3216642.0627344372</v>
      </c>
      <c r="CZ5" s="774">
        <v>2457112.9864874128</v>
      </c>
      <c r="DA5" s="774">
        <v>1091695.4317311335</v>
      </c>
      <c r="DB5" s="774">
        <v>560545.55950990901</v>
      </c>
      <c r="DC5" s="774">
        <v>357417.31574181578</v>
      </c>
      <c r="DD5" s="774">
        <v>315012.62895260268</v>
      </c>
      <c r="DE5" s="774">
        <v>323938.19450659287</v>
      </c>
      <c r="DF5" s="774">
        <v>395500.8152522223</v>
      </c>
      <c r="DG5" s="774">
        <v>844228.09893523192</v>
      </c>
      <c r="DH5" s="774">
        <v>2247798.9952795012</v>
      </c>
      <c r="DI5" s="774">
        <v>3141847.5919448719</v>
      </c>
      <c r="DJ5" s="774">
        <v>4042601.5634628846</v>
      </c>
      <c r="DK5" s="774">
        <v>3150487.0083821472</v>
      </c>
      <c r="DL5" s="774">
        <v>2412625.7784671276</v>
      </c>
      <c r="DM5" s="774">
        <v>1088581.6929422682</v>
      </c>
      <c r="DN5" s="774">
        <v>559256.47223596845</v>
      </c>
      <c r="DO5" s="774">
        <v>356509.72854467499</v>
      </c>
      <c r="DP5" s="774">
        <v>314070.98261889035</v>
      </c>
      <c r="DQ5" s="774">
        <v>322875.69990189851</v>
      </c>
      <c r="DR5" s="774">
        <v>393299.87106051855</v>
      </c>
      <c r="DS5" s="774">
        <v>838760.07117528631</v>
      </c>
      <c r="DT5" s="774">
        <v>2237198.2259174781</v>
      </c>
      <c r="DU5" s="774">
        <v>3126417.2713559708</v>
      </c>
      <c r="DV5" s="774">
        <v>4025061.2619312615</v>
      </c>
      <c r="DW5" s="774">
        <v>3137447.4869168196</v>
      </c>
      <c r="DX5" s="774">
        <v>2404263.5294289226</v>
      </c>
      <c r="DY5" s="774">
        <v>1084801.3973805918</v>
      </c>
      <c r="DZ5" s="774">
        <v>557895.87906957767</v>
      </c>
      <c r="EA5" s="774">
        <v>355832.24925088405</v>
      </c>
      <c r="EB5" s="774">
        <v>313385.81968673598</v>
      </c>
      <c r="EC5" s="774">
        <v>322180.03857075027</v>
      </c>
      <c r="ED5" s="774">
        <v>391439.44197870209</v>
      </c>
      <c r="EE5" s="774">
        <v>833152.62629664422</v>
      </c>
      <c r="EF5" s="774">
        <v>2225754.6459190398</v>
      </c>
      <c r="EG5" s="774">
        <v>3120215.9713432663</v>
      </c>
      <c r="EH5" s="774">
        <v>3771598.9831936057</v>
      </c>
      <c r="EI5" s="774">
        <v>3255122.1308539636</v>
      </c>
      <c r="EJ5" s="774">
        <v>2275307.9304783056</v>
      </c>
      <c r="EK5" s="774">
        <v>1144960.3887231066</v>
      </c>
      <c r="EL5" s="774">
        <v>656992.00852455152</v>
      </c>
      <c r="EM5" s="774">
        <v>523614.06005062565</v>
      </c>
      <c r="EN5" s="774">
        <v>480705.23402826418</v>
      </c>
      <c r="EO5" s="774">
        <v>478132.19288408436</v>
      </c>
      <c r="EP5" s="774">
        <v>511222.28741114243</v>
      </c>
      <c r="EQ5" s="774">
        <v>698945.59286040801</v>
      </c>
      <c r="ER5" s="774">
        <v>1759672.5244465137</v>
      </c>
      <c r="ES5" s="774">
        <v>3050232.9288925272</v>
      </c>
      <c r="ET5" s="774">
        <v>3751925.2328400644</v>
      </c>
      <c r="EU5" s="774">
        <v>3239675.8600585735</v>
      </c>
      <c r="EV5" s="774">
        <v>2264706.5475849514</v>
      </c>
      <c r="EW5" s="774">
        <v>1139860.4145970412</v>
      </c>
      <c r="EX5" s="774">
        <v>653821.76912712876</v>
      </c>
      <c r="EY5" s="774">
        <v>528449.96130226646</v>
      </c>
      <c r="EZ5" s="774">
        <v>486470.99412554846</v>
      </c>
      <c r="FA5" s="774">
        <v>483992.22304808407</v>
      </c>
      <c r="FB5" s="774">
        <v>516717.15334844904</v>
      </c>
      <c r="FC5" s="774">
        <v>694055.85842563852</v>
      </c>
      <c r="FD5" s="774">
        <v>1749772.6690635197</v>
      </c>
      <c r="FE5" s="774">
        <v>3034624.0955901318</v>
      </c>
      <c r="FF5"/>
      <c r="FG5"/>
      <c r="FH5"/>
      <c r="FI5"/>
      <c r="FJ5"/>
      <c r="FK5"/>
    </row>
    <row r="6" spans="1:167" ht="15" x14ac:dyDescent="0.25">
      <c r="A6" t="s">
        <v>21</v>
      </c>
      <c r="B6" t="s">
        <v>687</v>
      </c>
      <c r="C6" s="509" t="s">
        <v>382</v>
      </c>
      <c r="D6" s="509" t="s">
        <v>56</v>
      </c>
      <c r="E6" t="s">
        <v>20</v>
      </c>
      <c r="F6" s="272">
        <v>3.541602152824364</v>
      </c>
      <c r="G6" s="272">
        <v>2.7875597028367394</v>
      </c>
      <c r="H6" s="272">
        <v>2.1031906359146362</v>
      </c>
      <c r="I6" s="272">
        <v>0.96573960715182061</v>
      </c>
      <c r="J6" s="272">
        <v>0.52168790766528916</v>
      </c>
      <c r="K6" s="272">
        <v>0.36202936772657279</v>
      </c>
      <c r="L6" s="272">
        <v>0.31002444520356759</v>
      </c>
      <c r="M6" s="272">
        <v>0.3159205712803595</v>
      </c>
      <c r="N6" s="272">
        <v>0.42249090280788748</v>
      </c>
      <c r="O6" s="272">
        <v>0.82584637317414711</v>
      </c>
      <c r="P6" s="272">
        <v>1.8075097823395074</v>
      </c>
      <c r="Q6" s="272">
        <v>2.7397207637969476</v>
      </c>
      <c r="R6" s="272">
        <v>3.523405806709123</v>
      </c>
      <c r="S6" s="272">
        <v>2.7580268098930758</v>
      </c>
      <c r="T6" s="272">
        <v>2.1302452414761937</v>
      </c>
      <c r="U6" s="272">
        <v>1.0187964173825208</v>
      </c>
      <c r="V6" s="272">
        <v>0.54832325998328879</v>
      </c>
      <c r="W6" s="272">
        <v>0.37307477134809697</v>
      </c>
      <c r="X6" s="272">
        <v>0.31997685367948664</v>
      </c>
      <c r="Y6" s="272">
        <v>0.32565731309731727</v>
      </c>
      <c r="Z6" s="272">
        <v>0.44186869314385774</v>
      </c>
      <c r="AA6" s="272">
        <v>0.85426414269903106</v>
      </c>
      <c r="AB6" s="272">
        <v>1.8306206604209048</v>
      </c>
      <c r="AC6" s="272">
        <v>2.7580725881967676</v>
      </c>
      <c r="AD6" s="272">
        <v>3.5343855907160187</v>
      </c>
      <c r="AE6" s="774">
        <v>2.7739518492395057</v>
      </c>
      <c r="AF6" s="774">
        <v>2.1416703888855926</v>
      </c>
      <c r="AG6" s="774">
        <v>1.0363758670132428</v>
      </c>
      <c r="AH6" s="774">
        <v>0.55630198021892363</v>
      </c>
      <c r="AI6" s="774">
        <v>0.37334263387269578</v>
      </c>
      <c r="AJ6" s="774">
        <v>0.32071934828520476</v>
      </c>
      <c r="AK6" s="774">
        <v>0.32603645334897746</v>
      </c>
      <c r="AL6" s="774">
        <v>0.45060562151328487</v>
      </c>
      <c r="AM6" s="774">
        <v>0.87236403256383332</v>
      </c>
      <c r="AN6" s="774">
        <v>1.8469801476218992</v>
      </c>
      <c r="AO6" s="774">
        <v>2.7728132775578591</v>
      </c>
      <c r="AP6" s="774">
        <v>3.5496146757233737</v>
      </c>
      <c r="AQ6" s="774">
        <v>2.790735254045436</v>
      </c>
      <c r="AR6" s="774">
        <v>2.1562086933688387</v>
      </c>
      <c r="AS6" s="774">
        <v>1.0522339440453465</v>
      </c>
      <c r="AT6" s="774">
        <v>0.5589172101499823</v>
      </c>
      <c r="AU6" s="774">
        <v>0.36642279083518292</v>
      </c>
      <c r="AV6" s="774">
        <v>0.3132036646541162</v>
      </c>
      <c r="AW6" s="774">
        <v>0.31822222042430559</v>
      </c>
      <c r="AX6" s="774">
        <v>0.45316718602415818</v>
      </c>
      <c r="AY6" s="774">
        <v>0.88528498773983444</v>
      </c>
      <c r="AZ6" s="774">
        <v>1.8582569138313061</v>
      </c>
      <c r="BA6" s="774">
        <v>2.7837930572557785</v>
      </c>
      <c r="BB6" s="774">
        <v>3.5592926064519048</v>
      </c>
      <c r="BC6" s="774">
        <v>2.8020017828633872</v>
      </c>
      <c r="BD6" s="774">
        <v>2.1671156633845237</v>
      </c>
      <c r="BE6" s="774">
        <v>1.0657726748183418</v>
      </c>
      <c r="BF6" s="774">
        <v>0.55987335376868896</v>
      </c>
      <c r="BG6" s="774">
        <v>0.35906495848772713</v>
      </c>
      <c r="BH6" s="774">
        <v>0.30597709186099331</v>
      </c>
      <c r="BI6" s="774">
        <v>0.31080596228514568</v>
      </c>
      <c r="BJ6" s="774">
        <v>0.45502179586725866</v>
      </c>
      <c r="BK6" s="774">
        <v>0.89681643923883103</v>
      </c>
      <c r="BL6" s="774">
        <v>1.8680696608879437</v>
      </c>
      <c r="BM6" s="774">
        <v>2.7921082650091127</v>
      </c>
      <c r="BN6" s="774">
        <v>3.5695202897566336</v>
      </c>
      <c r="BO6" s="774">
        <v>2.813158911422696</v>
      </c>
      <c r="BP6" s="774">
        <v>2.1767134928234881</v>
      </c>
      <c r="BQ6" s="774">
        <v>1.0755521938677053</v>
      </c>
      <c r="BR6" s="774">
        <v>0.55657215849701502</v>
      </c>
      <c r="BS6" s="774">
        <v>0.34670101330114322</v>
      </c>
      <c r="BT6" s="774">
        <v>0.29301397737394813</v>
      </c>
      <c r="BU6" s="774">
        <v>0.29767786060456364</v>
      </c>
      <c r="BV6" s="774">
        <v>0.45098431052127613</v>
      </c>
      <c r="BW6" s="774">
        <v>0.90275190095886659</v>
      </c>
      <c r="BX6" s="774">
        <v>1.8730074717430296</v>
      </c>
      <c r="BY6" s="774">
        <v>2.7957913455148877</v>
      </c>
      <c r="BZ6" s="774">
        <v>3.5747352017103724</v>
      </c>
      <c r="CA6" s="774">
        <v>2.8183494328280854</v>
      </c>
      <c r="CB6" s="774">
        <v>2.1810826590854364</v>
      </c>
      <c r="CC6" s="774">
        <v>1.0799898604519635</v>
      </c>
      <c r="CD6" s="774">
        <v>0.54832603963856896</v>
      </c>
      <c r="CE6" s="774">
        <v>0.33052526458449705</v>
      </c>
      <c r="CF6" s="774">
        <v>0.27683215033410141</v>
      </c>
      <c r="CG6" s="774">
        <v>0.28141740685570393</v>
      </c>
      <c r="CH6" s="774">
        <v>0.44394767122431461</v>
      </c>
      <c r="CI6" s="774">
        <v>0.90604996364182366</v>
      </c>
      <c r="CJ6" s="774">
        <v>1.87511489630414</v>
      </c>
      <c r="CK6" s="774">
        <v>2.7965306115950357</v>
      </c>
      <c r="CL6" s="774">
        <v>3.5774608205056055</v>
      </c>
      <c r="CM6" s="774">
        <v>2.8210020546425509</v>
      </c>
      <c r="CN6" s="774">
        <v>2.1841898822733588</v>
      </c>
      <c r="CO6" s="774">
        <v>1.0830457972401415</v>
      </c>
      <c r="CP6" s="774">
        <v>0.53869865181377175</v>
      </c>
      <c r="CQ6" s="774">
        <v>0.31328844149085006</v>
      </c>
      <c r="CR6" s="774">
        <v>0.2596835742826144</v>
      </c>
      <c r="CS6" s="774">
        <v>0.26427888154455725</v>
      </c>
      <c r="CT6" s="774">
        <v>0.43573151235338065</v>
      </c>
      <c r="CU6" s="774">
        <v>0.90833190316426782</v>
      </c>
      <c r="CV6" s="774">
        <v>1.8769116641826484</v>
      </c>
      <c r="CW6" s="774">
        <v>2.7972852035478786</v>
      </c>
      <c r="CX6" s="774">
        <v>3.5793669143289986</v>
      </c>
      <c r="CY6" s="774">
        <v>2.8225228949572685</v>
      </c>
      <c r="CZ6" s="774">
        <v>2.186672429927198</v>
      </c>
      <c r="DA6" s="774">
        <v>1.0852812353984391</v>
      </c>
      <c r="DB6" s="774">
        <v>0.52830263403248356</v>
      </c>
      <c r="DC6" s="774">
        <v>0.29566642621522654</v>
      </c>
      <c r="DD6" s="774">
        <v>0.24233705170169875</v>
      </c>
      <c r="DE6" s="774">
        <v>0.24698935502433006</v>
      </c>
      <c r="DF6" s="774">
        <v>0.42769348558663556</v>
      </c>
      <c r="DG6" s="774">
        <v>0.91140092374594917</v>
      </c>
      <c r="DH6" s="774">
        <v>1.8795628528822275</v>
      </c>
      <c r="DI6" s="774">
        <v>2.7985477316185592</v>
      </c>
      <c r="DJ6" s="774">
        <v>3.5810558702349171</v>
      </c>
      <c r="DK6" s="774">
        <v>2.8239262309074027</v>
      </c>
      <c r="DL6" s="774">
        <v>2.1892401435181874</v>
      </c>
      <c r="DM6" s="774">
        <v>1.0877803737281158</v>
      </c>
      <c r="DN6" s="774">
        <v>0.51806784304719244</v>
      </c>
      <c r="DO6" s="774">
        <v>0.2783379046074666</v>
      </c>
      <c r="DP6" s="774">
        <v>0.22530059881370043</v>
      </c>
      <c r="DQ6" s="774">
        <v>0.23000877078457721</v>
      </c>
      <c r="DR6" s="774">
        <v>0.41974499621229983</v>
      </c>
      <c r="DS6" s="774">
        <v>0.91474448968134769</v>
      </c>
      <c r="DT6" s="774">
        <v>1.8825582027852077</v>
      </c>
      <c r="DU6" s="774">
        <v>2.8003573997444531</v>
      </c>
      <c r="DV6" s="774">
        <v>3.5824066224033135</v>
      </c>
      <c r="DW6" s="774">
        <v>2.825182677916803</v>
      </c>
      <c r="DX6" s="774">
        <v>2.1919953525530249</v>
      </c>
      <c r="DY6" s="774">
        <v>1.0908804870535174</v>
      </c>
      <c r="DZ6" s="774">
        <v>0.50844396389094237</v>
      </c>
      <c r="EA6" s="774">
        <v>0.26206495569961358</v>
      </c>
      <c r="EB6" s="774">
        <v>0.20956943800423183</v>
      </c>
      <c r="EC6" s="774">
        <v>0.21432867129094135</v>
      </c>
      <c r="ED6" s="774">
        <v>0.41308920269856531</v>
      </c>
      <c r="EE6" s="774">
        <v>0.91963693772047128</v>
      </c>
      <c r="EF6" s="774">
        <v>1.8867320209396914</v>
      </c>
      <c r="EG6" s="774">
        <v>2.8034513954242222</v>
      </c>
      <c r="EH6" s="774">
        <v>546.55493435977144</v>
      </c>
      <c r="EI6" s="774">
        <v>461.19583543664822</v>
      </c>
      <c r="EJ6" s="774">
        <v>330.90808536076048</v>
      </c>
      <c r="EK6" s="774">
        <v>182.48659593532085</v>
      </c>
      <c r="EL6" s="774">
        <v>129.99641309964159</v>
      </c>
      <c r="EM6" s="774">
        <v>55.065865706413405</v>
      </c>
      <c r="EN6" s="774">
        <v>46.946970786474758</v>
      </c>
      <c r="EO6" s="774">
        <v>43.721975907419164</v>
      </c>
      <c r="EP6" s="774">
        <v>50.968260747326141</v>
      </c>
      <c r="EQ6" s="774">
        <v>178.29782901598978</v>
      </c>
      <c r="ER6" s="774">
        <v>276.98755877759351</v>
      </c>
      <c r="ES6" s="774">
        <v>440.96953869498913</v>
      </c>
      <c r="ET6" s="774">
        <v>544.67171228864106</v>
      </c>
      <c r="EU6" s="774">
        <v>459.48785341956159</v>
      </c>
      <c r="EV6" s="774">
        <v>329.82027376252398</v>
      </c>
      <c r="EW6" s="774">
        <v>182.12264079604265</v>
      </c>
      <c r="EX6" s="774">
        <v>130.08775874202453</v>
      </c>
      <c r="EY6" s="774">
        <v>51.723209093941776</v>
      </c>
      <c r="EZ6" s="774">
        <v>43.184062551999823</v>
      </c>
      <c r="FA6" s="774">
        <v>39.584555226425763</v>
      </c>
      <c r="FB6" s="774">
        <v>46.795589704416102</v>
      </c>
      <c r="FC6" s="774">
        <v>178.7780019414495</v>
      </c>
      <c r="FD6" s="774">
        <v>276.74698499738525</v>
      </c>
      <c r="FE6" s="774">
        <v>439.82768106070165</v>
      </c>
      <c r="FF6"/>
      <c r="FG6"/>
      <c r="FH6"/>
      <c r="FI6"/>
      <c r="FJ6"/>
      <c r="FK6"/>
    </row>
    <row r="7" spans="1:167" ht="15" x14ac:dyDescent="0.25">
      <c r="A7" t="s">
        <v>12</v>
      </c>
      <c r="B7" t="s">
        <v>503</v>
      </c>
      <c r="C7" s="509"/>
      <c r="D7" s="509" t="s">
        <v>223</v>
      </c>
      <c r="E7" t="s">
        <v>14</v>
      </c>
      <c r="F7" s="272">
        <v>3240.1600805852086</v>
      </c>
      <c r="G7" s="272">
        <v>2627.3456482569327</v>
      </c>
      <c r="H7" s="272">
        <v>2444.1071205170015</v>
      </c>
      <c r="I7" s="272">
        <v>1649.9887186629646</v>
      </c>
      <c r="J7" s="272">
        <v>1327.7097247936777</v>
      </c>
      <c r="K7" s="272">
        <v>1230.433580057613</v>
      </c>
      <c r="L7" s="272">
        <v>1139.6667771283996</v>
      </c>
      <c r="M7" s="272">
        <v>1181.1406425837652</v>
      </c>
      <c r="N7" s="272">
        <v>1291.6131537074837</v>
      </c>
      <c r="O7" s="272">
        <v>1109.4890799019367</v>
      </c>
      <c r="P7" s="272">
        <v>744.48587110194046</v>
      </c>
      <c r="Q7" s="272">
        <v>1004.7980534187261</v>
      </c>
      <c r="R7" s="272">
        <v>1184.9871674607623</v>
      </c>
      <c r="S7" s="272">
        <v>955.47377076495161</v>
      </c>
      <c r="T7" s="272">
        <v>901.00820705361571</v>
      </c>
      <c r="U7" s="272">
        <v>588.75286193298723</v>
      </c>
      <c r="V7" s="272">
        <v>426.17092685275759</v>
      </c>
      <c r="W7" s="272">
        <v>349.22184758419536</v>
      </c>
      <c r="X7" s="272">
        <v>313.37484231553532</v>
      </c>
      <c r="Y7" s="272">
        <v>311.92444903679944</v>
      </c>
      <c r="Z7" s="272">
        <v>329.29860532995036</v>
      </c>
      <c r="AA7" s="272">
        <v>418.45098793599067</v>
      </c>
      <c r="AB7" s="272">
        <v>736.08113590138419</v>
      </c>
      <c r="AC7" s="272">
        <v>993.45127433012465</v>
      </c>
      <c r="AD7" s="272">
        <v>1170.5198077384809</v>
      </c>
      <c r="AE7" s="774">
        <v>945.65177435926603</v>
      </c>
      <c r="AF7" s="774">
        <v>890.37359868561555</v>
      </c>
      <c r="AG7" s="774">
        <v>585.00148423988242</v>
      </c>
      <c r="AH7" s="774">
        <v>425.75921315946357</v>
      </c>
      <c r="AI7" s="774">
        <v>348.45928672355535</v>
      </c>
      <c r="AJ7" s="774">
        <v>313.52290200804595</v>
      </c>
      <c r="AK7" s="774">
        <v>311.65022274258308</v>
      </c>
      <c r="AL7" s="774">
        <v>329.46335177348453</v>
      </c>
      <c r="AM7" s="774">
        <v>414.85068273273521</v>
      </c>
      <c r="AN7" s="774">
        <v>727.33309630953067</v>
      </c>
      <c r="AO7" s="774">
        <v>981.98783726621639</v>
      </c>
      <c r="AP7" s="774">
        <v>1157.2392007853891</v>
      </c>
      <c r="AQ7" s="774">
        <v>935.92787387354292</v>
      </c>
      <c r="AR7" s="774">
        <v>880.25683859081892</v>
      </c>
      <c r="AS7" s="774">
        <v>580.87163546781494</v>
      </c>
      <c r="AT7" s="774">
        <v>423.83653496192551</v>
      </c>
      <c r="AU7" s="774">
        <v>344.9899638536935</v>
      </c>
      <c r="AV7" s="774">
        <v>310.16258539275941</v>
      </c>
      <c r="AW7" s="774">
        <v>308.2145256342971</v>
      </c>
      <c r="AX7" s="774">
        <v>329.55680649412136</v>
      </c>
      <c r="AY7" s="774">
        <v>411.38978790907009</v>
      </c>
      <c r="AZ7" s="774">
        <v>719.4011340212453</v>
      </c>
      <c r="BA7" s="774">
        <v>971.60207269522709</v>
      </c>
      <c r="BB7" s="774">
        <v>1144.2933992198596</v>
      </c>
      <c r="BC7" s="774">
        <v>926.22590775918013</v>
      </c>
      <c r="BD7" s="774">
        <v>870.36498451641512</v>
      </c>
      <c r="BE7" s="774">
        <v>576.40032974569738</v>
      </c>
      <c r="BF7" s="774">
        <v>421.52202151151357</v>
      </c>
      <c r="BG7" s="774">
        <v>341.44106645965638</v>
      </c>
      <c r="BH7" s="774">
        <v>307.08025466736268</v>
      </c>
      <c r="BI7" s="774">
        <v>305.11463550573507</v>
      </c>
      <c r="BJ7" s="774">
        <v>329.33043919369931</v>
      </c>
      <c r="BK7" s="774">
        <v>407.87754585427979</v>
      </c>
      <c r="BL7" s="774">
        <v>711.67146104298445</v>
      </c>
      <c r="BM7" s="774">
        <v>961.27484968824911</v>
      </c>
      <c r="BN7" s="774">
        <v>1132.8145744833155</v>
      </c>
      <c r="BO7" s="774">
        <v>917.52416110952322</v>
      </c>
      <c r="BP7" s="774">
        <v>861.69666160650479</v>
      </c>
      <c r="BQ7" s="774">
        <v>571.89127622919341</v>
      </c>
      <c r="BR7" s="774">
        <v>418.69493227060224</v>
      </c>
      <c r="BS7" s="774">
        <v>336.55383515012716</v>
      </c>
      <c r="BT7" s="774">
        <v>302.17626427216607</v>
      </c>
      <c r="BU7" s="774">
        <v>300.39993902695522</v>
      </c>
      <c r="BV7" s="774">
        <v>328.50446379003381</v>
      </c>
      <c r="BW7" s="774">
        <v>404.18167218753172</v>
      </c>
      <c r="BX7" s="774">
        <v>704.47725023314422</v>
      </c>
      <c r="BY7" s="774">
        <v>956.15179618954483</v>
      </c>
      <c r="BZ7" s="774">
        <v>1133.4254404828735</v>
      </c>
      <c r="CA7" s="774">
        <v>918.2347688938587</v>
      </c>
      <c r="CB7" s="774">
        <v>862.1853794484</v>
      </c>
      <c r="CC7" s="774">
        <v>572.67393593399458</v>
      </c>
      <c r="CD7" s="774">
        <v>419.43254315810964</v>
      </c>
      <c r="CE7" s="774">
        <v>333.94534834291937</v>
      </c>
      <c r="CF7" s="774">
        <v>299.19512650359297</v>
      </c>
      <c r="CG7" s="774">
        <v>297.74892792230804</v>
      </c>
      <c r="CH7" s="774">
        <v>330.98942016763567</v>
      </c>
      <c r="CI7" s="774">
        <v>404.49194441451363</v>
      </c>
      <c r="CJ7" s="774">
        <v>704.7142549438164</v>
      </c>
      <c r="CK7" s="774">
        <v>956.44747879223303</v>
      </c>
      <c r="CL7" s="774">
        <v>1134.5439468818915</v>
      </c>
      <c r="CM7" s="774">
        <v>919.1476480323438</v>
      </c>
      <c r="CN7" s="774">
        <v>863.05030074373281</v>
      </c>
      <c r="CO7" s="774">
        <v>573.28916371938783</v>
      </c>
      <c r="CP7" s="774">
        <v>419.94587587644554</v>
      </c>
      <c r="CQ7" s="774">
        <v>330.40273663460931</v>
      </c>
      <c r="CR7" s="774">
        <v>295.06929076782723</v>
      </c>
      <c r="CS7" s="774">
        <v>294.09623945866213</v>
      </c>
      <c r="CT7" s="774">
        <v>333.34069341774415</v>
      </c>
      <c r="CU7" s="774">
        <v>404.66869283335967</v>
      </c>
      <c r="CV7" s="774">
        <v>705.17244266087039</v>
      </c>
      <c r="CW7" s="774">
        <v>957.044914942888</v>
      </c>
      <c r="CX7" s="774">
        <v>1135.6371627111951</v>
      </c>
      <c r="CY7" s="774">
        <v>919.88935746496884</v>
      </c>
      <c r="CZ7" s="774">
        <v>863.86771933320517</v>
      </c>
      <c r="DA7" s="774">
        <v>573.63584039487819</v>
      </c>
      <c r="DB7" s="774">
        <v>420.31447603144392</v>
      </c>
      <c r="DC7" s="774">
        <v>326.18019045052858</v>
      </c>
      <c r="DD7" s="774">
        <v>290.3177102044649</v>
      </c>
      <c r="DE7" s="774">
        <v>289.92829107755676</v>
      </c>
      <c r="DF7" s="774">
        <v>336.27077685017991</v>
      </c>
      <c r="DG7" s="774">
        <v>404.94154978398393</v>
      </c>
      <c r="DH7" s="774">
        <v>705.72274564714041</v>
      </c>
      <c r="DI7" s="774">
        <v>957.72824405126221</v>
      </c>
      <c r="DJ7" s="774">
        <v>1136.7121695423205</v>
      </c>
      <c r="DK7" s="774">
        <v>920.62533520859972</v>
      </c>
      <c r="DL7" s="774">
        <v>864.66949386818158</v>
      </c>
      <c r="DM7" s="774">
        <v>574.00913928525506</v>
      </c>
      <c r="DN7" s="774">
        <v>420.92481950841579</v>
      </c>
      <c r="DO7" s="774">
        <v>321.6594612969464</v>
      </c>
      <c r="DP7" s="774">
        <v>285.13152303197631</v>
      </c>
      <c r="DQ7" s="774">
        <v>285.37645076238204</v>
      </c>
      <c r="DR7" s="774">
        <v>339.54788948565073</v>
      </c>
      <c r="DS7" s="774">
        <v>405.20944830149426</v>
      </c>
      <c r="DT7" s="774">
        <v>706.2645364545989</v>
      </c>
      <c r="DU7" s="774">
        <v>958.43129543700525</v>
      </c>
      <c r="DV7" s="774">
        <v>1137.448999859979</v>
      </c>
      <c r="DW7" s="774">
        <v>921.1045870705035</v>
      </c>
      <c r="DX7" s="774">
        <v>865.20122406110977</v>
      </c>
      <c r="DY7" s="774">
        <v>574.30201378708534</v>
      </c>
      <c r="DZ7" s="774">
        <v>421.74900962532837</v>
      </c>
      <c r="EA7" s="774">
        <v>317.02730502796408</v>
      </c>
      <c r="EB7" s="774">
        <v>279.91690112667453</v>
      </c>
      <c r="EC7" s="774">
        <v>280.81216765460385</v>
      </c>
      <c r="ED7" s="774">
        <v>343.36885069424471</v>
      </c>
      <c r="EE7" s="774">
        <v>405.51120635917016</v>
      </c>
      <c r="EF7" s="774">
        <v>706.66696103134041</v>
      </c>
      <c r="EG7" s="774">
        <v>959.16796702465433</v>
      </c>
      <c r="EH7" s="774">
        <v>3881.059777923188</v>
      </c>
      <c r="EI7" s="774">
        <v>2817.1236041818597</v>
      </c>
      <c r="EJ7" s="774">
        <v>1996.5826438668798</v>
      </c>
      <c r="EK7" s="774">
        <v>1521.4611740718253</v>
      </c>
      <c r="EL7" s="774">
        <v>1467.3617175105778</v>
      </c>
      <c r="EM7" s="774">
        <v>1599.0797314315203</v>
      </c>
      <c r="EN7" s="774">
        <v>1641.0974783561057</v>
      </c>
      <c r="EO7" s="774">
        <v>1685.5718138392206</v>
      </c>
      <c r="EP7" s="774">
        <v>1900.9029833775007</v>
      </c>
      <c r="EQ7" s="774">
        <v>2124.9651071876683</v>
      </c>
      <c r="ER7" s="774">
        <v>2210.5091302292753</v>
      </c>
      <c r="ES7" s="774">
        <v>3045.2526418879006</v>
      </c>
      <c r="ET7" s="774">
        <v>3866.674318381677</v>
      </c>
      <c r="EU7" s="774">
        <v>2805.3804623896003</v>
      </c>
      <c r="EV7" s="774">
        <v>1989.070674300578</v>
      </c>
      <c r="EW7" s="774">
        <v>1516.4491832289016</v>
      </c>
      <c r="EX7" s="774">
        <v>1462.3536437780749</v>
      </c>
      <c r="EY7" s="774">
        <v>1613.741135611652</v>
      </c>
      <c r="EZ7" s="774">
        <v>1658.6091787860914</v>
      </c>
      <c r="FA7" s="774">
        <v>1704.0342964832375</v>
      </c>
      <c r="FB7" s="774">
        <v>1921.3637605874226</v>
      </c>
      <c r="FC7" s="774">
        <v>2116.1261065419312</v>
      </c>
      <c r="FD7" s="774">
        <v>2202.5662025010279</v>
      </c>
      <c r="FE7" s="774">
        <v>3034.5988412733309</v>
      </c>
      <c r="FF7"/>
      <c r="FG7"/>
      <c r="FH7"/>
      <c r="FI7"/>
      <c r="FJ7"/>
      <c r="FK7"/>
    </row>
    <row r="8" spans="1:167" ht="15" x14ac:dyDescent="0.25">
      <c r="A8" t="s">
        <v>12</v>
      </c>
      <c r="B8" t="s">
        <v>688</v>
      </c>
      <c r="C8" s="509" t="s">
        <v>382</v>
      </c>
      <c r="D8" s="509" t="s">
        <v>59</v>
      </c>
      <c r="E8" t="s">
        <v>25</v>
      </c>
      <c r="F8" s="272">
        <v>20431.982149494481</v>
      </c>
      <c r="G8" s="272">
        <v>18465.999496125678</v>
      </c>
      <c r="H8" s="272">
        <v>15124.996590023175</v>
      </c>
      <c r="I8" s="272">
        <v>8196.8761504548802</v>
      </c>
      <c r="J8" s="272">
        <v>6595.6847239473473</v>
      </c>
      <c r="K8" s="272">
        <v>4284.8247387894444</v>
      </c>
      <c r="L8" s="272">
        <v>2519.5647218726981</v>
      </c>
      <c r="M8" s="272">
        <v>2749.318631527301</v>
      </c>
      <c r="N8" s="272">
        <v>3860.829309197879</v>
      </c>
      <c r="O8" s="272">
        <v>6107.0671704978431</v>
      </c>
      <c r="P8" s="272">
        <v>9762.2865737634456</v>
      </c>
      <c r="Q8" s="272">
        <v>12865.891724803398</v>
      </c>
      <c r="R8" s="272">
        <v>16389.812388981747</v>
      </c>
      <c r="S8" s="272">
        <v>13146.922523470434</v>
      </c>
      <c r="T8" s="272">
        <v>11135.17800883306</v>
      </c>
      <c r="U8" s="272">
        <v>7052.8614269306427</v>
      </c>
      <c r="V8" s="272">
        <v>5915.8270821233837</v>
      </c>
      <c r="W8" s="272">
        <v>4991.7296803242789</v>
      </c>
      <c r="X8" s="272">
        <v>4531.8574500686354</v>
      </c>
      <c r="Y8" s="272">
        <v>5125.2613195212161</v>
      </c>
      <c r="Z8" s="272">
        <v>6571.6337603323373</v>
      </c>
      <c r="AA8" s="272">
        <v>9293.0662263014183</v>
      </c>
      <c r="AB8" s="272">
        <v>13302.012949008003</v>
      </c>
      <c r="AC8" s="272">
        <v>15851.59013173018</v>
      </c>
      <c r="AD8" s="272">
        <v>19304.570737432667</v>
      </c>
      <c r="AE8" s="774">
        <v>15757.429425359158</v>
      </c>
      <c r="AF8" s="774">
        <v>13488.02869107548</v>
      </c>
      <c r="AG8" s="774">
        <v>8672.6935632285495</v>
      </c>
      <c r="AH8" s="774">
        <v>7444.2830069654483</v>
      </c>
      <c r="AI8" s="774">
        <v>6484.202761731377</v>
      </c>
      <c r="AJ8" s="774">
        <v>6039.01143872804</v>
      </c>
      <c r="AK8" s="774">
        <v>6672.3598207618597</v>
      </c>
      <c r="AL8" s="774">
        <v>7960.301828097884</v>
      </c>
      <c r="AM8" s="774">
        <v>10281.90709193717</v>
      </c>
      <c r="AN8" s="774">
        <v>14245.233484046499</v>
      </c>
      <c r="AO8" s="774">
        <v>16683.424286399364</v>
      </c>
      <c r="AP8" s="774">
        <v>20226.486730157703</v>
      </c>
      <c r="AQ8" s="774">
        <v>16615.490660317773</v>
      </c>
      <c r="AR8" s="774">
        <v>14485.983551272846</v>
      </c>
      <c r="AS8" s="774">
        <v>9589.5224957367172</v>
      </c>
      <c r="AT8" s="774">
        <v>8372.0639224461847</v>
      </c>
      <c r="AU8" s="774">
        <v>7268.9425610499766</v>
      </c>
      <c r="AV8" s="774">
        <v>6735.1364912542167</v>
      </c>
      <c r="AW8" s="774">
        <v>7364.5714252443076</v>
      </c>
      <c r="AX8" s="774">
        <v>8766.7657265249891</v>
      </c>
      <c r="AY8" s="774">
        <v>11079.274062037595</v>
      </c>
      <c r="AZ8" s="774">
        <v>15094.632501000768</v>
      </c>
      <c r="BA8" s="774">
        <v>17449.635646572169</v>
      </c>
      <c r="BB8" s="774">
        <v>21049.966404881536</v>
      </c>
      <c r="BC8" s="774">
        <v>17378.829236433761</v>
      </c>
      <c r="BD8" s="774">
        <v>15345.520378263775</v>
      </c>
      <c r="BE8" s="774">
        <v>10363.586667162119</v>
      </c>
      <c r="BF8" s="774">
        <v>9160.1221539663366</v>
      </c>
      <c r="BG8" s="774">
        <v>7999.4665361060943</v>
      </c>
      <c r="BH8" s="774">
        <v>7474.6812011087231</v>
      </c>
      <c r="BI8" s="774">
        <v>8123.7902190885807</v>
      </c>
      <c r="BJ8" s="774">
        <v>9614.7331713069871</v>
      </c>
      <c r="BK8" s="774">
        <v>11845.821714257527</v>
      </c>
      <c r="BL8" s="774">
        <v>15894.562433817946</v>
      </c>
      <c r="BM8" s="774">
        <v>18131.912484019165</v>
      </c>
      <c r="BN8" s="774">
        <v>21746.973250571744</v>
      </c>
      <c r="BO8" s="774">
        <v>18011.795250409668</v>
      </c>
      <c r="BP8" s="774">
        <v>15966.709680482061</v>
      </c>
      <c r="BQ8" s="774">
        <v>10856.298620660362</v>
      </c>
      <c r="BR8" s="774">
        <v>9654.3500958412169</v>
      </c>
      <c r="BS8" s="774">
        <v>8358.8878311972931</v>
      </c>
      <c r="BT8" s="774">
        <v>7780.9661705785911</v>
      </c>
      <c r="BU8" s="774">
        <v>8428.8772648900103</v>
      </c>
      <c r="BV8" s="774">
        <v>10031.991963574217</v>
      </c>
      <c r="BW8" s="774">
        <v>12186.04313036145</v>
      </c>
      <c r="BX8" s="774">
        <v>16245.85545992788</v>
      </c>
      <c r="BY8" s="774">
        <v>18429.310804094679</v>
      </c>
      <c r="BZ8" s="774">
        <v>22054.135314375988</v>
      </c>
      <c r="CA8" s="774">
        <v>18288.258783287176</v>
      </c>
      <c r="CB8" s="774">
        <v>16236.091295720595</v>
      </c>
      <c r="CC8" s="774">
        <v>11067.270252191194</v>
      </c>
      <c r="CD8" s="774">
        <v>9874.8751922693209</v>
      </c>
      <c r="CE8" s="774">
        <v>8451.47214649958</v>
      </c>
      <c r="CF8" s="774">
        <v>7839.0786963156906</v>
      </c>
      <c r="CG8" s="774">
        <v>8486.8659071427082</v>
      </c>
      <c r="CH8" s="774">
        <v>10228.291242233337</v>
      </c>
      <c r="CI8" s="774">
        <v>12303.395611803733</v>
      </c>
      <c r="CJ8" s="774">
        <v>16363.927543366151</v>
      </c>
      <c r="CK8" s="774">
        <v>18505.895141041634</v>
      </c>
      <c r="CL8" s="774">
        <v>22100.135843252716</v>
      </c>
      <c r="CM8" s="774">
        <v>18318.457492123867</v>
      </c>
      <c r="CN8" s="774">
        <v>16210.360888184303</v>
      </c>
      <c r="CO8" s="774">
        <v>11003.021504268145</v>
      </c>
      <c r="CP8" s="774">
        <v>9819.9881096261015</v>
      </c>
      <c r="CQ8" s="774">
        <v>8244.8042323422651</v>
      </c>
      <c r="CR8" s="774">
        <v>7580.5443317243962</v>
      </c>
      <c r="CS8" s="774">
        <v>8218.4233757524726</v>
      </c>
      <c r="CT8" s="774">
        <v>10082.890631795173</v>
      </c>
      <c r="CU8" s="774">
        <v>12046.271952092005</v>
      </c>
      <c r="CV8" s="774">
        <v>16074.475812460298</v>
      </c>
      <c r="CW8" s="774">
        <v>18239.097524297955</v>
      </c>
      <c r="CX8" s="774">
        <v>21802.36553873694</v>
      </c>
      <c r="CY8" s="774">
        <v>18040.789852858248</v>
      </c>
      <c r="CZ8" s="774">
        <v>15907.950639364504</v>
      </c>
      <c r="DA8" s="774">
        <v>10746.876519266129</v>
      </c>
      <c r="DB8" s="774">
        <v>9587.2460603054442</v>
      </c>
      <c r="DC8" s="774">
        <v>7907.5642090102101</v>
      </c>
      <c r="DD8" s="774">
        <v>7240.3495651184639</v>
      </c>
      <c r="DE8" s="774">
        <v>7878.2182183028999</v>
      </c>
      <c r="DF8" s="774">
        <v>9908.2611451128596</v>
      </c>
      <c r="DG8" s="774">
        <v>11798.356115220298</v>
      </c>
      <c r="DH8" s="774">
        <v>15805.974540561396</v>
      </c>
      <c r="DI8" s="774">
        <v>17996.594233944583</v>
      </c>
      <c r="DJ8" s="774">
        <v>21534.949823122435</v>
      </c>
      <c r="DK8" s="774">
        <v>17792.112743239526</v>
      </c>
      <c r="DL8" s="774">
        <v>15627.018995097982</v>
      </c>
      <c r="DM8" s="774">
        <v>10501.654548042683</v>
      </c>
      <c r="DN8" s="774">
        <v>9367.6612637983908</v>
      </c>
      <c r="DO8" s="774">
        <v>7566.5280681296781</v>
      </c>
      <c r="DP8" s="774">
        <v>6883.8988225231151</v>
      </c>
      <c r="DQ8" s="774">
        <v>7518.4492412662948</v>
      </c>
      <c r="DR8" s="774">
        <v>9719.1872990336597</v>
      </c>
      <c r="DS8" s="774">
        <v>11529.414135509813</v>
      </c>
      <c r="DT8" s="774">
        <v>15514.018084596059</v>
      </c>
      <c r="DU8" s="774">
        <v>17737.846102679272</v>
      </c>
      <c r="DV8" s="774">
        <v>21250.303263760266</v>
      </c>
      <c r="DW8" s="774">
        <v>17530.110907089664</v>
      </c>
      <c r="DX8" s="774">
        <v>15344.030490200468</v>
      </c>
      <c r="DY8" s="774">
        <v>10266.075901200516</v>
      </c>
      <c r="DZ8" s="774">
        <v>9164.3557957031862</v>
      </c>
      <c r="EA8" s="774">
        <v>7255.9223168500976</v>
      </c>
      <c r="EB8" s="774">
        <v>6574.4457379369396</v>
      </c>
      <c r="EC8" s="774">
        <v>7209.9716247399829</v>
      </c>
      <c r="ED8" s="774">
        <v>9598.9951494580928</v>
      </c>
      <c r="EE8" s="774">
        <v>11332.816769216752</v>
      </c>
      <c r="EF8" s="774">
        <v>15300.426832999428</v>
      </c>
      <c r="EG8" s="774">
        <v>17638.357205657492</v>
      </c>
      <c r="EH8" s="774">
        <v>8706.6732360986534</v>
      </c>
      <c r="EI8" s="774">
        <v>7419.531911512343</v>
      </c>
      <c r="EJ8" s="774">
        <v>5504.1515832552195</v>
      </c>
      <c r="EK8" s="774">
        <v>4084.9837512897893</v>
      </c>
      <c r="EL8" s="774">
        <v>4279.7260960110361</v>
      </c>
      <c r="EM8" s="774">
        <v>5189.3795351138633</v>
      </c>
      <c r="EN8" s="774">
        <v>5190.6072900480849</v>
      </c>
      <c r="EO8" s="774">
        <v>5640.1075882877058</v>
      </c>
      <c r="EP8" s="774">
        <v>6335.5824641358959</v>
      </c>
      <c r="EQ8" s="774">
        <v>7597.1914567909635</v>
      </c>
      <c r="ER8" s="774">
        <v>7597.491696396015</v>
      </c>
      <c r="ES8" s="774">
        <v>8486.0957428192087</v>
      </c>
      <c r="ET8" s="774">
        <v>8653.8298292365307</v>
      </c>
      <c r="EU8" s="774">
        <v>7340.0448657599181</v>
      </c>
      <c r="EV8" s="774">
        <v>5413.7746631605241</v>
      </c>
      <c r="EW8" s="774">
        <v>3980.737311738103</v>
      </c>
      <c r="EX8" s="774">
        <v>4142.8260791545117</v>
      </c>
      <c r="EY8" s="774">
        <v>5072.3992827463708</v>
      </c>
      <c r="EZ8" s="774">
        <v>5048.4604865753699</v>
      </c>
      <c r="FA8" s="774">
        <v>5481.8030905849591</v>
      </c>
      <c r="FB8" s="774">
        <v>6170.1356468881086</v>
      </c>
      <c r="FC8" s="774">
        <v>7313.8481252408128</v>
      </c>
      <c r="FD8" s="774">
        <v>7360.979659283038</v>
      </c>
      <c r="FE8" s="774">
        <v>8276.6447732686356</v>
      </c>
      <c r="FF8"/>
      <c r="FG8"/>
      <c r="FH8"/>
      <c r="FI8"/>
      <c r="FJ8"/>
      <c r="FK8"/>
    </row>
    <row r="9" spans="1:167" ht="15" x14ac:dyDescent="0.25">
      <c r="A9" t="s">
        <v>12</v>
      </c>
      <c r="B9" t="s">
        <v>62</v>
      </c>
      <c r="C9" s="509"/>
      <c r="D9" s="509" t="s">
        <v>62</v>
      </c>
      <c r="E9" t="s">
        <v>27</v>
      </c>
      <c r="F9" s="272">
        <v>263.56636393389061</v>
      </c>
      <c r="G9" s="272">
        <v>201.7825338519749</v>
      </c>
      <c r="H9" s="272">
        <v>153.87279900449693</v>
      </c>
      <c r="I9" s="272">
        <v>71.097097116732172</v>
      </c>
      <c r="J9" s="272">
        <v>36.078094158526909</v>
      </c>
      <c r="K9" s="272">
        <v>23.042502606649521</v>
      </c>
      <c r="L9" s="272">
        <v>20.221601205306275</v>
      </c>
      <c r="M9" s="272">
        <v>20.712578620275394</v>
      </c>
      <c r="N9" s="272">
        <v>25.850425488487083</v>
      </c>
      <c r="O9" s="272">
        <v>54.37951520696587</v>
      </c>
      <c r="P9" s="272">
        <v>147.18235971162673</v>
      </c>
      <c r="Q9" s="272">
        <v>205.6931374535931</v>
      </c>
      <c r="R9" s="272">
        <v>259.15144037048924</v>
      </c>
      <c r="S9" s="272">
        <v>201.78921823214412</v>
      </c>
      <c r="T9" s="272">
        <v>153.93586135494596</v>
      </c>
      <c r="U9" s="272">
        <v>69.755777376214596</v>
      </c>
      <c r="V9" s="272">
        <v>35.788246550336467</v>
      </c>
      <c r="W9" s="272">
        <v>22.904980641184768</v>
      </c>
      <c r="X9" s="272">
        <v>20.270118366694657</v>
      </c>
      <c r="Y9" s="272">
        <v>20.869821567332199</v>
      </c>
      <c r="Z9" s="272">
        <v>25.829877733362192</v>
      </c>
      <c r="AA9" s="272">
        <v>55.392265190051589</v>
      </c>
      <c r="AB9" s="272">
        <v>145.24173445038241</v>
      </c>
      <c r="AC9" s="272">
        <v>203.34665858030309</v>
      </c>
      <c r="AD9" s="272">
        <v>258.60348364290439</v>
      </c>
      <c r="AE9" s="774">
        <v>201.43584774775167</v>
      </c>
      <c r="AF9" s="774">
        <v>153.67309165699342</v>
      </c>
      <c r="AG9" s="774">
        <v>69.582041761208771</v>
      </c>
      <c r="AH9" s="774">
        <v>35.688704844123315</v>
      </c>
      <c r="AI9" s="774">
        <v>22.81734107559344</v>
      </c>
      <c r="AJ9" s="774">
        <v>20.168396547328324</v>
      </c>
      <c r="AK9" s="774">
        <v>20.757268789397212</v>
      </c>
      <c r="AL9" s="774">
        <v>25.680977369159663</v>
      </c>
      <c r="AM9" s="774">
        <v>55.113713558631247</v>
      </c>
      <c r="AN9" s="774">
        <v>144.80092269023211</v>
      </c>
      <c r="AO9" s="774">
        <v>202.72006520694939</v>
      </c>
      <c r="AP9" s="774">
        <v>258.11248352578559</v>
      </c>
      <c r="AQ9" s="774">
        <v>201.05434414793731</v>
      </c>
      <c r="AR9" s="774">
        <v>153.40981959417306</v>
      </c>
      <c r="AS9" s="774">
        <v>69.409770855920229</v>
      </c>
      <c r="AT9" s="774">
        <v>35.578112804487645</v>
      </c>
      <c r="AU9" s="774">
        <v>22.716217621257098</v>
      </c>
      <c r="AV9" s="774">
        <v>20.069825390057378</v>
      </c>
      <c r="AW9" s="774">
        <v>20.668284985927492</v>
      </c>
      <c r="AX9" s="774">
        <v>25.518685658084351</v>
      </c>
      <c r="AY9" s="774">
        <v>54.746244086239123</v>
      </c>
      <c r="AZ9" s="774">
        <v>144.11163286724829</v>
      </c>
      <c r="BA9" s="774">
        <v>201.65671275693768</v>
      </c>
      <c r="BB9" s="774">
        <v>257.00805207453647</v>
      </c>
      <c r="BC9" s="774">
        <v>203.68575428414132</v>
      </c>
      <c r="BD9" s="774">
        <v>155.20460612385034</v>
      </c>
      <c r="BE9" s="774">
        <v>69.090222280066499</v>
      </c>
      <c r="BF9" s="774">
        <v>35.405033923624387</v>
      </c>
      <c r="BG9" s="774">
        <v>22.595724069335326</v>
      </c>
      <c r="BH9" s="774">
        <v>19.958257782450289</v>
      </c>
      <c r="BI9" s="774">
        <v>20.538258952980261</v>
      </c>
      <c r="BJ9" s="774">
        <v>25.300407058882993</v>
      </c>
      <c r="BK9" s="774">
        <v>54.265285349449293</v>
      </c>
      <c r="BL9" s="774">
        <v>143.20762337313531</v>
      </c>
      <c r="BM9" s="774">
        <v>200.28772840879907</v>
      </c>
      <c r="BN9" s="774">
        <v>255.90229552818232</v>
      </c>
      <c r="BO9" s="774">
        <v>199.32739782083715</v>
      </c>
      <c r="BP9" s="774">
        <v>152.25163900682665</v>
      </c>
      <c r="BQ9" s="774">
        <v>68.80245208138021</v>
      </c>
      <c r="BR9" s="774">
        <v>35.284984450920575</v>
      </c>
      <c r="BS9" s="774">
        <v>22.521092130225863</v>
      </c>
      <c r="BT9" s="774">
        <v>19.86930583841291</v>
      </c>
      <c r="BU9" s="774">
        <v>20.434133589561366</v>
      </c>
      <c r="BV9" s="774">
        <v>25.113660116200798</v>
      </c>
      <c r="BW9" s="774">
        <v>53.810915698438237</v>
      </c>
      <c r="BX9" s="774">
        <v>142.34712540307709</v>
      </c>
      <c r="BY9" s="774">
        <v>199.02755979552978</v>
      </c>
      <c r="BZ9" s="774">
        <v>254.65567953542805</v>
      </c>
      <c r="CA9" s="774">
        <v>198.38689047440946</v>
      </c>
      <c r="CB9" s="774">
        <v>151.62979635765313</v>
      </c>
      <c r="CC9" s="774">
        <v>68.474534630071545</v>
      </c>
      <c r="CD9" s="774">
        <v>35.125600416405454</v>
      </c>
      <c r="CE9" s="774">
        <v>22.409654544991334</v>
      </c>
      <c r="CF9" s="774">
        <v>19.770985874331142</v>
      </c>
      <c r="CG9" s="774">
        <v>20.33642217352849</v>
      </c>
      <c r="CH9" s="774">
        <v>24.932923004120099</v>
      </c>
      <c r="CI9" s="774">
        <v>53.341996681539889</v>
      </c>
      <c r="CJ9" s="774">
        <v>141.4481688474942</v>
      </c>
      <c r="CK9" s="774">
        <v>197.76394720499334</v>
      </c>
      <c r="CL9" s="774">
        <v>253.49870680991498</v>
      </c>
      <c r="CM9" s="774">
        <v>197.50913815304568</v>
      </c>
      <c r="CN9" s="774">
        <v>151.06225924028683</v>
      </c>
      <c r="CO9" s="774">
        <v>68.193645559950923</v>
      </c>
      <c r="CP9" s="774">
        <v>34.998082882900647</v>
      </c>
      <c r="CQ9" s="774">
        <v>22.309157693267966</v>
      </c>
      <c r="CR9" s="774">
        <v>19.668601116567043</v>
      </c>
      <c r="CS9" s="774">
        <v>20.231840917313956</v>
      </c>
      <c r="CT9" s="774">
        <v>24.75323100791789</v>
      </c>
      <c r="CU9" s="774">
        <v>52.90987809906904</v>
      </c>
      <c r="CV9" s="774">
        <v>140.6329923536955</v>
      </c>
      <c r="CW9" s="774">
        <v>196.64099725380834</v>
      </c>
      <c r="CX9" s="774">
        <v>252.40772452516805</v>
      </c>
      <c r="CY9" s="774">
        <v>200.12888327026428</v>
      </c>
      <c r="CZ9" s="774">
        <v>152.87348373370673</v>
      </c>
      <c r="DA9" s="774">
        <v>67.921697025211813</v>
      </c>
      <c r="DB9" s="774">
        <v>34.875299973991893</v>
      </c>
      <c r="DC9" s="774">
        <v>22.237329135731834</v>
      </c>
      <c r="DD9" s="774">
        <v>19.599049076266237</v>
      </c>
      <c r="DE9" s="774">
        <v>20.154368391265528</v>
      </c>
      <c r="DF9" s="774">
        <v>24.60675914360851</v>
      </c>
      <c r="DG9" s="774">
        <v>52.525093986260813</v>
      </c>
      <c r="DH9" s="774">
        <v>139.85065604685147</v>
      </c>
      <c r="DI9" s="774">
        <v>195.47541744410969</v>
      </c>
      <c r="DJ9" s="774">
        <v>251.51736519751068</v>
      </c>
      <c r="DK9" s="774">
        <v>196.01293350277518</v>
      </c>
      <c r="DL9" s="774">
        <v>150.1056360567591</v>
      </c>
      <c r="DM9" s="774">
        <v>67.727970444990063</v>
      </c>
      <c r="DN9" s="774">
        <v>34.795097206155084</v>
      </c>
      <c r="DO9" s="774">
        <v>22.180862047168127</v>
      </c>
      <c r="DP9" s="774">
        <v>19.540462940312651</v>
      </c>
      <c r="DQ9" s="774">
        <v>20.088263473599497</v>
      </c>
      <c r="DR9" s="774">
        <v>24.469823639242382</v>
      </c>
      <c r="DS9" s="774">
        <v>52.184891294153239</v>
      </c>
      <c r="DT9" s="774">
        <v>139.19111106396215</v>
      </c>
      <c r="DU9" s="774">
        <v>194.51539367779301</v>
      </c>
      <c r="DV9" s="774">
        <v>250.42606536082218</v>
      </c>
      <c r="DW9" s="774">
        <v>195.20165738987865</v>
      </c>
      <c r="DX9" s="774">
        <v>149.58536444151412</v>
      </c>
      <c r="DY9" s="774">
        <v>67.492772895982498</v>
      </c>
      <c r="DZ9" s="774">
        <v>34.710445577013765</v>
      </c>
      <c r="EA9" s="774">
        <v>22.138711515072597</v>
      </c>
      <c r="EB9" s="774">
        <v>19.497834357524777</v>
      </c>
      <c r="EC9" s="774">
        <v>20.044981714976142</v>
      </c>
      <c r="ED9" s="774">
        <v>24.354073864388372</v>
      </c>
      <c r="EE9" s="774">
        <v>51.836014527737937</v>
      </c>
      <c r="EF9" s="774">
        <v>138.47912917693972</v>
      </c>
      <c r="EG9" s="774">
        <v>194.1295691992959</v>
      </c>
      <c r="EH9" s="774">
        <v>110.42897520635533</v>
      </c>
      <c r="EI9" s="774">
        <v>95.30700445182481</v>
      </c>
      <c r="EJ9" s="774">
        <v>66.61893911872302</v>
      </c>
      <c r="EK9" s="774">
        <v>33.523394969075532</v>
      </c>
      <c r="EL9" s="774">
        <v>19.236126253989678</v>
      </c>
      <c r="EM9" s="774">
        <v>15.330941680885864</v>
      </c>
      <c r="EN9" s="774">
        <v>14.07461042560884</v>
      </c>
      <c r="EO9" s="774">
        <v>13.99927412978797</v>
      </c>
      <c r="EP9" s="774">
        <v>14.968121890217244</v>
      </c>
      <c r="EQ9" s="774">
        <v>20.464488904707945</v>
      </c>
      <c r="ER9" s="774">
        <v>51.521605143945891</v>
      </c>
      <c r="ES9" s="774">
        <v>89.308035657880808</v>
      </c>
      <c r="ET9" s="774">
        <v>109.85294575579915</v>
      </c>
      <c r="EU9" s="774">
        <v>94.854751743544966</v>
      </c>
      <c r="EV9" s="774">
        <v>66.30854030540803</v>
      </c>
      <c r="EW9" s="774">
        <v>33.374072382334489</v>
      </c>
      <c r="EX9" s="774">
        <v>19.143304538484873</v>
      </c>
      <c r="EY9" s="774">
        <v>15.472532454930892</v>
      </c>
      <c r="EZ9" s="774">
        <v>14.243426617803712</v>
      </c>
      <c r="FA9" s="774">
        <v>14.170850463478905</v>
      </c>
      <c r="FB9" s="774">
        <v>15.129006548702138</v>
      </c>
      <c r="FC9" s="774">
        <v>20.321321944204207</v>
      </c>
      <c r="FD9" s="774">
        <v>51.231746415723023</v>
      </c>
      <c r="FE9" s="774">
        <v>88.851023267796094</v>
      </c>
      <c r="FF9"/>
      <c r="FG9"/>
      <c r="FH9"/>
      <c r="FI9"/>
      <c r="FJ9"/>
      <c r="FK9"/>
    </row>
    <row r="10" spans="1:167" ht="15" x14ac:dyDescent="0.25">
      <c r="A10" t="s">
        <v>12</v>
      </c>
      <c r="B10" t="s">
        <v>428</v>
      </c>
      <c r="C10" s="509"/>
      <c r="D10" s="509" t="s">
        <v>428</v>
      </c>
      <c r="E10" t="s">
        <v>433</v>
      </c>
      <c r="F10" s="272">
        <v>0.7</v>
      </c>
      <c r="G10" s="272">
        <v>0.7</v>
      </c>
      <c r="H10" s="272">
        <v>0.7</v>
      </c>
      <c r="I10" s="272">
        <v>0.7</v>
      </c>
      <c r="J10" s="272">
        <v>0.7</v>
      </c>
      <c r="K10" s="272">
        <v>0.7</v>
      </c>
      <c r="L10" s="272">
        <v>0.7</v>
      </c>
      <c r="M10" s="272">
        <v>0.7</v>
      </c>
      <c r="N10" s="272">
        <v>0.7</v>
      </c>
      <c r="O10" s="272">
        <v>0.7</v>
      </c>
      <c r="P10" s="272">
        <v>0.7</v>
      </c>
      <c r="Q10" s="272">
        <v>0.7</v>
      </c>
      <c r="R10" s="272">
        <v>0.7</v>
      </c>
      <c r="S10" s="272">
        <v>0.7</v>
      </c>
      <c r="T10" s="272">
        <v>0.7</v>
      </c>
      <c r="U10" s="272">
        <v>0.7</v>
      </c>
      <c r="V10" s="272">
        <v>0.7</v>
      </c>
      <c r="W10" s="272">
        <v>0.7</v>
      </c>
      <c r="X10" s="272">
        <v>0.7</v>
      </c>
      <c r="Y10" s="272">
        <v>0.7</v>
      </c>
      <c r="Z10" s="272">
        <v>0.7</v>
      </c>
      <c r="AA10" s="272">
        <v>0.7</v>
      </c>
      <c r="AB10" s="272">
        <v>0.7</v>
      </c>
      <c r="AC10" s="272">
        <v>0.7</v>
      </c>
      <c r="AD10" s="272">
        <v>0.7</v>
      </c>
      <c r="AE10" s="774">
        <v>0.7</v>
      </c>
      <c r="AF10" s="774">
        <v>0.7</v>
      </c>
      <c r="AG10" s="774">
        <v>0.7</v>
      </c>
      <c r="AH10" s="774">
        <v>0.7</v>
      </c>
      <c r="AI10" s="774">
        <v>0.7</v>
      </c>
      <c r="AJ10" s="774">
        <v>0.7</v>
      </c>
      <c r="AK10" s="774">
        <v>0.7</v>
      </c>
      <c r="AL10" s="774">
        <v>0.7</v>
      </c>
      <c r="AM10" s="774">
        <v>0.7</v>
      </c>
      <c r="AN10" s="774">
        <v>0.7</v>
      </c>
      <c r="AO10" s="774">
        <v>0.7</v>
      </c>
      <c r="AP10" s="774">
        <v>0.7</v>
      </c>
      <c r="AQ10" s="774">
        <v>0.7</v>
      </c>
      <c r="AR10" s="774">
        <v>0.7</v>
      </c>
      <c r="AS10" s="774">
        <v>0.7</v>
      </c>
      <c r="AT10" s="774">
        <v>0.7</v>
      </c>
      <c r="AU10" s="774">
        <v>0.7</v>
      </c>
      <c r="AV10" s="774">
        <v>0.7</v>
      </c>
      <c r="AW10" s="774">
        <v>0.7</v>
      </c>
      <c r="AX10" s="774">
        <v>0.7</v>
      </c>
      <c r="AY10" s="774">
        <v>0.7</v>
      </c>
      <c r="AZ10" s="774">
        <v>0.7</v>
      </c>
      <c r="BA10" s="774">
        <v>0.7</v>
      </c>
      <c r="BB10" s="774">
        <v>0.7</v>
      </c>
      <c r="BC10" s="774">
        <v>0.7</v>
      </c>
      <c r="BD10" s="774">
        <v>0.7</v>
      </c>
      <c r="BE10" s="774">
        <v>0.7</v>
      </c>
      <c r="BF10" s="774">
        <v>0.7</v>
      </c>
      <c r="BG10" s="774">
        <v>0.7</v>
      </c>
      <c r="BH10" s="774">
        <v>0.7</v>
      </c>
      <c r="BI10" s="774">
        <v>0.7</v>
      </c>
      <c r="BJ10" s="774">
        <v>0.7</v>
      </c>
      <c r="BK10" s="774">
        <v>0.7</v>
      </c>
      <c r="BL10" s="774">
        <v>0.7</v>
      </c>
      <c r="BM10" s="774">
        <v>0.7</v>
      </c>
      <c r="BN10" s="774">
        <v>0.7</v>
      </c>
      <c r="BO10" s="774">
        <v>0.7</v>
      </c>
      <c r="BP10" s="774">
        <v>0.7</v>
      </c>
      <c r="BQ10" s="774">
        <v>0.7</v>
      </c>
      <c r="BR10" s="774">
        <v>0.7</v>
      </c>
      <c r="BS10" s="774">
        <v>0.7</v>
      </c>
      <c r="BT10" s="774">
        <v>0.7</v>
      </c>
      <c r="BU10" s="774">
        <v>0.7</v>
      </c>
      <c r="BV10" s="774">
        <v>0.7</v>
      </c>
      <c r="BW10" s="774">
        <v>0.7</v>
      </c>
      <c r="BX10" s="774">
        <v>0.7</v>
      </c>
      <c r="BY10" s="774">
        <v>0.7</v>
      </c>
      <c r="BZ10" s="774">
        <v>0.7</v>
      </c>
      <c r="CA10" s="774">
        <v>0.7</v>
      </c>
      <c r="CB10" s="774">
        <v>0.7</v>
      </c>
      <c r="CC10" s="774">
        <v>0.7</v>
      </c>
      <c r="CD10" s="774">
        <v>0.7</v>
      </c>
      <c r="CE10" s="774">
        <v>0.7</v>
      </c>
      <c r="CF10" s="774">
        <v>0.7</v>
      </c>
      <c r="CG10" s="774">
        <v>0.7</v>
      </c>
      <c r="CH10" s="774">
        <v>0.7</v>
      </c>
      <c r="CI10" s="774">
        <v>0.7</v>
      </c>
      <c r="CJ10" s="774">
        <v>0.7</v>
      </c>
      <c r="CK10" s="774">
        <v>0.7</v>
      </c>
      <c r="CL10" s="774">
        <v>0.7</v>
      </c>
      <c r="CM10" s="774">
        <v>0.7</v>
      </c>
      <c r="CN10" s="774">
        <v>0.7</v>
      </c>
      <c r="CO10" s="774">
        <v>0.7</v>
      </c>
      <c r="CP10" s="774">
        <v>0.7</v>
      </c>
      <c r="CQ10" s="774">
        <v>0.7</v>
      </c>
      <c r="CR10" s="774">
        <v>0.7</v>
      </c>
      <c r="CS10" s="774">
        <v>0.7</v>
      </c>
      <c r="CT10" s="774">
        <v>0.7</v>
      </c>
      <c r="CU10" s="774">
        <v>0.7</v>
      </c>
      <c r="CV10" s="774">
        <v>0.7</v>
      </c>
      <c r="CW10" s="774">
        <v>0.7</v>
      </c>
      <c r="CX10" s="774">
        <v>0.7</v>
      </c>
      <c r="CY10" s="774">
        <v>0.7</v>
      </c>
      <c r="CZ10" s="774">
        <v>0.7</v>
      </c>
      <c r="DA10" s="774">
        <v>0.7</v>
      </c>
      <c r="DB10" s="774">
        <v>0.7</v>
      </c>
      <c r="DC10" s="774">
        <v>0.7</v>
      </c>
      <c r="DD10" s="774">
        <v>0.7</v>
      </c>
      <c r="DE10" s="774">
        <v>0.7</v>
      </c>
      <c r="DF10" s="774">
        <v>0.7</v>
      </c>
      <c r="DG10" s="774">
        <v>0.7</v>
      </c>
      <c r="DH10" s="774">
        <v>0.7</v>
      </c>
      <c r="DI10" s="774">
        <v>0.7</v>
      </c>
      <c r="DJ10" s="774">
        <v>0.7</v>
      </c>
      <c r="DK10" s="774">
        <v>0.7</v>
      </c>
      <c r="DL10" s="774">
        <v>0.7</v>
      </c>
      <c r="DM10" s="774">
        <v>0.7</v>
      </c>
      <c r="DN10" s="774">
        <v>0.7</v>
      </c>
      <c r="DO10" s="774">
        <v>0.7</v>
      </c>
      <c r="DP10" s="774">
        <v>0.7</v>
      </c>
      <c r="DQ10" s="774">
        <v>0.7</v>
      </c>
      <c r="DR10" s="774">
        <v>0.7</v>
      </c>
      <c r="DS10" s="774">
        <v>0.7</v>
      </c>
      <c r="DT10" s="774">
        <v>0.7</v>
      </c>
      <c r="DU10" s="774">
        <v>0.7</v>
      </c>
      <c r="DV10" s="774">
        <v>0.7</v>
      </c>
      <c r="DW10" s="774">
        <v>0.7</v>
      </c>
      <c r="DX10" s="774">
        <v>0.7</v>
      </c>
      <c r="DY10" s="774">
        <v>0.7</v>
      </c>
      <c r="DZ10" s="774">
        <v>0.7</v>
      </c>
      <c r="EA10" s="774">
        <v>0.7</v>
      </c>
      <c r="EB10" s="774">
        <v>0.7</v>
      </c>
      <c r="EC10" s="774">
        <v>0.7</v>
      </c>
      <c r="ED10" s="774">
        <v>0.7</v>
      </c>
      <c r="EE10" s="774">
        <v>0.7</v>
      </c>
      <c r="EF10" s="774">
        <v>0.7</v>
      </c>
      <c r="EG10" s="774">
        <v>0.7</v>
      </c>
      <c r="EH10" s="774">
        <v>0.63762160148058167</v>
      </c>
      <c r="EI10" s="774">
        <v>0.55603026036905534</v>
      </c>
      <c r="EJ10" s="774">
        <v>0.48117515337570832</v>
      </c>
      <c r="EK10" s="774">
        <v>0.44747876961311722</v>
      </c>
      <c r="EL10" s="774">
        <v>0.56204275003229487</v>
      </c>
      <c r="EM10" s="774">
        <v>0.70509411096957009</v>
      </c>
      <c r="EN10" s="774">
        <v>0.79751963015795679</v>
      </c>
      <c r="EO10" s="774">
        <v>0.85831897550735792</v>
      </c>
      <c r="EP10" s="774">
        <v>0.88422300576419099</v>
      </c>
      <c r="EQ10" s="774">
        <v>0.94064863837973056</v>
      </c>
      <c r="ER10" s="774">
        <v>0.80759258471613249</v>
      </c>
      <c r="ES10" s="774">
        <v>0.72225451963430298</v>
      </c>
      <c r="ET10" s="774">
        <v>0.63415082272622625</v>
      </c>
      <c r="EU10" s="774">
        <v>0.55274722328481052</v>
      </c>
      <c r="EV10" s="774">
        <v>0.47852914402862884</v>
      </c>
      <c r="EW10" s="774">
        <v>0.44522721089802425</v>
      </c>
      <c r="EX10" s="774">
        <v>0.55914810037194795</v>
      </c>
      <c r="EY10" s="774">
        <v>0.71031848232362127</v>
      </c>
      <c r="EZ10" s="774">
        <v>0.80462467074423349</v>
      </c>
      <c r="FA10" s="774">
        <v>0.86620774284636692</v>
      </c>
      <c r="FB10" s="774">
        <v>0.89218255993279094</v>
      </c>
      <c r="FC10" s="774">
        <v>0.93510299862460555</v>
      </c>
      <c r="FD10" s="774">
        <v>0.8032879587857924</v>
      </c>
      <c r="FE10" s="774">
        <v>0.71847308543295152</v>
      </c>
      <c r="FF10"/>
      <c r="FG10"/>
      <c r="FH10"/>
      <c r="FI10"/>
      <c r="FJ10"/>
      <c r="FK10"/>
    </row>
    <row r="11" spans="1:167" ht="15" x14ac:dyDescent="0.25">
      <c r="A11" t="s">
        <v>12</v>
      </c>
      <c r="B11" t="s">
        <v>516</v>
      </c>
      <c r="C11" s="509" t="s">
        <v>382</v>
      </c>
      <c r="D11" s="509" t="s">
        <v>56</v>
      </c>
      <c r="E11" t="s">
        <v>20</v>
      </c>
      <c r="F11" s="272">
        <v>1949912.5076152792</v>
      </c>
      <c r="G11" s="272">
        <v>1534769.4669493537</v>
      </c>
      <c r="H11" s="272">
        <v>1157985.5665410853</v>
      </c>
      <c r="I11" s="272">
        <v>346328.03811728791</v>
      </c>
      <c r="J11" s="272">
        <v>189449.50300685916</v>
      </c>
      <c r="K11" s="272">
        <v>133335.43375808262</v>
      </c>
      <c r="L11" s="272">
        <v>115321.40223171316</v>
      </c>
      <c r="M11" s="272">
        <v>119492.8019709462</v>
      </c>
      <c r="N11" s="272">
        <v>160048.92285988713</v>
      </c>
      <c r="O11" s="272">
        <v>305500.33172550687</v>
      </c>
      <c r="P11" s="272">
        <v>995196.52379967214</v>
      </c>
      <c r="Q11" s="272">
        <v>1508431.4237588984</v>
      </c>
      <c r="R11" s="272">
        <v>1939894.3893310702</v>
      </c>
      <c r="S11" s="272">
        <v>1518509.9380906073</v>
      </c>
      <c r="T11" s="272">
        <v>1172880.6579474465</v>
      </c>
      <c r="U11" s="272">
        <v>365351.66741198732</v>
      </c>
      <c r="V11" s="272">
        <v>199118.98815356067</v>
      </c>
      <c r="W11" s="272">
        <v>137401.62281726187</v>
      </c>
      <c r="X11" s="272">
        <v>119021.52194492851</v>
      </c>
      <c r="Y11" s="272">
        <v>123173.74423716152</v>
      </c>
      <c r="Z11" s="272">
        <v>167386.90302673419</v>
      </c>
      <c r="AA11" s="272">
        <v>316010.67649512936</v>
      </c>
      <c r="AB11" s="272">
        <v>1007920.3700490819</v>
      </c>
      <c r="AC11" s="272">
        <v>1518535.1416374254</v>
      </c>
      <c r="AD11" s="272">
        <v>1945939.3817828246</v>
      </c>
      <c r="AE11" s="774">
        <v>1527277.5734632707</v>
      </c>
      <c r="AF11" s="774">
        <v>1179170.8481557991</v>
      </c>
      <c r="AG11" s="774">
        <v>371654.81551918702</v>
      </c>
      <c r="AH11" s="774">
        <v>202015.51889537563</v>
      </c>
      <c r="AI11" s="774">
        <v>137500.23213062054</v>
      </c>
      <c r="AJ11" s="774">
        <v>119297.56758093924</v>
      </c>
      <c r="AK11" s="774">
        <v>123317.07692517931</v>
      </c>
      <c r="AL11" s="774">
        <v>170695.40239546829</v>
      </c>
      <c r="AM11" s="774">
        <v>322704.94159586809</v>
      </c>
      <c r="AN11" s="774">
        <v>1016927.1935514823</v>
      </c>
      <c r="AO11" s="774">
        <v>1526650.725319718</v>
      </c>
      <c r="AP11" s="774">
        <v>1954323.854907139</v>
      </c>
      <c r="AQ11" s="774">
        <v>1536517.7875970709</v>
      </c>
      <c r="AR11" s="774">
        <v>1187175.0075096933</v>
      </c>
      <c r="AS11" s="774">
        <v>377340.76191275608</v>
      </c>
      <c r="AT11" s="774">
        <v>202964.9310402449</v>
      </c>
      <c r="AU11" s="774">
        <v>134952.80235670618</v>
      </c>
      <c r="AV11" s="774">
        <v>116503.3766844374</v>
      </c>
      <c r="AW11" s="774">
        <v>120362.93263428514</v>
      </c>
      <c r="AX11" s="774">
        <v>171665.41544912363</v>
      </c>
      <c r="AY11" s="774">
        <v>327483.77174063702</v>
      </c>
      <c r="AZ11" s="774">
        <v>1023135.6915122123</v>
      </c>
      <c r="BA11" s="774">
        <v>1532695.7153991372</v>
      </c>
      <c r="BB11" s="774">
        <v>1959652.1034560935</v>
      </c>
      <c r="BC11" s="774">
        <v>1542720.6492944614</v>
      </c>
      <c r="BD11" s="774">
        <v>1193179.9117386765</v>
      </c>
      <c r="BE11" s="774">
        <v>382195.10189712944</v>
      </c>
      <c r="BF11" s="774">
        <v>203312.04176770279</v>
      </c>
      <c r="BG11" s="774">
        <v>132244.13380862359</v>
      </c>
      <c r="BH11" s="774">
        <v>113816.67180134122</v>
      </c>
      <c r="BI11" s="774">
        <v>117559.24136314013</v>
      </c>
      <c r="BJ11" s="774">
        <v>172367.71896309283</v>
      </c>
      <c r="BK11" s="774">
        <v>331748.69235104969</v>
      </c>
      <c r="BL11" s="774">
        <v>1028538.1640791678</v>
      </c>
      <c r="BM11" s="774">
        <v>1537273.7078325138</v>
      </c>
      <c r="BN11" s="774">
        <v>1965283.0219092427</v>
      </c>
      <c r="BO11" s="774">
        <v>1548863.2799584088</v>
      </c>
      <c r="BP11" s="774">
        <v>1198464.0599947197</v>
      </c>
      <c r="BQ11" s="774">
        <v>385701.568725169</v>
      </c>
      <c r="BR11" s="774">
        <v>202113.6022552567</v>
      </c>
      <c r="BS11" s="774">
        <v>127692.54471612451</v>
      </c>
      <c r="BT11" s="774">
        <v>108997.22778693606</v>
      </c>
      <c r="BU11" s="774">
        <v>112596.20698678796</v>
      </c>
      <c r="BV11" s="774">
        <v>170838.80432013897</v>
      </c>
      <c r="BW11" s="774">
        <v>333943.92970033723</v>
      </c>
      <c r="BX11" s="774">
        <v>1031256.7083900977</v>
      </c>
      <c r="BY11" s="774">
        <v>1539301.452079817</v>
      </c>
      <c r="BZ11" s="774">
        <v>1968154.1260563841</v>
      </c>
      <c r="CA11" s="774">
        <v>1551720.9557284007</v>
      </c>
      <c r="CB11" s="774">
        <v>1200869.5332770129</v>
      </c>
      <c r="CC11" s="774">
        <v>387292.70327821374</v>
      </c>
      <c r="CD11" s="774">
        <v>199119.99725736844</v>
      </c>
      <c r="CE11" s="774">
        <v>121737.70099022513</v>
      </c>
      <c r="CF11" s="774">
        <v>102981.12652151359</v>
      </c>
      <c r="CG11" s="774">
        <v>106448.99752008794</v>
      </c>
      <c r="CH11" s="774">
        <v>168174.17028771716</v>
      </c>
      <c r="CI11" s="774">
        <v>335163.72197993012</v>
      </c>
      <c r="CJ11" s="774">
        <v>1032416.9648720608</v>
      </c>
      <c r="CK11" s="774">
        <v>1539708.4598926781</v>
      </c>
      <c r="CL11" s="774">
        <v>1969654.7334484055</v>
      </c>
      <c r="CM11" s="774">
        <v>1553181.3741515439</v>
      </c>
      <c r="CN11" s="774">
        <v>1202580.2354825491</v>
      </c>
      <c r="CO11" s="774">
        <v>388388.41574855545</v>
      </c>
      <c r="CP11" s="774">
        <v>195624.94742802932</v>
      </c>
      <c r="CQ11" s="774">
        <v>115392.23966712647</v>
      </c>
      <c r="CR11" s="774">
        <v>96605.606017586499</v>
      </c>
      <c r="CS11" s="774">
        <v>99969.836073234241</v>
      </c>
      <c r="CT11" s="774">
        <v>165062.8758729632</v>
      </c>
      <c r="CU11" s="774">
        <v>336007.69993897836</v>
      </c>
      <c r="CV11" s="774">
        <v>1033406.1872699073</v>
      </c>
      <c r="CW11" s="774">
        <v>1540123.9054657626</v>
      </c>
      <c r="CX11" s="774">
        <v>1970704.1459657657</v>
      </c>
      <c r="CY11" s="774">
        <v>1554018.6828105319</v>
      </c>
      <c r="CZ11" s="774">
        <v>1203947.0184556162</v>
      </c>
      <c r="DA11" s="774">
        <v>389189.93673426431</v>
      </c>
      <c r="DB11" s="774">
        <v>191850.86033051871</v>
      </c>
      <c r="DC11" s="774">
        <v>108904.97598988096</v>
      </c>
      <c r="DD11" s="774">
        <v>90156.49268861876</v>
      </c>
      <c r="DE11" s="774">
        <v>93433.589130718523</v>
      </c>
      <c r="DF11" s="774">
        <v>162019.03650984069</v>
      </c>
      <c r="DG11" s="774">
        <v>337142.78073377098</v>
      </c>
      <c r="DH11" s="774">
        <v>1034865.8166822043</v>
      </c>
      <c r="DI11" s="774">
        <v>1540818.9986162838</v>
      </c>
      <c r="DJ11" s="774">
        <v>1971634.0117715239</v>
      </c>
      <c r="DK11" s="774">
        <v>1554791.298667138</v>
      </c>
      <c r="DL11" s="774">
        <v>1205360.6900967024</v>
      </c>
      <c r="DM11" s="774">
        <v>390086.00796307018</v>
      </c>
      <c r="DN11" s="774">
        <v>188135.30371875249</v>
      </c>
      <c r="DO11" s="774">
        <v>102525.75732231527</v>
      </c>
      <c r="DP11" s="774">
        <v>83822.657484138195</v>
      </c>
      <c r="DQ11" s="774">
        <v>87014.136770969548</v>
      </c>
      <c r="DR11" s="774">
        <v>159009.10315964845</v>
      </c>
      <c r="DS11" s="774">
        <v>338379.40244365687</v>
      </c>
      <c r="DT11" s="774">
        <v>1036514.926313369</v>
      </c>
      <c r="DU11" s="774">
        <v>1541815.3233303525</v>
      </c>
      <c r="DV11" s="774">
        <v>1972377.6772805194</v>
      </c>
      <c r="DW11" s="774">
        <v>1555483.0438492913</v>
      </c>
      <c r="DX11" s="774">
        <v>1206877.5885901644</v>
      </c>
      <c r="DY11" s="774">
        <v>391197.56002241123</v>
      </c>
      <c r="DZ11" s="774">
        <v>184641.52764836332</v>
      </c>
      <c r="EA11" s="774">
        <v>96535.130897333263</v>
      </c>
      <c r="EB11" s="774">
        <v>77974.105511646892</v>
      </c>
      <c r="EC11" s="774">
        <v>81086.328264836295</v>
      </c>
      <c r="ED11" s="774">
        <v>156488.68777937916</v>
      </c>
      <c r="EE11" s="774">
        <v>340188.87998247723</v>
      </c>
      <c r="EF11" s="774">
        <v>1038812.849407576</v>
      </c>
      <c r="EG11" s="774">
        <v>1543518.7430440937</v>
      </c>
      <c r="EH11" s="774">
        <v>1613114.4552733002</v>
      </c>
      <c r="EI11" s="774">
        <v>1361183.7019204155</v>
      </c>
      <c r="EJ11" s="774">
        <v>976649.52286549704</v>
      </c>
      <c r="EK11" s="774">
        <v>538595.01998954208</v>
      </c>
      <c r="EL11" s="774">
        <v>383674.32058837876</v>
      </c>
      <c r="EM11" s="774">
        <v>162522.62742299709</v>
      </c>
      <c r="EN11" s="774">
        <v>138560.33940241716</v>
      </c>
      <c r="EO11" s="774">
        <v>129042.01739937671</v>
      </c>
      <c r="EP11" s="774">
        <v>150428.86451653644</v>
      </c>
      <c r="EQ11" s="774">
        <v>526232.19963506365</v>
      </c>
      <c r="ER11" s="774">
        <v>817507.27494280227</v>
      </c>
      <c r="ES11" s="774">
        <v>1301487.3574187658</v>
      </c>
      <c r="ET11" s="774">
        <v>1607556.2715401524</v>
      </c>
      <c r="EU11" s="774">
        <v>1356142.725601472</v>
      </c>
      <c r="EV11" s="774">
        <v>973438.93138893368</v>
      </c>
      <c r="EW11" s="774">
        <v>537520.83465274982</v>
      </c>
      <c r="EX11" s="774">
        <v>383943.92015996942</v>
      </c>
      <c r="EY11" s="774">
        <v>152657.03594881325</v>
      </c>
      <c r="EZ11" s="774">
        <v>127454.40789343028</v>
      </c>
      <c r="FA11" s="774">
        <v>116830.74148092733</v>
      </c>
      <c r="FB11" s="774">
        <v>138113.54989166145</v>
      </c>
      <c r="FC11" s="774">
        <v>527649.39274484187</v>
      </c>
      <c r="FD11" s="774">
        <v>816797.24010821024</v>
      </c>
      <c r="FE11" s="774">
        <v>1298117.2532628295</v>
      </c>
      <c r="FF11"/>
      <c r="FG11"/>
      <c r="FH11"/>
      <c r="FI11"/>
      <c r="FJ11"/>
      <c r="FK11"/>
    </row>
    <row r="12" spans="1:167" ht="15" x14ac:dyDescent="0.25">
      <c r="A12" t="s">
        <v>12</v>
      </c>
      <c r="B12" t="s">
        <v>517</v>
      </c>
      <c r="C12" s="509" t="s">
        <v>383</v>
      </c>
      <c r="D12" s="509" t="s">
        <v>56</v>
      </c>
      <c r="E12" t="s">
        <v>20</v>
      </c>
      <c r="F12" s="272">
        <v>0</v>
      </c>
      <c r="G12" s="272">
        <v>0</v>
      </c>
      <c r="H12" s="272">
        <v>0</v>
      </c>
      <c r="I12" s="272">
        <v>185426.36770210313</v>
      </c>
      <c r="J12" s="272">
        <v>97829.312955839065</v>
      </c>
      <c r="K12" s="272">
        <v>66042.320746432946</v>
      </c>
      <c r="L12" s="272">
        <v>55424.699418045289</v>
      </c>
      <c r="M12" s="272">
        <v>54499.450751220975</v>
      </c>
      <c r="N12" s="272">
        <v>72616.328280127476</v>
      </c>
      <c r="O12" s="272">
        <v>149234.93210388845</v>
      </c>
      <c r="P12" s="272">
        <v>0</v>
      </c>
      <c r="Q12" s="272">
        <v>0</v>
      </c>
      <c r="R12" s="272">
        <v>0</v>
      </c>
      <c r="S12" s="272">
        <v>0</v>
      </c>
      <c r="T12" s="272">
        <v>0</v>
      </c>
      <c r="U12" s="272">
        <v>195613.51497252873</v>
      </c>
      <c r="V12" s="272">
        <v>102824.09657899795</v>
      </c>
      <c r="W12" s="272">
        <v>68057.251450334981</v>
      </c>
      <c r="X12" s="272">
        <v>57203.943786666685</v>
      </c>
      <c r="Y12" s="272">
        <v>56179.13586631191</v>
      </c>
      <c r="Z12" s="272">
        <v>75946.918300003366</v>
      </c>
      <c r="AA12" s="272">
        <v>154370.17764512633</v>
      </c>
      <c r="AB12" s="272">
        <v>0</v>
      </c>
      <c r="AC12" s="272">
        <v>0</v>
      </c>
      <c r="AD12" s="272">
        <v>0</v>
      </c>
      <c r="AE12" s="774">
        <v>0</v>
      </c>
      <c r="AF12" s="774">
        <v>0</v>
      </c>
      <c r="AG12" s="774">
        <v>198988.84872407734</v>
      </c>
      <c r="AH12" s="774">
        <v>104320.30284993151</v>
      </c>
      <c r="AI12" s="774">
        <v>68106.115615351737</v>
      </c>
      <c r="AJ12" s="774">
        <v>57336.683449548509</v>
      </c>
      <c r="AK12" s="774">
        <v>56244.541342724602</v>
      </c>
      <c r="AL12" s="774">
        <v>77448.592429357974</v>
      </c>
      <c r="AM12" s="774">
        <v>157640.92620418311</v>
      </c>
      <c r="AN12" s="774">
        <v>0</v>
      </c>
      <c r="AO12" s="774">
        <v>0</v>
      </c>
      <c r="AP12" s="774">
        <v>0</v>
      </c>
      <c r="AQ12" s="774">
        <v>0</v>
      </c>
      <c r="AR12" s="774">
        <v>0</v>
      </c>
      <c r="AS12" s="774">
        <v>202033.67115967709</v>
      </c>
      <c r="AT12" s="774">
        <v>104810.7227803493</v>
      </c>
      <c r="AU12" s="774">
        <v>66843.780196907042</v>
      </c>
      <c r="AV12" s="774">
        <v>55993.065187766959</v>
      </c>
      <c r="AW12" s="774">
        <v>54896.508194041824</v>
      </c>
      <c r="AX12" s="774">
        <v>77888.865600202742</v>
      </c>
      <c r="AY12" s="774">
        <v>159975.81309240259</v>
      </c>
      <c r="AZ12" s="774">
        <v>0</v>
      </c>
      <c r="BA12" s="774">
        <v>0</v>
      </c>
      <c r="BB12" s="774">
        <v>0</v>
      </c>
      <c r="BC12" s="774">
        <v>0</v>
      </c>
      <c r="BD12" s="774">
        <v>0</v>
      </c>
      <c r="BE12" s="774">
        <v>204633.16863491994</v>
      </c>
      <c r="BF12" s="774">
        <v>104990.02322402605</v>
      </c>
      <c r="BG12" s="774">
        <v>65501.545651293709</v>
      </c>
      <c r="BH12" s="774">
        <v>54701.132789925025</v>
      </c>
      <c r="BI12" s="774">
        <v>53617.129666789151</v>
      </c>
      <c r="BJ12" s="774">
        <v>78207.629758917377</v>
      </c>
      <c r="BK12" s="774">
        <v>162059.60910751103</v>
      </c>
      <c r="BL12" s="774">
        <v>0</v>
      </c>
      <c r="BM12" s="774">
        <v>0</v>
      </c>
      <c r="BN12" s="774">
        <v>0</v>
      </c>
      <c r="BO12" s="774">
        <v>0</v>
      </c>
      <c r="BP12" s="774">
        <v>0</v>
      </c>
      <c r="BQ12" s="774">
        <v>206510.88047542842</v>
      </c>
      <c r="BR12" s="774">
        <v>104370.96792177408</v>
      </c>
      <c r="BS12" s="774">
        <v>63246.083231680299</v>
      </c>
      <c r="BT12" s="774">
        <v>52383.648684778338</v>
      </c>
      <c r="BU12" s="774">
        <v>51352.40113677214</v>
      </c>
      <c r="BV12" s="774">
        <v>77513.680233941719</v>
      </c>
      <c r="BW12" s="774">
        <v>163132.17932827768</v>
      </c>
      <c r="BX12" s="774">
        <v>0</v>
      </c>
      <c r="BY12" s="774">
        <v>0</v>
      </c>
      <c r="BZ12" s="774">
        <v>0</v>
      </c>
      <c r="CA12" s="774">
        <v>0</v>
      </c>
      <c r="CB12" s="774">
        <v>0</v>
      </c>
      <c r="CC12" s="774">
        <v>207362.93250860414</v>
      </c>
      <c r="CD12" s="774">
        <v>102824.61783272518</v>
      </c>
      <c r="CE12" s="774">
        <v>60295.261888740839</v>
      </c>
      <c r="CF12" s="774">
        <v>49490.73842046225</v>
      </c>
      <c r="CG12" s="774">
        <v>48547.310620865064</v>
      </c>
      <c r="CH12" s="774">
        <v>76304.2461235714</v>
      </c>
      <c r="CI12" s="774">
        <v>163728.15719601806</v>
      </c>
      <c r="CJ12" s="774">
        <v>0</v>
      </c>
      <c r="CK12" s="774">
        <v>0</v>
      </c>
      <c r="CL12" s="774">
        <v>0</v>
      </c>
      <c r="CM12" s="774">
        <v>0</v>
      </c>
      <c r="CN12" s="774">
        <v>0</v>
      </c>
      <c r="CO12" s="774">
        <v>207949.68617839535</v>
      </c>
      <c r="CP12" s="774">
        <v>101019.24584188426</v>
      </c>
      <c r="CQ12" s="774">
        <v>57150.876651298116</v>
      </c>
      <c r="CR12" s="774">
        <v>46424.997354537358</v>
      </c>
      <c r="CS12" s="774">
        <v>45590.743999204671</v>
      </c>
      <c r="CT12" s="774">
        <v>74892.080119976497</v>
      </c>
      <c r="CU12" s="774">
        <v>164140.51608110734</v>
      </c>
      <c r="CV12" s="774">
        <v>0</v>
      </c>
      <c r="CW12" s="774">
        <v>0</v>
      </c>
      <c r="CX12" s="774">
        <v>0</v>
      </c>
      <c r="CY12" s="774">
        <v>0</v>
      </c>
      <c r="CZ12" s="774">
        <v>0</v>
      </c>
      <c r="DA12" s="774">
        <v>208378.90040430691</v>
      </c>
      <c r="DB12" s="774">
        <v>99069.736830698515</v>
      </c>
      <c r="DC12" s="774">
        <v>53936.223673448418</v>
      </c>
      <c r="DD12" s="774">
        <v>43323.868347228607</v>
      </c>
      <c r="DE12" s="774">
        <v>42608.128162311768</v>
      </c>
      <c r="DF12" s="774">
        <v>73510.530868763803</v>
      </c>
      <c r="DG12" s="774">
        <v>164695.10479519507</v>
      </c>
      <c r="DH12" s="774">
        <v>0</v>
      </c>
      <c r="DI12" s="774">
        <v>0</v>
      </c>
      <c r="DJ12" s="774">
        <v>0</v>
      </c>
      <c r="DK12" s="774">
        <v>0</v>
      </c>
      <c r="DL12" s="774">
        <v>0</v>
      </c>
      <c r="DM12" s="774">
        <v>208858.74625449808</v>
      </c>
      <c r="DN12" s="774">
        <v>97150.461808935812</v>
      </c>
      <c r="DO12" s="774">
        <v>50775.110559151268</v>
      </c>
      <c r="DP12" s="774">
        <v>40278.172128509505</v>
      </c>
      <c r="DQ12" s="774">
        <v>39678.807951377785</v>
      </c>
      <c r="DR12" s="774">
        <v>72144.371006144647</v>
      </c>
      <c r="DS12" s="774">
        <v>165299.30534818201</v>
      </c>
      <c r="DT12" s="774">
        <v>0</v>
      </c>
      <c r="DU12" s="774">
        <v>0</v>
      </c>
      <c r="DV12" s="774">
        <v>0</v>
      </c>
      <c r="DW12" s="774">
        <v>0</v>
      </c>
      <c r="DX12" s="774">
        <v>0</v>
      </c>
      <c r="DY12" s="774">
        <v>209453.98201902211</v>
      </c>
      <c r="DZ12" s="774">
        <v>95345.747779738813</v>
      </c>
      <c r="EA12" s="774">
        <v>47806.557709387911</v>
      </c>
      <c r="EB12" s="774">
        <v>37465.829834697055</v>
      </c>
      <c r="EC12" s="774">
        <v>36973.834335179527</v>
      </c>
      <c r="ED12" s="774">
        <v>71000.395399697431</v>
      </c>
      <c r="EE12" s="774">
        <v>166183.39732298133</v>
      </c>
      <c r="EF12" s="774">
        <v>0</v>
      </c>
      <c r="EG12" s="774">
        <v>0</v>
      </c>
      <c r="EH12" s="774">
        <v>1613114.4552733002</v>
      </c>
      <c r="EI12" s="774">
        <v>1361183.7019204155</v>
      </c>
      <c r="EJ12" s="774">
        <v>976649.52286549704</v>
      </c>
      <c r="EK12" s="774">
        <v>538595.01998954208</v>
      </c>
      <c r="EL12" s="774">
        <v>383674.32058837876</v>
      </c>
      <c r="EM12" s="774">
        <v>162522.62742299709</v>
      </c>
      <c r="EN12" s="774">
        <v>138560.33940241716</v>
      </c>
      <c r="EO12" s="774">
        <v>129042.01739937671</v>
      </c>
      <c r="EP12" s="774">
        <v>150428.86451653644</v>
      </c>
      <c r="EQ12" s="774">
        <v>526232.19963506365</v>
      </c>
      <c r="ER12" s="774">
        <v>817507.27494280227</v>
      </c>
      <c r="ES12" s="774">
        <v>1301487.3574187658</v>
      </c>
      <c r="ET12" s="774">
        <v>1607556.2715401524</v>
      </c>
      <c r="EU12" s="774">
        <v>1356142.725601472</v>
      </c>
      <c r="EV12" s="774">
        <v>973438.93138893368</v>
      </c>
      <c r="EW12" s="774">
        <v>537520.83465274982</v>
      </c>
      <c r="EX12" s="774">
        <v>383943.92015996942</v>
      </c>
      <c r="EY12" s="774">
        <v>152657.03594881325</v>
      </c>
      <c r="EZ12" s="774">
        <v>127454.40789343028</v>
      </c>
      <c r="FA12" s="774">
        <v>116830.74148092733</v>
      </c>
      <c r="FB12" s="774">
        <v>138113.54989166145</v>
      </c>
      <c r="FC12" s="774">
        <v>527649.39274484187</v>
      </c>
      <c r="FD12" s="774">
        <v>816797.24010821024</v>
      </c>
      <c r="FE12" s="774">
        <v>1298117.2532628295</v>
      </c>
      <c r="FF12"/>
      <c r="FG12"/>
      <c r="FH12"/>
      <c r="FI12"/>
      <c r="FJ12"/>
      <c r="FK12"/>
    </row>
    <row r="13" spans="1:167" ht="15" x14ac:dyDescent="0.25">
      <c r="A13" t="s">
        <v>16</v>
      </c>
      <c r="B13" t="s">
        <v>506</v>
      </c>
      <c r="C13" s="509"/>
      <c r="D13" s="509" t="s">
        <v>223</v>
      </c>
      <c r="E13" t="s">
        <v>18</v>
      </c>
      <c r="F13" s="272">
        <v>1595.4</v>
      </c>
      <c r="G13" s="272">
        <v>1549.7</v>
      </c>
      <c r="H13" s="272">
        <v>1551.1</v>
      </c>
      <c r="I13" s="272">
        <v>2915.5</v>
      </c>
      <c r="J13" s="272">
        <v>3122.5</v>
      </c>
      <c r="K13" s="272">
        <v>2762.5</v>
      </c>
      <c r="L13" s="272">
        <v>2885.2</v>
      </c>
      <c r="M13" s="272">
        <v>2517.9</v>
      </c>
      <c r="N13" s="272">
        <v>2447.3000000000002</v>
      </c>
      <c r="O13" s="272">
        <v>2471.1</v>
      </c>
      <c r="P13" s="272">
        <v>2365.9</v>
      </c>
      <c r="Q13" s="272">
        <v>2027.4</v>
      </c>
      <c r="R13" s="272">
        <v>1516.3</v>
      </c>
      <c r="S13" s="272">
        <v>1523.2</v>
      </c>
      <c r="T13" s="272">
        <v>1840.7</v>
      </c>
      <c r="U13" s="272">
        <v>2760</v>
      </c>
      <c r="V13" s="272">
        <v>3400.1</v>
      </c>
      <c r="W13" s="272">
        <v>2981</v>
      </c>
      <c r="X13" s="272">
        <v>3085.9</v>
      </c>
      <c r="Y13" s="272">
        <v>2669.5</v>
      </c>
      <c r="Z13" s="272">
        <v>2572.3000000000002</v>
      </c>
      <c r="AA13" s="272">
        <v>2575.1</v>
      </c>
      <c r="AB13" s="272">
        <v>2444.8000000000002</v>
      </c>
      <c r="AC13" s="272">
        <v>2077.5</v>
      </c>
      <c r="AD13" s="272">
        <v>1516.3</v>
      </c>
      <c r="AE13" s="774">
        <v>1523.2</v>
      </c>
      <c r="AF13" s="774">
        <v>1840.7</v>
      </c>
      <c r="AG13" s="774">
        <v>2760</v>
      </c>
      <c r="AH13" s="774">
        <v>3400.1</v>
      </c>
      <c r="AI13" s="774">
        <v>2981</v>
      </c>
      <c r="AJ13" s="774">
        <v>3085.9</v>
      </c>
      <c r="AK13" s="774">
        <v>2669.5</v>
      </c>
      <c r="AL13" s="774">
        <v>2572.3000000000002</v>
      </c>
      <c r="AM13" s="774">
        <v>2575.1</v>
      </c>
      <c r="AN13" s="774">
        <v>2444.8000000000002</v>
      </c>
      <c r="AO13" s="774">
        <v>2077.5</v>
      </c>
      <c r="AP13" s="774">
        <v>1516.3</v>
      </c>
      <c r="AQ13" s="774">
        <v>1523.2</v>
      </c>
      <c r="AR13" s="774">
        <v>1840.7</v>
      </c>
      <c r="AS13" s="774">
        <v>2760</v>
      </c>
      <c r="AT13" s="774">
        <v>3400.1</v>
      </c>
      <c r="AU13" s="774">
        <v>2981</v>
      </c>
      <c r="AV13" s="774">
        <v>3085.9</v>
      </c>
      <c r="AW13" s="774">
        <v>2669.5</v>
      </c>
      <c r="AX13" s="774">
        <v>2572.3000000000002</v>
      </c>
      <c r="AY13" s="774">
        <v>2575.1</v>
      </c>
      <c r="AZ13" s="774">
        <v>2444.8000000000002</v>
      </c>
      <c r="BA13" s="774">
        <v>2077.5</v>
      </c>
      <c r="BB13" s="774">
        <v>1516.3</v>
      </c>
      <c r="BC13" s="774">
        <v>1523.2</v>
      </c>
      <c r="BD13" s="774">
        <v>1840.7</v>
      </c>
      <c r="BE13" s="774">
        <v>2760</v>
      </c>
      <c r="BF13" s="774">
        <v>3400.1</v>
      </c>
      <c r="BG13" s="774">
        <v>2981</v>
      </c>
      <c r="BH13" s="774">
        <v>3085.9</v>
      </c>
      <c r="BI13" s="774">
        <v>2669.5</v>
      </c>
      <c r="BJ13" s="774">
        <v>2572.3000000000002</v>
      </c>
      <c r="BK13" s="774">
        <v>2575.1</v>
      </c>
      <c r="BL13" s="774">
        <v>2444.8000000000002</v>
      </c>
      <c r="BM13" s="774">
        <v>2077.5</v>
      </c>
      <c r="BN13" s="774">
        <v>1516.3</v>
      </c>
      <c r="BO13" s="774">
        <v>1523.2</v>
      </c>
      <c r="BP13" s="774">
        <v>1840.7</v>
      </c>
      <c r="BQ13" s="774">
        <v>2760</v>
      </c>
      <c r="BR13" s="774">
        <v>3400.1</v>
      </c>
      <c r="BS13" s="774">
        <v>2981</v>
      </c>
      <c r="BT13" s="774">
        <v>3085.9</v>
      </c>
      <c r="BU13" s="774">
        <v>2669.5</v>
      </c>
      <c r="BV13" s="774">
        <v>2572.3000000000002</v>
      </c>
      <c r="BW13" s="774">
        <v>2575.1</v>
      </c>
      <c r="BX13" s="774">
        <v>2444.8000000000002</v>
      </c>
      <c r="BY13" s="774">
        <v>2077.5</v>
      </c>
      <c r="BZ13" s="774">
        <v>1516.3</v>
      </c>
      <c r="CA13" s="774">
        <v>1523.2</v>
      </c>
      <c r="CB13" s="774">
        <v>1840.7</v>
      </c>
      <c r="CC13" s="774">
        <v>2760</v>
      </c>
      <c r="CD13" s="774">
        <v>3400.1</v>
      </c>
      <c r="CE13" s="774">
        <v>2981</v>
      </c>
      <c r="CF13" s="774">
        <v>3085.9</v>
      </c>
      <c r="CG13" s="774">
        <v>2669.5</v>
      </c>
      <c r="CH13" s="774">
        <v>2572.3000000000002</v>
      </c>
      <c r="CI13" s="774">
        <v>2575.1</v>
      </c>
      <c r="CJ13" s="774">
        <v>2444.8000000000002</v>
      </c>
      <c r="CK13" s="774">
        <v>2077.5</v>
      </c>
      <c r="CL13" s="774">
        <v>1516.3</v>
      </c>
      <c r="CM13" s="774">
        <v>1523.2</v>
      </c>
      <c r="CN13" s="774">
        <v>1840.7</v>
      </c>
      <c r="CO13" s="774">
        <v>2760</v>
      </c>
      <c r="CP13" s="774">
        <v>3400.1</v>
      </c>
      <c r="CQ13" s="774">
        <v>2981</v>
      </c>
      <c r="CR13" s="774">
        <v>3085.9</v>
      </c>
      <c r="CS13" s="774">
        <v>2669.5</v>
      </c>
      <c r="CT13" s="774">
        <v>2572.3000000000002</v>
      </c>
      <c r="CU13" s="774">
        <v>2575.1</v>
      </c>
      <c r="CV13" s="774">
        <v>2444.8000000000002</v>
      </c>
      <c r="CW13" s="774">
        <v>2077.5</v>
      </c>
      <c r="CX13" s="774">
        <v>1516.3</v>
      </c>
      <c r="CY13" s="774">
        <v>1523.2</v>
      </c>
      <c r="CZ13" s="774">
        <v>1840.7</v>
      </c>
      <c r="DA13" s="774">
        <v>2760</v>
      </c>
      <c r="DB13" s="774">
        <v>3400.1</v>
      </c>
      <c r="DC13" s="774">
        <v>2981</v>
      </c>
      <c r="DD13" s="774">
        <v>3085.9</v>
      </c>
      <c r="DE13" s="774">
        <v>2669.5</v>
      </c>
      <c r="DF13" s="774">
        <v>2572.3000000000002</v>
      </c>
      <c r="DG13" s="774">
        <v>2575.1</v>
      </c>
      <c r="DH13" s="774">
        <v>2444.8000000000002</v>
      </c>
      <c r="DI13" s="774">
        <v>2077.5</v>
      </c>
      <c r="DJ13" s="774">
        <v>1516.3</v>
      </c>
      <c r="DK13" s="774">
        <v>1523.2</v>
      </c>
      <c r="DL13" s="774">
        <v>1840.7</v>
      </c>
      <c r="DM13" s="774">
        <v>2760</v>
      </c>
      <c r="DN13" s="774">
        <v>3400.1</v>
      </c>
      <c r="DO13" s="774">
        <v>2981</v>
      </c>
      <c r="DP13" s="774">
        <v>3085.9</v>
      </c>
      <c r="DQ13" s="774">
        <v>2669.5</v>
      </c>
      <c r="DR13" s="774">
        <v>2572.3000000000002</v>
      </c>
      <c r="DS13" s="774">
        <v>2575.1</v>
      </c>
      <c r="DT13" s="774">
        <v>2444.8000000000002</v>
      </c>
      <c r="DU13" s="774">
        <v>2077.5</v>
      </c>
      <c r="DV13" s="774">
        <v>1516.3</v>
      </c>
      <c r="DW13" s="774">
        <v>1523.2</v>
      </c>
      <c r="DX13" s="774">
        <v>1840.7</v>
      </c>
      <c r="DY13" s="774">
        <v>2760</v>
      </c>
      <c r="DZ13" s="774">
        <v>3400.1</v>
      </c>
      <c r="EA13" s="774">
        <v>2981</v>
      </c>
      <c r="EB13" s="774">
        <v>3085.9</v>
      </c>
      <c r="EC13" s="774">
        <v>2669.5</v>
      </c>
      <c r="ED13" s="774">
        <v>2572.3000000000002</v>
      </c>
      <c r="EE13" s="774">
        <v>2575.1</v>
      </c>
      <c r="EF13" s="774">
        <v>2444.8000000000002</v>
      </c>
      <c r="EG13" s="774">
        <v>2077.5</v>
      </c>
      <c r="EH13" s="774">
        <v>1088.2730539456545</v>
      </c>
      <c r="EI13" s="774">
        <v>1147.0244962068703</v>
      </c>
      <c r="EJ13" s="774">
        <v>1277.7724375750756</v>
      </c>
      <c r="EK13" s="774">
        <v>3845.8793661615218</v>
      </c>
      <c r="EL13" s="774">
        <v>5725.0290569869376</v>
      </c>
      <c r="EM13" s="774">
        <v>7917.5238654063969</v>
      </c>
      <c r="EN13" s="774">
        <v>9071.0627290817538</v>
      </c>
      <c r="EO13" s="774">
        <v>9400.3638989393676</v>
      </c>
      <c r="EP13" s="774">
        <v>10691.668836986399</v>
      </c>
      <c r="EQ13" s="774">
        <v>11480.838437118069</v>
      </c>
      <c r="ER13" s="774">
        <v>7565.2180105760572</v>
      </c>
      <c r="ES13" s="774">
        <v>3199.591049111164</v>
      </c>
      <c r="ET13" s="774">
        <v>1080.4274339303774</v>
      </c>
      <c r="EU13" s="774">
        <v>1138.2273678958807</v>
      </c>
      <c r="EV13" s="774">
        <v>1268.4895798935836</v>
      </c>
      <c r="EW13" s="774">
        <v>3819.7339099811365</v>
      </c>
      <c r="EX13" s="774">
        <v>5685.4309271569655</v>
      </c>
      <c r="EY13" s="774">
        <v>7962.0261099325899</v>
      </c>
      <c r="EZ13" s="774">
        <v>9135.6262078935652</v>
      </c>
      <c r="FA13" s="774">
        <v>9469.9176454110166</v>
      </c>
      <c r="FB13" s="774">
        <v>10768.757728922006</v>
      </c>
      <c r="FC13" s="774">
        <v>11392.887595925216</v>
      </c>
      <c r="FD13" s="774">
        <v>7511.5328494968471</v>
      </c>
      <c r="FE13" s="774">
        <v>3177.1878816560638</v>
      </c>
      <c r="FF13"/>
      <c r="FG13"/>
      <c r="FH13"/>
      <c r="FI13"/>
      <c r="FJ13"/>
      <c r="FK13"/>
    </row>
    <row r="14" spans="1:167" ht="15" x14ac:dyDescent="0.25">
      <c r="A14" t="s">
        <v>16</v>
      </c>
      <c r="B14" t="s">
        <v>518</v>
      </c>
      <c r="C14" s="509" t="s">
        <v>382</v>
      </c>
      <c r="D14" s="509" t="s">
        <v>59</v>
      </c>
      <c r="E14" t="s">
        <v>25</v>
      </c>
      <c r="F14" s="272">
        <v>139787.34933935892</v>
      </c>
      <c r="G14" s="272">
        <v>126336.89201462088</v>
      </c>
      <c r="H14" s="272">
        <v>103479.10284066554</v>
      </c>
      <c r="I14" s="272">
        <v>8881.0073889177256</v>
      </c>
      <c r="J14" s="272">
        <v>5946.4979900287162</v>
      </c>
      <c r="K14" s="272">
        <v>3891.892279851555</v>
      </c>
      <c r="L14" s="272">
        <v>2187.1445886424258</v>
      </c>
      <c r="M14" s="272">
        <v>2227.7665712342578</v>
      </c>
      <c r="N14" s="272">
        <v>3141.9008824501457</v>
      </c>
      <c r="O14" s="272">
        <v>4576.3254800503601</v>
      </c>
      <c r="P14" s="272">
        <v>66789.612170416236</v>
      </c>
      <c r="Q14" s="272">
        <v>88023.222022145172</v>
      </c>
      <c r="R14" s="272">
        <v>112132.46043687587</v>
      </c>
      <c r="S14" s="272">
        <v>89945.920962510078</v>
      </c>
      <c r="T14" s="272">
        <v>76182.379511094361</v>
      </c>
      <c r="U14" s="272">
        <v>7641.5104115130343</v>
      </c>
      <c r="V14" s="272">
        <v>5333.5560029847447</v>
      </c>
      <c r="W14" s="272">
        <v>4533.9717235315811</v>
      </c>
      <c r="X14" s="272">
        <v>3933.9443882391679</v>
      </c>
      <c r="Y14" s="272">
        <v>4152.9874731640275</v>
      </c>
      <c r="Z14" s="272">
        <v>5347.9240487368306</v>
      </c>
      <c r="AA14" s="272">
        <v>6963.751105385626</v>
      </c>
      <c r="AB14" s="272">
        <v>91006.986860825113</v>
      </c>
      <c r="AC14" s="272">
        <v>108450.16166888755</v>
      </c>
      <c r="AD14" s="272">
        <v>132074.05692582947</v>
      </c>
      <c r="AE14" s="774">
        <v>107805.95223980617</v>
      </c>
      <c r="AF14" s="774">
        <v>92279.631253755433</v>
      </c>
      <c r="AG14" s="774">
        <v>9396.5376813187122</v>
      </c>
      <c r="AH14" s="774">
        <v>6711.5721552609421</v>
      </c>
      <c r="AI14" s="774">
        <v>5889.5801363637911</v>
      </c>
      <c r="AJ14" s="774">
        <v>5242.2512008925851</v>
      </c>
      <c r="AK14" s="774">
        <v>5406.5978346359843</v>
      </c>
      <c r="AL14" s="774">
        <v>6478.0070122981933</v>
      </c>
      <c r="AM14" s="774">
        <v>7704.7381492132527</v>
      </c>
      <c r="AN14" s="774">
        <v>97460.119869202637</v>
      </c>
      <c r="AO14" s="774">
        <v>114141.23416104066</v>
      </c>
      <c r="AP14" s="774">
        <v>138381.43288150907</v>
      </c>
      <c r="AQ14" s="774">
        <v>113676.45979644523</v>
      </c>
      <c r="AR14" s="774">
        <v>99107.23435396525</v>
      </c>
      <c r="AS14" s="774">
        <v>10389.887388515001</v>
      </c>
      <c r="AT14" s="774">
        <v>7548.0353247423654</v>
      </c>
      <c r="AU14" s="774">
        <v>6602.3567265034308</v>
      </c>
      <c r="AV14" s="774">
        <v>5846.532618406407</v>
      </c>
      <c r="AW14" s="774">
        <v>5967.495307559946</v>
      </c>
      <c r="AX14" s="774">
        <v>7134.2985577689597</v>
      </c>
      <c r="AY14" s="774">
        <v>8302.2443957220275</v>
      </c>
      <c r="AZ14" s="774">
        <v>103271.36403742604</v>
      </c>
      <c r="BA14" s="774">
        <v>119383.34206269187</v>
      </c>
      <c r="BB14" s="774">
        <v>144015.34740444881</v>
      </c>
      <c r="BC14" s="774">
        <v>118898.91327271622</v>
      </c>
      <c r="BD14" s="774">
        <v>104987.83731384978</v>
      </c>
      <c r="BE14" s="774">
        <v>11228.556840113823</v>
      </c>
      <c r="BF14" s="774">
        <v>8258.5281523855283</v>
      </c>
      <c r="BG14" s="774">
        <v>7265.8892609917884</v>
      </c>
      <c r="BH14" s="774">
        <v>6488.5050972936324</v>
      </c>
      <c r="BI14" s="774">
        <v>6582.6885520910391</v>
      </c>
      <c r="BJ14" s="774">
        <v>7824.3652376665668</v>
      </c>
      <c r="BK14" s="774">
        <v>8876.6562131445116</v>
      </c>
      <c r="BL14" s="774">
        <v>108744.16076109053</v>
      </c>
      <c r="BM14" s="774">
        <v>124051.20394337171</v>
      </c>
      <c r="BN14" s="774">
        <v>148783.98603762384</v>
      </c>
      <c r="BO14" s="774">
        <v>123229.41046423715</v>
      </c>
      <c r="BP14" s="774">
        <v>109237.76301169544</v>
      </c>
      <c r="BQ14" s="774">
        <v>11762.391732737296</v>
      </c>
      <c r="BR14" s="774">
        <v>8704.11122464859</v>
      </c>
      <c r="BS14" s="774">
        <v>7592.3504464205498</v>
      </c>
      <c r="BT14" s="774">
        <v>6754.3801937907083</v>
      </c>
      <c r="BU14" s="774">
        <v>6829.8998844404923</v>
      </c>
      <c r="BV14" s="774">
        <v>8163.9259026540749</v>
      </c>
      <c r="BW14" s="774">
        <v>9131.6008358099716</v>
      </c>
      <c r="BX14" s="774">
        <v>111147.56541375781</v>
      </c>
      <c r="BY14" s="774">
        <v>126085.88283831009</v>
      </c>
      <c r="BZ14" s="774">
        <v>150885.46451399694</v>
      </c>
      <c r="CA14" s="774">
        <v>125120.86202127063</v>
      </c>
      <c r="CB14" s="774">
        <v>111080.76295557906</v>
      </c>
      <c r="CC14" s="774">
        <v>11990.971570237143</v>
      </c>
      <c r="CD14" s="774">
        <v>8902.9309223062737</v>
      </c>
      <c r="CE14" s="774">
        <v>7676.4444768480625</v>
      </c>
      <c r="CF14" s="774">
        <v>6804.8256120388933</v>
      </c>
      <c r="CG14" s="774">
        <v>6876.8879480430205</v>
      </c>
      <c r="CH14" s="774">
        <v>8323.6721197101069</v>
      </c>
      <c r="CI14" s="774">
        <v>9219.5388158547667</v>
      </c>
      <c r="CJ14" s="774">
        <v>111955.3668034639</v>
      </c>
      <c r="CK14" s="774">
        <v>126609.84186413531</v>
      </c>
      <c r="CL14" s="774">
        <v>151200.18150781759</v>
      </c>
      <c r="CM14" s="774">
        <v>125327.46936023879</v>
      </c>
      <c r="CN14" s="774">
        <v>110904.72592497659</v>
      </c>
      <c r="CO14" s="774">
        <v>11921.360465401594</v>
      </c>
      <c r="CP14" s="774">
        <v>8853.4461545714821</v>
      </c>
      <c r="CQ14" s="774">
        <v>7488.7286871401448</v>
      </c>
      <c r="CR14" s="774">
        <v>6580.4011185598456</v>
      </c>
      <c r="CS14" s="774">
        <v>6659.3695815390802</v>
      </c>
      <c r="CT14" s="774">
        <v>8205.3466850279474</v>
      </c>
      <c r="CU14" s="774">
        <v>9026.8634247690225</v>
      </c>
      <c r="CV14" s="774">
        <v>109975.05525419897</v>
      </c>
      <c r="CW14" s="774">
        <v>124784.5205917408</v>
      </c>
      <c r="CX14" s="774">
        <v>149162.95764594848</v>
      </c>
      <c r="CY14" s="774">
        <v>123427.77979481802</v>
      </c>
      <c r="CZ14" s="774">
        <v>108835.75744280603</v>
      </c>
      <c r="DA14" s="774">
        <v>11643.836996377253</v>
      </c>
      <c r="DB14" s="774">
        <v>8643.6119695845191</v>
      </c>
      <c r="DC14" s="774">
        <v>7182.4146782190255</v>
      </c>
      <c r="DD14" s="774">
        <v>6285.0901323377457</v>
      </c>
      <c r="DE14" s="774">
        <v>6383.7021239964752</v>
      </c>
      <c r="DF14" s="774">
        <v>8063.2351088953665</v>
      </c>
      <c r="DG14" s="774">
        <v>8841.0879077311929</v>
      </c>
      <c r="DH14" s="774">
        <v>108138.07826301055</v>
      </c>
      <c r="DI14" s="774">
        <v>123125.41126419032</v>
      </c>
      <c r="DJ14" s="774">
        <v>147333.40759133646</v>
      </c>
      <c r="DK14" s="774">
        <v>121726.43169551801</v>
      </c>
      <c r="DL14" s="774">
        <v>106913.73687670365</v>
      </c>
      <c r="DM14" s="774">
        <v>11378.148202453052</v>
      </c>
      <c r="DN14" s="774">
        <v>8445.6400219064944</v>
      </c>
      <c r="DO14" s="774">
        <v>6872.6526681587738</v>
      </c>
      <c r="DP14" s="774">
        <v>5975.6679111036201</v>
      </c>
      <c r="DQ14" s="774">
        <v>6092.1821483856247</v>
      </c>
      <c r="DR14" s="774">
        <v>7909.3688702535183</v>
      </c>
      <c r="DS14" s="774">
        <v>8639.5564688189279</v>
      </c>
      <c r="DT14" s="774">
        <v>106140.63039900498</v>
      </c>
      <c r="DU14" s="774">
        <v>121355.16131235269</v>
      </c>
      <c r="DV14" s="774">
        <v>145385.97108024932</v>
      </c>
      <c r="DW14" s="774">
        <v>119933.92121222451</v>
      </c>
      <c r="DX14" s="774">
        <v>104977.64410294846</v>
      </c>
      <c r="DY14" s="774">
        <v>11122.907588239259</v>
      </c>
      <c r="DZ14" s="774">
        <v>8262.3450937846937</v>
      </c>
      <c r="EA14" s="774">
        <v>6590.5304813306575</v>
      </c>
      <c r="EB14" s="774">
        <v>5707.042686470254</v>
      </c>
      <c r="EC14" s="774">
        <v>5842.2234443668121</v>
      </c>
      <c r="ED14" s="774">
        <v>7811.5578067300949</v>
      </c>
      <c r="EE14" s="774">
        <v>8492.2364031376474</v>
      </c>
      <c r="EF14" s="774">
        <v>104679.32553468432</v>
      </c>
      <c r="EG14" s="774">
        <v>120674.49856012357</v>
      </c>
      <c r="EH14" s="774">
        <v>152240.05819608795</v>
      </c>
      <c r="EI14" s="774">
        <v>129733.81903356091</v>
      </c>
      <c r="EJ14" s="774">
        <v>96242.541167232295</v>
      </c>
      <c r="EK14" s="774">
        <v>71427.759738126522</v>
      </c>
      <c r="EL14" s="774">
        <v>74832.916344978818</v>
      </c>
      <c r="EM14" s="774">
        <v>90738.611752624493</v>
      </c>
      <c r="EN14" s="774">
        <v>90760.079594309587</v>
      </c>
      <c r="EO14" s="774">
        <v>98619.792449896457</v>
      </c>
      <c r="EP14" s="774">
        <v>110780.48031562008</v>
      </c>
      <c r="EQ14" s="774">
        <v>132840.27528600974</v>
      </c>
      <c r="ER14" s="774">
        <v>132845.52510918633</v>
      </c>
      <c r="ES14" s="774">
        <v>148383.1625135463</v>
      </c>
      <c r="ET14" s="774">
        <v>151316.06769847582</v>
      </c>
      <c r="EU14" s="774">
        <v>128343.95264682067</v>
      </c>
      <c r="EV14" s="774">
        <v>94662.260478880096</v>
      </c>
      <c r="EW14" s="774">
        <v>69604.964326638801</v>
      </c>
      <c r="EX14" s="774">
        <v>72439.158595248256</v>
      </c>
      <c r="EY14" s="774">
        <v>88693.15995429788</v>
      </c>
      <c r="EZ14" s="774">
        <v>88274.579444453178</v>
      </c>
      <c r="FA14" s="774">
        <v>95851.767822183698</v>
      </c>
      <c r="FB14" s="774">
        <v>107887.56905053086</v>
      </c>
      <c r="FC14" s="774">
        <v>127885.89097469531</v>
      </c>
      <c r="FD14" s="774">
        <v>128710.00683282927</v>
      </c>
      <c r="FE14" s="774">
        <v>144720.81905250991</v>
      </c>
      <c r="FF14"/>
      <c r="FG14"/>
      <c r="FH14"/>
      <c r="FI14"/>
      <c r="FJ14"/>
      <c r="FK14"/>
    </row>
    <row r="15" spans="1:167" ht="15" x14ac:dyDescent="0.25">
      <c r="A15" t="s">
        <v>16</v>
      </c>
      <c r="B15" t="s">
        <v>519</v>
      </c>
      <c r="C15" s="509" t="s">
        <v>383</v>
      </c>
      <c r="D15" s="509" t="s">
        <v>59</v>
      </c>
      <c r="E15" t="s">
        <v>25</v>
      </c>
      <c r="F15" s="272">
        <v>0</v>
      </c>
      <c r="G15" s="272">
        <v>0</v>
      </c>
      <c r="H15" s="272">
        <v>0</v>
      </c>
      <c r="I15" s="272">
        <v>47198.70047062762</v>
      </c>
      <c r="J15" s="272">
        <v>39178.506421817467</v>
      </c>
      <c r="K15" s="272">
        <v>25423.143737537812</v>
      </c>
      <c r="L15" s="272">
        <v>15050.697113772017</v>
      </c>
      <c r="M15" s="272">
        <v>16581.958357975494</v>
      </c>
      <c r="N15" s="272">
        <v>23272.33007349421</v>
      </c>
      <c r="O15" s="272">
        <v>37205.755463204274</v>
      </c>
      <c r="P15" s="272">
        <v>0</v>
      </c>
      <c r="Q15" s="272">
        <v>0</v>
      </c>
      <c r="R15" s="272">
        <v>0</v>
      </c>
      <c r="S15" s="272">
        <v>0</v>
      </c>
      <c r="T15" s="272">
        <v>0</v>
      </c>
      <c r="U15" s="272">
        <v>40611.311899847286</v>
      </c>
      <c r="V15" s="272">
        <v>35140.137685147318</v>
      </c>
      <c r="W15" s="272">
        <v>29617.421691247833</v>
      </c>
      <c r="X15" s="272">
        <v>27071.189420797287</v>
      </c>
      <c r="Y15" s="272">
        <v>30911.97535253724</v>
      </c>
      <c r="Z15" s="272">
        <v>39612.533407840856</v>
      </c>
      <c r="AA15" s="272">
        <v>56615.645426239411</v>
      </c>
      <c r="AB15" s="272">
        <v>0</v>
      </c>
      <c r="AC15" s="272">
        <v>0</v>
      </c>
      <c r="AD15" s="272">
        <v>0</v>
      </c>
      <c r="AE15" s="774">
        <v>0</v>
      </c>
      <c r="AF15" s="774">
        <v>0</v>
      </c>
      <c r="AG15" s="774">
        <v>49938.520266851716</v>
      </c>
      <c r="AH15" s="774">
        <v>44219.198127419579</v>
      </c>
      <c r="AI15" s="774">
        <v>38472.709826962448</v>
      </c>
      <c r="AJ15" s="774">
        <v>36074.219980086164</v>
      </c>
      <c r="AK15" s="774">
        <v>40242.986545302258</v>
      </c>
      <c r="AL15" s="774">
        <v>47983.155118199626</v>
      </c>
      <c r="AM15" s="774">
        <v>62639.907221917005</v>
      </c>
      <c r="AN15" s="774">
        <v>0</v>
      </c>
      <c r="AO15" s="774">
        <v>0</v>
      </c>
      <c r="AP15" s="774">
        <v>0</v>
      </c>
      <c r="AQ15" s="774">
        <v>0</v>
      </c>
      <c r="AR15" s="774">
        <v>0</v>
      </c>
      <c r="AS15" s="774">
        <v>55217.742908986773</v>
      </c>
      <c r="AT15" s="774">
        <v>49730.236340514726</v>
      </c>
      <c r="AU15" s="774">
        <v>43128.80521729101</v>
      </c>
      <c r="AV15" s="774">
        <v>40232.544323940623</v>
      </c>
      <c r="AW15" s="774">
        <v>44417.920606713313</v>
      </c>
      <c r="AX15" s="774">
        <v>52844.363043615987</v>
      </c>
      <c r="AY15" s="774">
        <v>67497.662945860386</v>
      </c>
      <c r="AZ15" s="774">
        <v>0</v>
      </c>
      <c r="BA15" s="774">
        <v>0</v>
      </c>
      <c r="BB15" s="774">
        <v>0</v>
      </c>
      <c r="BC15" s="774">
        <v>0</v>
      </c>
      <c r="BD15" s="774">
        <v>0</v>
      </c>
      <c r="BE15" s="774">
        <v>59674.907114172987</v>
      </c>
      <c r="BF15" s="774">
        <v>54411.318862891647</v>
      </c>
      <c r="BG15" s="774">
        <v>47463.221944640332</v>
      </c>
      <c r="BH15" s="774">
        <v>44650.237322054832</v>
      </c>
      <c r="BI15" s="774">
        <v>48996.994956172945</v>
      </c>
      <c r="BJ15" s="774">
        <v>57955.746294755903</v>
      </c>
      <c r="BK15" s="774">
        <v>72167.659804117167</v>
      </c>
      <c r="BL15" s="774">
        <v>0</v>
      </c>
      <c r="BM15" s="774">
        <v>0</v>
      </c>
      <c r="BN15" s="774">
        <v>0</v>
      </c>
      <c r="BO15" s="774">
        <v>0</v>
      </c>
      <c r="BP15" s="774">
        <v>0</v>
      </c>
      <c r="BQ15" s="774">
        <v>62512.007917528528</v>
      </c>
      <c r="BR15" s="774">
        <v>57347.043265285196</v>
      </c>
      <c r="BS15" s="774">
        <v>49595.775737264565</v>
      </c>
      <c r="BT15" s="774">
        <v>46479.83997761416</v>
      </c>
      <c r="BU15" s="774">
        <v>50837.065667157331</v>
      </c>
      <c r="BV15" s="774">
        <v>60470.901346178776</v>
      </c>
      <c r="BW15" s="774">
        <v>74240.372361145695</v>
      </c>
      <c r="BX15" s="774">
        <v>0</v>
      </c>
      <c r="BY15" s="774">
        <v>0</v>
      </c>
      <c r="BZ15" s="774">
        <v>0</v>
      </c>
      <c r="CA15" s="774">
        <v>0</v>
      </c>
      <c r="CB15" s="774">
        <v>0</v>
      </c>
      <c r="CC15" s="774">
        <v>63726.810564494321</v>
      </c>
      <c r="CD15" s="774">
        <v>58656.966990901012</v>
      </c>
      <c r="CE15" s="774">
        <v>50145.106106477419</v>
      </c>
      <c r="CF15" s="774">
        <v>46826.97693178428</v>
      </c>
      <c r="CG15" s="774">
        <v>51186.812415330933</v>
      </c>
      <c r="CH15" s="774">
        <v>61654.155315801421</v>
      </c>
      <c r="CI15" s="774">
        <v>74955.312545303837</v>
      </c>
      <c r="CJ15" s="774">
        <v>0</v>
      </c>
      <c r="CK15" s="774">
        <v>0</v>
      </c>
      <c r="CL15" s="774">
        <v>0</v>
      </c>
      <c r="CM15" s="774">
        <v>0</v>
      </c>
      <c r="CN15" s="774">
        <v>0</v>
      </c>
      <c r="CO15" s="774">
        <v>63356.857749156901</v>
      </c>
      <c r="CP15" s="774">
        <v>58330.936561944232</v>
      </c>
      <c r="CQ15" s="774">
        <v>48918.883703494612</v>
      </c>
      <c r="CR15" s="774">
        <v>45282.613978459165</v>
      </c>
      <c r="CS15" s="774">
        <v>49567.755669423808</v>
      </c>
      <c r="CT15" s="774">
        <v>60777.708643853752</v>
      </c>
      <c r="CU15" s="774">
        <v>73388.8519612034</v>
      </c>
      <c r="CV15" s="774">
        <v>0</v>
      </c>
      <c r="CW15" s="774">
        <v>0</v>
      </c>
      <c r="CX15" s="774">
        <v>0</v>
      </c>
      <c r="CY15" s="774">
        <v>0</v>
      </c>
      <c r="CZ15" s="774">
        <v>0</v>
      </c>
      <c r="DA15" s="774">
        <v>61881.940939111817</v>
      </c>
      <c r="DB15" s="774">
        <v>56948.443878382612</v>
      </c>
      <c r="DC15" s="774">
        <v>46917.938014956671</v>
      </c>
      <c r="DD15" s="774">
        <v>43250.450110062637</v>
      </c>
      <c r="DE15" s="774">
        <v>47515.877182402655</v>
      </c>
      <c r="DF15" s="774">
        <v>59725.075976319429</v>
      </c>
      <c r="DG15" s="774">
        <v>71878.487698851182</v>
      </c>
      <c r="DH15" s="774">
        <v>0</v>
      </c>
      <c r="DI15" s="774">
        <v>0</v>
      </c>
      <c r="DJ15" s="774">
        <v>0</v>
      </c>
      <c r="DK15" s="774">
        <v>0</v>
      </c>
      <c r="DL15" s="774">
        <v>0</v>
      </c>
      <c r="DM15" s="774">
        <v>60469.920291715549</v>
      </c>
      <c r="DN15" s="774">
        <v>55644.105554137124</v>
      </c>
      <c r="DO15" s="774">
        <v>44894.468828268196</v>
      </c>
      <c r="DP15" s="774">
        <v>41121.180670699221</v>
      </c>
      <c r="DQ15" s="774">
        <v>45346.003480859967</v>
      </c>
      <c r="DR15" s="774">
        <v>58585.375512551873</v>
      </c>
      <c r="DS15" s="774">
        <v>70240.027002162518</v>
      </c>
      <c r="DT15" s="774">
        <v>0</v>
      </c>
      <c r="DU15" s="774">
        <v>0</v>
      </c>
      <c r="DV15" s="774">
        <v>0</v>
      </c>
      <c r="DW15" s="774">
        <v>0</v>
      </c>
      <c r="DX15" s="774">
        <v>0</v>
      </c>
      <c r="DY15" s="774">
        <v>59113.427185623899</v>
      </c>
      <c r="DZ15" s="774">
        <v>54436.466784133634</v>
      </c>
      <c r="EA15" s="774">
        <v>43051.552223301602</v>
      </c>
      <c r="EB15" s="774">
        <v>39272.653182360977</v>
      </c>
      <c r="EC15" s="774">
        <v>43485.483229423968</v>
      </c>
      <c r="ED15" s="774">
        <v>57860.880552232979</v>
      </c>
      <c r="EE15" s="774">
        <v>69042.307486263802</v>
      </c>
      <c r="EF15" s="774">
        <v>0</v>
      </c>
      <c r="EG15" s="774">
        <v>0</v>
      </c>
      <c r="EH15" s="774">
        <v>152240.05819608795</v>
      </c>
      <c r="EI15" s="774">
        <v>129733.81903356091</v>
      </c>
      <c r="EJ15" s="774">
        <v>96242.541167232295</v>
      </c>
      <c r="EK15" s="774">
        <v>71427.759738126522</v>
      </c>
      <c r="EL15" s="774">
        <v>74832.916344978818</v>
      </c>
      <c r="EM15" s="774">
        <v>90738.611752624493</v>
      </c>
      <c r="EN15" s="774">
        <v>90760.079594309587</v>
      </c>
      <c r="EO15" s="774">
        <v>98619.792449896457</v>
      </c>
      <c r="EP15" s="774">
        <v>110780.48031562008</v>
      </c>
      <c r="EQ15" s="774">
        <v>132840.27528600974</v>
      </c>
      <c r="ER15" s="774">
        <v>132845.52510918633</v>
      </c>
      <c r="ES15" s="774">
        <v>148383.1625135463</v>
      </c>
      <c r="ET15" s="774">
        <v>151316.06769847582</v>
      </c>
      <c r="EU15" s="774">
        <v>128343.95264682067</v>
      </c>
      <c r="EV15" s="774">
        <v>94662.260478880096</v>
      </c>
      <c r="EW15" s="774">
        <v>69604.964326638801</v>
      </c>
      <c r="EX15" s="774">
        <v>72439.158595248256</v>
      </c>
      <c r="EY15" s="774">
        <v>88693.15995429788</v>
      </c>
      <c r="EZ15" s="774">
        <v>88274.579444453178</v>
      </c>
      <c r="FA15" s="774">
        <v>95851.767822183698</v>
      </c>
      <c r="FB15" s="774">
        <v>107887.56905053086</v>
      </c>
      <c r="FC15" s="774">
        <v>127885.89097469531</v>
      </c>
      <c r="FD15" s="774">
        <v>128710.00683282927</v>
      </c>
      <c r="FE15" s="774">
        <v>144720.81905250991</v>
      </c>
      <c r="FF15"/>
      <c r="FG15"/>
      <c r="FH15"/>
      <c r="FI15"/>
      <c r="FJ15"/>
      <c r="FK15"/>
    </row>
    <row r="16" spans="1:167" ht="15" x14ac:dyDescent="0.25">
      <c r="A16" t="s">
        <v>15</v>
      </c>
      <c r="B16" t="s">
        <v>503</v>
      </c>
      <c r="C16" s="509"/>
      <c r="D16" s="509" t="s">
        <v>223</v>
      </c>
      <c r="E16" t="s">
        <v>14</v>
      </c>
      <c r="F16" s="272">
        <v>7338.6325397663022</v>
      </c>
      <c r="G16" s="272">
        <v>5950.6702718309316</v>
      </c>
      <c r="H16" s="272">
        <v>5535.6536711794415</v>
      </c>
      <c r="I16" s="272">
        <v>3737.0563798935455</v>
      </c>
      <c r="J16" s="272">
        <v>3007.127286123236</v>
      </c>
      <c r="K16" s="272">
        <v>2786.8067268457553</v>
      </c>
      <c r="L16" s="272">
        <v>2581.2291637191288</v>
      </c>
      <c r="M16" s="272">
        <v>2675.1632444469133</v>
      </c>
      <c r="N16" s="272">
        <v>2925.3722294103322</v>
      </c>
      <c r="O16" s="272">
        <v>2512.8797534019272</v>
      </c>
      <c r="P16" s="272">
        <v>1686.184664702798</v>
      </c>
      <c r="Q16" s="272">
        <v>2275.7652422471378</v>
      </c>
      <c r="R16" s="272">
        <v>2683.8752314862245</v>
      </c>
      <c r="S16" s="272">
        <v>2164.0507662085824</v>
      </c>
      <c r="T16" s="272">
        <v>2040.6918122656236</v>
      </c>
      <c r="U16" s="272">
        <v>1333.4652619019989</v>
      </c>
      <c r="V16" s="272">
        <v>965.23373954386477</v>
      </c>
      <c r="W16" s="272">
        <v>790.95191303505351</v>
      </c>
      <c r="X16" s="272">
        <v>709.76209747808582</v>
      </c>
      <c r="Y16" s="272">
        <v>706.47710443883238</v>
      </c>
      <c r="Z16" s="272">
        <v>745.82779871097296</v>
      </c>
      <c r="AA16" s="272">
        <v>947.74886425049306</v>
      </c>
      <c r="AB16" s="272">
        <v>1667.1487955800039</v>
      </c>
      <c r="AC16" s="272">
        <v>2250.0659433945602</v>
      </c>
      <c r="AD16" s="272">
        <v>2651.1081353607569</v>
      </c>
      <c r="AE16" s="774">
        <v>2141.8049448184202</v>
      </c>
      <c r="AF16" s="774">
        <v>2016.6055075534866</v>
      </c>
      <c r="AG16" s="774">
        <v>1324.96877354251</v>
      </c>
      <c r="AH16" s="774">
        <v>964.30124996571749</v>
      </c>
      <c r="AI16" s="774">
        <v>789.2247903601658</v>
      </c>
      <c r="AJ16" s="774">
        <v>710.0974376002597</v>
      </c>
      <c r="AK16" s="774">
        <v>705.85600981512721</v>
      </c>
      <c r="AL16" s="774">
        <v>746.20093262450234</v>
      </c>
      <c r="AM16" s="774">
        <v>939.59453969226672</v>
      </c>
      <c r="AN16" s="774">
        <v>1647.335376979913</v>
      </c>
      <c r="AO16" s="774">
        <v>2224.1024261106963</v>
      </c>
      <c r="AP16" s="774">
        <v>2621.028913374847</v>
      </c>
      <c r="AQ16" s="774">
        <v>2119.7813006949209</v>
      </c>
      <c r="AR16" s="774">
        <v>1993.6920764321221</v>
      </c>
      <c r="AS16" s="774">
        <v>1315.6150867402414</v>
      </c>
      <c r="AT16" s="774">
        <v>959.94657969232662</v>
      </c>
      <c r="AU16" s="774">
        <v>781.36712744521333</v>
      </c>
      <c r="AV16" s="774">
        <v>702.48666274854156</v>
      </c>
      <c r="AW16" s="774">
        <v>698.07450582502349</v>
      </c>
      <c r="AX16" s="774">
        <v>746.41259804744539</v>
      </c>
      <c r="AY16" s="774">
        <v>931.75596544346899</v>
      </c>
      <c r="AZ16" s="774">
        <v>1629.3702903467558</v>
      </c>
      <c r="BA16" s="774">
        <v>2200.5797272515561</v>
      </c>
      <c r="BB16" s="774">
        <v>2591.707991488483</v>
      </c>
      <c r="BC16" s="774">
        <v>2097.8073356883174</v>
      </c>
      <c r="BD16" s="774">
        <v>1971.2880345380167</v>
      </c>
      <c r="BE16" s="774">
        <v>1305.4880347269195</v>
      </c>
      <c r="BF16" s="774">
        <v>954.7044424835218</v>
      </c>
      <c r="BG16" s="774">
        <v>773.32923633846633</v>
      </c>
      <c r="BH16" s="774">
        <v>695.50549762177639</v>
      </c>
      <c r="BI16" s="774">
        <v>691.05357043869003</v>
      </c>
      <c r="BJ16" s="774">
        <v>745.8998991697664</v>
      </c>
      <c r="BK16" s="774">
        <v>923.8010949464026</v>
      </c>
      <c r="BL16" s="774">
        <v>1611.8633683956118</v>
      </c>
      <c r="BM16" s="774">
        <v>2177.1896190718562</v>
      </c>
      <c r="BN16" s="774">
        <v>2565.7096226934877</v>
      </c>
      <c r="BO16" s="774">
        <v>2078.0987658869017</v>
      </c>
      <c r="BP16" s="774">
        <v>1951.6551661025842</v>
      </c>
      <c r="BQ16" s="774">
        <v>1295.2754878043033</v>
      </c>
      <c r="BR16" s="774">
        <v>948.30137332021422</v>
      </c>
      <c r="BS16" s="774">
        <v>762.26015523584431</v>
      </c>
      <c r="BT16" s="774">
        <v>684.39845889719857</v>
      </c>
      <c r="BU16" s="774">
        <v>680.37526315331468</v>
      </c>
      <c r="BV16" s="774">
        <v>744.02914901433235</v>
      </c>
      <c r="BW16" s="774">
        <v>915.43031755297068</v>
      </c>
      <c r="BX16" s="774">
        <v>1595.5692137137555</v>
      </c>
      <c r="BY16" s="774">
        <v>2165.5864247316049</v>
      </c>
      <c r="BZ16" s="774">
        <v>2567.0931719596661</v>
      </c>
      <c r="CA16" s="774">
        <v>2079.7082201359008</v>
      </c>
      <c r="CB16" s="774">
        <v>1952.7620622336694</v>
      </c>
      <c r="CC16" s="774">
        <v>1297.0481323139477</v>
      </c>
      <c r="CD16" s="774">
        <v>949.97198684736145</v>
      </c>
      <c r="CE16" s="774">
        <v>756.35219831802794</v>
      </c>
      <c r="CF16" s="774">
        <v>677.6464855101226</v>
      </c>
      <c r="CG16" s="774">
        <v>674.37099303332366</v>
      </c>
      <c r="CH16" s="774">
        <v>749.65732209190287</v>
      </c>
      <c r="CI16" s="774">
        <v>916.13305254275065</v>
      </c>
      <c r="CJ16" s="774">
        <v>1596.1060052421242</v>
      </c>
      <c r="CK16" s="774">
        <v>2166.2561157084588</v>
      </c>
      <c r="CL16" s="774">
        <v>2569.6264750223613</v>
      </c>
      <c r="CM16" s="774">
        <v>2081.7757983986858</v>
      </c>
      <c r="CN16" s="774">
        <v>1954.7210208667007</v>
      </c>
      <c r="CO16" s="774">
        <v>1298.441560580751</v>
      </c>
      <c r="CP16" s="774">
        <v>951.13463316631305</v>
      </c>
      <c r="CQ16" s="774">
        <v>748.32854364919251</v>
      </c>
      <c r="CR16" s="774">
        <v>668.30188782630933</v>
      </c>
      <c r="CS16" s="774">
        <v>666.09802572607271</v>
      </c>
      <c r="CT16" s="774">
        <v>754.98271650266656</v>
      </c>
      <c r="CU16" s="774">
        <v>916.53336970784005</v>
      </c>
      <c r="CV16" s="774">
        <v>1597.1437537502431</v>
      </c>
      <c r="CW16" s="774">
        <v>2167.6092477348361</v>
      </c>
      <c r="CX16" s="774">
        <v>2572.1024975207515</v>
      </c>
      <c r="CY16" s="774">
        <v>2083.4556947130463</v>
      </c>
      <c r="CZ16" s="774">
        <v>1956.5723907095849</v>
      </c>
      <c r="DA16" s="774">
        <v>1299.2267479382447</v>
      </c>
      <c r="DB16" s="774">
        <v>951.96947497176654</v>
      </c>
      <c r="DC16" s="774">
        <v>738.76490665087351</v>
      </c>
      <c r="DD16" s="774">
        <v>657.54004184636813</v>
      </c>
      <c r="DE16" s="774">
        <v>656.65804719015978</v>
      </c>
      <c r="DF16" s="774">
        <v>761.61905701878698</v>
      </c>
      <c r="DG16" s="774">
        <v>917.15136290779049</v>
      </c>
      <c r="DH16" s="774">
        <v>1598.3901339602735</v>
      </c>
      <c r="DI16" s="774">
        <v>2169.1569185613898</v>
      </c>
      <c r="DJ16" s="774">
        <v>2574.5372784930369</v>
      </c>
      <c r="DK16" s="774">
        <v>2085.1226093356654</v>
      </c>
      <c r="DL16" s="774">
        <v>1958.3883283625389</v>
      </c>
      <c r="DM16" s="774">
        <v>1300.0722319007175</v>
      </c>
      <c r="DN16" s="774">
        <v>953.35184077751114</v>
      </c>
      <c r="DO16" s="774">
        <v>728.52591559955601</v>
      </c>
      <c r="DP16" s="774">
        <v>645.79385616579225</v>
      </c>
      <c r="DQ16" s="774">
        <v>646.34859252681861</v>
      </c>
      <c r="DR16" s="774">
        <v>769.04138333138121</v>
      </c>
      <c r="DS16" s="774">
        <v>917.75812576180408</v>
      </c>
      <c r="DT16" s="774">
        <v>1599.6172349523463</v>
      </c>
      <c r="DU16" s="774">
        <v>2170.7492583372718</v>
      </c>
      <c r="DV16" s="774">
        <v>2576.2061241089855</v>
      </c>
      <c r="DW16" s="774">
        <v>2086.208065986275</v>
      </c>
      <c r="DX16" s="774">
        <v>1959.5926430874752</v>
      </c>
      <c r="DY16" s="774">
        <v>1300.7355628151615</v>
      </c>
      <c r="DZ16" s="774">
        <v>955.21854744029929</v>
      </c>
      <c r="EA16" s="774">
        <v>718.03455348182501</v>
      </c>
      <c r="EB16" s="774">
        <v>633.98326871175698</v>
      </c>
      <c r="EC16" s="774">
        <v>636.01095620565366</v>
      </c>
      <c r="ED16" s="774">
        <v>777.695471265675</v>
      </c>
      <c r="EE16" s="774">
        <v>918.44157702535915</v>
      </c>
      <c r="EF16" s="774">
        <v>1600.5286856276919</v>
      </c>
      <c r="EG16" s="774">
        <v>2172.4177444459169</v>
      </c>
      <c r="EH16" s="774">
        <v>7175.3624161084654</v>
      </c>
      <c r="EI16" s="774">
        <v>5208.3410170495445</v>
      </c>
      <c r="EJ16" s="774">
        <v>3691.3123948642306</v>
      </c>
      <c r="EK16" s="774">
        <v>2812.9005866137677</v>
      </c>
      <c r="EL16" s="774">
        <v>2712.8806875260011</v>
      </c>
      <c r="EM16" s="774">
        <v>2956.4029573938801</v>
      </c>
      <c r="EN16" s="774">
        <v>3034.0860077316311</v>
      </c>
      <c r="EO16" s="774">
        <v>3116.3108364039963</v>
      </c>
      <c r="EP16" s="774">
        <v>3514.4183815932251</v>
      </c>
      <c r="EQ16" s="774">
        <v>3928.66784799058</v>
      </c>
      <c r="ER16" s="774">
        <v>4086.8229404081271</v>
      </c>
      <c r="ES16" s="774">
        <v>5630.1094557863598</v>
      </c>
      <c r="ET16" s="774">
        <v>7148.7663594541036</v>
      </c>
      <c r="EU16" s="774">
        <v>5186.6301176857887</v>
      </c>
      <c r="EV16" s="774">
        <v>3677.4241511418327</v>
      </c>
      <c r="EW16" s="774">
        <v>2803.6343416234781</v>
      </c>
      <c r="EX16" s="774">
        <v>2703.6216845491053</v>
      </c>
      <c r="EY16" s="774">
        <v>2983.509184698059</v>
      </c>
      <c r="EZ16" s="774">
        <v>3066.4619061453132</v>
      </c>
      <c r="FA16" s="774">
        <v>3150.444555452978</v>
      </c>
      <c r="FB16" s="774">
        <v>3552.2465780646035</v>
      </c>
      <c r="FC16" s="774">
        <v>3912.3261690012096</v>
      </c>
      <c r="FD16" s="774">
        <v>4072.1379346735257</v>
      </c>
      <c r="FE16" s="774">
        <v>5610.4125469798173</v>
      </c>
      <c r="FF16"/>
      <c r="FG16"/>
      <c r="FH16"/>
      <c r="FI16"/>
      <c r="FJ16"/>
      <c r="FK16"/>
    </row>
    <row r="17" spans="1:167" ht="15" x14ac:dyDescent="0.25">
      <c r="A17" t="s">
        <v>15</v>
      </c>
      <c r="B17" t="s">
        <v>62</v>
      </c>
      <c r="C17" s="509"/>
      <c r="D17" s="509" t="s">
        <v>62</v>
      </c>
      <c r="E17" t="s">
        <v>27</v>
      </c>
      <c r="F17" s="272">
        <v>1721.5282430226569</v>
      </c>
      <c r="G17" s="272">
        <v>1317.9767167178463</v>
      </c>
      <c r="H17" s="272">
        <v>1005.0461878573892</v>
      </c>
      <c r="I17" s="272">
        <v>464.38270368247447</v>
      </c>
      <c r="J17" s="272">
        <v>235.65016841038752</v>
      </c>
      <c r="K17" s="272">
        <v>150.50599945757949</v>
      </c>
      <c r="L17" s="272">
        <v>132.08080528366486</v>
      </c>
      <c r="M17" s="272">
        <v>135.28770723405032</v>
      </c>
      <c r="N17" s="272">
        <v>168.846422238255</v>
      </c>
      <c r="O17" s="272">
        <v>355.18899253075074</v>
      </c>
      <c r="P17" s="272">
        <v>961.34645307714402</v>
      </c>
      <c r="Q17" s="272">
        <v>1343.5194849488505</v>
      </c>
      <c r="R17" s="272">
        <v>1692.6914237421508</v>
      </c>
      <c r="S17" s="272">
        <v>1318.0203768764368</v>
      </c>
      <c r="T17" s="272">
        <v>1005.458090255514</v>
      </c>
      <c r="U17" s="272">
        <v>455.62164714339337</v>
      </c>
      <c r="V17" s="272">
        <v>233.756979779544</v>
      </c>
      <c r="W17" s="272">
        <v>149.60775150192254</v>
      </c>
      <c r="X17" s="272">
        <v>132.3977033216191</v>
      </c>
      <c r="Y17" s="272">
        <v>136.31476611339312</v>
      </c>
      <c r="Z17" s="272">
        <v>168.71221110353261</v>
      </c>
      <c r="AA17" s="272">
        <v>361.80394017801615</v>
      </c>
      <c r="AB17" s="272">
        <v>948.67093125982558</v>
      </c>
      <c r="AC17" s="272">
        <v>1328.1930616840141</v>
      </c>
      <c r="AD17" s="272">
        <v>1689.11235178315</v>
      </c>
      <c r="AE17" s="774">
        <v>1315.7122778456937</v>
      </c>
      <c r="AF17" s="774">
        <v>1003.7417655709677</v>
      </c>
      <c r="AG17" s="774">
        <v>454.486863616439</v>
      </c>
      <c r="AH17" s="774">
        <v>233.10680630502739</v>
      </c>
      <c r="AI17" s="774">
        <v>149.03531887008052</v>
      </c>
      <c r="AJ17" s="774">
        <v>131.73329006965076</v>
      </c>
      <c r="AK17" s="774">
        <v>135.57960862533696</v>
      </c>
      <c r="AL17" s="774">
        <v>167.73964321381771</v>
      </c>
      <c r="AM17" s="774">
        <v>359.98453312822113</v>
      </c>
      <c r="AN17" s="774">
        <v>945.79169476079483</v>
      </c>
      <c r="AO17" s="774">
        <v>1324.1003611852896</v>
      </c>
      <c r="AP17" s="774">
        <v>1685.905301549838</v>
      </c>
      <c r="AQ17" s="774">
        <v>1313.2204226176877</v>
      </c>
      <c r="AR17" s="774">
        <v>1002.0221596053987</v>
      </c>
      <c r="AS17" s="774">
        <v>453.36164708850714</v>
      </c>
      <c r="AT17" s="774">
        <v>232.38445571049536</v>
      </c>
      <c r="AU17" s="774">
        <v>148.37481394041623</v>
      </c>
      <c r="AV17" s="774">
        <v>131.08945589955184</v>
      </c>
      <c r="AW17" s="774">
        <v>134.99839587664525</v>
      </c>
      <c r="AX17" s="774">
        <v>166.6796074791566</v>
      </c>
      <c r="AY17" s="774">
        <v>357.58434417493595</v>
      </c>
      <c r="AZ17" s="774">
        <v>941.28948180697353</v>
      </c>
      <c r="BA17" s="774">
        <v>1317.1548949745795</v>
      </c>
      <c r="BB17" s="774">
        <v>1678.6915209010872</v>
      </c>
      <c r="BC17" s="774">
        <v>1330.407922573439</v>
      </c>
      <c r="BD17" s="774">
        <v>1013.7451111039102</v>
      </c>
      <c r="BE17" s="774">
        <v>451.27446156855274</v>
      </c>
      <c r="BF17" s="774">
        <v>231.25396175356698</v>
      </c>
      <c r="BG17" s="774">
        <v>147.58778994524712</v>
      </c>
      <c r="BH17" s="774">
        <v>130.36073321796471</v>
      </c>
      <c r="BI17" s="774">
        <v>134.14910887087618</v>
      </c>
      <c r="BJ17" s="774">
        <v>165.25388392413268</v>
      </c>
      <c r="BK17" s="774">
        <v>354.44288091401745</v>
      </c>
      <c r="BL17" s="774">
        <v>935.38479103821339</v>
      </c>
      <c r="BM17" s="774">
        <v>1308.2131423761043</v>
      </c>
      <c r="BN17" s="774">
        <v>1671.4690851697458</v>
      </c>
      <c r="BO17" s="774">
        <v>1301.9405808658287</v>
      </c>
      <c r="BP17" s="774">
        <v>994.45730739179248</v>
      </c>
      <c r="BQ17" s="774">
        <v>449.3948418889226</v>
      </c>
      <c r="BR17" s="774">
        <v>230.46983833684968</v>
      </c>
      <c r="BS17" s="774">
        <v>147.10031882377763</v>
      </c>
      <c r="BT17" s="774">
        <v>129.77972856453889</v>
      </c>
      <c r="BU17" s="774">
        <v>133.46899646478178</v>
      </c>
      <c r="BV17" s="774">
        <v>164.03411471182844</v>
      </c>
      <c r="BW17" s="774">
        <v>351.47508875984067</v>
      </c>
      <c r="BX17" s="774">
        <v>929.76430314131903</v>
      </c>
      <c r="BY17" s="774">
        <v>1299.9821381374227</v>
      </c>
      <c r="BZ17" s="774">
        <v>1663.3266021620564</v>
      </c>
      <c r="CA17" s="774">
        <v>1295.797498207331</v>
      </c>
      <c r="CB17" s="774">
        <v>990.39563705082003</v>
      </c>
      <c r="CC17" s="774">
        <v>447.25299364477615</v>
      </c>
      <c r="CD17" s="774">
        <v>229.42879458297563</v>
      </c>
      <c r="CE17" s="774">
        <v>146.37244540528783</v>
      </c>
      <c r="CF17" s="774">
        <v>129.13753510520129</v>
      </c>
      <c r="CG17" s="774">
        <v>132.83077783985692</v>
      </c>
      <c r="CH17" s="774">
        <v>162.85359972362866</v>
      </c>
      <c r="CI17" s="774">
        <v>348.41226496384445</v>
      </c>
      <c r="CJ17" s="774">
        <v>923.89261649440516</v>
      </c>
      <c r="CK17" s="774">
        <v>1291.7286389792632</v>
      </c>
      <c r="CL17" s="774">
        <v>1655.769639302117</v>
      </c>
      <c r="CM17" s="774">
        <v>1290.064310599274</v>
      </c>
      <c r="CN17" s="774">
        <v>986.68867246730122</v>
      </c>
      <c r="CO17" s="774">
        <v>445.41831921913393</v>
      </c>
      <c r="CP17" s="774">
        <v>228.59589226519668</v>
      </c>
      <c r="CQ17" s="774">
        <v>145.71603323647241</v>
      </c>
      <c r="CR17" s="774">
        <v>128.46879175906574</v>
      </c>
      <c r="CS17" s="774">
        <v>132.14768769293187</v>
      </c>
      <c r="CT17" s="774">
        <v>161.67991108639112</v>
      </c>
      <c r="CU17" s="774">
        <v>345.58980942378525</v>
      </c>
      <c r="CV17" s="774">
        <v>918.56815347804445</v>
      </c>
      <c r="CW17" s="774">
        <v>1284.3939016189572</v>
      </c>
      <c r="CX17" s="774">
        <v>1648.6437041569923</v>
      </c>
      <c r="CY17" s="774">
        <v>1307.1756185123872</v>
      </c>
      <c r="CZ17" s="774">
        <v>998.51899130365643</v>
      </c>
      <c r="DA17" s="774">
        <v>443.64204141109224</v>
      </c>
      <c r="DB17" s="774">
        <v>227.7939149480155</v>
      </c>
      <c r="DC17" s="774">
        <v>145.2468728754597</v>
      </c>
      <c r="DD17" s="774">
        <v>128.01450085505752</v>
      </c>
      <c r="DE17" s="774">
        <v>131.64166279787304</v>
      </c>
      <c r="DF17" s="774">
        <v>160.72320535409204</v>
      </c>
      <c r="DG17" s="774">
        <v>343.0765269708242</v>
      </c>
      <c r="DH17" s="774">
        <v>913.45819169205629</v>
      </c>
      <c r="DI17" s="774">
        <v>1276.7807201342496</v>
      </c>
      <c r="DJ17" s="774">
        <v>1642.8281717570187</v>
      </c>
      <c r="DK17" s="774">
        <v>1280.2915970999575</v>
      </c>
      <c r="DL17" s="774">
        <v>980.44032649555834</v>
      </c>
      <c r="DM17" s="774">
        <v>442.37668351679139</v>
      </c>
      <c r="DN17" s="774">
        <v>227.27005701736434</v>
      </c>
      <c r="DO17" s="774">
        <v>144.87804854479486</v>
      </c>
      <c r="DP17" s="774">
        <v>127.63183560829272</v>
      </c>
      <c r="DQ17" s="774">
        <v>131.20988735784266</v>
      </c>
      <c r="DR17" s="774">
        <v>159.82878796819992</v>
      </c>
      <c r="DS17" s="774">
        <v>340.85443560046093</v>
      </c>
      <c r="DT17" s="774">
        <v>909.15026218754383</v>
      </c>
      <c r="DU17" s="774">
        <v>1270.5101626813962</v>
      </c>
      <c r="DV17" s="774">
        <v>1635.7001624677282</v>
      </c>
      <c r="DW17" s="774">
        <v>1274.992610080539</v>
      </c>
      <c r="DX17" s="774">
        <v>977.04208452598778</v>
      </c>
      <c r="DY17" s="774">
        <v>440.84045098217325</v>
      </c>
      <c r="DZ17" s="774">
        <v>226.71714059734188</v>
      </c>
      <c r="EA17" s="774">
        <v>144.60273522188891</v>
      </c>
      <c r="EB17" s="774">
        <v>127.35339981650949</v>
      </c>
      <c r="EC17" s="774">
        <v>130.92718523771748</v>
      </c>
      <c r="ED17" s="774">
        <v>159.07274875454411</v>
      </c>
      <c r="EE17" s="774">
        <v>338.57568804802668</v>
      </c>
      <c r="EF17" s="774">
        <v>904.49983218298871</v>
      </c>
      <c r="EG17" s="774">
        <v>1267.9900849041389</v>
      </c>
      <c r="EH17" s="774">
        <v>966.43261331462747</v>
      </c>
      <c r="EI17" s="774">
        <v>834.09084624254456</v>
      </c>
      <c r="EJ17" s="774">
        <v>583.02375176846022</v>
      </c>
      <c r="EK17" s="774">
        <v>293.3840701373959</v>
      </c>
      <c r="EL17" s="774">
        <v>168.34729952853405</v>
      </c>
      <c r="EM17" s="774">
        <v>134.17060156128278</v>
      </c>
      <c r="EN17" s="774">
        <v>123.17566571263112</v>
      </c>
      <c r="EO17" s="774">
        <v>122.51635095297176</v>
      </c>
      <c r="EP17" s="774">
        <v>130.99534001599622</v>
      </c>
      <c r="EQ17" s="774">
        <v>179.09746473122098</v>
      </c>
      <c r="ER17" s="774">
        <v>450.89759647214748</v>
      </c>
      <c r="ES17" s="774">
        <v>781.59014089876678</v>
      </c>
      <c r="ET17" s="774">
        <v>961.39142148787278</v>
      </c>
      <c r="EU17" s="774">
        <v>830.13290163674924</v>
      </c>
      <c r="EV17" s="774">
        <v>580.30725878497287</v>
      </c>
      <c r="EW17" s="774">
        <v>292.07725535023178</v>
      </c>
      <c r="EX17" s="774">
        <v>167.53495899091678</v>
      </c>
      <c r="EY17" s="774">
        <v>135.40975044884485</v>
      </c>
      <c r="EZ17" s="774">
        <v>124.65308115987078</v>
      </c>
      <c r="FA17" s="774">
        <v>124.01792211436319</v>
      </c>
      <c r="FB17" s="774">
        <v>132.40334168087847</v>
      </c>
      <c r="FC17" s="774">
        <v>177.844521656078</v>
      </c>
      <c r="FD17" s="774">
        <v>448.36086254262392</v>
      </c>
      <c r="FE17" s="774">
        <v>777.5905413585067</v>
      </c>
      <c r="FF17"/>
      <c r="FG17"/>
      <c r="FH17"/>
      <c r="FI17"/>
      <c r="FJ17"/>
      <c r="FK17"/>
    </row>
    <row r="18" spans="1:167" ht="15" x14ac:dyDescent="0.25">
      <c r="A18" t="s">
        <v>15</v>
      </c>
      <c r="B18" t="s">
        <v>516</v>
      </c>
      <c r="C18" s="509" t="s">
        <v>382</v>
      </c>
      <c r="D18" s="509" t="s">
        <v>56</v>
      </c>
      <c r="E18" t="s">
        <v>20</v>
      </c>
      <c r="F18" s="272">
        <v>225362.0338733423</v>
      </c>
      <c r="G18" s="272">
        <v>177380.20733742524</v>
      </c>
      <c r="H18" s="272">
        <v>133831.89270853042</v>
      </c>
      <c r="I18" s="272">
        <v>40021.309558850306</v>
      </c>
      <c r="J18" s="272">
        <v>21889.441933650804</v>
      </c>
      <c r="K18" s="272">
        <v>15403.832702190964</v>
      </c>
      <c r="L18" s="272">
        <v>13321.788560190376</v>
      </c>
      <c r="M18" s="272">
        <v>13803.914861473879</v>
      </c>
      <c r="N18" s="272">
        <v>18491.351640713543</v>
      </c>
      <c r="O18" s="272">
        <v>35302.483192864725</v>
      </c>
      <c r="P18" s="272">
        <v>115016.89439316161</v>
      </c>
      <c r="Q18" s="272">
        <v>174336.08207006493</v>
      </c>
      <c r="R18" s="272">
        <v>224204.14956205012</v>
      </c>
      <c r="S18" s="272">
        <v>175500.94689744612</v>
      </c>
      <c r="T18" s="272">
        <v>135553.45280249277</v>
      </c>
      <c r="U18" s="272">
        <v>42220.042023298367</v>
      </c>
      <c r="V18" s="272">
        <v>23007.031567952337</v>
      </c>
      <c r="W18" s="272">
        <v>15873.798855993808</v>
      </c>
      <c r="X18" s="272">
        <v>13749.444777085735</v>
      </c>
      <c r="Y18" s="272">
        <v>14229.354567804878</v>
      </c>
      <c r="Z18" s="272">
        <v>19339.468210185289</v>
      </c>
      <c r="AA18" s="272">
        <v>36517.258559831636</v>
      </c>
      <c r="AB18" s="272">
        <v>116487.50409585478</v>
      </c>
      <c r="AC18" s="272">
        <v>175503.85989873257</v>
      </c>
      <c r="AD18" s="272">
        <v>224902.82387624733</v>
      </c>
      <c r="AE18" s="774">
        <v>176514.3016170784</v>
      </c>
      <c r="AF18" s="774">
        <v>136280.46683353846</v>
      </c>
      <c r="AG18" s="774">
        <v>42948.553715617039</v>
      </c>
      <c r="AH18" s="774">
        <v>23341.809757625902</v>
      </c>
      <c r="AI18" s="774">
        <v>15885.19602396948</v>
      </c>
      <c r="AJ18" s="774">
        <v>13781.349861660481</v>
      </c>
      <c r="AK18" s="774">
        <v>14245.920819674026</v>
      </c>
      <c r="AL18" s="774">
        <v>19721.861330759217</v>
      </c>
      <c r="AM18" s="774">
        <v>37290.975171662227</v>
      </c>
      <c r="AN18" s="774">
        <v>117528.5039455417</v>
      </c>
      <c r="AO18" s="774">
        <v>176441.85112184653</v>
      </c>
      <c r="AP18" s="774">
        <v>225871.89307803518</v>
      </c>
      <c r="AQ18" s="774">
        <v>177582.27652763342</v>
      </c>
      <c r="AR18" s="774">
        <v>137205.57974177448</v>
      </c>
      <c r="AS18" s="774">
        <v>43605.729837637831</v>
      </c>
      <c r="AT18" s="774">
        <v>23451.541884589027</v>
      </c>
      <c r="AU18" s="774">
        <v>15590.766582665774</v>
      </c>
      <c r="AV18" s="774">
        <v>13458.400011196583</v>
      </c>
      <c r="AW18" s="774">
        <v>13904.483712357034</v>
      </c>
      <c r="AX18" s="774">
        <v>19833.974490607463</v>
      </c>
      <c r="AY18" s="774">
        <v>37843.307685012573</v>
      </c>
      <c r="AZ18" s="774">
        <v>118246.07606652075</v>
      </c>
      <c r="BA18" s="774">
        <v>177140.52516185155</v>
      </c>
      <c r="BB18" s="774">
        <v>226487.72683308521</v>
      </c>
      <c r="BC18" s="774">
        <v>178299.19721480922</v>
      </c>
      <c r="BD18" s="774">
        <v>137899.62069839917</v>
      </c>
      <c r="BE18" s="774">
        <v>44166.789704383882</v>
      </c>
      <c r="BF18" s="774">
        <v>23491.660602915421</v>
      </c>
      <c r="BG18" s="774">
        <v>15277.701321571874</v>
      </c>
      <c r="BH18" s="774">
        <v>13147.873289016352</v>
      </c>
      <c r="BI18" s="774">
        <v>13580.435817885402</v>
      </c>
      <c r="BJ18" s="774">
        <v>19915.146043739562</v>
      </c>
      <c r="BK18" s="774">
        <v>38336.243037102344</v>
      </c>
      <c r="BL18" s="774">
        <v>118870.48856096338</v>
      </c>
      <c r="BM18" s="774">
        <v>177669.64504898409</v>
      </c>
      <c r="BN18" s="774">
        <v>227138.54287958209</v>
      </c>
      <c r="BO18" s="774">
        <v>179009.15645805935</v>
      </c>
      <c r="BP18" s="774">
        <v>138510.35738473461</v>
      </c>
      <c r="BQ18" s="774">
        <v>44572.063710247159</v>
      </c>
      <c r="BR18" s="774">
        <v>23353.146136413136</v>
      </c>
      <c r="BS18" s="774">
        <v>14751.633106749483</v>
      </c>
      <c r="BT18" s="774">
        <v>12590.846664343051</v>
      </c>
      <c r="BU18" s="774">
        <v>13006.813159642275</v>
      </c>
      <c r="BV18" s="774">
        <v>19738.435584932977</v>
      </c>
      <c r="BW18" s="774">
        <v>38589.966422491918</v>
      </c>
      <c r="BX18" s="774">
        <v>119184.69525306644</v>
      </c>
      <c r="BY18" s="774">
        <v>177904.00974549263</v>
      </c>
      <c r="BZ18" s="774">
        <v>227470.38228831629</v>
      </c>
      <c r="CA18" s="774">
        <v>179339.44382809859</v>
      </c>
      <c r="CB18" s="774">
        <v>138788.37963360248</v>
      </c>
      <c r="CC18" s="774">
        <v>44755.965485396824</v>
      </c>
      <c r="CD18" s="774">
        <v>23007.148199183302</v>
      </c>
      <c r="CE18" s="774">
        <v>14063.378094100659</v>
      </c>
      <c r="CF18" s="774">
        <v>11895.511565199942</v>
      </c>
      <c r="CG18" s="774">
        <v>12296.324702849126</v>
      </c>
      <c r="CH18" s="774">
        <v>19430.459790083387</v>
      </c>
      <c r="CI18" s="774">
        <v>38730.948820933176</v>
      </c>
      <c r="CJ18" s="774">
        <v>119318.79656225718</v>
      </c>
      <c r="CK18" s="774">
        <v>177951.051310357</v>
      </c>
      <c r="CL18" s="774">
        <v>227643.82102275101</v>
      </c>
      <c r="CM18" s="774">
        <v>179508.23756082435</v>
      </c>
      <c r="CN18" s="774">
        <v>138986.10092106278</v>
      </c>
      <c r="CO18" s="774">
        <v>44882.606860863089</v>
      </c>
      <c r="CP18" s="774">
        <v>22603.193758861406</v>
      </c>
      <c r="CQ18" s="774">
        <v>13329.975881680333</v>
      </c>
      <c r="CR18" s="774">
        <v>11158.63514206418</v>
      </c>
      <c r="CS18" s="774">
        <v>11547.469560914304</v>
      </c>
      <c r="CT18" s="774">
        <v>19070.85942517922</v>
      </c>
      <c r="CU18" s="774">
        <v>38828.494967837709</v>
      </c>
      <c r="CV18" s="774">
        <v>119433.12991931594</v>
      </c>
      <c r="CW18" s="774">
        <v>177999.06810329392</v>
      </c>
      <c r="CX18" s="774">
        <v>227765.11109494354</v>
      </c>
      <c r="CY18" s="774">
        <v>179605.01287655201</v>
      </c>
      <c r="CZ18" s="774">
        <v>139144.07236006545</v>
      </c>
      <c r="DA18" s="774">
        <v>44975.245872321611</v>
      </c>
      <c r="DB18" s="774">
        <v>22166.988464046113</v>
      </c>
      <c r="DC18" s="774">
        <v>12580.184291882648</v>
      </c>
      <c r="DD18" s="774">
        <v>10413.252932200729</v>
      </c>
      <c r="DE18" s="774">
        <v>10792.016533233453</v>
      </c>
      <c r="DF18" s="774">
        <v>18719.055449156247</v>
      </c>
      <c r="DG18" s="774">
        <v>38959.686495732836</v>
      </c>
      <c r="DH18" s="774">
        <v>119601.8324589399</v>
      </c>
      <c r="DI18" s="774">
        <v>178079.40628967204</v>
      </c>
      <c r="DJ18" s="774">
        <v>227872.58407515299</v>
      </c>
      <c r="DK18" s="774">
        <v>179694.3110614646</v>
      </c>
      <c r="DL18" s="774">
        <v>139307.46314545002</v>
      </c>
      <c r="DM18" s="774">
        <v>45078.812908385669</v>
      </c>
      <c r="DN18" s="774">
        <v>21737.548065517036</v>
      </c>
      <c r="DO18" s="774">
        <v>11842.880438611181</v>
      </c>
      <c r="DP18" s="774">
        <v>9681.1944551972938</v>
      </c>
      <c r="DQ18" s="774">
        <v>10050.062509177136</v>
      </c>
      <c r="DR18" s="774">
        <v>18371.170296939959</v>
      </c>
      <c r="DS18" s="774">
        <v>39102.614023264337</v>
      </c>
      <c r="DT18" s="774">
        <v>119792.43493690586</v>
      </c>
      <c r="DU18" s="774">
        <v>178194.5605254921</v>
      </c>
      <c r="DV18" s="774">
        <v>227958.53620720879</v>
      </c>
      <c r="DW18" s="774">
        <v>179774.26229293388</v>
      </c>
      <c r="DX18" s="774">
        <v>139482.78478945285</v>
      </c>
      <c r="DY18" s="774">
        <v>45207.285008053746</v>
      </c>
      <c r="DZ18" s="774">
        <v>21333.74084500855</v>
      </c>
      <c r="EA18" s="774">
        <v>11150.489696605997</v>
      </c>
      <c r="EB18" s="774">
        <v>9005.2245394298807</v>
      </c>
      <c r="EC18" s="774">
        <v>9364.9322007822902</v>
      </c>
      <c r="ED18" s="774">
        <v>18079.86315282754</v>
      </c>
      <c r="EE18" s="774">
        <v>39311.751667120894</v>
      </c>
      <c r="EF18" s="774">
        <v>120058.02664024325</v>
      </c>
      <c r="EG18" s="774">
        <v>178391.44010967464</v>
      </c>
      <c r="EH18" s="774">
        <v>205637.57426756804</v>
      </c>
      <c r="EI18" s="774">
        <v>173521.79424121467</v>
      </c>
      <c r="EJ18" s="774">
        <v>124501.91499747745</v>
      </c>
      <c r="EK18" s="774">
        <v>68659.339739458926</v>
      </c>
      <c r="EL18" s="774">
        <v>48910.265689228028</v>
      </c>
      <c r="EM18" s="774">
        <v>20718.157200565522</v>
      </c>
      <c r="EN18" s="774">
        <v>17663.478243133446</v>
      </c>
      <c r="EO18" s="774">
        <v>16450.095868805121</v>
      </c>
      <c r="EP18" s="774">
        <v>19176.461222501577</v>
      </c>
      <c r="EQ18" s="774">
        <v>67083.344694290281</v>
      </c>
      <c r="ER18" s="774">
        <v>104214.68384699695</v>
      </c>
      <c r="ES18" s="774">
        <v>165911.78774983986</v>
      </c>
      <c r="ET18" s="774">
        <v>204929.02478028176</v>
      </c>
      <c r="EU18" s="774">
        <v>172879.17763160021</v>
      </c>
      <c r="EV18" s="774">
        <v>124092.6332871522</v>
      </c>
      <c r="EW18" s="774">
        <v>68522.404095339181</v>
      </c>
      <c r="EX18" s="774">
        <v>48944.633865487463</v>
      </c>
      <c r="EY18" s="774">
        <v>19460.505399830621</v>
      </c>
      <c r="EZ18" s="774">
        <v>16247.709629800371</v>
      </c>
      <c r="FA18" s="774">
        <v>14893.419496354871</v>
      </c>
      <c r="FB18" s="774">
        <v>17606.522141289799</v>
      </c>
      <c r="FC18" s="774">
        <v>67264.006489496955</v>
      </c>
      <c r="FD18" s="774">
        <v>104124.16959950901</v>
      </c>
      <c r="FE18" s="774">
        <v>165482.17158628104</v>
      </c>
      <c r="FF18"/>
      <c r="FG18"/>
      <c r="FH18"/>
      <c r="FI18"/>
      <c r="FJ18"/>
      <c r="FK18"/>
    </row>
    <row r="19" spans="1:167" ht="15" x14ac:dyDescent="0.25">
      <c r="A19" t="s">
        <v>15</v>
      </c>
      <c r="B19" t="s">
        <v>517</v>
      </c>
      <c r="C19" s="509" t="s">
        <v>383</v>
      </c>
      <c r="D19" s="509" t="s">
        <v>56</v>
      </c>
      <c r="E19" t="s">
        <v>20</v>
      </c>
      <c r="F19" s="272">
        <v>0</v>
      </c>
      <c r="G19" s="272">
        <v>0</v>
      </c>
      <c r="H19" s="272">
        <v>0</v>
      </c>
      <c r="I19" s="272">
        <v>21431.398189876381</v>
      </c>
      <c r="J19" s="272">
        <v>11307.016292132432</v>
      </c>
      <c r="K19" s="272">
        <v>7633.1068274724394</v>
      </c>
      <c r="L19" s="272">
        <v>6405.9325407843044</v>
      </c>
      <c r="M19" s="272">
        <v>6298.9932049762438</v>
      </c>
      <c r="N19" s="272">
        <v>8392.9241873432966</v>
      </c>
      <c r="O19" s="272">
        <v>17248.427466884601</v>
      </c>
      <c r="P19" s="272">
        <v>0</v>
      </c>
      <c r="Q19" s="272">
        <v>0</v>
      </c>
      <c r="R19" s="272">
        <v>0</v>
      </c>
      <c r="S19" s="272">
        <v>0</v>
      </c>
      <c r="T19" s="272">
        <v>0</v>
      </c>
      <c r="U19" s="272">
        <v>22608.818706046724</v>
      </c>
      <c r="V19" s="272">
        <v>11884.308497263501</v>
      </c>
      <c r="W19" s="272">
        <v>7865.9905471692391</v>
      </c>
      <c r="X19" s="272">
        <v>6611.5758644041734</v>
      </c>
      <c r="Y19" s="272">
        <v>6493.1295674646399</v>
      </c>
      <c r="Z19" s="272">
        <v>8777.870523766509</v>
      </c>
      <c r="AA19" s="272">
        <v>17841.954123103558</v>
      </c>
      <c r="AB19" s="272">
        <v>0</v>
      </c>
      <c r="AC19" s="272">
        <v>0</v>
      </c>
      <c r="AD19" s="272">
        <v>0</v>
      </c>
      <c r="AE19" s="774">
        <v>0</v>
      </c>
      <c r="AF19" s="774">
        <v>0</v>
      </c>
      <c r="AG19" s="774">
        <v>22998.936479207136</v>
      </c>
      <c r="AH19" s="774">
        <v>12057.238554428201</v>
      </c>
      <c r="AI19" s="774">
        <v>7871.6382195616161</v>
      </c>
      <c r="AJ19" s="774">
        <v>6626.9177847904948</v>
      </c>
      <c r="AK19" s="774">
        <v>6500.6890684469972</v>
      </c>
      <c r="AL19" s="774">
        <v>8951.4325506587065</v>
      </c>
      <c r="AM19" s="774">
        <v>18219.984042023851</v>
      </c>
      <c r="AN19" s="774">
        <v>0</v>
      </c>
      <c r="AO19" s="774">
        <v>0</v>
      </c>
      <c r="AP19" s="774">
        <v>0</v>
      </c>
      <c r="AQ19" s="774">
        <v>0</v>
      </c>
      <c r="AR19" s="774">
        <v>0</v>
      </c>
      <c r="AS19" s="774">
        <v>23350.854077785363</v>
      </c>
      <c r="AT19" s="774">
        <v>12113.920810243731</v>
      </c>
      <c r="AU19" s="774">
        <v>7725.7387267487302</v>
      </c>
      <c r="AV19" s="774">
        <v>6471.6237004578306</v>
      </c>
      <c r="AW19" s="774">
        <v>6344.8847158050521</v>
      </c>
      <c r="AX19" s="774">
        <v>9002.3188930577144</v>
      </c>
      <c r="AY19" s="774">
        <v>18489.847984514192</v>
      </c>
      <c r="AZ19" s="774">
        <v>0</v>
      </c>
      <c r="BA19" s="774">
        <v>0</v>
      </c>
      <c r="BB19" s="774">
        <v>0</v>
      </c>
      <c r="BC19" s="774">
        <v>0</v>
      </c>
      <c r="BD19" s="774">
        <v>0</v>
      </c>
      <c r="BE19" s="774">
        <v>23651.301453074571</v>
      </c>
      <c r="BF19" s="774">
        <v>12134.644180127303</v>
      </c>
      <c r="BG19" s="774">
        <v>7570.6045709771997</v>
      </c>
      <c r="BH19" s="774">
        <v>6322.3034177187847</v>
      </c>
      <c r="BI19" s="774">
        <v>6197.0153971481759</v>
      </c>
      <c r="BJ19" s="774">
        <v>9039.161342698153</v>
      </c>
      <c r="BK19" s="774">
        <v>18730.691089514301</v>
      </c>
      <c r="BL19" s="774">
        <v>0</v>
      </c>
      <c r="BM19" s="774">
        <v>0</v>
      </c>
      <c r="BN19" s="774">
        <v>0</v>
      </c>
      <c r="BO19" s="774">
        <v>0</v>
      </c>
      <c r="BP19" s="774">
        <v>0</v>
      </c>
      <c r="BQ19" s="774">
        <v>23868.32555077158</v>
      </c>
      <c r="BR19" s="774">
        <v>12063.094373869808</v>
      </c>
      <c r="BS19" s="774">
        <v>7309.9204308731669</v>
      </c>
      <c r="BT19" s="774">
        <v>6054.4508718721208</v>
      </c>
      <c r="BU19" s="774">
        <v>5935.2602890680564</v>
      </c>
      <c r="BV19" s="774">
        <v>8958.9553354418276</v>
      </c>
      <c r="BW19" s="774">
        <v>18854.657706413051</v>
      </c>
      <c r="BX19" s="774">
        <v>0</v>
      </c>
      <c r="BY19" s="774">
        <v>0</v>
      </c>
      <c r="BZ19" s="774">
        <v>0</v>
      </c>
      <c r="CA19" s="774">
        <v>0</v>
      </c>
      <c r="CB19" s="774">
        <v>0</v>
      </c>
      <c r="CC19" s="774">
        <v>23966.804891265478</v>
      </c>
      <c r="CD19" s="774">
        <v>11884.368743259389</v>
      </c>
      <c r="CE19" s="774">
        <v>6968.8673866301824</v>
      </c>
      <c r="CF19" s="774">
        <v>5720.0911334462271</v>
      </c>
      <c r="CG19" s="774">
        <v>5611.0506712556016</v>
      </c>
      <c r="CH19" s="774">
        <v>8819.1701240666771</v>
      </c>
      <c r="CI19" s="774">
        <v>18923.540245364671</v>
      </c>
      <c r="CJ19" s="774">
        <v>0</v>
      </c>
      <c r="CK19" s="774">
        <v>0</v>
      </c>
      <c r="CL19" s="774">
        <v>0</v>
      </c>
      <c r="CM19" s="774">
        <v>0</v>
      </c>
      <c r="CN19" s="774">
        <v>0</v>
      </c>
      <c r="CO19" s="774">
        <v>24034.621306441499</v>
      </c>
      <c r="CP19" s="774">
        <v>11675.70561462214</v>
      </c>
      <c r="CQ19" s="774">
        <v>6605.442416809994</v>
      </c>
      <c r="CR19" s="774">
        <v>5365.7557800381956</v>
      </c>
      <c r="CS19" s="774">
        <v>5269.3335933182407</v>
      </c>
      <c r="CT19" s="774">
        <v>8655.9533587904953</v>
      </c>
      <c r="CU19" s="774">
        <v>18971.200281922582</v>
      </c>
      <c r="CV19" s="774">
        <v>0</v>
      </c>
      <c r="CW19" s="774">
        <v>0</v>
      </c>
      <c r="CX19" s="774">
        <v>0</v>
      </c>
      <c r="CY19" s="774">
        <v>0</v>
      </c>
      <c r="CZ19" s="774">
        <v>0</v>
      </c>
      <c r="DA19" s="774">
        <v>24084.229466803288</v>
      </c>
      <c r="DB19" s="774">
        <v>11450.383270172204</v>
      </c>
      <c r="DC19" s="774">
        <v>6233.8959702913889</v>
      </c>
      <c r="DD19" s="774">
        <v>5007.3303229824678</v>
      </c>
      <c r="DE19" s="774">
        <v>4924.6057725663586</v>
      </c>
      <c r="DF19" s="774">
        <v>8496.2752478045095</v>
      </c>
      <c r="DG19" s="774">
        <v>19035.299102983026</v>
      </c>
      <c r="DH19" s="774">
        <v>0</v>
      </c>
      <c r="DI19" s="774">
        <v>0</v>
      </c>
      <c r="DJ19" s="774">
        <v>0</v>
      </c>
      <c r="DK19" s="774">
        <v>0</v>
      </c>
      <c r="DL19" s="774">
        <v>0</v>
      </c>
      <c r="DM19" s="774">
        <v>24139.689580770078</v>
      </c>
      <c r="DN19" s="774">
        <v>11228.555340644069</v>
      </c>
      <c r="DO19" s="774">
        <v>5868.5376088280318</v>
      </c>
      <c r="DP19" s="774">
        <v>4655.3117334060635</v>
      </c>
      <c r="DQ19" s="774">
        <v>4586.0378081275721</v>
      </c>
      <c r="DR19" s="774">
        <v>8338.375827297843</v>
      </c>
      <c r="DS19" s="774">
        <v>19105.132011851787</v>
      </c>
      <c r="DT19" s="774">
        <v>0</v>
      </c>
      <c r="DU19" s="774">
        <v>0</v>
      </c>
      <c r="DV19" s="774">
        <v>0</v>
      </c>
      <c r="DW19" s="774">
        <v>0</v>
      </c>
      <c r="DX19" s="774">
        <v>0</v>
      </c>
      <c r="DY19" s="774">
        <v>24208.486348157898</v>
      </c>
      <c r="DZ19" s="774">
        <v>11019.968258569992</v>
      </c>
      <c r="EA19" s="774">
        <v>5525.4351743717843</v>
      </c>
      <c r="EB19" s="774">
        <v>4330.2639621971939</v>
      </c>
      <c r="EC19" s="774">
        <v>4273.3996036463814</v>
      </c>
      <c r="ED19" s="774">
        <v>8206.1562457728269</v>
      </c>
      <c r="EE19" s="774">
        <v>19207.314497456202</v>
      </c>
      <c r="EF19" s="774">
        <v>0</v>
      </c>
      <c r="EG19" s="774">
        <v>0</v>
      </c>
      <c r="EH19" s="774">
        <v>205637.57426756804</v>
      </c>
      <c r="EI19" s="774">
        <v>173521.79424121467</v>
      </c>
      <c r="EJ19" s="774">
        <v>124501.91499747745</v>
      </c>
      <c r="EK19" s="774">
        <v>68659.339739458926</v>
      </c>
      <c r="EL19" s="774">
        <v>48910.265689228028</v>
      </c>
      <c r="EM19" s="774">
        <v>20718.157200565522</v>
      </c>
      <c r="EN19" s="774">
        <v>17663.478243133446</v>
      </c>
      <c r="EO19" s="774">
        <v>16450.095868805121</v>
      </c>
      <c r="EP19" s="774">
        <v>19176.461222501577</v>
      </c>
      <c r="EQ19" s="774">
        <v>67083.344694290281</v>
      </c>
      <c r="ER19" s="774">
        <v>104214.68384699695</v>
      </c>
      <c r="ES19" s="774">
        <v>165911.78774983986</v>
      </c>
      <c r="ET19" s="774">
        <v>204929.02478028176</v>
      </c>
      <c r="EU19" s="774">
        <v>172879.17763160021</v>
      </c>
      <c r="EV19" s="774">
        <v>124092.6332871522</v>
      </c>
      <c r="EW19" s="774">
        <v>68522.404095339181</v>
      </c>
      <c r="EX19" s="774">
        <v>48944.633865487463</v>
      </c>
      <c r="EY19" s="774">
        <v>19460.505399830621</v>
      </c>
      <c r="EZ19" s="774">
        <v>16247.709629800371</v>
      </c>
      <c r="FA19" s="774">
        <v>14893.419496354871</v>
      </c>
      <c r="FB19" s="774">
        <v>17606.522141289799</v>
      </c>
      <c r="FC19" s="774">
        <v>67264.006489496955</v>
      </c>
      <c r="FD19" s="774">
        <v>104124.16959950901</v>
      </c>
      <c r="FE19" s="774">
        <v>165482.17158628104</v>
      </c>
      <c r="FF19"/>
      <c r="FG19"/>
      <c r="FH19"/>
      <c r="FI19"/>
      <c r="FJ19"/>
      <c r="FK19"/>
    </row>
    <row r="20" spans="1:167" ht="15" x14ac:dyDescent="0.25">
      <c r="A20" t="s">
        <v>15</v>
      </c>
      <c r="B20" t="s">
        <v>518</v>
      </c>
      <c r="C20" s="509" t="s">
        <v>382</v>
      </c>
      <c r="D20" s="509" t="s">
        <v>59</v>
      </c>
      <c r="E20" t="s">
        <v>25</v>
      </c>
      <c r="F20" s="272">
        <v>1282.3116770322192</v>
      </c>
      <c r="G20" s="272">
        <v>1158.9265597777007</v>
      </c>
      <c r="H20" s="272">
        <v>949.24513933852836</v>
      </c>
      <c r="I20" s="272">
        <v>81.468169562123023</v>
      </c>
      <c r="J20" s="272">
        <v>54.54902640403278</v>
      </c>
      <c r="K20" s="272">
        <v>35.701506179143358</v>
      </c>
      <c r="L20" s="272">
        <v>20.063339484071186</v>
      </c>
      <c r="M20" s="272">
        <v>20.435977228959299</v>
      </c>
      <c r="N20" s="272">
        <v>28.821608025936495</v>
      </c>
      <c r="O20" s="272">
        <v>41.98001914123401</v>
      </c>
      <c r="P20" s="272">
        <v>612.68133343496686</v>
      </c>
      <c r="Q20" s="272">
        <v>807.46366522035078</v>
      </c>
      <c r="R20" s="272">
        <v>1028.6250084296698</v>
      </c>
      <c r="S20" s="272">
        <v>825.1011647101077</v>
      </c>
      <c r="T20" s="272">
        <v>698.84403197328982</v>
      </c>
      <c r="U20" s="272">
        <v>70.097888522502117</v>
      </c>
      <c r="V20" s="272">
        <v>48.926323984647873</v>
      </c>
      <c r="W20" s="272">
        <v>41.591495309808032</v>
      </c>
      <c r="X20" s="272">
        <v>36.087262900936189</v>
      </c>
      <c r="Y20" s="272">
        <v>38.096611435691059</v>
      </c>
      <c r="Z20" s="272">
        <v>49.058126418352401</v>
      </c>
      <c r="AA20" s="272">
        <v>63.88059721129386</v>
      </c>
      <c r="AB20" s="272">
        <v>834.83464344005267</v>
      </c>
      <c r="AC20" s="272">
        <v>994.84616699066635</v>
      </c>
      <c r="AD20" s="272">
        <v>1211.5553104727458</v>
      </c>
      <c r="AE20" s="774">
        <v>988.936638859048</v>
      </c>
      <c r="AF20" s="774">
        <v>846.5089957578889</v>
      </c>
      <c r="AG20" s="774">
        <v>86.197285014514591</v>
      </c>
      <c r="AH20" s="774">
        <v>61.567283352959194</v>
      </c>
      <c r="AI20" s="774">
        <v>54.026901700108702</v>
      </c>
      <c r="AJ20" s="774">
        <v>48.08875739192527</v>
      </c>
      <c r="AK20" s="774">
        <v>49.596358820281132</v>
      </c>
      <c r="AL20" s="774">
        <v>59.424719583173889</v>
      </c>
      <c r="AM20" s="774">
        <v>70.67789570304096</v>
      </c>
      <c r="AN20" s="774">
        <v>894.03118625449349</v>
      </c>
      <c r="AO20" s="774">
        <v>1047.0520979709315</v>
      </c>
      <c r="AP20" s="774">
        <v>1269.4147797138792</v>
      </c>
      <c r="AQ20" s="774">
        <v>1042.7885820109923</v>
      </c>
      <c r="AR20" s="774">
        <v>909.14066609799829</v>
      </c>
      <c r="AS20" s="774">
        <v>95.309582621803742</v>
      </c>
      <c r="AT20" s="774">
        <v>69.240413251355548</v>
      </c>
      <c r="AU20" s="774">
        <v>60.565417159274936</v>
      </c>
      <c r="AV20" s="774">
        <v>53.632013784965537</v>
      </c>
      <c r="AW20" s="774">
        <v>54.741641154823164</v>
      </c>
      <c r="AX20" s="774">
        <v>65.445080626372601</v>
      </c>
      <c r="AY20" s="774">
        <v>76.159001401224231</v>
      </c>
      <c r="AZ20" s="774">
        <v>947.33948840211917</v>
      </c>
      <c r="BA20" s="774">
        <v>1095.1395408355309</v>
      </c>
      <c r="BB20" s="774">
        <v>1321.0963833375977</v>
      </c>
      <c r="BC20" s="774">
        <v>1090.695728881072</v>
      </c>
      <c r="BD20" s="774">
        <v>963.08521744036329</v>
      </c>
      <c r="BE20" s="774">
        <v>103.00295141402947</v>
      </c>
      <c r="BF20" s="774">
        <v>75.757979065717421</v>
      </c>
      <c r="BG20" s="774">
        <v>66.652201986989198</v>
      </c>
      <c r="BH20" s="774">
        <v>59.521021695201547</v>
      </c>
      <c r="BI20" s="774">
        <v>60.38499504072049</v>
      </c>
      <c r="BJ20" s="774">
        <v>71.775271203313508</v>
      </c>
      <c r="BK20" s="774">
        <v>81.428254909408167</v>
      </c>
      <c r="BL20" s="774">
        <v>997.54310967360925</v>
      </c>
      <c r="BM20" s="774">
        <v>1137.9592510929883</v>
      </c>
      <c r="BN20" s="774">
        <v>1364.8405492565203</v>
      </c>
      <c r="BO20" s="774">
        <v>1130.4206907054895</v>
      </c>
      <c r="BP20" s="774">
        <v>1002.071072559746</v>
      </c>
      <c r="BQ20" s="774">
        <v>107.89998050610039</v>
      </c>
      <c r="BR20" s="774">
        <v>79.845447490801405</v>
      </c>
      <c r="BS20" s="774">
        <v>69.646929279204997</v>
      </c>
      <c r="BT20" s="774">
        <v>61.959974450808843</v>
      </c>
      <c r="BU20" s="774">
        <v>62.652739437223907</v>
      </c>
      <c r="BV20" s="774">
        <v>74.890163987475546</v>
      </c>
      <c r="BW20" s="774">
        <v>83.766939119284984</v>
      </c>
      <c r="BX20" s="774">
        <v>1019.5902681991416</v>
      </c>
      <c r="BY20" s="774">
        <v>1156.6239766087176</v>
      </c>
      <c r="BZ20" s="774">
        <v>1384.1180475567642</v>
      </c>
      <c r="CA20" s="774">
        <v>1147.7715484875955</v>
      </c>
      <c r="CB20" s="774">
        <v>1018.977469025383</v>
      </c>
      <c r="CC20" s="774">
        <v>109.99681255954037</v>
      </c>
      <c r="CD20" s="774">
        <v>81.669280771390547</v>
      </c>
      <c r="CE20" s="774">
        <v>70.418349280339086</v>
      </c>
      <c r="CF20" s="774">
        <v>62.422725545082642</v>
      </c>
      <c r="CG20" s="774">
        <v>63.083775170596169</v>
      </c>
      <c r="CH20" s="774">
        <v>76.355564400751689</v>
      </c>
      <c r="CI20" s="774">
        <v>84.573620834039531</v>
      </c>
      <c r="CJ20" s="774">
        <v>1027.000474914116</v>
      </c>
      <c r="CK20" s="774">
        <v>1161.4304113846642</v>
      </c>
      <c r="CL20" s="774">
        <v>1387.0050418237274</v>
      </c>
      <c r="CM20" s="774">
        <v>1149.6668201596854</v>
      </c>
      <c r="CN20" s="774">
        <v>1017.3626280472942</v>
      </c>
      <c r="CO20" s="774">
        <v>109.35824881966263</v>
      </c>
      <c r="CP20" s="774">
        <v>81.21534201511939</v>
      </c>
      <c r="CQ20" s="774">
        <v>68.696375509154549</v>
      </c>
      <c r="CR20" s="774">
        <v>60.364011720403262</v>
      </c>
      <c r="CS20" s="774">
        <v>61.088413339534945</v>
      </c>
      <c r="CT20" s="774">
        <v>75.27012936460622</v>
      </c>
      <c r="CU20" s="774">
        <v>82.806151137864134</v>
      </c>
      <c r="CV20" s="774">
        <v>1008.8344775203218</v>
      </c>
      <c r="CW20" s="774">
        <v>1144.6861867249315</v>
      </c>
      <c r="CX20" s="774">
        <v>1368.3169705558371</v>
      </c>
      <c r="CY20" s="774">
        <v>1132.2403926325312</v>
      </c>
      <c r="CZ20" s="774">
        <v>998.38335376648524</v>
      </c>
      <c r="DA20" s="774">
        <v>106.81244201624111</v>
      </c>
      <c r="DB20" s="774">
        <v>79.290469507550057</v>
      </c>
      <c r="DC20" s="774">
        <v>65.886464366733975</v>
      </c>
      <c r="DD20" s="774">
        <v>57.655034636438501</v>
      </c>
      <c r="DE20" s="774">
        <v>58.559632291355108</v>
      </c>
      <c r="DF20" s="774">
        <v>73.966496851524781</v>
      </c>
      <c r="DG20" s="774">
        <v>81.101976075312649</v>
      </c>
      <c r="DH20" s="774">
        <v>991.98333142324657</v>
      </c>
      <c r="DI20" s="774">
        <v>1129.4666745570159</v>
      </c>
      <c r="DJ20" s="774">
        <v>1351.5339539965312</v>
      </c>
      <c r="DK20" s="774">
        <v>1116.6334114232902</v>
      </c>
      <c r="DL20" s="774">
        <v>980.75207720922094</v>
      </c>
      <c r="DM20" s="774">
        <v>104.37519827053913</v>
      </c>
      <c r="DN20" s="774">
        <v>77.47441289418623</v>
      </c>
      <c r="DO20" s="774">
        <v>63.04492366595904</v>
      </c>
      <c r="DP20" s="774">
        <v>54.816610921438929</v>
      </c>
      <c r="DQ20" s="774">
        <v>55.885431295480821</v>
      </c>
      <c r="DR20" s="774">
        <v>72.5550352604442</v>
      </c>
      <c r="DS20" s="774">
        <v>79.253267171197692</v>
      </c>
      <c r="DT20" s="774">
        <v>973.66013742620419</v>
      </c>
      <c r="DU20" s="774">
        <v>1113.2276357939568</v>
      </c>
      <c r="DV20" s="774">
        <v>1333.6695292810766</v>
      </c>
      <c r="DW20" s="774">
        <v>1100.1901700656638</v>
      </c>
      <c r="DX20" s="774">
        <v>962.99171203070364</v>
      </c>
      <c r="DY20" s="774">
        <v>102.03379884057604</v>
      </c>
      <c r="DZ20" s="774">
        <v>75.792993024776166</v>
      </c>
      <c r="EA20" s="774">
        <v>60.456931431831322</v>
      </c>
      <c r="EB20" s="774">
        <v>52.352430407818005</v>
      </c>
      <c r="EC20" s="774">
        <v>53.592484426869476</v>
      </c>
      <c r="ED20" s="774">
        <v>71.657784761799022</v>
      </c>
      <c r="EE20" s="774">
        <v>77.901855606581464</v>
      </c>
      <c r="EF20" s="774">
        <v>960.25514548610192</v>
      </c>
      <c r="EG20" s="774">
        <v>1106.9837102926201</v>
      </c>
      <c r="EH20" s="774">
        <v>459.72216837494705</v>
      </c>
      <c r="EI20" s="774">
        <v>391.759654484973</v>
      </c>
      <c r="EJ20" s="774">
        <v>290.62541252005434</v>
      </c>
      <c r="EK20" s="774">
        <v>215.69175010877697</v>
      </c>
      <c r="EL20" s="774">
        <v>225.97436558795732</v>
      </c>
      <c r="EM20" s="774">
        <v>274.00509330152704</v>
      </c>
      <c r="EN20" s="774">
        <v>274.0699201470153</v>
      </c>
      <c r="EO20" s="774">
        <v>297.80404295010084</v>
      </c>
      <c r="EP20" s="774">
        <v>334.5259009210211</v>
      </c>
      <c r="EQ20" s="774">
        <v>401.14027888343628</v>
      </c>
      <c r="ER20" s="774">
        <v>401.15613187326647</v>
      </c>
      <c r="ES20" s="774">
        <v>448.07542790871423</v>
      </c>
      <c r="ET20" s="774">
        <v>456.93197688294845</v>
      </c>
      <c r="EU20" s="774">
        <v>387.56264880437419</v>
      </c>
      <c r="EV20" s="774">
        <v>285.85340918992819</v>
      </c>
      <c r="EW20" s="774">
        <v>210.18742050589603</v>
      </c>
      <c r="EX20" s="774">
        <v>218.74589026871482</v>
      </c>
      <c r="EY20" s="774">
        <v>267.82840401767265</v>
      </c>
      <c r="EZ20" s="774">
        <v>266.56440857583277</v>
      </c>
      <c r="FA20" s="774">
        <v>289.4453868969855</v>
      </c>
      <c r="FB20" s="774">
        <v>325.79012233907815</v>
      </c>
      <c r="FC20" s="774">
        <v>386.17943135389419</v>
      </c>
      <c r="FD20" s="774">
        <v>388.66802951775941</v>
      </c>
      <c r="FE20" s="774">
        <v>437.01618044657209</v>
      </c>
      <c r="FF20"/>
      <c r="FG20"/>
      <c r="FH20"/>
      <c r="FI20"/>
      <c r="FJ20"/>
      <c r="FK20"/>
    </row>
    <row r="21" spans="1:167" ht="15" x14ac:dyDescent="0.25">
      <c r="A21" t="s">
        <v>15</v>
      </c>
      <c r="B21" t="s">
        <v>519</v>
      </c>
      <c r="C21" s="509" t="s">
        <v>383</v>
      </c>
      <c r="D21" s="509" t="s">
        <v>59</v>
      </c>
      <c r="E21" t="s">
        <v>25</v>
      </c>
      <c r="F21" s="272">
        <v>0</v>
      </c>
      <c r="G21" s="272">
        <v>0</v>
      </c>
      <c r="H21" s="272">
        <v>0</v>
      </c>
      <c r="I21" s="272">
        <v>432.96796913503493</v>
      </c>
      <c r="J21" s="272">
        <v>359.39630095863669</v>
      </c>
      <c r="K21" s="272">
        <v>233.21419452893375</v>
      </c>
      <c r="L21" s="272">
        <v>138.06460132248108</v>
      </c>
      <c r="M21" s="272">
        <v>152.11132431500397</v>
      </c>
      <c r="N21" s="272">
        <v>213.48412961563474</v>
      </c>
      <c r="O21" s="272">
        <v>341.29965915190968</v>
      </c>
      <c r="P21" s="272">
        <v>0</v>
      </c>
      <c r="Q21" s="272">
        <v>0</v>
      </c>
      <c r="R21" s="272">
        <v>0</v>
      </c>
      <c r="S21" s="272">
        <v>0</v>
      </c>
      <c r="T21" s="272">
        <v>0</v>
      </c>
      <c r="U21" s="272">
        <v>372.53985939991588</v>
      </c>
      <c r="V21" s="272">
        <v>322.35112189438269</v>
      </c>
      <c r="W21" s="272">
        <v>271.68957604363868</v>
      </c>
      <c r="X21" s="272">
        <v>248.33221653817674</v>
      </c>
      <c r="Y21" s="272">
        <v>283.56490871330834</v>
      </c>
      <c r="Z21" s="272">
        <v>363.37776190596281</v>
      </c>
      <c r="AA21" s="272">
        <v>519.35245625507685</v>
      </c>
      <c r="AB21" s="272">
        <v>0</v>
      </c>
      <c r="AC21" s="272">
        <v>0</v>
      </c>
      <c r="AD21" s="272">
        <v>0</v>
      </c>
      <c r="AE21" s="774">
        <v>0</v>
      </c>
      <c r="AF21" s="774">
        <v>0</v>
      </c>
      <c r="AG21" s="774">
        <v>458.10116562431824</v>
      </c>
      <c r="AH21" s="774">
        <v>405.63609207679542</v>
      </c>
      <c r="AI21" s="774">
        <v>352.92181510945596</v>
      </c>
      <c r="AJ21" s="774">
        <v>330.91974158543428</v>
      </c>
      <c r="AK21" s="774">
        <v>369.16109940974314</v>
      </c>
      <c r="AL21" s="774">
        <v>440.16400911603301</v>
      </c>
      <c r="AM21" s="774">
        <v>574.61483359183205</v>
      </c>
      <c r="AN21" s="774">
        <v>0</v>
      </c>
      <c r="AO21" s="774">
        <v>0</v>
      </c>
      <c r="AP21" s="774">
        <v>0</v>
      </c>
      <c r="AQ21" s="774">
        <v>0</v>
      </c>
      <c r="AR21" s="774">
        <v>0</v>
      </c>
      <c r="AS21" s="774">
        <v>506.52907324010835</v>
      </c>
      <c r="AT21" s="774">
        <v>456.19051410869611</v>
      </c>
      <c r="AU21" s="774">
        <v>395.63358778853853</v>
      </c>
      <c r="AV21" s="774">
        <v>369.06530975174144</v>
      </c>
      <c r="AW21" s="774">
        <v>407.45903354389856</v>
      </c>
      <c r="AX21" s="774">
        <v>484.75734117864931</v>
      </c>
      <c r="AY21" s="774">
        <v>619.17649756515971</v>
      </c>
      <c r="AZ21" s="774">
        <v>0</v>
      </c>
      <c r="BA21" s="774">
        <v>0</v>
      </c>
      <c r="BB21" s="774">
        <v>0</v>
      </c>
      <c r="BC21" s="774">
        <v>0</v>
      </c>
      <c r="BD21" s="774">
        <v>0</v>
      </c>
      <c r="BE21" s="774">
        <v>547.41598993015145</v>
      </c>
      <c r="BF21" s="774">
        <v>499.13150131507734</v>
      </c>
      <c r="BG21" s="774">
        <v>435.39450470177502</v>
      </c>
      <c r="BH21" s="774">
        <v>409.5901451091446</v>
      </c>
      <c r="BI21" s="774">
        <v>449.46426889646216</v>
      </c>
      <c r="BJ21" s="774">
        <v>531.64560724635805</v>
      </c>
      <c r="BK21" s="774">
        <v>662.01579261830921</v>
      </c>
      <c r="BL21" s="774">
        <v>0</v>
      </c>
      <c r="BM21" s="774">
        <v>0</v>
      </c>
      <c r="BN21" s="774">
        <v>0</v>
      </c>
      <c r="BO21" s="774">
        <v>0</v>
      </c>
      <c r="BP21" s="774">
        <v>0</v>
      </c>
      <c r="BQ21" s="774">
        <v>573.44157455031825</v>
      </c>
      <c r="BR21" s="774">
        <v>526.06179006816501</v>
      </c>
      <c r="BS21" s="774">
        <v>454.9570662862476</v>
      </c>
      <c r="BT21" s="774">
        <v>426.37364419286541</v>
      </c>
      <c r="BU21" s="774">
        <v>466.34379462186985</v>
      </c>
      <c r="BV21" s="774">
        <v>554.71788601284607</v>
      </c>
      <c r="BW21" s="774">
        <v>681.02941243133353</v>
      </c>
      <c r="BX21" s="774">
        <v>0</v>
      </c>
      <c r="BY21" s="774">
        <v>0</v>
      </c>
      <c r="BZ21" s="774">
        <v>0</v>
      </c>
      <c r="CA21" s="774">
        <v>0</v>
      </c>
      <c r="CB21" s="774">
        <v>0</v>
      </c>
      <c r="CC21" s="774">
        <v>584.5853270204517</v>
      </c>
      <c r="CD21" s="774">
        <v>538.07811699128933</v>
      </c>
      <c r="CE21" s="774">
        <v>459.99624007643064</v>
      </c>
      <c r="CF21" s="774">
        <v>429.55803657147106</v>
      </c>
      <c r="CG21" s="774">
        <v>469.55212743100179</v>
      </c>
      <c r="CH21" s="774">
        <v>565.57223291414061</v>
      </c>
      <c r="CI21" s="774">
        <v>687.58777519347382</v>
      </c>
      <c r="CJ21" s="774">
        <v>0</v>
      </c>
      <c r="CK21" s="774">
        <v>0</v>
      </c>
      <c r="CL21" s="774">
        <v>0</v>
      </c>
      <c r="CM21" s="774">
        <v>0</v>
      </c>
      <c r="CN21" s="774">
        <v>0</v>
      </c>
      <c r="CO21" s="774">
        <v>581.19163783970589</v>
      </c>
      <c r="CP21" s="774">
        <v>535.08734115860534</v>
      </c>
      <c r="CQ21" s="774">
        <v>448.74773072694666</v>
      </c>
      <c r="CR21" s="774">
        <v>415.39112763454654</v>
      </c>
      <c r="CS21" s="774">
        <v>454.70002972068397</v>
      </c>
      <c r="CT21" s="774">
        <v>557.53232224235217</v>
      </c>
      <c r="CU21" s="774">
        <v>673.21815799924354</v>
      </c>
      <c r="CV21" s="774">
        <v>0</v>
      </c>
      <c r="CW21" s="774">
        <v>0</v>
      </c>
      <c r="CX21" s="774">
        <v>0</v>
      </c>
      <c r="CY21" s="774">
        <v>0</v>
      </c>
      <c r="CZ21" s="774">
        <v>0</v>
      </c>
      <c r="DA21" s="774">
        <v>567.6617794003671</v>
      </c>
      <c r="DB21" s="774">
        <v>522.40531721351351</v>
      </c>
      <c r="DC21" s="774">
        <v>430.3924501264795</v>
      </c>
      <c r="DD21" s="774">
        <v>396.74947321872651</v>
      </c>
      <c r="DE21" s="774">
        <v>435.87752713948942</v>
      </c>
      <c r="DF21" s="774">
        <v>547.87620409157489</v>
      </c>
      <c r="DG21" s="774">
        <v>659.36312934794148</v>
      </c>
      <c r="DH21" s="774">
        <v>0</v>
      </c>
      <c r="DI21" s="774">
        <v>0</v>
      </c>
      <c r="DJ21" s="774">
        <v>0</v>
      </c>
      <c r="DK21" s="774">
        <v>0</v>
      </c>
      <c r="DL21" s="774">
        <v>0</v>
      </c>
      <c r="DM21" s="774">
        <v>554.70888650323411</v>
      </c>
      <c r="DN21" s="774">
        <v>510.44022686817641</v>
      </c>
      <c r="DO21" s="774">
        <v>411.83055465833962</v>
      </c>
      <c r="DP21" s="774">
        <v>377.21704000107496</v>
      </c>
      <c r="DQ21" s="774">
        <v>415.97261873165917</v>
      </c>
      <c r="DR21" s="774">
        <v>537.42138668560028</v>
      </c>
      <c r="DS21" s="774">
        <v>644.33303332243054</v>
      </c>
      <c r="DT21" s="774">
        <v>0</v>
      </c>
      <c r="DU21" s="774">
        <v>0</v>
      </c>
      <c r="DV21" s="774">
        <v>0</v>
      </c>
      <c r="DW21" s="774">
        <v>0</v>
      </c>
      <c r="DX21" s="774">
        <v>0</v>
      </c>
      <c r="DY21" s="774">
        <v>542.26536455381779</v>
      </c>
      <c r="DZ21" s="774">
        <v>499.36219081032925</v>
      </c>
      <c r="EA21" s="774">
        <v>394.92492268582004</v>
      </c>
      <c r="EB21" s="774">
        <v>360.25993769665519</v>
      </c>
      <c r="EC21" s="774">
        <v>398.90550318045558</v>
      </c>
      <c r="ED21" s="774">
        <v>530.77537506896579</v>
      </c>
      <c r="EE21" s="774">
        <v>633.34598958560605</v>
      </c>
      <c r="EF21" s="774">
        <v>0</v>
      </c>
      <c r="EG21" s="774">
        <v>0</v>
      </c>
      <c r="EH21" s="774">
        <v>459.72216837494705</v>
      </c>
      <c r="EI21" s="774">
        <v>391.759654484973</v>
      </c>
      <c r="EJ21" s="774">
        <v>290.62541252005434</v>
      </c>
      <c r="EK21" s="774">
        <v>215.69175010877697</v>
      </c>
      <c r="EL21" s="774">
        <v>225.97436558795732</v>
      </c>
      <c r="EM21" s="774">
        <v>274.00509330152704</v>
      </c>
      <c r="EN21" s="774">
        <v>274.0699201470153</v>
      </c>
      <c r="EO21" s="774">
        <v>297.80404295010084</v>
      </c>
      <c r="EP21" s="774">
        <v>334.5259009210211</v>
      </c>
      <c r="EQ21" s="774">
        <v>401.14027888343628</v>
      </c>
      <c r="ER21" s="774">
        <v>401.15613187326647</v>
      </c>
      <c r="ES21" s="774">
        <v>448.07542790871423</v>
      </c>
      <c r="ET21" s="774">
        <v>456.93197688294845</v>
      </c>
      <c r="EU21" s="774">
        <v>387.56264880437419</v>
      </c>
      <c r="EV21" s="774">
        <v>285.85340918992819</v>
      </c>
      <c r="EW21" s="774">
        <v>210.18742050589603</v>
      </c>
      <c r="EX21" s="774">
        <v>218.74589026871482</v>
      </c>
      <c r="EY21" s="774">
        <v>267.82840401767265</v>
      </c>
      <c r="EZ21" s="774">
        <v>266.56440857583277</v>
      </c>
      <c r="FA21" s="774">
        <v>289.4453868969855</v>
      </c>
      <c r="FB21" s="774">
        <v>325.79012233907815</v>
      </c>
      <c r="FC21" s="774">
        <v>386.17943135389419</v>
      </c>
      <c r="FD21" s="774">
        <v>388.66802951775941</v>
      </c>
      <c r="FE21" s="774">
        <v>437.01618044657209</v>
      </c>
      <c r="FF21"/>
      <c r="FG21"/>
      <c r="FH21"/>
      <c r="FI21"/>
      <c r="FJ21"/>
      <c r="FK21"/>
    </row>
    <row r="22" spans="1:167" ht="15" x14ac:dyDescent="0.25">
      <c r="A22" t="s">
        <v>15</v>
      </c>
      <c r="B22" t="s">
        <v>608</v>
      </c>
      <c r="C22" s="509"/>
      <c r="D22" s="509" t="s">
        <v>553</v>
      </c>
      <c r="E22" t="s">
        <v>685</v>
      </c>
      <c r="F22" s="272">
        <v>300</v>
      </c>
      <c r="G22" s="272">
        <v>300</v>
      </c>
      <c r="H22" s="272">
        <v>300</v>
      </c>
      <c r="I22" s="272">
        <v>0</v>
      </c>
      <c r="J22" s="272">
        <v>0</v>
      </c>
      <c r="K22" s="272">
        <v>0</v>
      </c>
      <c r="L22" s="779">
        <v>0</v>
      </c>
      <c r="M22" s="272">
        <v>0</v>
      </c>
      <c r="N22" s="272">
        <v>0</v>
      </c>
      <c r="O22" s="272">
        <v>0</v>
      </c>
      <c r="P22" s="272">
        <v>300</v>
      </c>
      <c r="Q22" s="272">
        <v>300</v>
      </c>
      <c r="R22" s="272">
        <v>300</v>
      </c>
      <c r="S22" s="272">
        <v>300</v>
      </c>
      <c r="T22" s="272">
        <v>300</v>
      </c>
      <c r="U22" s="272">
        <v>0</v>
      </c>
      <c r="V22" s="272">
        <v>0</v>
      </c>
      <c r="W22" s="272">
        <v>0</v>
      </c>
      <c r="X22" s="272">
        <v>0</v>
      </c>
      <c r="Y22" s="272">
        <v>0</v>
      </c>
      <c r="Z22" s="272">
        <v>0</v>
      </c>
      <c r="AA22" s="272">
        <v>0</v>
      </c>
      <c r="AB22" s="272">
        <v>300</v>
      </c>
      <c r="AC22" s="272">
        <v>300</v>
      </c>
      <c r="AD22" s="272">
        <v>300</v>
      </c>
      <c r="AE22" s="774">
        <v>300</v>
      </c>
      <c r="AF22" s="774">
        <v>300</v>
      </c>
      <c r="AG22" s="774">
        <v>0</v>
      </c>
      <c r="AH22" s="774">
        <v>0</v>
      </c>
      <c r="AI22" s="774">
        <v>0</v>
      </c>
      <c r="AJ22" s="774">
        <v>0</v>
      </c>
      <c r="AK22" s="774">
        <v>0</v>
      </c>
      <c r="AL22" s="774">
        <v>0</v>
      </c>
      <c r="AM22" s="774">
        <v>0</v>
      </c>
      <c r="AN22" s="774">
        <v>300</v>
      </c>
      <c r="AO22" s="774">
        <v>300</v>
      </c>
      <c r="AP22" s="774">
        <v>300</v>
      </c>
      <c r="AQ22" s="774">
        <v>300</v>
      </c>
      <c r="AR22" s="774">
        <v>300</v>
      </c>
      <c r="AS22" s="774">
        <v>0</v>
      </c>
      <c r="AT22" s="774">
        <v>0</v>
      </c>
      <c r="AU22" s="774">
        <v>0</v>
      </c>
      <c r="AV22" s="774">
        <v>0</v>
      </c>
      <c r="AW22" s="774">
        <v>0</v>
      </c>
      <c r="AX22" s="774">
        <v>0</v>
      </c>
      <c r="AY22" s="774">
        <v>0</v>
      </c>
      <c r="AZ22" s="774">
        <v>300</v>
      </c>
      <c r="BA22" s="774">
        <v>300</v>
      </c>
      <c r="BB22" s="774">
        <v>300</v>
      </c>
      <c r="BC22" s="774">
        <v>300</v>
      </c>
      <c r="BD22" s="774">
        <v>300</v>
      </c>
      <c r="BE22" s="774">
        <v>0</v>
      </c>
      <c r="BF22" s="774">
        <v>0</v>
      </c>
      <c r="BG22" s="774">
        <v>0</v>
      </c>
      <c r="BH22" s="774">
        <v>0</v>
      </c>
      <c r="BI22" s="774">
        <v>0</v>
      </c>
      <c r="BJ22" s="774">
        <v>0</v>
      </c>
      <c r="BK22" s="774">
        <v>0</v>
      </c>
      <c r="BL22" s="774">
        <v>300</v>
      </c>
      <c r="BM22" s="774">
        <v>300</v>
      </c>
      <c r="BN22" s="774">
        <v>300</v>
      </c>
      <c r="BO22" s="774">
        <v>300</v>
      </c>
      <c r="BP22" s="774">
        <v>300</v>
      </c>
      <c r="BQ22" s="774">
        <v>0</v>
      </c>
      <c r="BR22" s="774">
        <v>0</v>
      </c>
      <c r="BS22" s="774">
        <v>0</v>
      </c>
      <c r="BT22" s="774">
        <v>0</v>
      </c>
      <c r="BU22" s="774">
        <v>0</v>
      </c>
      <c r="BV22" s="774">
        <v>0</v>
      </c>
      <c r="BW22" s="774">
        <v>0</v>
      </c>
      <c r="BX22" s="774">
        <v>300</v>
      </c>
      <c r="BY22" s="774">
        <v>300</v>
      </c>
      <c r="BZ22" s="774">
        <v>300</v>
      </c>
      <c r="CA22" s="774">
        <v>300</v>
      </c>
      <c r="CB22" s="774">
        <v>300</v>
      </c>
      <c r="CC22" s="774">
        <v>0</v>
      </c>
      <c r="CD22" s="774">
        <v>0</v>
      </c>
      <c r="CE22" s="774">
        <v>0</v>
      </c>
      <c r="CF22" s="774">
        <v>0</v>
      </c>
      <c r="CG22" s="774">
        <v>0</v>
      </c>
      <c r="CH22" s="774">
        <v>0</v>
      </c>
      <c r="CI22" s="774">
        <v>0</v>
      </c>
      <c r="CJ22" s="774">
        <v>300</v>
      </c>
      <c r="CK22" s="774">
        <v>300</v>
      </c>
      <c r="CL22" s="774">
        <v>300</v>
      </c>
      <c r="CM22" s="774">
        <v>300</v>
      </c>
      <c r="CN22" s="774">
        <v>300</v>
      </c>
      <c r="CO22" s="774">
        <v>0</v>
      </c>
      <c r="CP22" s="774">
        <v>0</v>
      </c>
      <c r="CQ22" s="774">
        <v>0</v>
      </c>
      <c r="CR22" s="774">
        <v>0</v>
      </c>
      <c r="CS22" s="774">
        <v>0</v>
      </c>
      <c r="CT22" s="774">
        <v>0</v>
      </c>
      <c r="CU22" s="774">
        <v>0</v>
      </c>
      <c r="CV22" s="774">
        <v>300</v>
      </c>
      <c r="CW22" s="774">
        <v>300</v>
      </c>
      <c r="CX22" s="774">
        <v>300</v>
      </c>
      <c r="CY22" s="774">
        <v>300</v>
      </c>
      <c r="CZ22" s="774">
        <v>300</v>
      </c>
      <c r="DA22" s="774">
        <v>0</v>
      </c>
      <c r="DB22" s="774">
        <v>0</v>
      </c>
      <c r="DC22" s="774">
        <v>0</v>
      </c>
      <c r="DD22" s="774">
        <v>0</v>
      </c>
      <c r="DE22" s="774">
        <v>0</v>
      </c>
      <c r="DF22" s="774">
        <v>0</v>
      </c>
      <c r="DG22" s="774">
        <v>0</v>
      </c>
      <c r="DH22" s="774">
        <v>300</v>
      </c>
      <c r="DI22" s="774">
        <v>300</v>
      </c>
      <c r="DJ22" s="774">
        <v>300</v>
      </c>
      <c r="DK22" s="774">
        <v>300</v>
      </c>
      <c r="DL22" s="774">
        <v>300</v>
      </c>
      <c r="DM22" s="774">
        <v>0</v>
      </c>
      <c r="DN22" s="774">
        <v>0</v>
      </c>
      <c r="DO22" s="774">
        <v>0</v>
      </c>
      <c r="DP22" s="774">
        <v>0</v>
      </c>
      <c r="DQ22" s="774">
        <v>0</v>
      </c>
      <c r="DR22" s="774">
        <v>0</v>
      </c>
      <c r="DS22" s="774">
        <v>0</v>
      </c>
      <c r="DT22" s="774">
        <v>300</v>
      </c>
      <c r="DU22" s="774">
        <v>300</v>
      </c>
      <c r="DV22" s="774">
        <v>300</v>
      </c>
      <c r="DW22" s="774">
        <v>300</v>
      </c>
      <c r="DX22" s="774">
        <v>300</v>
      </c>
      <c r="DY22" s="774">
        <v>0</v>
      </c>
      <c r="DZ22" s="774">
        <v>0</v>
      </c>
      <c r="EA22" s="774">
        <v>0</v>
      </c>
      <c r="EB22" s="774">
        <v>0</v>
      </c>
      <c r="EC22" s="774">
        <v>0</v>
      </c>
      <c r="ED22" s="774">
        <v>0</v>
      </c>
      <c r="EE22" s="774">
        <v>0</v>
      </c>
      <c r="EF22" s="774">
        <v>300</v>
      </c>
      <c r="EG22" s="774">
        <v>300</v>
      </c>
      <c r="EH22" s="774">
        <v>298.4491921903998</v>
      </c>
      <c r="EI22" s="774">
        <v>260.25903397128872</v>
      </c>
      <c r="EJ22" s="774">
        <v>225.2218800203953</v>
      </c>
      <c r="EK22" s="774">
        <v>0</v>
      </c>
      <c r="EL22" s="774">
        <v>0</v>
      </c>
      <c r="EM22" s="774">
        <v>0</v>
      </c>
      <c r="EN22" s="774">
        <v>0</v>
      </c>
      <c r="EO22" s="774">
        <v>0</v>
      </c>
      <c r="EP22" s="774">
        <v>0</v>
      </c>
      <c r="EQ22" s="774">
        <v>0</v>
      </c>
      <c r="ER22" s="774">
        <v>378.00688365610057</v>
      </c>
      <c r="ES22" s="774">
        <v>338.0630101618155</v>
      </c>
      <c r="ET22" s="774">
        <v>298.45310793533014</v>
      </c>
      <c r="EU22" s="774">
        <v>260.14178454073465</v>
      </c>
      <c r="EV22" s="774">
        <v>225.21221317508989</v>
      </c>
      <c r="EW22" s="774">
        <v>0</v>
      </c>
      <c r="EX22" s="774">
        <v>0</v>
      </c>
      <c r="EY22" s="774">
        <v>0</v>
      </c>
      <c r="EZ22" s="774">
        <v>0</v>
      </c>
      <c r="FA22" s="774">
        <v>0</v>
      </c>
      <c r="FB22" s="774">
        <v>0</v>
      </c>
      <c r="FC22" s="774">
        <v>0</v>
      </c>
      <c r="FD22" s="774">
        <v>378.05484007098516</v>
      </c>
      <c r="FE22" s="774">
        <v>338.13805427786008</v>
      </c>
      <c r="FF22"/>
      <c r="FG22"/>
      <c r="FH22"/>
      <c r="FI22"/>
      <c r="FJ22"/>
      <c r="FK22"/>
    </row>
    <row r="23" spans="1:167" ht="15" x14ac:dyDescent="0.25">
      <c r="A23" t="s">
        <v>320</v>
      </c>
      <c r="B23" t="s">
        <v>610</v>
      </c>
      <c r="C23" s="509"/>
      <c r="D23" s="509" t="s">
        <v>610</v>
      </c>
      <c r="E23" t="s">
        <v>940</v>
      </c>
      <c r="F23" s="272">
        <v>1348403.8673297893</v>
      </c>
      <c r="G23" s="272">
        <v>1336881.999336953</v>
      </c>
      <c r="H23" s="272">
        <v>1194079.0859341116</v>
      </c>
      <c r="I23" s="272">
        <v>811169.16168639832</v>
      </c>
      <c r="J23" s="272">
        <v>721752.67444428313</v>
      </c>
      <c r="K23" s="272">
        <v>636995.35218557902</v>
      </c>
      <c r="L23" s="272">
        <v>535295.72177258134</v>
      </c>
      <c r="M23" s="272">
        <v>593148.69397333171</v>
      </c>
      <c r="N23" s="272">
        <v>595987.69486641523</v>
      </c>
      <c r="O23" s="272">
        <v>737436.96041884506</v>
      </c>
      <c r="P23" s="272">
        <v>936503.09388404107</v>
      </c>
      <c r="Q23" s="272">
        <v>1051255.4387866836</v>
      </c>
      <c r="R23" s="272">
        <v>1237142.9383568352</v>
      </c>
      <c r="S23" s="272">
        <v>1088463.3433716611</v>
      </c>
      <c r="T23" s="272">
        <v>1029386.5255587613</v>
      </c>
      <c r="U23" s="272">
        <v>797079.09928085504</v>
      </c>
      <c r="V23" s="272">
        <v>707662.61203873996</v>
      </c>
      <c r="W23" s="272">
        <v>622905.28978003585</v>
      </c>
      <c r="X23" s="272">
        <v>593056.41155523586</v>
      </c>
      <c r="Y23" s="272">
        <v>650909.383755986</v>
      </c>
      <c r="Z23" s="272">
        <v>653748.38464906963</v>
      </c>
      <c r="AA23" s="272">
        <v>819920.70377558412</v>
      </c>
      <c r="AB23" s="272">
        <v>1018986.8372407786</v>
      </c>
      <c r="AC23" s="272">
        <v>1133739.1821434244</v>
      </c>
      <c r="AD23" s="272">
        <v>1309843.4915941986</v>
      </c>
      <c r="AE23" s="774">
        <v>1161163.8966090248</v>
      </c>
      <c r="AF23" s="774">
        <v>1102087.0787961159</v>
      </c>
      <c r="AG23" s="774">
        <v>846345.93761256058</v>
      </c>
      <c r="AH23" s="774">
        <v>756929.45037044457</v>
      </c>
      <c r="AI23" s="774">
        <v>672172.12811174034</v>
      </c>
      <c r="AJ23" s="774">
        <v>628017.52475395228</v>
      </c>
      <c r="AK23" s="774">
        <v>685870.49695470254</v>
      </c>
      <c r="AL23" s="774">
        <v>688709.49784778606</v>
      </c>
      <c r="AM23" s="774">
        <v>839747.84124782507</v>
      </c>
      <c r="AN23" s="774">
        <v>1038813.9747130184</v>
      </c>
      <c r="AO23" s="774">
        <v>1153566.3196156644</v>
      </c>
      <c r="AP23" s="774">
        <v>1325776.4178083313</v>
      </c>
      <c r="AQ23" s="774">
        <v>1177096.8228231575</v>
      </c>
      <c r="AR23" s="774">
        <v>1118020.0050102486</v>
      </c>
      <c r="AS23" s="774">
        <v>861898.41623452143</v>
      </c>
      <c r="AT23" s="774">
        <v>772481.92899240647</v>
      </c>
      <c r="AU23" s="774">
        <v>687724.60673370224</v>
      </c>
      <c r="AV23" s="774">
        <v>641835.01035361632</v>
      </c>
      <c r="AW23" s="774">
        <v>699687.98255436658</v>
      </c>
      <c r="AX23" s="774">
        <v>702526.9834474501</v>
      </c>
      <c r="AY23" s="774">
        <v>854044.0479014056</v>
      </c>
      <c r="AZ23" s="774">
        <v>1053110.1813666052</v>
      </c>
      <c r="BA23" s="774">
        <v>1167862.5262692424</v>
      </c>
      <c r="BB23" s="774">
        <v>1339491.2219553539</v>
      </c>
      <c r="BC23" s="774">
        <v>1190811.6269701798</v>
      </c>
      <c r="BD23" s="774">
        <v>1131734.8091572712</v>
      </c>
      <c r="BE23" s="774">
        <v>875375.51385781274</v>
      </c>
      <c r="BF23" s="774">
        <v>785959.02661569684</v>
      </c>
      <c r="BG23" s="774">
        <v>701201.70435699262</v>
      </c>
      <c r="BH23" s="774">
        <v>654882.2745771968</v>
      </c>
      <c r="BI23" s="774">
        <v>712735.24677794718</v>
      </c>
      <c r="BJ23" s="774">
        <v>715574.24767103069</v>
      </c>
      <c r="BK23" s="774">
        <v>864638.81071522471</v>
      </c>
      <c r="BL23" s="774">
        <v>1063704.9441804187</v>
      </c>
      <c r="BM23" s="774">
        <v>1178457.289083065</v>
      </c>
      <c r="BN23" s="774">
        <v>1348236.2320568739</v>
      </c>
      <c r="BO23" s="774">
        <v>1199556.637071691</v>
      </c>
      <c r="BP23" s="774">
        <v>1140479.8192587912</v>
      </c>
      <c r="BQ23" s="774">
        <v>882636.26835674222</v>
      </c>
      <c r="BR23" s="774">
        <v>793219.78111462633</v>
      </c>
      <c r="BS23" s="774">
        <v>708462.45885592222</v>
      </c>
      <c r="BT23" s="774">
        <v>661504.80519308127</v>
      </c>
      <c r="BU23" s="774">
        <v>719357.77739383164</v>
      </c>
      <c r="BV23" s="774">
        <v>722196.77828691516</v>
      </c>
      <c r="BW23" s="774">
        <v>870970.82376073557</v>
      </c>
      <c r="BX23" s="774">
        <v>1070036.9572259299</v>
      </c>
      <c r="BY23" s="774">
        <v>1184789.302128576</v>
      </c>
      <c r="BZ23" s="774">
        <v>1354019.7611904044</v>
      </c>
      <c r="CA23" s="774">
        <v>1205340.1662052306</v>
      </c>
      <c r="CB23" s="774">
        <v>1146263.3483923217</v>
      </c>
      <c r="CC23" s="774">
        <v>887696.6585259916</v>
      </c>
      <c r="CD23" s="774">
        <v>798280.17128387559</v>
      </c>
      <c r="CE23" s="774">
        <v>713522.8490251716</v>
      </c>
      <c r="CF23" s="774">
        <v>666278.28267462656</v>
      </c>
      <c r="CG23" s="774">
        <v>724131.25487537694</v>
      </c>
      <c r="CH23" s="774">
        <v>726970.25576846034</v>
      </c>
      <c r="CI23" s="774">
        <v>875971.8477993767</v>
      </c>
      <c r="CJ23" s="774">
        <v>1075037.9812645763</v>
      </c>
      <c r="CK23" s="774">
        <v>1189790.3261672135</v>
      </c>
      <c r="CL23" s="774">
        <v>1358296.4344775411</v>
      </c>
      <c r="CM23" s="774">
        <v>1209616.8394923671</v>
      </c>
      <c r="CN23" s="774">
        <v>1150540.0216794584</v>
      </c>
      <c r="CO23" s="774">
        <v>891398.61712673528</v>
      </c>
      <c r="CP23" s="774">
        <v>801982.12988461915</v>
      </c>
      <c r="CQ23" s="774">
        <v>717224.80762591504</v>
      </c>
      <c r="CR23" s="774">
        <v>668662.19039004808</v>
      </c>
      <c r="CS23" s="774">
        <v>726515.16259079752</v>
      </c>
      <c r="CT23" s="774">
        <v>729354.16348388186</v>
      </c>
      <c r="CU23" s="774">
        <v>877107.38691207231</v>
      </c>
      <c r="CV23" s="774">
        <v>1076173.5203772718</v>
      </c>
      <c r="CW23" s="774">
        <v>1190925.8652799088</v>
      </c>
      <c r="CX23" s="774">
        <v>1359162.86901655</v>
      </c>
      <c r="CY23" s="774">
        <v>1210483.274031376</v>
      </c>
      <c r="CZ23" s="774">
        <v>1151406.4562184671</v>
      </c>
      <c r="DA23" s="774">
        <v>892188.75467755983</v>
      </c>
      <c r="DB23" s="774">
        <v>802772.26743544487</v>
      </c>
      <c r="DC23" s="774">
        <v>718014.94517674064</v>
      </c>
      <c r="DD23" s="774">
        <v>669436.54811556533</v>
      </c>
      <c r="DE23" s="774">
        <v>727289.5203163157</v>
      </c>
      <c r="DF23" s="774">
        <v>730128.52120939922</v>
      </c>
      <c r="DG23" s="774">
        <v>877905.67444760178</v>
      </c>
      <c r="DH23" s="774">
        <v>1076971.8079127932</v>
      </c>
      <c r="DI23" s="774">
        <v>1191724.1528154393</v>
      </c>
      <c r="DJ23" s="774">
        <v>1360188.3327289133</v>
      </c>
      <c r="DK23" s="774">
        <v>1211508.7377437395</v>
      </c>
      <c r="DL23" s="774">
        <v>1152431.9199308394</v>
      </c>
      <c r="DM23" s="774">
        <v>893428.74060637015</v>
      </c>
      <c r="DN23" s="774">
        <v>804012.25336425507</v>
      </c>
      <c r="DO23" s="774">
        <v>719254.93110555096</v>
      </c>
      <c r="DP23" s="774">
        <v>670653.22071977449</v>
      </c>
      <c r="DQ23" s="774">
        <v>728506.19292052474</v>
      </c>
      <c r="DR23" s="774">
        <v>731345.19381360826</v>
      </c>
      <c r="DS23" s="774">
        <v>879253.64582307183</v>
      </c>
      <c r="DT23" s="774">
        <v>1078319.7792882668</v>
      </c>
      <c r="DU23" s="774">
        <v>1193072.1241909133</v>
      </c>
      <c r="DV23" s="774">
        <v>1361495.0540467147</v>
      </c>
      <c r="DW23" s="774">
        <v>1212815.4590615409</v>
      </c>
      <c r="DX23" s="774">
        <v>1153738.641248632</v>
      </c>
      <c r="DY23" s="774">
        <v>895062.05473853939</v>
      </c>
      <c r="DZ23" s="774">
        <v>805645.56749642431</v>
      </c>
      <c r="EA23" s="774">
        <v>720888.2452377202</v>
      </c>
      <c r="EB23" s="774">
        <v>673022.6566715755</v>
      </c>
      <c r="EC23" s="774">
        <v>730875.62887232599</v>
      </c>
      <c r="ED23" s="774">
        <v>733714.62976540939</v>
      </c>
      <c r="EE23" s="774">
        <v>882321.25616886385</v>
      </c>
      <c r="EF23" s="774">
        <v>1081387.3896340593</v>
      </c>
      <c r="EG23" s="774">
        <v>1196139.7345367053</v>
      </c>
      <c r="EH23" s="774">
        <v>235280.43095487682</v>
      </c>
      <c r="EI23" s="774">
        <v>185528.87833187883</v>
      </c>
      <c r="EJ23" s="774">
        <v>157480.04045962417</v>
      </c>
      <c r="EK23" s="774">
        <v>128226.35337674688</v>
      </c>
      <c r="EL23" s="774">
        <v>155974.09769178487</v>
      </c>
      <c r="EM23" s="774">
        <v>187150.35748303289</v>
      </c>
      <c r="EN23" s="774">
        <v>204259.67078501088</v>
      </c>
      <c r="EO23" s="774">
        <v>246040.35518831329</v>
      </c>
      <c r="EP23" s="774">
        <v>232039.28833099621</v>
      </c>
      <c r="EQ23" s="774">
        <v>273205.0331403818</v>
      </c>
      <c r="ER23" s="774">
        <v>255826.92817106046</v>
      </c>
      <c r="ES23" s="774">
        <v>238221.48801136555</v>
      </c>
      <c r="ET23" s="774">
        <v>233709.39044339929</v>
      </c>
      <c r="EU23" s="774">
        <v>183624.52264013619</v>
      </c>
      <c r="EV23" s="774">
        <v>155449.75444043623</v>
      </c>
      <c r="EW23" s="774">
        <v>126047.17869730234</v>
      </c>
      <c r="EX23" s="774">
        <v>153114.88686732698</v>
      </c>
      <c r="EY23" s="774">
        <v>185758.19866410116</v>
      </c>
      <c r="EZ23" s="774">
        <v>202745.1172623084</v>
      </c>
      <c r="FA23" s="774">
        <v>244613.71371328813</v>
      </c>
      <c r="FB23" s="774">
        <v>230167.25938021918</v>
      </c>
      <c r="FC23" s="774">
        <v>267333.74659129174</v>
      </c>
      <c r="FD23" s="774">
        <v>250925.54474086373</v>
      </c>
      <c r="FE23" s="774">
        <v>233907.47609563454</v>
      </c>
      <c r="FF23"/>
      <c r="FG23"/>
      <c r="FH23"/>
      <c r="FI23"/>
      <c r="FJ23"/>
      <c r="FK23"/>
    </row>
    <row r="24" spans="1:167" ht="15" x14ac:dyDescent="0.25">
      <c r="A24" t="s">
        <v>318</v>
      </c>
      <c r="B24" t="s">
        <v>610</v>
      </c>
      <c r="C24" s="509"/>
      <c r="D24" s="509" t="s">
        <v>610</v>
      </c>
      <c r="E24" t="s">
        <v>940</v>
      </c>
      <c r="F24" s="272">
        <v>48236.393847789237</v>
      </c>
      <c r="G24" s="272">
        <v>47824.222557102214</v>
      </c>
      <c r="H24" s="272">
        <v>42715.740046478808</v>
      </c>
      <c r="I24" s="272">
        <v>29017.919711080398</v>
      </c>
      <c r="J24" s="272">
        <v>25819.227539099556</v>
      </c>
      <c r="K24" s="272">
        <v>22787.207476704618</v>
      </c>
      <c r="L24" s="272">
        <v>19149.110949667476</v>
      </c>
      <c r="M24" s="272">
        <v>21218.68284867633</v>
      </c>
      <c r="N24" s="272">
        <v>21320.242306143766</v>
      </c>
      <c r="O24" s="272">
        <v>26380.300830136992</v>
      </c>
      <c r="P24" s="272">
        <v>33501.485104547915</v>
      </c>
      <c r="Q24" s="272">
        <v>37606.51582849749</v>
      </c>
      <c r="R24" s="272">
        <v>44256.261396494709</v>
      </c>
      <c r="S24" s="272">
        <v>38937.552607089718</v>
      </c>
      <c r="T24" s="272">
        <v>36824.200131365789</v>
      </c>
      <c r="U24" s="272">
        <v>28513.876511560647</v>
      </c>
      <c r="V24" s="272">
        <v>25315.18433957981</v>
      </c>
      <c r="W24" s="272">
        <v>22283.164277184871</v>
      </c>
      <c r="X24" s="272">
        <v>21215.381633682551</v>
      </c>
      <c r="Y24" s="272">
        <v>23284.953532691401</v>
      </c>
      <c r="Z24" s="272">
        <v>23386.512990158833</v>
      </c>
      <c r="AA24" s="272">
        <v>29330.988251758372</v>
      </c>
      <c r="AB24" s="272">
        <v>36452.172526169241</v>
      </c>
      <c r="AC24" s="272">
        <v>40557.203250118939</v>
      </c>
      <c r="AD24" s="272">
        <v>46856.97517659836</v>
      </c>
      <c r="AE24" s="774">
        <v>41538.266387193369</v>
      </c>
      <c r="AF24" s="774">
        <v>39424.913911469121</v>
      </c>
      <c r="AG24" s="774">
        <v>30276.297011072817</v>
      </c>
      <c r="AH24" s="774">
        <v>27077.604839091942</v>
      </c>
      <c r="AI24" s="774">
        <v>24045.584776697004</v>
      </c>
      <c r="AJ24" s="774">
        <v>22466.044040154258</v>
      </c>
      <c r="AK24" s="774">
        <v>24535.615939163108</v>
      </c>
      <c r="AL24" s="774">
        <v>24637.17539663054</v>
      </c>
      <c r="AM24" s="774">
        <v>30040.263592149666</v>
      </c>
      <c r="AN24" s="774">
        <v>37161.447866560491</v>
      </c>
      <c r="AO24" s="774">
        <v>41266.478590510196</v>
      </c>
      <c r="AP24" s="774">
        <v>47426.943064286643</v>
      </c>
      <c r="AQ24" s="774">
        <v>42108.234274881652</v>
      </c>
      <c r="AR24" s="774">
        <v>39994.881799157396</v>
      </c>
      <c r="AS24" s="774">
        <v>30832.655163325686</v>
      </c>
      <c r="AT24" s="774">
        <v>27633.962991344852</v>
      </c>
      <c r="AU24" s="774">
        <v>24601.942928949909</v>
      </c>
      <c r="AV24" s="774">
        <v>22960.336361260852</v>
      </c>
      <c r="AW24" s="774">
        <v>25029.908260269702</v>
      </c>
      <c r="AX24" s="774">
        <v>25131.467717737134</v>
      </c>
      <c r="AY24" s="774">
        <v>30551.681181033538</v>
      </c>
      <c r="AZ24" s="774">
        <v>37672.865455444597</v>
      </c>
      <c r="BA24" s="774">
        <v>41777.896179393982</v>
      </c>
      <c r="BB24" s="774">
        <v>47917.562166181633</v>
      </c>
      <c r="BC24" s="774">
        <v>42598.853376776635</v>
      </c>
      <c r="BD24" s="774">
        <v>40485.500901052386</v>
      </c>
      <c r="BE24" s="774">
        <v>31314.770799918701</v>
      </c>
      <c r="BF24" s="774">
        <v>28116.078627937834</v>
      </c>
      <c r="BG24" s="774">
        <v>25084.058565542891</v>
      </c>
      <c r="BH24" s="774">
        <v>23427.075586038583</v>
      </c>
      <c r="BI24" s="774">
        <v>25496.647485047437</v>
      </c>
      <c r="BJ24" s="774">
        <v>25598.206942514869</v>
      </c>
      <c r="BK24" s="774">
        <v>30930.687177822409</v>
      </c>
      <c r="BL24" s="774">
        <v>38051.871452233267</v>
      </c>
      <c r="BM24" s="774">
        <v>42156.902176182972</v>
      </c>
      <c r="BN24" s="774">
        <v>48230.397038344337</v>
      </c>
      <c r="BO24" s="774">
        <v>42911.688248939019</v>
      </c>
      <c r="BP24" s="774">
        <v>40798.335773215098</v>
      </c>
      <c r="BQ24" s="774">
        <v>31574.509459921232</v>
      </c>
      <c r="BR24" s="774">
        <v>28375.817287940365</v>
      </c>
      <c r="BS24" s="774">
        <v>25343.797225545426</v>
      </c>
      <c r="BT24" s="774">
        <v>23663.983090382542</v>
      </c>
      <c r="BU24" s="774">
        <v>25733.554989391399</v>
      </c>
      <c r="BV24" s="774">
        <v>25835.114446858828</v>
      </c>
      <c r="BW24" s="774">
        <v>31157.202009552642</v>
      </c>
      <c r="BX24" s="774">
        <v>38278.386283963504</v>
      </c>
      <c r="BY24" s="774">
        <v>42383.417007913209</v>
      </c>
      <c r="BZ24" s="774">
        <v>48437.290978560923</v>
      </c>
      <c r="CA24" s="774">
        <v>43118.582189155932</v>
      </c>
      <c r="CB24" s="774">
        <v>41005.229713431683</v>
      </c>
      <c r="CC24" s="774">
        <v>31755.534580911699</v>
      </c>
      <c r="CD24" s="774">
        <v>28556.842408930832</v>
      </c>
      <c r="CE24" s="774">
        <v>25524.822346535897</v>
      </c>
      <c r="CF24" s="774">
        <v>23834.744496072766</v>
      </c>
      <c r="CG24" s="774">
        <v>25904.316395081623</v>
      </c>
      <c r="CH24" s="774">
        <v>26005.875852549056</v>
      </c>
      <c r="CI24" s="774">
        <v>31336.103428493141</v>
      </c>
      <c r="CJ24" s="774">
        <v>38457.287702904192</v>
      </c>
      <c r="CK24" s="774">
        <v>42562.318426853577</v>
      </c>
      <c r="CL24" s="774">
        <v>48590.280229062824</v>
      </c>
      <c r="CM24" s="774">
        <v>43271.571439657826</v>
      </c>
      <c r="CN24" s="774">
        <v>41158.218963933577</v>
      </c>
      <c r="CO24" s="774">
        <v>31887.964587529303</v>
      </c>
      <c r="CP24" s="774">
        <v>28689.272415548428</v>
      </c>
      <c r="CQ24" s="774">
        <v>25657.25235315349</v>
      </c>
      <c r="CR24" s="774">
        <v>23920.023924769135</v>
      </c>
      <c r="CS24" s="774">
        <v>25989.595823777956</v>
      </c>
      <c r="CT24" s="774">
        <v>26091.155281245421</v>
      </c>
      <c r="CU24" s="774">
        <v>31376.725020581882</v>
      </c>
      <c r="CV24" s="774">
        <v>38497.909294992933</v>
      </c>
      <c r="CW24" s="774">
        <v>42602.94001894231</v>
      </c>
      <c r="CX24" s="774">
        <v>48621.27515475206</v>
      </c>
      <c r="CY24" s="774">
        <v>43302.566365347055</v>
      </c>
      <c r="CZ24" s="774">
        <v>41189.213889622806</v>
      </c>
      <c r="DA24" s="774">
        <v>31916.230144324963</v>
      </c>
      <c r="DB24" s="774">
        <v>28717.537972344129</v>
      </c>
      <c r="DC24" s="774">
        <v>25685.517909949187</v>
      </c>
      <c r="DD24" s="774">
        <v>23947.724990549297</v>
      </c>
      <c r="DE24" s="774">
        <v>26017.296889558154</v>
      </c>
      <c r="DF24" s="774">
        <v>26118.856347025587</v>
      </c>
      <c r="DG24" s="774">
        <v>31405.282126431655</v>
      </c>
      <c r="DH24" s="774">
        <v>38526.466400842415</v>
      </c>
      <c r="DI24" s="774">
        <v>42631.49712479212</v>
      </c>
      <c r="DJ24" s="774">
        <v>48657.959024254837</v>
      </c>
      <c r="DK24" s="774">
        <v>43339.250234849846</v>
      </c>
      <c r="DL24" s="774">
        <v>41225.897759125917</v>
      </c>
      <c r="DM24" s="774">
        <v>31960.5881078973</v>
      </c>
      <c r="DN24" s="774">
        <v>28761.895935916466</v>
      </c>
      <c r="DO24" s="774">
        <v>25729.875873521527</v>
      </c>
      <c r="DP24" s="774">
        <v>23991.248967558251</v>
      </c>
      <c r="DQ24" s="774">
        <v>26060.820866567101</v>
      </c>
      <c r="DR24" s="774">
        <v>26162.380324034537</v>
      </c>
      <c r="DS24" s="774">
        <v>31453.503048766652</v>
      </c>
      <c r="DT24" s="774">
        <v>38574.687323177546</v>
      </c>
      <c r="DU24" s="774">
        <v>42679.718047127259</v>
      </c>
      <c r="DV24" s="774">
        <v>48704.704310041947</v>
      </c>
      <c r="DW24" s="774">
        <v>43385.995520636949</v>
      </c>
      <c r="DX24" s="774">
        <v>41272.6430449127</v>
      </c>
      <c r="DY24" s="774">
        <v>32019.016584457881</v>
      </c>
      <c r="DZ24" s="774">
        <v>28820.324412477046</v>
      </c>
      <c r="EA24" s="774">
        <v>25788.304350082104</v>
      </c>
      <c r="EB24" s="774">
        <v>24076.01069847387</v>
      </c>
      <c r="EC24" s="774">
        <v>26145.582597482731</v>
      </c>
      <c r="ED24" s="774">
        <v>26247.14205495016</v>
      </c>
      <c r="EE24" s="774">
        <v>31563.24054240363</v>
      </c>
      <c r="EF24" s="774">
        <v>38684.424816814535</v>
      </c>
      <c r="EG24" s="774">
        <v>42789.45554076424</v>
      </c>
      <c r="EH24" s="774">
        <v>2260.2717113030099</v>
      </c>
      <c r="EI24" s="774">
        <v>2104.0796773492762</v>
      </c>
      <c r="EJ24" s="774">
        <v>2159.8923849084954</v>
      </c>
      <c r="EK24" s="774">
        <v>1353.1592812582787</v>
      </c>
      <c r="EL24" s="774">
        <v>1232.5529989640547</v>
      </c>
      <c r="EM24" s="774">
        <v>2183.0870529475001</v>
      </c>
      <c r="EN24" s="774">
        <v>2414.9785240670794</v>
      </c>
      <c r="EO24" s="774">
        <v>973.22148605896155</v>
      </c>
      <c r="EP24" s="774">
        <v>5069.4981946712896</v>
      </c>
      <c r="EQ24" s="774">
        <v>2795.8511683750771</v>
      </c>
      <c r="ER24" s="774">
        <v>4607.1282030315951</v>
      </c>
      <c r="ES24" s="774">
        <v>2531.1034910329427</v>
      </c>
      <c r="ET24" s="774">
        <v>2248.8609795177426</v>
      </c>
      <c r="EU24" s="774">
        <v>2092.4868851123624</v>
      </c>
      <c r="EV24" s="774">
        <v>2148.8679755884618</v>
      </c>
      <c r="EW24" s="774">
        <v>1346.8852767204712</v>
      </c>
      <c r="EX24" s="774">
        <v>1226.6919840117296</v>
      </c>
      <c r="EY24" s="774">
        <v>2200.1358747538698</v>
      </c>
      <c r="EZ24" s="774">
        <v>2437.4608941374295</v>
      </c>
      <c r="FA24" s="774">
        <v>982.55632769424551</v>
      </c>
      <c r="FB24" s="774">
        <v>5117.1637298475089</v>
      </c>
      <c r="FC24" s="774">
        <v>2780.4717585068179</v>
      </c>
      <c r="FD24" s="774">
        <v>4584.3910167072727</v>
      </c>
      <c r="FE24" s="774">
        <v>2518.8514713696477</v>
      </c>
      <c r="FF24"/>
      <c r="FG24"/>
      <c r="FH24"/>
      <c r="FI24"/>
      <c r="FJ24"/>
      <c r="FK24"/>
    </row>
    <row r="25" spans="1:167" ht="15" x14ac:dyDescent="0.25">
      <c r="A25" t="s">
        <v>319</v>
      </c>
      <c r="B25" t="s">
        <v>610</v>
      </c>
      <c r="C25" s="509"/>
      <c r="D25" s="509" t="s">
        <v>610</v>
      </c>
      <c r="E25" t="s">
        <v>940</v>
      </c>
      <c r="F25" s="272">
        <v>101273.13882242126</v>
      </c>
      <c r="G25" s="272">
        <v>100407.77810594479</v>
      </c>
      <c r="H25" s="272">
        <v>89682.431180078231</v>
      </c>
      <c r="I25" s="272">
        <v>60923.62170587109</v>
      </c>
      <c r="J25" s="272">
        <v>54207.912455187652</v>
      </c>
      <c r="K25" s="272">
        <v>47842.134166283453</v>
      </c>
      <c r="L25" s="272">
        <v>40203.887911917416</v>
      </c>
      <c r="M25" s="272">
        <v>44548.989722236758</v>
      </c>
      <c r="N25" s="272">
        <v>44762.21555058712</v>
      </c>
      <c r="O25" s="272">
        <v>55385.895483356981</v>
      </c>
      <c r="P25" s="272">
        <v>70336.944392157486</v>
      </c>
      <c r="Q25" s="272">
        <v>78955.527026852171</v>
      </c>
      <c r="R25" s="272">
        <v>92916.782260123044</v>
      </c>
      <c r="S25" s="272">
        <v>81750.06164487268</v>
      </c>
      <c r="T25" s="272">
        <v>77313.041760466338</v>
      </c>
      <c r="U25" s="272">
        <v>59865.374336083507</v>
      </c>
      <c r="V25" s="272">
        <v>53149.665085400076</v>
      </c>
      <c r="W25" s="272">
        <v>46783.88679649587</v>
      </c>
      <c r="X25" s="272">
        <v>44542.058764557733</v>
      </c>
      <c r="Y25" s="272">
        <v>48887.16057487706</v>
      </c>
      <c r="Z25" s="272">
        <v>49100.386403227429</v>
      </c>
      <c r="AA25" s="272">
        <v>61580.914493575336</v>
      </c>
      <c r="AB25" s="272">
        <v>76531.963402375724</v>
      </c>
      <c r="AC25" s="272">
        <v>85150.546037070671</v>
      </c>
      <c r="AD25" s="272">
        <v>98377.02558844749</v>
      </c>
      <c r="AE25" s="774">
        <v>87210.304973197111</v>
      </c>
      <c r="AF25" s="774">
        <v>82773.285088790086</v>
      </c>
      <c r="AG25" s="774">
        <v>63565.606498417037</v>
      </c>
      <c r="AH25" s="774">
        <v>56849.897247733534</v>
      </c>
      <c r="AI25" s="774">
        <v>50484.11895882932</v>
      </c>
      <c r="AJ25" s="774">
        <v>47167.846005417108</v>
      </c>
      <c r="AK25" s="774">
        <v>51512.947815736436</v>
      </c>
      <c r="AL25" s="774">
        <v>51726.173644086804</v>
      </c>
      <c r="AM25" s="774">
        <v>63070.05027427715</v>
      </c>
      <c r="AN25" s="774">
        <v>78021.099183077444</v>
      </c>
      <c r="AO25" s="774">
        <v>86639.681817772405</v>
      </c>
      <c r="AP25" s="774">
        <v>99573.682975322663</v>
      </c>
      <c r="AQ25" s="774">
        <v>88406.962360072299</v>
      </c>
      <c r="AR25" s="774">
        <v>83969.942475665273</v>
      </c>
      <c r="AS25" s="774">
        <v>64733.690011581093</v>
      </c>
      <c r="AT25" s="774">
        <v>58017.98076089767</v>
      </c>
      <c r="AU25" s="774">
        <v>51652.202471993456</v>
      </c>
      <c r="AV25" s="774">
        <v>48205.621238205968</v>
      </c>
      <c r="AW25" s="774">
        <v>52550.723048525302</v>
      </c>
      <c r="AX25" s="774">
        <v>52763.948876875664</v>
      </c>
      <c r="AY25" s="774">
        <v>64143.780301415951</v>
      </c>
      <c r="AZ25" s="774">
        <v>79094.829210216732</v>
      </c>
      <c r="BA25" s="774">
        <v>87713.41184491101</v>
      </c>
      <c r="BB25" s="774">
        <v>100603.74622117661</v>
      </c>
      <c r="BC25" s="774">
        <v>89437.025605926232</v>
      </c>
      <c r="BD25" s="774">
        <v>85000.005721519206</v>
      </c>
      <c r="BE25" s="774">
        <v>65745.900085725807</v>
      </c>
      <c r="BF25" s="774">
        <v>59030.190835042311</v>
      </c>
      <c r="BG25" s="774">
        <v>52664.412546138097</v>
      </c>
      <c r="BH25" s="774">
        <v>49185.548271183186</v>
      </c>
      <c r="BI25" s="774">
        <v>53530.650081502528</v>
      </c>
      <c r="BJ25" s="774">
        <v>53743.87590985289</v>
      </c>
      <c r="BK25" s="774">
        <v>64939.50991272246</v>
      </c>
      <c r="BL25" s="774">
        <v>79890.55882152282</v>
      </c>
      <c r="BM25" s="774">
        <v>88509.141456217782</v>
      </c>
      <c r="BN25" s="774">
        <v>101260.54841781264</v>
      </c>
      <c r="BO25" s="774">
        <v>90093.827802561587</v>
      </c>
      <c r="BP25" s="774">
        <v>85656.807918155231</v>
      </c>
      <c r="BQ25" s="774">
        <v>66291.225871376169</v>
      </c>
      <c r="BR25" s="774">
        <v>59575.516620692673</v>
      </c>
      <c r="BS25" s="774">
        <v>53209.738331788467</v>
      </c>
      <c r="BT25" s="774">
        <v>49682.939652703273</v>
      </c>
      <c r="BU25" s="774">
        <v>54028.041463022622</v>
      </c>
      <c r="BV25" s="774">
        <v>54241.267291372977</v>
      </c>
      <c r="BW25" s="774">
        <v>65415.081699277245</v>
      </c>
      <c r="BX25" s="774">
        <v>80366.130608077627</v>
      </c>
      <c r="BY25" s="774">
        <v>88984.713242772588</v>
      </c>
      <c r="BZ25" s="774">
        <v>101694.92580504413</v>
      </c>
      <c r="CA25" s="774">
        <v>90528.205189793764</v>
      </c>
      <c r="CB25" s="774">
        <v>86091.185305386738</v>
      </c>
      <c r="CC25" s="774">
        <v>66671.291227552327</v>
      </c>
      <c r="CD25" s="774">
        <v>59955.581976868831</v>
      </c>
      <c r="CE25" s="774">
        <v>53589.803687964632</v>
      </c>
      <c r="CF25" s="774">
        <v>50041.456162012575</v>
      </c>
      <c r="CG25" s="774">
        <v>54386.557972331924</v>
      </c>
      <c r="CH25" s="774">
        <v>54599.783800682279</v>
      </c>
      <c r="CI25" s="774">
        <v>65790.688306459793</v>
      </c>
      <c r="CJ25" s="774">
        <v>80741.737215260568</v>
      </c>
      <c r="CK25" s="774">
        <v>89360.31984995486</v>
      </c>
      <c r="CL25" s="774">
        <v>102016.12936875387</v>
      </c>
      <c r="CM25" s="774">
        <v>90849.408753503507</v>
      </c>
      <c r="CN25" s="774">
        <v>86412.388869096481</v>
      </c>
      <c r="CO25" s="774">
        <v>66949.330304991629</v>
      </c>
      <c r="CP25" s="774">
        <v>60233.621054308132</v>
      </c>
      <c r="CQ25" s="774">
        <v>53867.842765403926</v>
      </c>
      <c r="CR25" s="774">
        <v>50220.501789849455</v>
      </c>
      <c r="CS25" s="774">
        <v>54565.603600168724</v>
      </c>
      <c r="CT25" s="774">
        <v>54778.829428519144</v>
      </c>
      <c r="CU25" s="774">
        <v>65875.974037971406</v>
      </c>
      <c r="CV25" s="774">
        <v>80827.02294677218</v>
      </c>
      <c r="CW25" s="774">
        <v>89445.605581466443</v>
      </c>
      <c r="CX25" s="774">
        <v>102081.20374852658</v>
      </c>
      <c r="CY25" s="774">
        <v>90914.483133276197</v>
      </c>
      <c r="CZ25" s="774">
        <v>86477.463248869171</v>
      </c>
      <c r="DA25" s="774">
        <v>67008.674327811692</v>
      </c>
      <c r="DB25" s="774">
        <v>60292.965077128261</v>
      </c>
      <c r="DC25" s="774">
        <v>53927.186788224055</v>
      </c>
      <c r="DD25" s="774">
        <v>50278.660654070023</v>
      </c>
      <c r="DE25" s="774">
        <v>54623.762464389358</v>
      </c>
      <c r="DF25" s="774">
        <v>54836.988292739719</v>
      </c>
      <c r="DG25" s="774">
        <v>65935.930173046858</v>
      </c>
      <c r="DH25" s="774">
        <v>80886.979081847021</v>
      </c>
      <c r="DI25" s="774">
        <v>89505.561716541983</v>
      </c>
      <c r="DJ25" s="774">
        <v>102158.22216371784</v>
      </c>
      <c r="DK25" s="774">
        <v>90991.501548467466</v>
      </c>
      <c r="DL25" s="774">
        <v>86554.481664061124</v>
      </c>
      <c r="DM25" s="774">
        <v>67101.80463553984</v>
      </c>
      <c r="DN25" s="774">
        <v>60386.09538485641</v>
      </c>
      <c r="DO25" s="774">
        <v>54020.31709595221</v>
      </c>
      <c r="DP25" s="774">
        <v>50370.039992659062</v>
      </c>
      <c r="DQ25" s="774">
        <v>54715.141802978396</v>
      </c>
      <c r="DR25" s="774">
        <v>54928.367631328758</v>
      </c>
      <c r="DS25" s="774">
        <v>66037.170829161973</v>
      </c>
      <c r="DT25" s="774">
        <v>80988.219737962412</v>
      </c>
      <c r="DU25" s="774">
        <v>89606.802372657388</v>
      </c>
      <c r="DV25" s="774">
        <v>102256.36469551137</v>
      </c>
      <c r="DW25" s="774">
        <v>91089.644080261001</v>
      </c>
      <c r="DX25" s="774">
        <v>86652.624195853976</v>
      </c>
      <c r="DY25" s="774">
        <v>67224.476227379273</v>
      </c>
      <c r="DZ25" s="774">
        <v>60508.76697669585</v>
      </c>
      <c r="EA25" s="774">
        <v>54142.988687791643</v>
      </c>
      <c r="EB25" s="774">
        <v>50547.998705097925</v>
      </c>
      <c r="EC25" s="774">
        <v>54893.100515417274</v>
      </c>
      <c r="ED25" s="774">
        <v>55106.326343767629</v>
      </c>
      <c r="EE25" s="774">
        <v>66267.566585158798</v>
      </c>
      <c r="EF25" s="774">
        <v>81218.615493959267</v>
      </c>
      <c r="EG25" s="774">
        <v>89837.198128654214</v>
      </c>
      <c r="EH25" s="774">
        <v>5096.1182240847247</v>
      </c>
      <c r="EI25" s="774">
        <v>4258.8790273361465</v>
      </c>
      <c r="EJ25" s="774">
        <v>10784.836431261607</v>
      </c>
      <c r="EK25" s="774">
        <v>14317.813695181167</v>
      </c>
      <c r="EL25" s="774">
        <v>20027.43258133468</v>
      </c>
      <c r="EM25" s="774">
        <v>29131.702955309738</v>
      </c>
      <c r="EN25" s="774">
        <v>31395.937564871285</v>
      </c>
      <c r="EO25" s="774">
        <v>31950.642977229531</v>
      </c>
      <c r="EP25" s="774">
        <v>28763.40220118696</v>
      </c>
      <c r="EQ25" s="774">
        <v>32033.523724265106</v>
      </c>
      <c r="ER25" s="774">
        <v>28912.597324075639</v>
      </c>
      <c r="ES25" s="774">
        <v>19836.44243855208</v>
      </c>
      <c r="ET25" s="774">
        <v>5062.1830289639229</v>
      </c>
      <c r="EU25" s="774">
        <v>4228.5576583955171</v>
      </c>
      <c r="EV25" s="774">
        <v>10712.419532632763</v>
      </c>
      <c r="EW25" s="774">
        <v>14228.357917526355</v>
      </c>
      <c r="EX25" s="774">
        <v>19899.93201005043</v>
      </c>
      <c r="EY25" s="774">
        <v>29311.680022514407</v>
      </c>
      <c r="EZ25" s="774">
        <v>31636.922458122172</v>
      </c>
      <c r="FA25" s="774">
        <v>32204.885572271436</v>
      </c>
      <c r="FB25" s="774">
        <v>28986.847380366948</v>
      </c>
      <c r="FC25" s="774">
        <v>31805.742834840799</v>
      </c>
      <c r="FD25" s="774">
        <v>28723.33427811342</v>
      </c>
      <c r="FE25" s="774">
        <v>19708.466450890432</v>
      </c>
      <c r="FF25"/>
      <c r="FG25"/>
      <c r="FH25"/>
      <c r="FI25"/>
      <c r="FJ25"/>
      <c r="FK25"/>
    </row>
    <row r="26" spans="1:167" ht="15" x14ac:dyDescent="0.25">
      <c r="A26" t="s">
        <v>320</v>
      </c>
      <c r="B26" t="s">
        <v>509</v>
      </c>
      <c r="C26" s="509"/>
      <c r="D26" s="509" t="s">
        <v>445</v>
      </c>
      <c r="E26" t="s">
        <v>378</v>
      </c>
      <c r="F26" s="272">
        <v>39292.699999999997</v>
      </c>
      <c r="G26" s="272">
        <v>17064.7</v>
      </c>
      <c r="H26" s="272">
        <v>8601.5</v>
      </c>
      <c r="I26" s="272">
        <v>6263.6750000000011</v>
      </c>
      <c r="J26" s="272">
        <v>4769.45</v>
      </c>
      <c r="K26" s="272">
        <v>6921.75</v>
      </c>
      <c r="L26" s="272">
        <v>2882.9500000000003</v>
      </c>
      <c r="M26" s="272">
        <v>8220.7749999999996</v>
      </c>
      <c r="N26" s="272">
        <v>12457.35</v>
      </c>
      <c r="O26" s="272">
        <v>13371.75</v>
      </c>
      <c r="P26" s="272">
        <v>13842.125</v>
      </c>
      <c r="Q26" s="272">
        <v>8835.5</v>
      </c>
      <c r="R26" s="272">
        <v>6889.6250000000018</v>
      </c>
      <c r="S26" s="272">
        <v>5839.0749999999998</v>
      </c>
      <c r="T26" s="272">
        <v>5534.2249999999995</v>
      </c>
      <c r="U26" s="272">
        <v>6263.6750000000011</v>
      </c>
      <c r="V26" s="272">
        <v>4769.45</v>
      </c>
      <c r="W26" s="272">
        <v>6921.75</v>
      </c>
      <c r="X26" s="272">
        <v>2882.9500000000003</v>
      </c>
      <c r="Y26" s="272">
        <v>8220.7749999999996</v>
      </c>
      <c r="Z26" s="272">
        <v>12457.35</v>
      </c>
      <c r="AA26" s="272">
        <v>13371.75</v>
      </c>
      <c r="AB26" s="272">
        <v>13842.125</v>
      </c>
      <c r="AC26" s="272">
        <v>8835.5</v>
      </c>
      <c r="AD26" s="272">
        <v>6889.6250000000018</v>
      </c>
      <c r="AE26" s="774">
        <v>5839.0749999999998</v>
      </c>
      <c r="AF26" s="774">
        <v>5534.2249999999995</v>
      </c>
      <c r="AG26" s="774">
        <v>6263.6750000000011</v>
      </c>
      <c r="AH26" s="774">
        <v>4769.45</v>
      </c>
      <c r="AI26" s="774">
        <v>6921.75</v>
      </c>
      <c r="AJ26" s="774">
        <v>2882.9500000000003</v>
      </c>
      <c r="AK26" s="774">
        <v>8220.7749999999996</v>
      </c>
      <c r="AL26" s="774">
        <v>12457.35</v>
      </c>
      <c r="AM26" s="774">
        <v>13371.75</v>
      </c>
      <c r="AN26" s="774">
        <v>13842.125</v>
      </c>
      <c r="AO26" s="774">
        <v>8835.5</v>
      </c>
      <c r="AP26" s="774">
        <v>6889.6250000000018</v>
      </c>
      <c r="AQ26" s="774">
        <v>5839.0749999999998</v>
      </c>
      <c r="AR26" s="774">
        <v>5534.2249999999995</v>
      </c>
      <c r="AS26" s="774">
        <v>6263.6750000000011</v>
      </c>
      <c r="AT26" s="774">
        <v>4769.45</v>
      </c>
      <c r="AU26" s="774">
        <v>6921.75</v>
      </c>
      <c r="AV26" s="774">
        <v>2882.9500000000003</v>
      </c>
      <c r="AW26" s="774">
        <v>8220.7749999999996</v>
      </c>
      <c r="AX26" s="774">
        <v>12457.35</v>
      </c>
      <c r="AY26" s="774">
        <v>13371.75</v>
      </c>
      <c r="AZ26" s="774">
        <v>13842.125</v>
      </c>
      <c r="BA26" s="774">
        <v>8835.5</v>
      </c>
      <c r="BB26" s="774">
        <v>6889.6250000000018</v>
      </c>
      <c r="BC26" s="774">
        <v>5839.0749999999998</v>
      </c>
      <c r="BD26" s="774">
        <v>5534.2249999999995</v>
      </c>
      <c r="BE26" s="774">
        <v>6263.6750000000011</v>
      </c>
      <c r="BF26" s="774">
        <v>4769.45</v>
      </c>
      <c r="BG26" s="774">
        <v>6921.75</v>
      </c>
      <c r="BH26" s="774">
        <v>2882.9500000000003</v>
      </c>
      <c r="BI26" s="774">
        <v>8220.7749999999996</v>
      </c>
      <c r="BJ26" s="774">
        <v>12457.35</v>
      </c>
      <c r="BK26" s="774">
        <v>13371.75</v>
      </c>
      <c r="BL26" s="774">
        <v>13842.125</v>
      </c>
      <c r="BM26" s="774">
        <v>8835.5</v>
      </c>
      <c r="BN26" s="774">
        <v>6889.6250000000018</v>
      </c>
      <c r="BO26" s="774">
        <v>5839.0749999999998</v>
      </c>
      <c r="BP26" s="774">
        <v>5534.2249999999995</v>
      </c>
      <c r="BQ26" s="774">
        <v>6263.6750000000011</v>
      </c>
      <c r="BR26" s="774">
        <v>4769.45</v>
      </c>
      <c r="BS26" s="774">
        <v>6921.75</v>
      </c>
      <c r="BT26" s="774">
        <v>2882.9500000000003</v>
      </c>
      <c r="BU26" s="774">
        <v>8220.7749999999996</v>
      </c>
      <c r="BV26" s="774">
        <v>12457.35</v>
      </c>
      <c r="BW26" s="774">
        <v>13371.75</v>
      </c>
      <c r="BX26" s="774">
        <v>13842.125</v>
      </c>
      <c r="BY26" s="774">
        <v>8835.5</v>
      </c>
      <c r="BZ26" s="774">
        <v>6889.6250000000018</v>
      </c>
      <c r="CA26" s="774">
        <v>5839.0749999999998</v>
      </c>
      <c r="CB26" s="774">
        <v>5534.2249999999995</v>
      </c>
      <c r="CC26" s="774">
        <v>6263.6750000000011</v>
      </c>
      <c r="CD26" s="774">
        <v>4769.45</v>
      </c>
      <c r="CE26" s="774">
        <v>6921.75</v>
      </c>
      <c r="CF26" s="774">
        <v>2882.9500000000003</v>
      </c>
      <c r="CG26" s="774">
        <v>8220.7749999999996</v>
      </c>
      <c r="CH26" s="774">
        <v>12457.35</v>
      </c>
      <c r="CI26" s="774">
        <v>13371.75</v>
      </c>
      <c r="CJ26" s="774">
        <v>13842.125</v>
      </c>
      <c r="CK26" s="774">
        <v>8835.5</v>
      </c>
      <c r="CL26" s="774">
        <v>6889.6250000000018</v>
      </c>
      <c r="CM26" s="774">
        <v>5839.0749999999998</v>
      </c>
      <c r="CN26" s="774">
        <v>5534.2249999999995</v>
      </c>
      <c r="CO26" s="774">
        <v>6263.6750000000011</v>
      </c>
      <c r="CP26" s="774">
        <v>4769.45</v>
      </c>
      <c r="CQ26" s="774">
        <v>6921.75</v>
      </c>
      <c r="CR26" s="774">
        <v>2882.9500000000003</v>
      </c>
      <c r="CS26" s="774">
        <v>8220.7749999999996</v>
      </c>
      <c r="CT26" s="774">
        <v>12457.35</v>
      </c>
      <c r="CU26" s="774">
        <v>13371.75</v>
      </c>
      <c r="CV26" s="774">
        <v>13842.125</v>
      </c>
      <c r="CW26" s="774">
        <v>8835.5</v>
      </c>
      <c r="CX26" s="774">
        <v>6889.6250000000018</v>
      </c>
      <c r="CY26" s="774">
        <v>5839.0749999999998</v>
      </c>
      <c r="CZ26" s="774">
        <v>5534.2249999999995</v>
      </c>
      <c r="DA26" s="774">
        <v>6263.6750000000011</v>
      </c>
      <c r="DB26" s="774">
        <v>4769.45</v>
      </c>
      <c r="DC26" s="774">
        <v>6921.75</v>
      </c>
      <c r="DD26" s="774">
        <v>2882.9500000000003</v>
      </c>
      <c r="DE26" s="774">
        <v>8220.7749999999996</v>
      </c>
      <c r="DF26" s="774">
        <v>12457.35</v>
      </c>
      <c r="DG26" s="774">
        <v>13371.75</v>
      </c>
      <c r="DH26" s="774">
        <v>13842.125</v>
      </c>
      <c r="DI26" s="774">
        <v>8835.5</v>
      </c>
      <c r="DJ26" s="774">
        <v>6889.6250000000018</v>
      </c>
      <c r="DK26" s="774">
        <v>5839.0749999999998</v>
      </c>
      <c r="DL26" s="774">
        <v>5534.2249999999995</v>
      </c>
      <c r="DM26" s="774">
        <v>6263.6750000000011</v>
      </c>
      <c r="DN26" s="774">
        <v>4769.45</v>
      </c>
      <c r="DO26" s="774">
        <v>6921.75</v>
      </c>
      <c r="DP26" s="774">
        <v>2882.9500000000003</v>
      </c>
      <c r="DQ26" s="774">
        <v>8220.7749999999996</v>
      </c>
      <c r="DR26" s="774">
        <v>12457.35</v>
      </c>
      <c r="DS26" s="774">
        <v>13371.75</v>
      </c>
      <c r="DT26" s="774">
        <v>13842.125</v>
      </c>
      <c r="DU26" s="774">
        <v>8835.5</v>
      </c>
      <c r="DV26" s="774">
        <v>6889.6250000000018</v>
      </c>
      <c r="DW26" s="774">
        <v>5839.0749999999998</v>
      </c>
      <c r="DX26" s="774">
        <v>5534.2249999999995</v>
      </c>
      <c r="DY26" s="774">
        <v>6263.6750000000011</v>
      </c>
      <c r="DZ26" s="774">
        <v>4769.45</v>
      </c>
      <c r="EA26" s="774">
        <v>6921.75</v>
      </c>
      <c r="EB26" s="774">
        <v>2882.9500000000003</v>
      </c>
      <c r="EC26" s="774">
        <v>8220.7749999999996</v>
      </c>
      <c r="ED26" s="774">
        <v>12457.35</v>
      </c>
      <c r="EE26" s="774">
        <v>13371.75</v>
      </c>
      <c r="EF26" s="774">
        <v>13842.125</v>
      </c>
      <c r="EG26" s="774">
        <v>8835.5</v>
      </c>
      <c r="EH26" s="774">
        <v>54939.115833391414</v>
      </c>
      <c r="EI26" s="774">
        <v>42175.355177682904</v>
      </c>
      <c r="EJ26" s="774">
        <v>34242.737902326458</v>
      </c>
      <c r="EK26" s="774">
        <v>23536.853677017596</v>
      </c>
      <c r="EL26" s="774">
        <v>26071.683946363464</v>
      </c>
      <c r="EM26" s="774">
        <v>27766.945251604851</v>
      </c>
      <c r="EN26" s="774">
        <v>31417.624689451222</v>
      </c>
      <c r="EO26" s="774">
        <v>35364.737766198181</v>
      </c>
      <c r="EP26" s="774">
        <v>36734.517564997142</v>
      </c>
      <c r="EQ26" s="774">
        <v>50736.478095965955</v>
      </c>
      <c r="ER26" s="774">
        <v>55037.514220605008</v>
      </c>
      <c r="ES26" s="774">
        <v>56227.393599185438</v>
      </c>
      <c r="ET26" s="774">
        <v>54770.921456684962</v>
      </c>
      <c r="EU26" s="774">
        <v>42339.296769627588</v>
      </c>
      <c r="EV26" s="774">
        <v>34659.533278576928</v>
      </c>
      <c r="EW26" s="774">
        <v>24237.443175145483</v>
      </c>
      <c r="EX26" s="774">
        <v>27231.669565586108</v>
      </c>
      <c r="EY26" s="774">
        <v>29956.71230320973</v>
      </c>
      <c r="EZ26" s="774">
        <v>34306.466275287283</v>
      </c>
      <c r="FA26" s="774">
        <v>38922.883938902982</v>
      </c>
      <c r="FB26" s="774">
        <v>40837.905527436749</v>
      </c>
      <c r="FC26" s="774">
        <v>54808.6893932659</v>
      </c>
      <c r="FD26" s="774">
        <v>58411.344319927077</v>
      </c>
      <c r="FE26" s="774">
        <v>59147.813554906526</v>
      </c>
      <c r="FF26"/>
      <c r="FG26"/>
      <c r="FH26"/>
      <c r="FI26"/>
      <c r="FJ26"/>
      <c r="FK26"/>
    </row>
    <row r="27" spans="1:167" ht="15" x14ac:dyDescent="0.25">
      <c r="A27" t="s">
        <v>320</v>
      </c>
      <c r="B27" t="s">
        <v>509</v>
      </c>
      <c r="C27" s="509"/>
      <c r="D27" s="509" t="s">
        <v>549</v>
      </c>
      <c r="E27" t="s">
        <v>328</v>
      </c>
      <c r="F27" s="272">
        <v>9957.6345257588619</v>
      </c>
      <c r="G27" s="272">
        <v>18318.663019036136</v>
      </c>
      <c r="H27" s="272">
        <v>36277.188600274923</v>
      </c>
      <c r="I27" s="272">
        <v>35585.931197167178</v>
      </c>
      <c r="J27" s="272">
        <v>37146.571406885749</v>
      </c>
      <c r="K27" s="272">
        <v>35879.193467889017</v>
      </c>
      <c r="L27" s="272">
        <v>31833.776085053454</v>
      </c>
      <c r="M27" s="272">
        <v>35845.863504509747</v>
      </c>
      <c r="N27" s="272">
        <v>43179.483035504163</v>
      </c>
      <c r="O27" s="272">
        <v>47422.702388180667</v>
      </c>
      <c r="P27" s="272">
        <v>45834.603636674488</v>
      </c>
      <c r="Q27" s="272">
        <v>25748.607908548438</v>
      </c>
      <c r="R27" s="272">
        <v>12583.724410719073</v>
      </c>
      <c r="S27" s="272">
        <v>16654.779416743047</v>
      </c>
      <c r="T27" s="272">
        <v>34064.976325329691</v>
      </c>
      <c r="U27" s="272">
        <v>35467.748464118209</v>
      </c>
      <c r="V27" s="272">
        <v>36600.542001925445</v>
      </c>
      <c r="W27" s="272">
        <v>35215.316103440324</v>
      </c>
      <c r="X27" s="272">
        <v>31774.411391790381</v>
      </c>
      <c r="Y27" s="272">
        <v>35809.107402899834</v>
      </c>
      <c r="Z27" s="272">
        <v>43543.781759350277</v>
      </c>
      <c r="AA27" s="272">
        <v>46788.245552597975</v>
      </c>
      <c r="AB27" s="272">
        <v>44482.746529338299</v>
      </c>
      <c r="AC27" s="272">
        <v>25012.755300000921</v>
      </c>
      <c r="AD27" s="272">
        <v>12555.510866582785</v>
      </c>
      <c r="AE27" s="774">
        <v>16636.488337629595</v>
      </c>
      <c r="AF27" s="774">
        <v>33995.079419865804</v>
      </c>
      <c r="AG27" s="774">
        <v>35548.021354115212</v>
      </c>
      <c r="AH27" s="774">
        <v>36958.273885182673</v>
      </c>
      <c r="AI27" s="774">
        <v>35490.839933209783</v>
      </c>
      <c r="AJ27" s="774">
        <v>32111.002657915516</v>
      </c>
      <c r="AK27" s="774">
        <v>36147.0573208079</v>
      </c>
      <c r="AL27" s="774">
        <v>44004.393449828429</v>
      </c>
      <c r="AM27" s="774">
        <v>46774.740754050807</v>
      </c>
      <c r="AN27" s="774">
        <v>44331.082402285261</v>
      </c>
      <c r="AO27" s="774">
        <v>24955.696037260157</v>
      </c>
      <c r="AP27" s="774">
        <v>12538.501013879028</v>
      </c>
      <c r="AQ27" s="774">
        <v>16624.631075479192</v>
      </c>
      <c r="AR27" s="774">
        <v>33927.473751570054</v>
      </c>
      <c r="AS27" s="774">
        <v>35623.757166844211</v>
      </c>
      <c r="AT27" s="774">
        <v>37212.44554726129</v>
      </c>
      <c r="AU27" s="774">
        <v>35493.516594913322</v>
      </c>
      <c r="AV27" s="774">
        <v>32086.7413554103</v>
      </c>
      <c r="AW27" s="774">
        <v>36110.73209018998</v>
      </c>
      <c r="AX27" s="774">
        <v>44454.768274420996</v>
      </c>
      <c r="AY27" s="774">
        <v>46800.475840108978</v>
      </c>
      <c r="AZ27" s="774">
        <v>44238.27030533638</v>
      </c>
      <c r="BA27" s="774">
        <v>24929.801024398039</v>
      </c>
      <c r="BB27" s="774">
        <v>12523.638772558917</v>
      </c>
      <c r="BC27" s="774">
        <v>16612.772102398107</v>
      </c>
      <c r="BD27" s="774">
        <v>33865.449836742519</v>
      </c>
      <c r="BE27" s="774">
        <v>35681.516083071663</v>
      </c>
      <c r="BF27" s="774">
        <v>37434.924205528332</v>
      </c>
      <c r="BG27" s="774">
        <v>35482.533737934064</v>
      </c>
      <c r="BH27" s="774">
        <v>32089.841818333072</v>
      </c>
      <c r="BI27" s="774">
        <v>36110.142484905649</v>
      </c>
      <c r="BJ27" s="774">
        <v>44866.002444521568</v>
      </c>
      <c r="BK27" s="774">
        <v>46821.37351400168</v>
      </c>
      <c r="BL27" s="774">
        <v>44158.227361497331</v>
      </c>
      <c r="BM27" s="774">
        <v>24899.508614563027</v>
      </c>
      <c r="BN27" s="774">
        <v>12523.362328126912</v>
      </c>
      <c r="BO27" s="774">
        <v>16618.179266141706</v>
      </c>
      <c r="BP27" s="774">
        <v>33858.75160730692</v>
      </c>
      <c r="BQ27" s="774">
        <v>35743.377974413015</v>
      </c>
      <c r="BR27" s="774">
        <v>37624.38099018998</v>
      </c>
      <c r="BS27" s="774">
        <v>35329.753554995397</v>
      </c>
      <c r="BT27" s="774">
        <v>31896.112757787552</v>
      </c>
      <c r="BU27" s="774">
        <v>35907.056103723779</v>
      </c>
      <c r="BV27" s="774">
        <v>45194.645893453293</v>
      </c>
      <c r="BW27" s="774">
        <v>46841.340615792993</v>
      </c>
      <c r="BX27" s="774">
        <v>44131.321162382403</v>
      </c>
      <c r="BY27" s="774">
        <v>24890.212858730374</v>
      </c>
      <c r="BZ27" s="774">
        <v>12530.096624755595</v>
      </c>
      <c r="CA27" s="774">
        <v>16629.159341043101</v>
      </c>
      <c r="CB27" s="774">
        <v>33874.988106448523</v>
      </c>
      <c r="CC27" s="774">
        <v>35784.18455454275</v>
      </c>
      <c r="CD27" s="774">
        <v>37770.025733083334</v>
      </c>
      <c r="CE27" s="774">
        <v>35057.357622268777</v>
      </c>
      <c r="CF27" s="774">
        <v>31581.160946380533</v>
      </c>
      <c r="CG27" s="774">
        <v>35583.686397265534</v>
      </c>
      <c r="CH27" s="774">
        <v>45524.530264236862</v>
      </c>
      <c r="CI27" s="774">
        <v>46863.166827018264</v>
      </c>
      <c r="CJ27" s="774">
        <v>44133.550090955658</v>
      </c>
      <c r="CK27" s="774">
        <v>24893.383218411524</v>
      </c>
      <c r="CL27" s="774">
        <v>12542.473961074636</v>
      </c>
      <c r="CM27" s="774">
        <v>16644.802507463821</v>
      </c>
      <c r="CN27" s="774">
        <v>33908.614437987286</v>
      </c>
      <c r="CO27" s="774">
        <v>35819.513430317151</v>
      </c>
      <c r="CP27" s="774">
        <v>37905.804951040787</v>
      </c>
      <c r="CQ27" s="774">
        <v>34687.401864177686</v>
      </c>
      <c r="CR27" s="774">
        <v>31145.260996515968</v>
      </c>
      <c r="CS27" s="774">
        <v>35137.986251513699</v>
      </c>
      <c r="CT27" s="774">
        <v>45834.477043966101</v>
      </c>
      <c r="CU27" s="774">
        <v>46881.354016999001</v>
      </c>
      <c r="CV27" s="774">
        <v>44162.525962351814</v>
      </c>
      <c r="CW27" s="774">
        <v>24909.163817268396</v>
      </c>
      <c r="CX27" s="774">
        <v>12554.583277763395</v>
      </c>
      <c r="CY27" s="774">
        <v>16658.417411104019</v>
      </c>
      <c r="CZ27" s="774">
        <v>33940.837752538719</v>
      </c>
      <c r="DA27" s="774">
        <v>35840.542614918522</v>
      </c>
      <c r="DB27" s="774">
        <v>38036.372865608624</v>
      </c>
      <c r="DC27" s="774">
        <v>34245.744878929821</v>
      </c>
      <c r="DD27" s="774">
        <v>30643.341840083885</v>
      </c>
      <c r="DE27" s="774">
        <v>34629.429643933217</v>
      </c>
      <c r="DF27" s="774">
        <v>46222.407536600396</v>
      </c>
      <c r="DG27" s="774">
        <v>46909.915826585559</v>
      </c>
      <c r="DH27" s="774">
        <v>44195.506744840408</v>
      </c>
      <c r="DI27" s="774">
        <v>24925.73013977793</v>
      </c>
      <c r="DJ27" s="774">
        <v>12566.504417952585</v>
      </c>
      <c r="DK27" s="774">
        <v>16671.778694421751</v>
      </c>
      <c r="DL27" s="774">
        <v>33971.940587202706</v>
      </c>
      <c r="DM27" s="774">
        <v>35862.877043437227</v>
      </c>
      <c r="DN27" s="774">
        <v>38191.06733981923</v>
      </c>
      <c r="DO27" s="774">
        <v>33772.950376093177</v>
      </c>
      <c r="DP27" s="774">
        <v>30095.513385159855</v>
      </c>
      <c r="DQ27" s="774">
        <v>34074.551066576976</v>
      </c>
      <c r="DR27" s="774">
        <v>46657.355809602748</v>
      </c>
      <c r="DS27" s="774">
        <v>46937.996637666183</v>
      </c>
      <c r="DT27" s="774">
        <v>44228.066560178377</v>
      </c>
      <c r="DU27" s="774">
        <v>24943.475042125567</v>
      </c>
      <c r="DV27" s="774">
        <v>12574.695422320139</v>
      </c>
      <c r="DW27" s="774">
        <v>16680.371205530668</v>
      </c>
      <c r="DX27" s="774">
        <v>33990.827437901957</v>
      </c>
      <c r="DY27" s="774">
        <v>35879.076997599877</v>
      </c>
      <c r="DZ27" s="774">
        <v>38366.007425790194</v>
      </c>
      <c r="EA27" s="774">
        <v>33288.033923401541</v>
      </c>
      <c r="EB27" s="774">
        <v>29544.727236898896</v>
      </c>
      <c r="EC27" s="774">
        <v>33518.612778635841</v>
      </c>
      <c r="ED27" s="774">
        <v>47166.762620415546</v>
      </c>
      <c r="EE27" s="774">
        <v>46964.473027833577</v>
      </c>
      <c r="EF27" s="774">
        <v>44246.045994920838</v>
      </c>
      <c r="EG27" s="774">
        <v>24964.601060231878</v>
      </c>
      <c r="EH27" s="774">
        <v>217.09055313209657</v>
      </c>
      <c r="EI27" s="774">
        <v>171.18536656696898</v>
      </c>
      <c r="EJ27" s="774">
        <v>145.30502580217302</v>
      </c>
      <c r="EK27" s="774">
        <v>118.31298449979597</v>
      </c>
      <c r="EL27" s="774">
        <v>143.91550969525031</v>
      </c>
      <c r="EM27" s="774">
        <v>172.68148676866863</v>
      </c>
      <c r="EN27" s="774">
        <v>188.46805377452847</v>
      </c>
      <c r="EO27" s="774">
        <v>227.01861172165331</v>
      </c>
      <c r="EP27" s="774">
        <v>214.0999880343422</v>
      </c>
      <c r="EQ27" s="774">
        <v>252.08314827633518</v>
      </c>
      <c r="ER27" s="774">
        <v>236.04857028416407</v>
      </c>
      <c r="ES27" s="774">
        <v>219.80423272115107</v>
      </c>
      <c r="ET27" s="774">
        <v>215.64097208430005</v>
      </c>
      <c r="EU27" s="774">
        <v>169.42823942807846</v>
      </c>
      <c r="EV27" s="774">
        <v>143.43170419555625</v>
      </c>
      <c r="EW27" s="774">
        <v>116.30228503527994</v>
      </c>
      <c r="EX27" s="774">
        <v>141.27734868507312</v>
      </c>
      <c r="EY27" s="774">
        <v>171.39695780540958</v>
      </c>
      <c r="EZ27" s="774">
        <v>187.07059262292634</v>
      </c>
      <c r="FA27" s="774">
        <v>225.70226600740307</v>
      </c>
      <c r="FB27" s="774">
        <v>212.37268840829969</v>
      </c>
      <c r="FC27" s="774">
        <v>246.66577956714812</v>
      </c>
      <c r="FD27" s="774">
        <v>231.52612005039191</v>
      </c>
      <c r="FE27" s="774">
        <v>215.82374344202307</v>
      </c>
      <c r="FF27"/>
      <c r="FG27"/>
      <c r="FH27"/>
      <c r="FI27"/>
      <c r="FJ27"/>
      <c r="FK27"/>
    </row>
    <row r="28" spans="1:167" ht="15" x14ac:dyDescent="0.25">
      <c r="A28" t="s">
        <v>319</v>
      </c>
      <c r="B28" t="s">
        <v>509</v>
      </c>
      <c r="C28" s="509"/>
      <c r="D28" s="509" t="s">
        <v>445</v>
      </c>
      <c r="E28" t="s">
        <v>378</v>
      </c>
      <c r="F28" s="272">
        <v>0</v>
      </c>
      <c r="G28" s="272">
        <v>0</v>
      </c>
      <c r="H28" s="272">
        <v>0</v>
      </c>
      <c r="I28" s="272">
        <v>0</v>
      </c>
      <c r="J28" s="272">
        <v>0</v>
      </c>
      <c r="K28" s="272">
        <v>0</v>
      </c>
      <c r="L28" s="272">
        <v>0</v>
      </c>
      <c r="M28" s="272">
        <v>0</v>
      </c>
      <c r="N28" s="272">
        <v>0</v>
      </c>
      <c r="O28" s="272">
        <v>0</v>
      </c>
      <c r="P28" s="272">
        <v>0</v>
      </c>
      <c r="Q28" s="272">
        <v>0</v>
      </c>
      <c r="R28" s="272">
        <v>0</v>
      </c>
      <c r="S28" s="272">
        <v>0</v>
      </c>
      <c r="T28" s="272">
        <v>0</v>
      </c>
      <c r="U28" s="272">
        <v>0</v>
      </c>
      <c r="V28" s="272">
        <v>0</v>
      </c>
      <c r="W28" s="272">
        <v>0</v>
      </c>
      <c r="X28" s="272">
        <v>0</v>
      </c>
      <c r="Y28" s="272">
        <v>0</v>
      </c>
      <c r="Z28" s="272">
        <v>0</v>
      </c>
      <c r="AA28" s="272">
        <v>0</v>
      </c>
      <c r="AB28" s="272">
        <v>0</v>
      </c>
      <c r="AC28" s="272">
        <v>0</v>
      </c>
      <c r="AD28" s="272">
        <v>0</v>
      </c>
      <c r="AE28" s="774">
        <v>0</v>
      </c>
      <c r="AF28" s="774">
        <v>0</v>
      </c>
      <c r="AG28" s="774">
        <v>0</v>
      </c>
      <c r="AH28" s="774">
        <v>0</v>
      </c>
      <c r="AI28" s="774">
        <v>0</v>
      </c>
      <c r="AJ28" s="774">
        <v>0</v>
      </c>
      <c r="AK28" s="774">
        <v>0</v>
      </c>
      <c r="AL28" s="774">
        <v>0</v>
      </c>
      <c r="AM28" s="774">
        <v>0</v>
      </c>
      <c r="AN28" s="774">
        <v>0</v>
      </c>
      <c r="AO28" s="774">
        <v>0</v>
      </c>
      <c r="AP28" s="774">
        <v>0</v>
      </c>
      <c r="AQ28" s="774">
        <v>0</v>
      </c>
      <c r="AR28" s="774">
        <v>0</v>
      </c>
      <c r="AS28" s="774">
        <v>0</v>
      </c>
      <c r="AT28" s="774">
        <v>0</v>
      </c>
      <c r="AU28" s="774">
        <v>0</v>
      </c>
      <c r="AV28" s="774">
        <v>0</v>
      </c>
      <c r="AW28" s="774">
        <v>0</v>
      </c>
      <c r="AX28" s="774">
        <v>0</v>
      </c>
      <c r="AY28" s="774">
        <v>0</v>
      </c>
      <c r="AZ28" s="774">
        <v>0</v>
      </c>
      <c r="BA28" s="774">
        <v>0</v>
      </c>
      <c r="BB28" s="774">
        <v>0</v>
      </c>
      <c r="BC28" s="774">
        <v>0</v>
      </c>
      <c r="BD28" s="774">
        <v>0</v>
      </c>
      <c r="BE28" s="774">
        <v>0</v>
      </c>
      <c r="BF28" s="774">
        <v>0</v>
      </c>
      <c r="BG28" s="774">
        <v>0</v>
      </c>
      <c r="BH28" s="774">
        <v>0</v>
      </c>
      <c r="BI28" s="774">
        <v>0</v>
      </c>
      <c r="BJ28" s="774">
        <v>0</v>
      </c>
      <c r="BK28" s="774">
        <v>0</v>
      </c>
      <c r="BL28" s="774">
        <v>0</v>
      </c>
      <c r="BM28" s="774">
        <v>0</v>
      </c>
      <c r="BN28" s="774">
        <v>0</v>
      </c>
      <c r="BO28" s="774">
        <v>0</v>
      </c>
      <c r="BP28" s="774">
        <v>0</v>
      </c>
      <c r="BQ28" s="774">
        <v>0</v>
      </c>
      <c r="BR28" s="774">
        <v>0</v>
      </c>
      <c r="BS28" s="774">
        <v>0</v>
      </c>
      <c r="BT28" s="774">
        <v>0</v>
      </c>
      <c r="BU28" s="774">
        <v>0</v>
      </c>
      <c r="BV28" s="774">
        <v>0</v>
      </c>
      <c r="BW28" s="774">
        <v>0</v>
      </c>
      <c r="BX28" s="774">
        <v>0</v>
      </c>
      <c r="BY28" s="774">
        <v>0</v>
      </c>
      <c r="BZ28" s="774">
        <v>0</v>
      </c>
      <c r="CA28" s="774">
        <v>0</v>
      </c>
      <c r="CB28" s="774">
        <v>0</v>
      </c>
      <c r="CC28" s="774">
        <v>0</v>
      </c>
      <c r="CD28" s="774">
        <v>0</v>
      </c>
      <c r="CE28" s="774">
        <v>0</v>
      </c>
      <c r="CF28" s="774">
        <v>0</v>
      </c>
      <c r="CG28" s="774">
        <v>0</v>
      </c>
      <c r="CH28" s="774">
        <v>0</v>
      </c>
      <c r="CI28" s="774">
        <v>0</v>
      </c>
      <c r="CJ28" s="774">
        <v>0</v>
      </c>
      <c r="CK28" s="774">
        <v>0</v>
      </c>
      <c r="CL28" s="774">
        <v>0</v>
      </c>
      <c r="CM28" s="774">
        <v>0</v>
      </c>
      <c r="CN28" s="774">
        <v>0</v>
      </c>
      <c r="CO28" s="774">
        <v>0</v>
      </c>
      <c r="CP28" s="774">
        <v>0</v>
      </c>
      <c r="CQ28" s="774">
        <v>0</v>
      </c>
      <c r="CR28" s="774">
        <v>0</v>
      </c>
      <c r="CS28" s="774">
        <v>0</v>
      </c>
      <c r="CT28" s="774">
        <v>0</v>
      </c>
      <c r="CU28" s="774">
        <v>0</v>
      </c>
      <c r="CV28" s="774">
        <v>0</v>
      </c>
      <c r="CW28" s="774">
        <v>0</v>
      </c>
      <c r="CX28" s="774">
        <v>0</v>
      </c>
      <c r="CY28" s="774">
        <v>0</v>
      </c>
      <c r="CZ28" s="774">
        <v>0</v>
      </c>
      <c r="DA28" s="774">
        <v>0</v>
      </c>
      <c r="DB28" s="774">
        <v>0</v>
      </c>
      <c r="DC28" s="774">
        <v>0</v>
      </c>
      <c r="DD28" s="774">
        <v>0</v>
      </c>
      <c r="DE28" s="774">
        <v>0</v>
      </c>
      <c r="DF28" s="774">
        <v>0</v>
      </c>
      <c r="DG28" s="774">
        <v>0</v>
      </c>
      <c r="DH28" s="774">
        <v>0</v>
      </c>
      <c r="DI28" s="774">
        <v>0</v>
      </c>
      <c r="DJ28" s="774">
        <v>0</v>
      </c>
      <c r="DK28" s="774">
        <v>0</v>
      </c>
      <c r="DL28" s="774">
        <v>0</v>
      </c>
      <c r="DM28" s="774">
        <v>0</v>
      </c>
      <c r="DN28" s="774">
        <v>0</v>
      </c>
      <c r="DO28" s="774">
        <v>0</v>
      </c>
      <c r="DP28" s="774">
        <v>0</v>
      </c>
      <c r="DQ28" s="774">
        <v>0</v>
      </c>
      <c r="DR28" s="774">
        <v>0</v>
      </c>
      <c r="DS28" s="774">
        <v>0</v>
      </c>
      <c r="DT28" s="774">
        <v>0</v>
      </c>
      <c r="DU28" s="774">
        <v>0</v>
      </c>
      <c r="DV28" s="774">
        <v>0</v>
      </c>
      <c r="DW28" s="774">
        <v>0</v>
      </c>
      <c r="DX28" s="774">
        <v>0</v>
      </c>
      <c r="DY28" s="774">
        <v>0</v>
      </c>
      <c r="DZ28" s="774">
        <v>0</v>
      </c>
      <c r="EA28" s="774">
        <v>0</v>
      </c>
      <c r="EB28" s="774">
        <v>0</v>
      </c>
      <c r="EC28" s="774">
        <v>0</v>
      </c>
      <c r="ED28" s="774">
        <v>0</v>
      </c>
      <c r="EE28" s="774">
        <v>0</v>
      </c>
      <c r="EF28" s="774">
        <v>0</v>
      </c>
      <c r="EG28" s="774">
        <v>0</v>
      </c>
      <c r="EH28" s="774">
        <v>15640.628050707304</v>
      </c>
      <c r="EI28" s="774">
        <v>12006.910435928114</v>
      </c>
      <c r="EJ28" s="774">
        <v>9748.5720118310819</v>
      </c>
      <c r="EK28" s="774">
        <v>6700.7116562004903</v>
      </c>
      <c r="EL28" s="774">
        <v>7422.3530006797973</v>
      </c>
      <c r="EM28" s="774">
        <v>7904.9772861605916</v>
      </c>
      <c r="EN28" s="774">
        <v>8944.2899571704183</v>
      </c>
      <c r="EO28" s="774">
        <v>10067.994381076709</v>
      </c>
      <c r="EP28" s="774">
        <v>10457.957270347779</v>
      </c>
      <c r="EQ28" s="774">
        <v>14444.17825922765</v>
      </c>
      <c r="ER28" s="774">
        <v>15668.641107558538</v>
      </c>
      <c r="ES28" s="774">
        <v>16007.388109640287</v>
      </c>
      <c r="ET28" s="774">
        <v>15592.744759424206</v>
      </c>
      <c r="EU28" s="774">
        <v>12053.583001053181</v>
      </c>
      <c r="EV28" s="774">
        <v>9867.2295721922201</v>
      </c>
      <c r="EW28" s="774">
        <v>6900.1626227883089</v>
      </c>
      <c r="EX28" s="774">
        <v>7752.5895423353095</v>
      </c>
      <c r="EY28" s="774">
        <v>8528.3825130614132</v>
      </c>
      <c r="EZ28" s="774">
        <v>9766.7148552794515</v>
      </c>
      <c r="FA28" s="774">
        <v>11080.963738029832</v>
      </c>
      <c r="FB28" s="774">
        <v>11626.151623218306</v>
      </c>
      <c r="FC28" s="774">
        <v>15603.496920964202</v>
      </c>
      <c r="FD28" s="774">
        <v>16629.137484125724</v>
      </c>
      <c r="FE28" s="774">
        <v>16838.803060288883</v>
      </c>
      <c r="FF28"/>
      <c r="FG28"/>
      <c r="FH28"/>
      <c r="FI28"/>
      <c r="FJ28"/>
      <c r="FK28"/>
    </row>
    <row r="29" spans="1:167" s="356" customFormat="1" ht="15" x14ac:dyDescent="0.25">
      <c r="A29" t="s">
        <v>319</v>
      </c>
      <c r="B29" t="s">
        <v>509</v>
      </c>
      <c r="C29" s="509"/>
      <c r="D29" s="509" t="s">
        <v>549</v>
      </c>
      <c r="E29" t="s">
        <v>328</v>
      </c>
      <c r="F29" s="272">
        <v>0</v>
      </c>
      <c r="G29" s="272">
        <v>0</v>
      </c>
      <c r="H29" s="272">
        <v>0</v>
      </c>
      <c r="I29" s="272">
        <v>0</v>
      </c>
      <c r="J29" s="272">
        <v>0</v>
      </c>
      <c r="K29" s="272">
        <v>0</v>
      </c>
      <c r="L29" s="272">
        <v>0</v>
      </c>
      <c r="M29" s="272">
        <v>0</v>
      </c>
      <c r="N29" s="272">
        <v>0</v>
      </c>
      <c r="O29" s="272">
        <v>0</v>
      </c>
      <c r="P29" s="272">
        <v>0</v>
      </c>
      <c r="Q29" s="272">
        <v>0</v>
      </c>
      <c r="R29" s="272">
        <v>0</v>
      </c>
      <c r="S29" s="272">
        <v>0</v>
      </c>
      <c r="T29" s="272">
        <v>0</v>
      </c>
      <c r="U29" s="272">
        <v>0</v>
      </c>
      <c r="V29" s="272">
        <v>0</v>
      </c>
      <c r="W29" s="272">
        <v>0</v>
      </c>
      <c r="X29" s="272">
        <v>0</v>
      </c>
      <c r="Y29" s="272">
        <v>0</v>
      </c>
      <c r="Z29" s="272">
        <v>0</v>
      </c>
      <c r="AA29" s="272">
        <v>0</v>
      </c>
      <c r="AB29" s="272">
        <v>0</v>
      </c>
      <c r="AC29" s="272">
        <v>0</v>
      </c>
      <c r="AD29" s="272">
        <v>0</v>
      </c>
      <c r="AE29" s="774">
        <v>0</v>
      </c>
      <c r="AF29" s="774">
        <v>0</v>
      </c>
      <c r="AG29" s="774">
        <v>0</v>
      </c>
      <c r="AH29" s="774">
        <v>0</v>
      </c>
      <c r="AI29" s="774">
        <v>0</v>
      </c>
      <c r="AJ29" s="774">
        <v>0</v>
      </c>
      <c r="AK29" s="774">
        <v>0</v>
      </c>
      <c r="AL29" s="774">
        <v>0</v>
      </c>
      <c r="AM29" s="774">
        <v>0</v>
      </c>
      <c r="AN29" s="774">
        <v>0</v>
      </c>
      <c r="AO29" s="774">
        <v>0</v>
      </c>
      <c r="AP29" s="774">
        <v>0</v>
      </c>
      <c r="AQ29" s="774">
        <v>0</v>
      </c>
      <c r="AR29" s="774">
        <v>0</v>
      </c>
      <c r="AS29" s="774">
        <v>0</v>
      </c>
      <c r="AT29" s="774">
        <v>0</v>
      </c>
      <c r="AU29" s="774">
        <v>0</v>
      </c>
      <c r="AV29" s="774">
        <v>0</v>
      </c>
      <c r="AW29" s="774">
        <v>0</v>
      </c>
      <c r="AX29" s="774">
        <v>0</v>
      </c>
      <c r="AY29" s="774">
        <v>0</v>
      </c>
      <c r="AZ29" s="774">
        <v>0</v>
      </c>
      <c r="BA29" s="774">
        <v>0</v>
      </c>
      <c r="BB29" s="774">
        <v>0</v>
      </c>
      <c r="BC29" s="774">
        <v>0</v>
      </c>
      <c r="BD29" s="774">
        <v>0</v>
      </c>
      <c r="BE29" s="774">
        <v>0</v>
      </c>
      <c r="BF29" s="774">
        <v>0</v>
      </c>
      <c r="BG29" s="774">
        <v>0</v>
      </c>
      <c r="BH29" s="774">
        <v>0</v>
      </c>
      <c r="BI29" s="774">
        <v>0</v>
      </c>
      <c r="BJ29" s="774">
        <v>0</v>
      </c>
      <c r="BK29" s="774">
        <v>0</v>
      </c>
      <c r="BL29" s="774">
        <v>0</v>
      </c>
      <c r="BM29" s="774">
        <v>0</v>
      </c>
      <c r="BN29" s="774">
        <v>0</v>
      </c>
      <c r="BO29" s="774">
        <v>0</v>
      </c>
      <c r="BP29" s="774">
        <v>0</v>
      </c>
      <c r="BQ29" s="774">
        <v>0</v>
      </c>
      <c r="BR29" s="774">
        <v>0</v>
      </c>
      <c r="BS29" s="774">
        <v>0</v>
      </c>
      <c r="BT29" s="774">
        <v>0</v>
      </c>
      <c r="BU29" s="774">
        <v>0</v>
      </c>
      <c r="BV29" s="774">
        <v>0</v>
      </c>
      <c r="BW29" s="774">
        <v>0</v>
      </c>
      <c r="BX29" s="774">
        <v>0</v>
      </c>
      <c r="BY29" s="774">
        <v>0</v>
      </c>
      <c r="BZ29" s="774">
        <v>0</v>
      </c>
      <c r="CA29" s="774">
        <v>0</v>
      </c>
      <c r="CB29" s="774">
        <v>0</v>
      </c>
      <c r="CC29" s="774">
        <v>0</v>
      </c>
      <c r="CD29" s="774">
        <v>0</v>
      </c>
      <c r="CE29" s="774">
        <v>0</v>
      </c>
      <c r="CF29" s="774">
        <v>0</v>
      </c>
      <c r="CG29" s="774">
        <v>0</v>
      </c>
      <c r="CH29" s="774">
        <v>0</v>
      </c>
      <c r="CI29" s="774">
        <v>0</v>
      </c>
      <c r="CJ29" s="774">
        <v>0</v>
      </c>
      <c r="CK29" s="774">
        <v>0</v>
      </c>
      <c r="CL29" s="774">
        <v>0</v>
      </c>
      <c r="CM29" s="774">
        <v>0</v>
      </c>
      <c r="CN29" s="774">
        <v>0</v>
      </c>
      <c r="CO29" s="774">
        <v>0</v>
      </c>
      <c r="CP29" s="774">
        <v>0</v>
      </c>
      <c r="CQ29" s="774">
        <v>0</v>
      </c>
      <c r="CR29" s="774">
        <v>0</v>
      </c>
      <c r="CS29" s="774">
        <v>0</v>
      </c>
      <c r="CT29" s="774">
        <v>0</v>
      </c>
      <c r="CU29" s="774">
        <v>0</v>
      </c>
      <c r="CV29" s="774">
        <v>0</v>
      </c>
      <c r="CW29" s="774">
        <v>0</v>
      </c>
      <c r="CX29" s="774">
        <v>0</v>
      </c>
      <c r="CY29" s="774">
        <v>0</v>
      </c>
      <c r="CZ29" s="774">
        <v>0</v>
      </c>
      <c r="DA29" s="774">
        <v>0</v>
      </c>
      <c r="DB29" s="774">
        <v>0</v>
      </c>
      <c r="DC29" s="774">
        <v>0</v>
      </c>
      <c r="DD29" s="774">
        <v>0</v>
      </c>
      <c r="DE29" s="774">
        <v>0</v>
      </c>
      <c r="DF29" s="774">
        <v>0</v>
      </c>
      <c r="DG29" s="774">
        <v>0</v>
      </c>
      <c r="DH29" s="774">
        <v>0</v>
      </c>
      <c r="DI29" s="774">
        <v>0</v>
      </c>
      <c r="DJ29" s="774">
        <v>0</v>
      </c>
      <c r="DK29" s="774">
        <v>0</v>
      </c>
      <c r="DL29" s="774">
        <v>0</v>
      </c>
      <c r="DM29" s="774">
        <v>0</v>
      </c>
      <c r="DN29" s="774">
        <v>0</v>
      </c>
      <c r="DO29" s="774">
        <v>0</v>
      </c>
      <c r="DP29" s="774">
        <v>0</v>
      </c>
      <c r="DQ29" s="774">
        <v>0</v>
      </c>
      <c r="DR29" s="774">
        <v>0</v>
      </c>
      <c r="DS29" s="774">
        <v>0</v>
      </c>
      <c r="DT29" s="774">
        <v>0</v>
      </c>
      <c r="DU29" s="774">
        <v>0</v>
      </c>
      <c r="DV29" s="774">
        <v>0</v>
      </c>
      <c r="DW29" s="774">
        <v>0</v>
      </c>
      <c r="DX29" s="774">
        <v>0</v>
      </c>
      <c r="DY29" s="774">
        <v>0</v>
      </c>
      <c r="DZ29" s="774">
        <v>0</v>
      </c>
      <c r="EA29" s="774">
        <v>0</v>
      </c>
      <c r="EB29" s="774">
        <v>0</v>
      </c>
      <c r="EC29" s="774">
        <v>0</v>
      </c>
      <c r="ED29" s="774">
        <v>0</v>
      </c>
      <c r="EE29" s="774">
        <v>0</v>
      </c>
      <c r="EF29" s="774">
        <v>0</v>
      </c>
      <c r="EG29" s="774">
        <v>0</v>
      </c>
      <c r="EH29" s="774">
        <v>4319.1307795698003</v>
      </c>
      <c r="EI29" s="774">
        <v>3405.8229392480166</v>
      </c>
      <c r="EJ29" s="774">
        <v>2890.919942455851</v>
      </c>
      <c r="EK29" s="774">
        <v>2353.899078532872</v>
      </c>
      <c r="EL29" s="774">
        <v>2863.2747883967245</v>
      </c>
      <c r="EM29" s="774">
        <v>3435.589037863856</v>
      </c>
      <c r="EN29" s="774">
        <v>3749.6710947521683</v>
      </c>
      <c r="EO29" s="774">
        <v>4516.654728985668</v>
      </c>
      <c r="EP29" s="774">
        <v>4259.6319134254118</v>
      </c>
      <c r="EQ29" s="774">
        <v>5015.3268717716601</v>
      </c>
      <c r="ER29" s="774">
        <v>4696.310505816492</v>
      </c>
      <c r="ES29" s="774">
        <v>4373.120862831709</v>
      </c>
      <c r="ET29" s="774">
        <v>4290.2906019080428</v>
      </c>
      <c r="EU29" s="774">
        <v>3370.8639702845835</v>
      </c>
      <c r="EV29" s="774">
        <v>2853.6492234197804</v>
      </c>
      <c r="EW29" s="774">
        <v>2313.8951547307552</v>
      </c>
      <c r="EX29" s="774">
        <v>2810.7871869966589</v>
      </c>
      <c r="EY29" s="774">
        <v>3410.0326582682633</v>
      </c>
      <c r="EZ29" s="774">
        <v>3721.8678698487561</v>
      </c>
      <c r="FA29" s="774">
        <v>4490.4653383883096</v>
      </c>
      <c r="FB29" s="774">
        <v>4225.2663785242221</v>
      </c>
      <c r="FC29" s="774">
        <v>4907.5454708836605</v>
      </c>
      <c r="FD29" s="774">
        <v>4606.3339788698204</v>
      </c>
      <c r="FE29" s="774">
        <v>4293.92693423746</v>
      </c>
      <c r="FF29"/>
      <c r="FG29"/>
      <c r="FH29"/>
      <c r="FI29"/>
      <c r="FJ29"/>
      <c r="FK29"/>
    </row>
    <row r="30" spans="1:167" s="356" customFormat="1" ht="15" x14ac:dyDescent="0.25">
      <c r="A30" t="s">
        <v>85</v>
      </c>
      <c r="B30" t="s">
        <v>510</v>
      </c>
      <c r="C30" s="509"/>
      <c r="D30" s="509" t="s">
        <v>495</v>
      </c>
      <c r="E30" t="s">
        <v>33</v>
      </c>
      <c r="F30" s="272">
        <v>47077</v>
      </c>
      <c r="G30" s="272">
        <v>35568.5</v>
      </c>
      <c r="H30" s="272">
        <v>27788.9</v>
      </c>
      <c r="I30" s="272">
        <v>61995.6</v>
      </c>
      <c r="J30" s="272">
        <v>41695.599999999999</v>
      </c>
      <c r="K30" s="272">
        <v>31427.3</v>
      </c>
      <c r="L30" s="272">
        <v>33483.800000000003</v>
      </c>
      <c r="M30" s="272">
        <v>36712.5</v>
      </c>
      <c r="N30" s="272">
        <v>28198.6</v>
      </c>
      <c r="O30" s="272">
        <v>29960.400000000001</v>
      </c>
      <c r="P30" s="272">
        <v>20655.7</v>
      </c>
      <c r="Q30" s="272">
        <v>39362</v>
      </c>
      <c r="R30" s="272">
        <v>24349.3</v>
      </c>
      <c r="S30" s="272">
        <v>26248.6</v>
      </c>
      <c r="T30" s="272">
        <v>23317.3</v>
      </c>
      <c r="U30" s="272">
        <v>22331</v>
      </c>
      <c r="V30" s="272">
        <v>22331</v>
      </c>
      <c r="W30" s="272">
        <v>22331</v>
      </c>
      <c r="X30" s="272">
        <v>22331</v>
      </c>
      <c r="Y30" s="272">
        <v>22331</v>
      </c>
      <c r="Z30" s="272">
        <v>19692.099999999999</v>
      </c>
      <c r="AA30" s="272">
        <v>26739</v>
      </c>
      <c r="AB30" s="272">
        <v>30390.400000000001</v>
      </c>
      <c r="AC30" s="272">
        <v>25816.2</v>
      </c>
      <c r="AD30" s="272">
        <v>24349.3</v>
      </c>
      <c r="AE30" s="774">
        <v>26447.5</v>
      </c>
      <c r="AF30" s="774">
        <v>21860.6</v>
      </c>
      <c r="AG30" s="774">
        <v>24796.9</v>
      </c>
      <c r="AH30" s="774">
        <v>22331</v>
      </c>
      <c r="AI30" s="774">
        <v>23797.9</v>
      </c>
      <c r="AJ30" s="774">
        <v>22331</v>
      </c>
      <c r="AK30" s="774">
        <v>22824.1</v>
      </c>
      <c r="AL30" s="774">
        <v>22824.1</v>
      </c>
      <c r="AM30" s="774">
        <v>19095.099999999999</v>
      </c>
      <c r="AN30" s="774">
        <v>24685.7</v>
      </c>
      <c r="AO30" s="774">
        <v>25358.5</v>
      </c>
      <c r="AP30" s="774">
        <v>21415.5</v>
      </c>
      <c r="AQ30" s="774">
        <v>25358.5</v>
      </c>
      <c r="AR30" s="774">
        <v>21860.6</v>
      </c>
      <c r="AS30" s="774">
        <v>24291</v>
      </c>
      <c r="AT30" s="774">
        <v>22331</v>
      </c>
      <c r="AU30" s="774">
        <v>22331</v>
      </c>
      <c r="AV30" s="774">
        <v>24092.799999999999</v>
      </c>
      <c r="AW30" s="774">
        <v>20851.400000000001</v>
      </c>
      <c r="AX30" s="774">
        <v>20851.400000000001</v>
      </c>
      <c r="AY30" s="774">
        <v>19903</v>
      </c>
      <c r="AZ30" s="774">
        <v>34454.800000000003</v>
      </c>
      <c r="BA30" s="774">
        <v>25816.2</v>
      </c>
      <c r="BB30" s="774">
        <v>26111.1</v>
      </c>
      <c r="BC30" s="774">
        <v>24349.3</v>
      </c>
      <c r="BD30" s="774">
        <v>23340.2</v>
      </c>
      <c r="BE30" s="774">
        <v>24303.7</v>
      </c>
      <c r="BF30" s="774">
        <v>22331</v>
      </c>
      <c r="BG30" s="774">
        <v>17045.8</v>
      </c>
      <c r="BH30" s="774">
        <v>29378</v>
      </c>
      <c r="BI30" s="774">
        <v>22331</v>
      </c>
      <c r="BJ30" s="774">
        <v>23797.9</v>
      </c>
      <c r="BK30" s="774">
        <v>17045.8</v>
      </c>
      <c r="BL30" s="774">
        <v>27872.799999999999</v>
      </c>
      <c r="BM30" s="774">
        <v>30710</v>
      </c>
      <c r="BN30" s="774">
        <v>34928.6</v>
      </c>
      <c r="BO30" s="774">
        <v>33125.300000000003</v>
      </c>
      <c r="BP30" s="774">
        <v>16989.400000000001</v>
      </c>
      <c r="BQ30" s="774">
        <v>23193.4</v>
      </c>
      <c r="BR30" s="774">
        <v>31495.599999999999</v>
      </c>
      <c r="BS30" s="774">
        <v>21390.1</v>
      </c>
      <c r="BT30" s="774">
        <v>21390.1</v>
      </c>
      <c r="BU30" s="774">
        <v>21390.1</v>
      </c>
      <c r="BV30" s="774">
        <v>21390.1</v>
      </c>
      <c r="BW30" s="774">
        <v>16989.400000000001</v>
      </c>
      <c r="BX30" s="774">
        <v>30822.799999999999</v>
      </c>
      <c r="BY30" s="774">
        <v>30527.9</v>
      </c>
      <c r="BZ30" s="774">
        <v>33878</v>
      </c>
      <c r="CA30" s="774">
        <v>33125.300000000003</v>
      </c>
      <c r="CB30" s="774">
        <v>22142.799999999999</v>
      </c>
      <c r="CC30" s="774">
        <v>19371.8</v>
      </c>
      <c r="CD30" s="774">
        <v>29061</v>
      </c>
      <c r="CE30" s="774">
        <v>16989.400000000001</v>
      </c>
      <c r="CF30" s="774">
        <v>21390.1</v>
      </c>
      <c r="CG30" s="774">
        <v>26127.200000000001</v>
      </c>
      <c r="CH30" s="774">
        <v>27594.1</v>
      </c>
      <c r="CI30" s="774">
        <v>21972.5</v>
      </c>
      <c r="CJ30" s="774">
        <v>35771.599999999999</v>
      </c>
      <c r="CK30" s="774">
        <v>28724.6</v>
      </c>
      <c r="CL30" s="774">
        <v>27257.7</v>
      </c>
      <c r="CM30" s="774">
        <v>33125.300000000003</v>
      </c>
      <c r="CN30" s="774">
        <v>22857</v>
      </c>
      <c r="CO30" s="774">
        <v>22062.9</v>
      </c>
      <c r="CP30" s="774">
        <v>29355.9</v>
      </c>
      <c r="CQ30" s="774">
        <v>21390.1</v>
      </c>
      <c r="CR30" s="774">
        <v>21390.1</v>
      </c>
      <c r="CS30" s="774">
        <v>21390.1</v>
      </c>
      <c r="CT30" s="774">
        <v>27594.1</v>
      </c>
      <c r="CU30" s="774">
        <v>25503.3</v>
      </c>
      <c r="CV30" s="774">
        <v>12588.7</v>
      </c>
      <c r="CW30" s="774">
        <v>39329.300000000003</v>
      </c>
      <c r="CX30" s="774">
        <v>20381</v>
      </c>
      <c r="CY30" s="774">
        <v>21390.1</v>
      </c>
      <c r="CZ30" s="774">
        <v>21390.1</v>
      </c>
      <c r="DA30" s="774">
        <v>23529.8</v>
      </c>
      <c r="DB30" s="774">
        <v>21390.1</v>
      </c>
      <c r="DC30" s="774">
        <v>21390.1</v>
      </c>
      <c r="DD30" s="774">
        <v>21390.1</v>
      </c>
      <c r="DE30" s="774">
        <v>21390.1</v>
      </c>
      <c r="DF30" s="774">
        <v>28724.6</v>
      </c>
      <c r="DG30" s="774">
        <v>24906.3</v>
      </c>
      <c r="DH30" s="774">
        <v>25250</v>
      </c>
      <c r="DI30" s="774">
        <v>24955.200000000001</v>
      </c>
      <c r="DJ30" s="774">
        <v>21390.1</v>
      </c>
      <c r="DK30" s="774">
        <v>21390.1</v>
      </c>
      <c r="DL30" s="774">
        <v>25666.2</v>
      </c>
      <c r="DM30" s="774">
        <v>24497.4</v>
      </c>
      <c r="DN30" s="774">
        <v>32879.300000000003</v>
      </c>
      <c r="DO30" s="774">
        <v>27257.7</v>
      </c>
      <c r="DP30" s="774">
        <v>22857</v>
      </c>
      <c r="DQ30" s="774">
        <v>21390.1</v>
      </c>
      <c r="DR30" s="774">
        <v>16989.400000000001</v>
      </c>
      <c r="DS30" s="774">
        <v>14971.1</v>
      </c>
      <c r="DT30" s="774">
        <v>28468.1</v>
      </c>
      <c r="DU30" s="774">
        <v>20838.7</v>
      </c>
      <c r="DV30" s="774">
        <v>19371.8</v>
      </c>
      <c r="DW30" s="774">
        <v>19371.8</v>
      </c>
      <c r="DX30" s="774">
        <v>19371.8</v>
      </c>
      <c r="DY30" s="774">
        <v>27001.200000000001</v>
      </c>
      <c r="DZ30" s="774">
        <v>26706.3</v>
      </c>
      <c r="EA30" s="774">
        <v>19371.8</v>
      </c>
      <c r="EB30" s="774">
        <v>19371.8</v>
      </c>
      <c r="EC30" s="774">
        <v>21133.599999999999</v>
      </c>
      <c r="ED30" s="774">
        <v>14086.6</v>
      </c>
      <c r="EE30" s="774">
        <v>8801.4</v>
      </c>
      <c r="EF30" s="774">
        <v>22895.3</v>
      </c>
      <c r="EG30" s="774">
        <v>25239.4</v>
      </c>
      <c r="EH30" s="774">
        <v>3065.5467857581757</v>
      </c>
      <c r="EI30" s="774">
        <v>2853.7076580756584</v>
      </c>
      <c r="EJ30" s="774">
        <v>2929.4049582750185</v>
      </c>
      <c r="EK30" s="774">
        <v>1835.2541707867526</v>
      </c>
      <c r="EL30" s="774">
        <v>1671.6790575911086</v>
      </c>
      <c r="EM30" s="774">
        <v>2960.8632735289434</v>
      </c>
      <c r="EN30" s="774">
        <v>3275.3715471937739</v>
      </c>
      <c r="EO30" s="774">
        <v>1319.9545804601212</v>
      </c>
      <c r="EP30" s="774">
        <v>6875.6264206494161</v>
      </c>
      <c r="EQ30" s="774">
        <v>3791.939048659563</v>
      </c>
      <c r="ER30" s="774">
        <v>6248.5262208752129</v>
      </c>
      <c r="ES30" s="774">
        <v>3432.8687708453745</v>
      </c>
      <c r="ET30" s="774">
        <v>3050.0707118098321</v>
      </c>
      <c r="EU30" s="774">
        <v>2837.9846603483866</v>
      </c>
      <c r="EV30" s="774">
        <v>2914.4528432762299</v>
      </c>
      <c r="EW30" s="774">
        <v>1826.7449042465717</v>
      </c>
      <c r="EX30" s="774">
        <v>1663.7299179108959</v>
      </c>
      <c r="EY30" s="774">
        <v>2983.9861399649221</v>
      </c>
      <c r="EZ30" s="774">
        <v>3305.8637915379968</v>
      </c>
      <c r="FA30" s="774">
        <v>1332.6151794613402</v>
      </c>
      <c r="FB30" s="774">
        <v>6940.2739262657515</v>
      </c>
      <c r="FC30" s="774">
        <v>3771.0803615146797</v>
      </c>
      <c r="FD30" s="774">
        <v>6217.6883759802149</v>
      </c>
      <c r="FE30" s="774">
        <v>3416.2516803822959</v>
      </c>
      <c r="FF30"/>
      <c r="FG30"/>
      <c r="FH30"/>
      <c r="FI30"/>
      <c r="FJ30"/>
      <c r="FK30"/>
    </row>
    <row r="31" spans="1:167" s="356" customFormat="1" ht="15" x14ac:dyDescent="0.25">
      <c r="A31"/>
      <c r="B31"/>
      <c r="C31" s="509"/>
      <c r="D31" s="509"/>
      <c r="E31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774"/>
      <c r="AF31" s="774"/>
      <c r="AG31" s="774"/>
      <c r="AH31" s="774"/>
      <c r="AI31" s="774"/>
      <c r="AJ31" s="774"/>
      <c r="AK31" s="774"/>
      <c r="AL31" s="774"/>
      <c r="AM31" s="774"/>
      <c r="AN31" s="774"/>
      <c r="AO31" s="774"/>
      <c r="AP31" s="774"/>
      <c r="AQ31" s="774"/>
      <c r="AR31" s="774"/>
      <c r="AS31" s="774"/>
      <c r="AT31" s="774"/>
      <c r="AU31" s="774"/>
      <c r="AV31" s="774"/>
      <c r="AW31" s="774"/>
      <c r="AX31" s="774"/>
      <c r="AY31" s="774"/>
      <c r="AZ31" s="774"/>
      <c r="BA31" s="774"/>
      <c r="BB31" s="774"/>
      <c r="BC31" s="774"/>
      <c r="BD31" s="774"/>
      <c r="BE31" s="774"/>
      <c r="BF31" s="774"/>
      <c r="BG31" s="774"/>
      <c r="BH31" s="774"/>
      <c r="BI31" s="774"/>
      <c r="BJ31" s="774"/>
      <c r="BK31" s="774"/>
      <c r="BL31" s="774"/>
      <c r="BM31" s="774"/>
      <c r="BN31" s="774"/>
      <c r="BO31" s="774"/>
      <c r="BP31" s="774"/>
      <c r="BQ31" s="774"/>
      <c r="BR31" s="774"/>
      <c r="BS31" s="774"/>
      <c r="BT31" s="774"/>
      <c r="BU31" s="774"/>
      <c r="BV31" s="774"/>
      <c r="BW31" s="774"/>
      <c r="BX31" s="774"/>
      <c r="BY31" s="774"/>
      <c r="BZ31" s="774"/>
      <c r="CA31" s="774"/>
      <c r="CB31" s="774"/>
      <c r="CC31" s="774"/>
      <c r="CD31" s="774"/>
      <c r="CE31" s="774"/>
      <c r="CF31" s="774"/>
      <c r="CG31" s="774"/>
      <c r="CH31" s="774"/>
      <c r="CI31" s="774"/>
      <c r="CJ31" s="774"/>
      <c r="CK31" s="774"/>
      <c r="CL31" s="774"/>
      <c r="CM31" s="774"/>
      <c r="CN31" s="774"/>
      <c r="CO31" s="774"/>
      <c r="CP31" s="774"/>
      <c r="CQ31" s="774"/>
      <c r="CR31" s="774"/>
      <c r="CS31" s="774"/>
      <c r="CT31" s="774"/>
      <c r="CU31" s="774"/>
      <c r="CV31" s="774"/>
      <c r="CW31" s="774"/>
      <c r="CX31" s="774"/>
      <c r="CY31" s="774"/>
      <c r="CZ31" s="774"/>
      <c r="DA31" s="774"/>
      <c r="DB31" s="774"/>
      <c r="DC31" s="774"/>
      <c r="DD31" s="774"/>
      <c r="DE31" s="774"/>
      <c r="DF31" s="774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774"/>
      <c r="DS31" s="774"/>
      <c r="DT31" s="774"/>
      <c r="DU31" s="774"/>
      <c r="DV31" s="774"/>
      <c r="DW31" s="774"/>
      <c r="DX31" s="774"/>
      <c r="DY31" s="774"/>
      <c r="DZ31" s="774"/>
      <c r="EA31" s="774"/>
      <c r="EB31" s="774"/>
      <c r="EC31" s="774"/>
      <c r="ED31" s="774"/>
      <c r="EE31" s="774"/>
      <c r="EF31" s="774"/>
      <c r="EG31" s="774"/>
      <c r="EH31" s="774"/>
      <c r="EI31" s="774"/>
      <c r="EJ31" s="774"/>
      <c r="EK31" s="774"/>
      <c r="EL31" s="774"/>
      <c r="EM31" s="774"/>
      <c r="EN31" s="774"/>
      <c r="EO31" s="774"/>
      <c r="EP31" s="774"/>
      <c r="EQ31" s="774"/>
      <c r="ER31" s="774"/>
      <c r="ES31" s="774"/>
      <c r="ET31" s="774"/>
      <c r="EU31" s="774"/>
      <c r="EV31" s="774"/>
      <c r="EW31" s="774"/>
      <c r="EX31" s="774"/>
      <c r="EY31" s="774"/>
      <c r="EZ31" s="774"/>
      <c r="FA31" s="774"/>
      <c r="FB31" s="774"/>
      <c r="FC31" s="774"/>
      <c r="FD31" s="774"/>
      <c r="FE31" s="774"/>
      <c r="FF31"/>
      <c r="FG31"/>
      <c r="FH31"/>
      <c r="FI31"/>
      <c r="FJ31"/>
      <c r="FK31"/>
    </row>
    <row r="32" spans="1:167" s="356" customFormat="1" ht="15" x14ac:dyDescent="0.25">
      <c r="A32"/>
      <c r="B32"/>
      <c r="C32" s="509"/>
      <c r="D32" s="509"/>
      <c r="E3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774"/>
      <c r="AF32" s="774"/>
      <c r="AG32" s="774"/>
      <c r="AH32" s="774"/>
      <c r="AI32" s="774"/>
      <c r="AJ32" s="774"/>
      <c r="AK32" s="774"/>
      <c r="AL32" s="774"/>
      <c r="AM32" s="774"/>
      <c r="AN32" s="774"/>
      <c r="AO32" s="774"/>
      <c r="AP32" s="774"/>
      <c r="AQ32" s="774"/>
      <c r="AR32" s="774"/>
      <c r="AS32" s="774"/>
      <c r="AT32" s="774"/>
      <c r="AU32" s="774"/>
      <c r="AV32" s="774"/>
      <c r="AW32" s="774"/>
      <c r="AX32" s="774"/>
      <c r="AY32" s="774"/>
      <c r="AZ32" s="774"/>
      <c r="BA32" s="774"/>
      <c r="BB32" s="774"/>
      <c r="BC32" s="774"/>
      <c r="BD32" s="774"/>
      <c r="BE32" s="774"/>
      <c r="BF32" s="774"/>
      <c r="BG32" s="774"/>
      <c r="BH32" s="774"/>
      <c r="BI32" s="774"/>
      <c r="BJ32" s="774"/>
      <c r="BK32" s="774"/>
      <c r="BL32" s="774"/>
      <c r="BM32" s="774"/>
      <c r="BN32" s="774"/>
      <c r="BO32" s="774"/>
      <c r="BP32" s="774"/>
      <c r="BQ32" s="774"/>
      <c r="BR32" s="774"/>
      <c r="BS32" s="774"/>
      <c r="BT32" s="774"/>
      <c r="BU32" s="774"/>
      <c r="BV32" s="774"/>
      <c r="BW32" s="774"/>
      <c r="BX32" s="774"/>
      <c r="BY32" s="774"/>
      <c r="BZ32" s="774"/>
      <c r="CA32" s="774"/>
      <c r="CB32" s="774"/>
      <c r="CC32" s="774"/>
      <c r="CD32" s="774"/>
      <c r="CE32" s="774"/>
      <c r="CF32" s="774"/>
      <c r="CG32" s="774"/>
      <c r="CH32" s="774"/>
      <c r="CI32" s="774"/>
      <c r="CJ32" s="774"/>
      <c r="CK32" s="774"/>
      <c r="CL32" s="774"/>
      <c r="CM32" s="774"/>
      <c r="CN32" s="774"/>
      <c r="CO32" s="774"/>
      <c r="CP32" s="774"/>
      <c r="CQ32" s="774"/>
      <c r="CR32" s="774"/>
      <c r="CS32" s="774"/>
      <c r="CT32" s="774"/>
      <c r="CU32" s="774"/>
      <c r="CV32" s="774"/>
      <c r="CW32" s="774"/>
      <c r="CX32" s="774"/>
      <c r="CY32" s="774"/>
      <c r="CZ32" s="774"/>
      <c r="DA32" s="774"/>
      <c r="DB32" s="774"/>
      <c r="DC32" s="774"/>
      <c r="DD32" s="774"/>
      <c r="DE32" s="774"/>
      <c r="DF32" s="774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774"/>
      <c r="DS32" s="774"/>
      <c r="DT32" s="774"/>
      <c r="DU32" s="774"/>
      <c r="DV32" s="774"/>
      <c r="DW32" s="774"/>
      <c r="DX32" s="774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4"/>
      <c r="EJ32" s="774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4"/>
      <c r="EV32" s="774"/>
      <c r="EW32" s="774"/>
      <c r="EX32" s="774"/>
      <c r="EY32" s="774"/>
      <c r="EZ32" s="774"/>
      <c r="FA32" s="774"/>
      <c r="FB32" s="774"/>
      <c r="FC32" s="774"/>
      <c r="FD32" s="774"/>
      <c r="FE32" s="774"/>
      <c r="FF32"/>
      <c r="FG32"/>
      <c r="FH32"/>
      <c r="FI32"/>
      <c r="FJ32"/>
      <c r="FK32"/>
    </row>
    <row r="33" spans="5:19" ht="15" x14ac:dyDescent="0.25">
      <c r="E33" s="509" t="s">
        <v>62</v>
      </c>
      <c r="F33" s="776">
        <f t="shared" ref="F33:G38" si="0">SUMIF($D$5:$D$32,$E33,F$5:F$32)</f>
        <v>4238248.4399973098</v>
      </c>
      <c r="G33" s="776">
        <f t="shared" si="0"/>
        <v>3244740.7042096797</v>
      </c>
      <c r="H33" s="776">
        <f t="shared" ref="G33:S43" si="1">SUMIF($D$5:$D$32,$E33,H$5:H$32)</f>
        <v>2474333.7526271194</v>
      </c>
      <c r="I33" s="776">
        <f t="shared" si="1"/>
        <v>1143268.64948104</v>
      </c>
      <c r="J33" s="776">
        <f t="shared" si="1"/>
        <v>580149.621534431</v>
      </c>
      <c r="K33" s="776">
        <f t="shared" si="1"/>
        <v>370532.29884357296</v>
      </c>
      <c r="L33" s="776">
        <f t="shared" si="1"/>
        <v>325171.12003007298</v>
      </c>
      <c r="M33" s="776">
        <f t="shared" si="1"/>
        <v>333066.22558151098</v>
      </c>
      <c r="N33" s="776">
        <f t="shared" si="1"/>
        <v>415684.77807482198</v>
      </c>
      <c r="O33" s="776">
        <f t="shared" si="1"/>
        <v>874443.50657560409</v>
      </c>
      <c r="P33" s="776">
        <f t="shared" si="1"/>
        <v>2366748.9171698298</v>
      </c>
      <c r="Q33" s="776">
        <f t="shared" si="1"/>
        <v>3307624.7132563097</v>
      </c>
      <c r="R33" s="776">
        <f t="shared" si="1"/>
        <v>4167254.7721179496</v>
      </c>
      <c r="S33" s="776">
        <f t="shared" si="1"/>
        <v>3244848.1916121002</v>
      </c>
    </row>
    <row r="34" spans="5:19" ht="15" x14ac:dyDescent="0.25">
      <c r="E34" s="509" t="s">
        <v>56</v>
      </c>
      <c r="F34" s="776">
        <f t="shared" si="0"/>
        <v>2175278.0830907742</v>
      </c>
      <c r="G34" s="776">
        <f t="shared" si="0"/>
        <v>1712152.4618464818</v>
      </c>
      <c r="H34" s="776">
        <f t="shared" si="1"/>
        <v>1291819.5624402517</v>
      </c>
      <c r="I34" s="776">
        <f t="shared" si="1"/>
        <v>593208.07930772484</v>
      </c>
      <c r="J34" s="776">
        <f t="shared" si="1"/>
        <v>320475.79587638914</v>
      </c>
      <c r="K34" s="776">
        <f t="shared" si="1"/>
        <v>222415.05606354674</v>
      </c>
      <c r="L34" s="776">
        <f t="shared" si="1"/>
        <v>190474.13277517832</v>
      </c>
      <c r="M34" s="776">
        <f t="shared" si="1"/>
        <v>194095.47670918857</v>
      </c>
      <c r="N34" s="776">
        <f t="shared" si="1"/>
        <v>259549.94945897424</v>
      </c>
      <c r="O34" s="776">
        <f t="shared" si="1"/>
        <v>507287.00033551786</v>
      </c>
      <c r="P34" s="776">
        <f t="shared" si="1"/>
        <v>1110215.2257026162</v>
      </c>
      <c r="Q34" s="776">
        <f t="shared" si="1"/>
        <v>1682770.2455497272</v>
      </c>
      <c r="R34" s="776">
        <f t="shared" si="1"/>
        <v>2164102.062298927</v>
      </c>
      <c r="S34" s="776">
        <f t="shared" si="1"/>
        <v>1694013.6430148634</v>
      </c>
    </row>
    <row r="35" spans="5:19" ht="15" x14ac:dyDescent="0.25">
      <c r="E35" s="509" t="s">
        <v>59</v>
      </c>
      <c r="F35" s="776">
        <f t="shared" si="0"/>
        <v>161501.64316588562</v>
      </c>
      <c r="G35" s="776">
        <f t="shared" si="0"/>
        <v>145961.81807052426</v>
      </c>
      <c r="H35" s="776">
        <f t="shared" si="1"/>
        <v>119553.34457002724</v>
      </c>
      <c r="I35" s="776">
        <f t="shared" si="1"/>
        <v>64791.020148697382</v>
      </c>
      <c r="J35" s="776">
        <f t="shared" si="1"/>
        <v>52134.634463156202</v>
      </c>
      <c r="K35" s="776">
        <f t="shared" si="1"/>
        <v>33868.776456886888</v>
      </c>
      <c r="L35" s="776">
        <f t="shared" si="1"/>
        <v>19915.534365093688</v>
      </c>
      <c r="M35" s="776">
        <f t="shared" si="1"/>
        <v>21731.590862281017</v>
      </c>
      <c r="N35" s="776">
        <f t="shared" si="1"/>
        <v>30517.366002783805</v>
      </c>
      <c r="O35" s="776">
        <f t="shared" si="1"/>
        <v>48272.427792045622</v>
      </c>
      <c r="P35" s="776">
        <f t="shared" si="1"/>
        <v>77164.58007761465</v>
      </c>
      <c r="Q35" s="776">
        <f t="shared" si="1"/>
        <v>101696.57741216892</v>
      </c>
      <c r="R35" s="776">
        <f t="shared" si="1"/>
        <v>129550.89783428729</v>
      </c>
      <c r="S35" s="776">
        <f t="shared" si="1"/>
        <v>103917.94465069062</v>
      </c>
    </row>
    <row r="36" spans="5:19" ht="15" x14ac:dyDescent="0.25">
      <c r="E36" s="509" t="s">
        <v>223</v>
      </c>
      <c r="F36" s="776">
        <f t="shared" si="0"/>
        <v>12174.19262035151</v>
      </c>
      <c r="G36" s="776">
        <f t="shared" si="0"/>
        <v>10127.715920087863</v>
      </c>
      <c r="H36" s="776">
        <f t="shared" si="1"/>
        <v>9530.8607916964429</v>
      </c>
      <c r="I36" s="776">
        <f t="shared" si="1"/>
        <v>8302.5450985565112</v>
      </c>
      <c r="J36" s="776">
        <f t="shared" si="1"/>
        <v>7457.3370109169136</v>
      </c>
      <c r="K36" s="776">
        <f t="shared" si="1"/>
        <v>6779.740306903368</v>
      </c>
      <c r="L36" s="776">
        <f t="shared" si="1"/>
        <v>6606.0959408475283</v>
      </c>
      <c r="M36" s="776">
        <f t="shared" si="1"/>
        <v>6374.2038870306787</v>
      </c>
      <c r="N36" s="776">
        <f t="shared" si="1"/>
        <v>6664.2853831178163</v>
      </c>
      <c r="O36" s="776">
        <f t="shared" si="1"/>
        <v>6093.4688333038639</v>
      </c>
      <c r="P36" s="776">
        <f t="shared" si="1"/>
        <v>4796.5705358047389</v>
      </c>
      <c r="Q36" s="776">
        <f t="shared" si="1"/>
        <v>5307.9632956658643</v>
      </c>
      <c r="R36" s="776">
        <f t="shared" si="1"/>
        <v>5385.1623989469863</v>
      </c>
      <c r="S36" s="776">
        <f t="shared" si="1"/>
        <v>4642.7245369735338</v>
      </c>
    </row>
    <row r="37" spans="5:19" ht="15" x14ac:dyDescent="0.25">
      <c r="E37" s="509" t="s">
        <v>553</v>
      </c>
      <c r="F37" s="776">
        <f t="shared" si="0"/>
        <v>300</v>
      </c>
      <c r="G37" s="776">
        <f t="shared" si="0"/>
        <v>300</v>
      </c>
      <c r="H37" s="776">
        <f t="shared" si="1"/>
        <v>300</v>
      </c>
      <c r="I37" s="776">
        <f>SUMIF($D$5:$D$32,$E37,I$5:I$32)</f>
        <v>0</v>
      </c>
      <c r="J37" s="776">
        <f t="shared" si="1"/>
        <v>0</v>
      </c>
      <c r="K37" s="776">
        <f t="shared" si="1"/>
        <v>0</v>
      </c>
      <c r="L37" s="776">
        <f t="shared" si="1"/>
        <v>0</v>
      </c>
      <c r="M37" s="776">
        <f t="shared" si="1"/>
        <v>0</v>
      </c>
      <c r="N37" s="776">
        <f t="shared" si="1"/>
        <v>0</v>
      </c>
      <c r="O37" s="776">
        <f t="shared" si="1"/>
        <v>0</v>
      </c>
      <c r="P37" s="776">
        <f t="shared" si="1"/>
        <v>300</v>
      </c>
      <c r="Q37" s="776">
        <f t="shared" si="1"/>
        <v>300</v>
      </c>
      <c r="R37" s="776">
        <f t="shared" si="1"/>
        <v>300</v>
      </c>
      <c r="S37" s="776">
        <f t="shared" si="1"/>
        <v>300</v>
      </c>
    </row>
    <row r="38" spans="5:19" ht="15" x14ac:dyDescent="0.25">
      <c r="E38" s="509" t="s">
        <v>555</v>
      </c>
      <c r="F38" s="776">
        <f t="shared" si="0"/>
        <v>0</v>
      </c>
      <c r="G38" s="776">
        <f t="shared" si="0"/>
        <v>0</v>
      </c>
      <c r="H38" s="776">
        <f t="shared" si="1"/>
        <v>0</v>
      </c>
      <c r="I38" s="776">
        <f t="shared" si="1"/>
        <v>0</v>
      </c>
      <c r="J38" s="776">
        <f t="shared" si="1"/>
        <v>0</v>
      </c>
      <c r="K38" s="776">
        <f t="shared" si="1"/>
        <v>0</v>
      </c>
      <c r="L38" s="776">
        <f t="shared" si="1"/>
        <v>0</v>
      </c>
      <c r="M38" s="776">
        <f t="shared" si="1"/>
        <v>0</v>
      </c>
      <c r="N38" s="776">
        <f t="shared" si="1"/>
        <v>0</v>
      </c>
      <c r="O38" s="776">
        <f t="shared" si="1"/>
        <v>0</v>
      </c>
      <c r="P38" s="776">
        <f t="shared" si="1"/>
        <v>0</v>
      </c>
      <c r="Q38" s="776">
        <f t="shared" si="1"/>
        <v>0</v>
      </c>
      <c r="R38" s="776">
        <f t="shared" si="1"/>
        <v>0</v>
      </c>
      <c r="S38" s="776">
        <f t="shared" si="1"/>
        <v>0</v>
      </c>
    </row>
    <row r="39" spans="5:19" ht="15" x14ac:dyDescent="0.25">
      <c r="E39" s="509" t="s">
        <v>428</v>
      </c>
      <c r="F39" s="776">
        <f>SUMIF($D$5:$D$32,$E39,F$5:F$32)</f>
        <v>0.7</v>
      </c>
      <c r="G39" s="776">
        <f t="shared" si="1"/>
        <v>0.7</v>
      </c>
      <c r="H39" s="776">
        <f t="shared" si="1"/>
        <v>0.7</v>
      </c>
      <c r="I39" s="776">
        <f t="shared" si="1"/>
        <v>0.7</v>
      </c>
      <c r="J39" s="776">
        <f t="shared" si="1"/>
        <v>0.7</v>
      </c>
      <c r="K39" s="776">
        <f t="shared" si="1"/>
        <v>0.7</v>
      </c>
      <c r="L39" s="776">
        <f t="shared" si="1"/>
        <v>0.7</v>
      </c>
      <c r="M39" s="776">
        <f t="shared" si="1"/>
        <v>0.7</v>
      </c>
      <c r="N39" s="776">
        <f t="shared" si="1"/>
        <v>0.7</v>
      </c>
      <c r="O39" s="776">
        <f t="shared" si="1"/>
        <v>0.7</v>
      </c>
      <c r="P39" s="776">
        <f t="shared" si="1"/>
        <v>0.7</v>
      </c>
      <c r="Q39" s="776">
        <f t="shared" si="1"/>
        <v>0.7</v>
      </c>
      <c r="R39" s="776">
        <f t="shared" si="1"/>
        <v>0.7</v>
      </c>
      <c r="S39" s="776">
        <f t="shared" si="1"/>
        <v>0.7</v>
      </c>
    </row>
    <row r="40" spans="5:19" ht="15" x14ac:dyDescent="0.25">
      <c r="E40" s="509" t="s">
        <v>495</v>
      </c>
      <c r="F40" s="776">
        <f>SUMIF($D$5:$D$32,$E40,F$5:F$32)</f>
        <v>47077</v>
      </c>
      <c r="G40" s="776">
        <f t="shared" si="1"/>
        <v>35568.5</v>
      </c>
      <c r="H40" s="776">
        <f t="shared" si="1"/>
        <v>27788.9</v>
      </c>
      <c r="I40" s="776">
        <f t="shared" si="1"/>
        <v>61995.6</v>
      </c>
      <c r="J40" s="776">
        <f t="shared" si="1"/>
        <v>41695.599999999999</v>
      </c>
      <c r="K40" s="776">
        <f t="shared" si="1"/>
        <v>31427.3</v>
      </c>
      <c r="L40" s="776">
        <f t="shared" si="1"/>
        <v>33483.800000000003</v>
      </c>
      <c r="M40" s="776">
        <f t="shared" si="1"/>
        <v>36712.5</v>
      </c>
      <c r="N40" s="776">
        <f t="shared" si="1"/>
        <v>28198.6</v>
      </c>
      <c r="O40" s="776">
        <f t="shared" si="1"/>
        <v>29960.400000000001</v>
      </c>
      <c r="P40" s="776">
        <f t="shared" si="1"/>
        <v>20655.7</v>
      </c>
      <c r="Q40" s="776">
        <f t="shared" si="1"/>
        <v>39362</v>
      </c>
      <c r="R40" s="776">
        <f t="shared" si="1"/>
        <v>24349.3</v>
      </c>
      <c r="S40" s="776">
        <f t="shared" si="1"/>
        <v>26248.6</v>
      </c>
    </row>
    <row r="41" spans="5:19" x14ac:dyDescent="0.2">
      <c r="E41" s="777" t="s">
        <v>610</v>
      </c>
      <c r="F41" s="776">
        <f>SUMIF($D$5:$D$32,$E41,F$5:F$32)</f>
        <v>1497913.3999999997</v>
      </c>
      <c r="G41" s="776">
        <f t="shared" si="1"/>
        <v>1485114</v>
      </c>
      <c r="H41" s="776">
        <f t="shared" si="1"/>
        <v>1326477.2571606687</v>
      </c>
      <c r="I41" s="776">
        <f t="shared" si="1"/>
        <v>901110.70310334978</v>
      </c>
      <c r="J41" s="776">
        <f t="shared" si="1"/>
        <v>801779.81443857029</v>
      </c>
      <c r="K41" s="776">
        <f t="shared" si="1"/>
        <v>707624.69382856705</v>
      </c>
      <c r="L41" s="776">
        <f t="shared" si="1"/>
        <v>594648.72063416627</v>
      </c>
      <c r="M41" s="776">
        <f t="shared" si="1"/>
        <v>658916.36654424481</v>
      </c>
      <c r="N41" s="776">
        <f t="shared" si="1"/>
        <v>662070.15272314614</v>
      </c>
      <c r="O41" s="776">
        <f t="shared" si="1"/>
        <v>819203.15673233906</v>
      </c>
      <c r="P41" s="776">
        <f t="shared" si="1"/>
        <v>1040341.5233807465</v>
      </c>
      <c r="Q41" s="776">
        <f t="shared" si="1"/>
        <v>1167817.4816420332</v>
      </c>
      <c r="R41" s="776">
        <f t="shared" si="1"/>
        <v>1374315.9820134528</v>
      </c>
      <c r="S41" s="776">
        <f t="shared" si="1"/>
        <v>1209150.9576236235</v>
      </c>
    </row>
    <row r="42" spans="5:19" x14ac:dyDescent="0.2">
      <c r="E42" s="777" t="s">
        <v>445</v>
      </c>
      <c r="F42" s="776">
        <f>SUMIF($D$5:$D$32,$E42,F$5:F$32)</f>
        <v>39292.699999999997</v>
      </c>
      <c r="G42" s="776">
        <f t="shared" si="1"/>
        <v>17064.7</v>
      </c>
      <c r="H42" s="776">
        <f t="shared" si="1"/>
        <v>8601.5</v>
      </c>
      <c r="I42" s="776">
        <f t="shared" si="1"/>
        <v>6263.6750000000011</v>
      </c>
      <c r="J42" s="776">
        <f t="shared" si="1"/>
        <v>4769.45</v>
      </c>
      <c r="K42" s="776">
        <f t="shared" si="1"/>
        <v>6921.75</v>
      </c>
      <c r="L42" s="776">
        <f t="shared" si="1"/>
        <v>2882.9500000000003</v>
      </c>
      <c r="M42" s="776">
        <f t="shared" si="1"/>
        <v>8220.7749999999996</v>
      </c>
      <c r="N42" s="776">
        <f t="shared" si="1"/>
        <v>12457.35</v>
      </c>
      <c r="O42" s="776">
        <f t="shared" si="1"/>
        <v>13371.75</v>
      </c>
      <c r="P42" s="776">
        <f t="shared" si="1"/>
        <v>13842.125</v>
      </c>
      <c r="Q42" s="776">
        <f t="shared" si="1"/>
        <v>8835.5</v>
      </c>
      <c r="R42" s="776">
        <f t="shared" si="1"/>
        <v>6889.6250000000018</v>
      </c>
      <c r="S42" s="776">
        <f t="shared" si="1"/>
        <v>5839.0749999999998</v>
      </c>
    </row>
    <row r="43" spans="5:19" x14ac:dyDescent="0.2">
      <c r="E43" s="777" t="s">
        <v>549</v>
      </c>
      <c r="F43" s="776">
        <f>SUMIF($D$5:$D$32,$E43,F$5:F$32)</f>
        <v>9957.6345257588619</v>
      </c>
      <c r="G43" s="776">
        <f t="shared" si="1"/>
        <v>18318.663019036136</v>
      </c>
      <c r="H43" s="776">
        <f t="shared" si="1"/>
        <v>36277.188600274923</v>
      </c>
      <c r="I43" s="776">
        <f t="shared" si="1"/>
        <v>35585.931197167178</v>
      </c>
      <c r="J43" s="776">
        <f t="shared" si="1"/>
        <v>37146.571406885749</v>
      </c>
      <c r="K43" s="776">
        <f t="shared" si="1"/>
        <v>35879.193467889017</v>
      </c>
      <c r="L43" s="776">
        <f t="shared" si="1"/>
        <v>31833.776085053454</v>
      </c>
      <c r="M43" s="776">
        <f t="shared" si="1"/>
        <v>35845.863504509747</v>
      </c>
      <c r="N43" s="776">
        <f t="shared" si="1"/>
        <v>43179.483035504163</v>
      </c>
      <c r="O43" s="776">
        <f t="shared" si="1"/>
        <v>47422.702388180667</v>
      </c>
      <c r="P43" s="776">
        <f t="shared" si="1"/>
        <v>45834.603636674488</v>
      </c>
      <c r="Q43" s="776">
        <f t="shared" si="1"/>
        <v>25748.607908548438</v>
      </c>
      <c r="R43" s="776">
        <f t="shared" si="1"/>
        <v>12583.724410719073</v>
      </c>
      <c r="S43" s="776">
        <f t="shared" si="1"/>
        <v>16654.779416743047</v>
      </c>
    </row>
    <row r="45" spans="5:19" x14ac:dyDescent="0.2">
      <c r="E45" s="355" t="s">
        <v>338</v>
      </c>
      <c r="F45" s="357"/>
      <c r="L45" s="357"/>
      <c r="M45" s="357"/>
      <c r="N45" s="357">
        <f t="shared" ref="N45:S45" si="2">SUM(N33:N39)</f>
        <v>712417.07891969779</v>
      </c>
      <c r="O45" s="357">
        <f t="shared" si="2"/>
        <v>1436097.1035364713</v>
      </c>
      <c r="P45" s="357">
        <f t="shared" si="2"/>
        <v>3559225.9934858656</v>
      </c>
      <c r="Q45" s="357">
        <f t="shared" si="2"/>
        <v>5097700.1995138712</v>
      </c>
      <c r="R45" s="357">
        <f t="shared" si="2"/>
        <v>6466593.5946501112</v>
      </c>
      <c r="S45" s="357">
        <f t="shared" si="2"/>
        <v>5047723.2038146285</v>
      </c>
    </row>
    <row r="46" spans="5:19" x14ac:dyDescent="0.2">
      <c r="E46" s="355" t="s">
        <v>495</v>
      </c>
      <c r="L46" s="357"/>
      <c r="M46" s="357"/>
      <c r="N46" s="357">
        <f t="shared" ref="N46:S46" si="3">N40</f>
        <v>28198.6</v>
      </c>
      <c r="O46" s="357">
        <f t="shared" si="3"/>
        <v>29960.400000000001</v>
      </c>
      <c r="P46" s="357">
        <f t="shared" si="3"/>
        <v>20655.7</v>
      </c>
      <c r="Q46" s="357">
        <f t="shared" si="3"/>
        <v>39362</v>
      </c>
      <c r="R46" s="357">
        <f t="shared" si="3"/>
        <v>24349.3</v>
      </c>
      <c r="S46" s="357">
        <f t="shared" si="3"/>
        <v>26248.6</v>
      </c>
    </row>
    <row r="47" spans="5:19" x14ac:dyDescent="0.2">
      <c r="E47" s="355" t="s">
        <v>730</v>
      </c>
      <c r="L47" s="357"/>
      <c r="M47" s="357"/>
      <c r="N47" s="357">
        <f t="shared" ref="N47:S47" si="4">SUM(N41:N43)</f>
        <v>717706.98575865023</v>
      </c>
      <c r="O47" s="357">
        <f t="shared" si="4"/>
        <v>879997.60912051972</v>
      </c>
      <c r="P47" s="357">
        <f t="shared" si="4"/>
        <v>1100018.2520174212</v>
      </c>
      <c r="Q47" s="357">
        <f t="shared" si="4"/>
        <v>1202401.5895505818</v>
      </c>
      <c r="R47" s="357">
        <f t="shared" si="4"/>
        <v>1393789.3314241718</v>
      </c>
      <c r="S47" s="357">
        <f t="shared" si="4"/>
        <v>1231644.8120403665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BG411"/>
  <sheetViews>
    <sheetView workbookViewId="0">
      <pane ySplit="2" topLeftCell="A3" activePane="bottomLeft" state="frozen"/>
      <selection pane="bottomLeft" activeCell="AC17" sqref="AC17"/>
    </sheetView>
  </sheetViews>
  <sheetFormatPr defaultRowHeight="15" x14ac:dyDescent="0.25"/>
  <cols>
    <col min="1" max="1" width="12.85546875" style="783" customWidth="1"/>
    <col min="2" max="2" width="13.140625" style="783" customWidth="1"/>
    <col min="3" max="3" width="60.7109375" style="784" bestFit="1" customWidth="1"/>
    <col min="4" max="4" width="18" style="783" customWidth="1"/>
    <col min="5" max="5" width="15.5703125" style="783" customWidth="1"/>
    <col min="6" max="7" width="15.5703125" style="783" bestFit="1" customWidth="1"/>
    <col min="8" max="10" width="16.5703125" style="783" bestFit="1" customWidth="1"/>
    <col min="11" max="12" width="15.5703125" style="783" customWidth="1"/>
    <col min="13" max="25" width="10.7109375" style="783" customWidth="1"/>
    <col min="26" max="57" width="9.140625" style="783" customWidth="1"/>
    <col min="58" max="58" width="9.140625" style="783"/>
    <col min="59" max="59" width="16.5703125" style="783" bestFit="1" customWidth="1"/>
    <col min="60" max="16384" width="9.140625" style="783"/>
  </cols>
  <sheetData>
    <row r="1" spans="1:57" s="782" customFormat="1" x14ac:dyDescent="0.25">
      <c r="C1" s="781"/>
    </row>
    <row r="2" spans="1:57" s="782" customFormat="1" x14ac:dyDescent="0.25">
      <c r="C2" s="781"/>
      <c r="D2" s="859" t="s">
        <v>987</v>
      </c>
      <c r="E2" s="859" t="s">
        <v>988</v>
      </c>
      <c r="F2" s="859" t="s">
        <v>917</v>
      </c>
      <c r="G2" s="859" t="s">
        <v>919</v>
      </c>
      <c r="H2" s="859" t="s">
        <v>920</v>
      </c>
      <c r="I2" s="859" t="s">
        <v>921</v>
      </c>
      <c r="J2" s="859" t="s">
        <v>922</v>
      </c>
      <c r="K2" s="859" t="s">
        <v>923</v>
      </c>
      <c r="L2" s="859" t="s">
        <v>924</v>
      </c>
      <c r="M2" s="859" t="s">
        <v>925</v>
      </c>
      <c r="N2" s="859" t="s">
        <v>926</v>
      </c>
      <c r="O2" s="782" t="s">
        <v>927</v>
      </c>
      <c r="P2" s="782" t="s">
        <v>928</v>
      </c>
      <c r="Q2" s="782" t="s">
        <v>929</v>
      </c>
      <c r="R2" s="782" t="s">
        <v>918</v>
      </c>
      <c r="S2" s="782" t="s">
        <v>930</v>
      </c>
      <c r="T2" s="782" t="s">
        <v>931</v>
      </c>
      <c r="U2" s="782" t="s">
        <v>932</v>
      </c>
      <c r="V2" s="782" t="s">
        <v>933</v>
      </c>
      <c r="W2" s="782" t="s">
        <v>934</v>
      </c>
      <c r="X2" s="782" t="s">
        <v>935</v>
      </c>
      <c r="Y2" s="782" t="s">
        <v>936</v>
      </c>
      <c r="Z2" s="782" t="s">
        <v>937</v>
      </c>
      <c r="AA2" s="782" t="s">
        <v>938</v>
      </c>
      <c r="AB2" s="782" t="s">
        <v>989</v>
      </c>
      <c r="AC2" s="782" t="s">
        <v>990</v>
      </c>
      <c r="AD2" s="782" t="s">
        <v>991</v>
      </c>
      <c r="AE2" s="782" t="s">
        <v>992</v>
      </c>
      <c r="AF2" s="782" t="s">
        <v>993</v>
      </c>
      <c r="AG2" s="782" t="s">
        <v>994</v>
      </c>
      <c r="AH2" s="782" t="s">
        <v>995</v>
      </c>
      <c r="AI2" s="782" t="s">
        <v>996</v>
      </c>
      <c r="AJ2" s="782" t="s">
        <v>997</v>
      </c>
      <c r="AK2" s="782" t="s">
        <v>998</v>
      </c>
      <c r="AL2" s="782" t="s">
        <v>999</v>
      </c>
      <c r="AM2" s="782" t="s">
        <v>1000</v>
      </c>
      <c r="AN2" s="782" t="s">
        <v>1001</v>
      </c>
      <c r="AO2" s="782" t="s">
        <v>1002</v>
      </c>
      <c r="AP2" s="782" t="s">
        <v>1003</v>
      </c>
      <c r="AQ2" s="782" t="s">
        <v>1004</v>
      </c>
      <c r="AR2" s="782" t="s">
        <v>1005</v>
      </c>
      <c r="AS2" s="782" t="s">
        <v>1006</v>
      </c>
      <c r="AT2" s="782" t="s">
        <v>1007</v>
      </c>
      <c r="AU2" s="782" t="s">
        <v>1008</v>
      </c>
      <c r="AV2" s="782" t="s">
        <v>1009</v>
      </c>
      <c r="AW2" s="782" t="s">
        <v>1010</v>
      </c>
      <c r="AX2" s="782" t="s">
        <v>1011</v>
      </c>
      <c r="AY2" s="782" t="s">
        <v>1012</v>
      </c>
      <c r="AZ2" s="782" t="s">
        <v>1013</v>
      </c>
      <c r="BA2" s="782" t="s">
        <v>1014</v>
      </c>
      <c r="BB2" s="782" t="s">
        <v>1015</v>
      </c>
      <c r="BC2" s="782" t="s">
        <v>1016</v>
      </c>
      <c r="BD2" s="782" t="s">
        <v>1017</v>
      </c>
      <c r="BE2" s="782" t="s">
        <v>1018</v>
      </c>
    </row>
    <row r="3" spans="1:57" s="782" customFormat="1" x14ac:dyDescent="0.25">
      <c r="C3" s="781"/>
    </row>
    <row r="4" spans="1:57" s="811" customFormat="1" x14ac:dyDescent="0.25">
      <c r="A4" s="811" t="s">
        <v>223</v>
      </c>
      <c r="C4" s="812" t="s">
        <v>692</v>
      </c>
    </row>
    <row r="5" spans="1:57" x14ac:dyDescent="0.25">
      <c r="A5" s="783" t="s">
        <v>223</v>
      </c>
      <c r="C5" s="784" t="s">
        <v>693</v>
      </c>
      <c r="D5" s="783">
        <v>3</v>
      </c>
      <c r="E5" s="783">
        <v>3</v>
      </c>
      <c r="F5" s="783">
        <v>3</v>
      </c>
      <c r="G5" s="783">
        <v>3</v>
      </c>
      <c r="H5" s="783">
        <v>2</v>
      </c>
      <c r="I5" s="783">
        <v>2</v>
      </c>
      <c r="J5" s="783">
        <v>2</v>
      </c>
      <c r="K5" s="783">
        <v>2</v>
      </c>
      <c r="L5" s="783">
        <v>2</v>
      </c>
      <c r="M5" s="783">
        <v>2</v>
      </c>
      <c r="N5" s="783">
        <v>2</v>
      </c>
      <c r="O5" s="783">
        <v>2</v>
      </c>
      <c r="P5" s="783">
        <v>2</v>
      </c>
      <c r="Q5" s="783">
        <v>2</v>
      </c>
      <c r="R5" s="783">
        <v>2</v>
      </c>
      <c r="S5" s="783">
        <v>2</v>
      </c>
      <c r="T5" s="783">
        <v>2</v>
      </c>
      <c r="U5" s="783">
        <v>2</v>
      </c>
      <c r="V5" s="783">
        <v>2</v>
      </c>
      <c r="W5" s="783">
        <v>2</v>
      </c>
      <c r="X5" s="783">
        <v>2</v>
      </c>
      <c r="Y5" s="783">
        <v>2</v>
      </c>
      <c r="Z5" s="783">
        <v>2</v>
      </c>
      <c r="AA5" s="783">
        <v>2</v>
      </c>
      <c r="AB5" s="783">
        <v>2</v>
      </c>
      <c r="AC5" s="783">
        <v>2</v>
      </c>
      <c r="AD5" s="783">
        <v>2</v>
      </c>
      <c r="AE5" s="783">
        <v>2</v>
      </c>
      <c r="AF5" s="783">
        <v>2</v>
      </c>
      <c r="AG5" s="783">
        <v>2</v>
      </c>
      <c r="AH5" s="783">
        <v>2</v>
      </c>
      <c r="AI5" s="783">
        <v>2</v>
      </c>
      <c r="AJ5" s="783">
        <v>2</v>
      </c>
      <c r="AK5" s="783">
        <v>2</v>
      </c>
      <c r="AL5" s="783">
        <v>2</v>
      </c>
      <c r="AM5" s="783">
        <v>2</v>
      </c>
      <c r="AN5" s="783">
        <v>2</v>
      </c>
      <c r="AO5" s="783">
        <v>2</v>
      </c>
      <c r="AP5" s="783">
        <v>2</v>
      </c>
      <c r="AQ5" s="783">
        <v>2</v>
      </c>
      <c r="AR5" s="783">
        <v>2</v>
      </c>
      <c r="AS5" s="783">
        <v>2</v>
      </c>
      <c r="AT5" s="783">
        <v>2</v>
      </c>
      <c r="AU5" s="783">
        <v>2</v>
      </c>
      <c r="AV5" s="783">
        <v>2</v>
      </c>
      <c r="AW5" s="783">
        <v>2</v>
      </c>
      <c r="AX5" s="783">
        <v>2</v>
      </c>
      <c r="AY5" s="783">
        <v>2</v>
      </c>
      <c r="AZ5" s="783">
        <v>2</v>
      </c>
      <c r="BA5" s="783">
        <v>2</v>
      </c>
      <c r="BB5" s="783">
        <v>2</v>
      </c>
      <c r="BC5" s="783">
        <v>2</v>
      </c>
      <c r="BD5" s="783">
        <v>2</v>
      </c>
      <c r="BE5" s="783">
        <v>2</v>
      </c>
    </row>
    <row r="6" spans="1:57" x14ac:dyDescent="0.25">
      <c r="A6" s="783" t="s">
        <v>223</v>
      </c>
      <c r="C6" s="784" t="s">
        <v>694</v>
      </c>
      <c r="D6" s="783">
        <v>0</v>
      </c>
      <c r="E6" s="783">
        <v>0</v>
      </c>
      <c r="F6" s="783">
        <v>0</v>
      </c>
      <c r="G6" s="783">
        <v>0</v>
      </c>
      <c r="H6" s="783">
        <v>0</v>
      </c>
      <c r="I6" s="783">
        <v>0</v>
      </c>
      <c r="J6" s="783">
        <v>0</v>
      </c>
      <c r="K6" s="783">
        <v>0</v>
      </c>
      <c r="L6" s="783">
        <v>0</v>
      </c>
      <c r="M6" s="783">
        <v>0</v>
      </c>
      <c r="N6" s="783">
        <v>0</v>
      </c>
      <c r="O6" s="783">
        <v>0</v>
      </c>
      <c r="P6" s="783">
        <v>0</v>
      </c>
      <c r="Q6" s="783">
        <v>0</v>
      </c>
      <c r="R6" s="783">
        <v>0</v>
      </c>
      <c r="S6" s="783">
        <v>0</v>
      </c>
      <c r="T6" s="783">
        <v>0</v>
      </c>
      <c r="U6" s="783">
        <v>0</v>
      </c>
      <c r="V6" s="783">
        <v>0</v>
      </c>
      <c r="W6" s="783">
        <v>0</v>
      </c>
      <c r="X6" s="783">
        <v>0</v>
      </c>
      <c r="Y6" s="783">
        <v>0</v>
      </c>
      <c r="Z6" s="783">
        <v>0</v>
      </c>
      <c r="AA6" s="783">
        <v>0</v>
      </c>
      <c r="AB6" s="783">
        <v>0</v>
      </c>
      <c r="AC6" s="783">
        <v>0</v>
      </c>
      <c r="AD6" s="783">
        <v>0</v>
      </c>
      <c r="AE6" s="783">
        <v>0</v>
      </c>
      <c r="AF6" s="783">
        <v>0</v>
      </c>
      <c r="AG6" s="783">
        <v>0</v>
      </c>
      <c r="AH6" s="783">
        <v>0</v>
      </c>
      <c r="AI6" s="783">
        <v>0</v>
      </c>
      <c r="AJ6" s="783">
        <v>0</v>
      </c>
      <c r="AK6" s="783">
        <v>0</v>
      </c>
      <c r="AL6" s="783">
        <v>0</v>
      </c>
      <c r="AM6" s="783">
        <v>0</v>
      </c>
      <c r="AN6" s="783">
        <v>0</v>
      </c>
      <c r="AO6" s="783">
        <v>0</v>
      </c>
      <c r="AP6" s="783">
        <v>0</v>
      </c>
      <c r="AQ6" s="783">
        <v>0</v>
      </c>
      <c r="AR6" s="783">
        <v>0</v>
      </c>
      <c r="AS6" s="783">
        <v>0</v>
      </c>
      <c r="AT6" s="783">
        <v>0</v>
      </c>
      <c r="AU6" s="783">
        <v>0</v>
      </c>
      <c r="AV6" s="783">
        <v>0</v>
      </c>
      <c r="AW6" s="783">
        <v>0</v>
      </c>
      <c r="AX6" s="783">
        <v>0</v>
      </c>
      <c r="AY6" s="783">
        <v>0</v>
      </c>
      <c r="AZ6" s="783">
        <v>0</v>
      </c>
      <c r="BA6" s="783">
        <v>0</v>
      </c>
      <c r="BB6" s="783">
        <v>0</v>
      </c>
      <c r="BC6" s="783">
        <v>0</v>
      </c>
      <c r="BD6" s="783">
        <v>0</v>
      </c>
      <c r="BE6" s="783">
        <v>0</v>
      </c>
    </row>
    <row r="7" spans="1:57" s="786" customFormat="1" x14ac:dyDescent="0.25">
      <c r="A7" s="783" t="s">
        <v>223</v>
      </c>
      <c r="B7" s="783"/>
      <c r="C7" s="785" t="s">
        <v>695</v>
      </c>
      <c r="D7" s="786">
        <v>500</v>
      </c>
      <c r="E7" s="786">
        <v>500</v>
      </c>
      <c r="F7" s="786">
        <v>500</v>
      </c>
      <c r="G7" s="786">
        <v>500</v>
      </c>
      <c r="H7" s="786">
        <v>500</v>
      </c>
      <c r="I7" s="786">
        <v>500</v>
      </c>
      <c r="J7" s="786">
        <v>500</v>
      </c>
      <c r="K7" s="786">
        <v>500</v>
      </c>
      <c r="L7" s="786">
        <v>500</v>
      </c>
      <c r="M7" s="786">
        <v>500</v>
      </c>
      <c r="N7" s="786">
        <v>500</v>
      </c>
      <c r="O7" s="786">
        <v>500</v>
      </c>
      <c r="P7" s="786">
        <v>500</v>
      </c>
      <c r="Q7" s="786">
        <v>500</v>
      </c>
      <c r="R7" s="786">
        <v>500</v>
      </c>
      <c r="S7" s="786">
        <v>500</v>
      </c>
      <c r="T7" s="786">
        <v>500</v>
      </c>
      <c r="U7" s="786">
        <v>500</v>
      </c>
      <c r="V7" s="786">
        <v>500</v>
      </c>
      <c r="W7" s="786">
        <v>500</v>
      </c>
      <c r="X7" s="786">
        <v>500</v>
      </c>
      <c r="Y7" s="786">
        <v>500</v>
      </c>
      <c r="Z7" s="786">
        <v>500</v>
      </c>
      <c r="AA7" s="786">
        <v>500</v>
      </c>
      <c r="AB7" s="786">
        <v>500</v>
      </c>
      <c r="AC7" s="786">
        <v>500</v>
      </c>
      <c r="AD7" s="786">
        <v>500</v>
      </c>
      <c r="AE7" s="786">
        <v>500</v>
      </c>
      <c r="AF7" s="786">
        <v>500</v>
      </c>
      <c r="AG7" s="786">
        <v>500</v>
      </c>
      <c r="AH7" s="786">
        <v>500</v>
      </c>
      <c r="AI7" s="786">
        <v>500</v>
      </c>
      <c r="AJ7" s="786">
        <v>500</v>
      </c>
      <c r="AK7" s="786">
        <v>500</v>
      </c>
      <c r="AL7" s="786">
        <v>500</v>
      </c>
      <c r="AM7" s="786">
        <v>500</v>
      </c>
      <c r="AN7" s="786">
        <v>500</v>
      </c>
      <c r="AO7" s="786">
        <v>500</v>
      </c>
      <c r="AP7" s="786">
        <v>500</v>
      </c>
      <c r="AQ7" s="786">
        <v>500</v>
      </c>
      <c r="AR7" s="786">
        <v>500</v>
      </c>
      <c r="AS7" s="786">
        <v>500</v>
      </c>
      <c r="AT7" s="786">
        <v>500</v>
      </c>
      <c r="AU7" s="786">
        <v>500</v>
      </c>
      <c r="AV7" s="786">
        <v>500</v>
      </c>
      <c r="AW7" s="786">
        <v>500</v>
      </c>
      <c r="AX7" s="786">
        <v>500</v>
      </c>
      <c r="AY7" s="786">
        <v>500</v>
      </c>
      <c r="AZ7" s="786">
        <v>500</v>
      </c>
      <c r="BA7" s="786">
        <v>500</v>
      </c>
      <c r="BB7" s="786">
        <v>500</v>
      </c>
      <c r="BC7" s="786">
        <v>500</v>
      </c>
      <c r="BD7" s="786">
        <v>500</v>
      </c>
      <c r="BE7" s="786">
        <v>500</v>
      </c>
    </row>
    <row r="8" spans="1:57" s="786" customFormat="1" x14ac:dyDescent="0.25">
      <c r="A8" s="783" t="s">
        <v>223</v>
      </c>
      <c r="B8" s="783"/>
      <c r="C8" s="785" t="s">
        <v>696</v>
      </c>
      <c r="D8" s="786">
        <v>0</v>
      </c>
      <c r="E8" s="786">
        <v>0</v>
      </c>
      <c r="F8" s="786">
        <v>0</v>
      </c>
      <c r="G8" s="786">
        <v>0</v>
      </c>
      <c r="H8" s="786">
        <v>0</v>
      </c>
      <c r="I8" s="786">
        <v>0</v>
      </c>
      <c r="J8" s="786">
        <v>0</v>
      </c>
      <c r="K8" s="786">
        <v>0</v>
      </c>
      <c r="L8" s="786">
        <v>0</v>
      </c>
      <c r="M8" s="786">
        <v>0</v>
      </c>
      <c r="N8" s="786">
        <v>0</v>
      </c>
      <c r="O8" s="786">
        <v>0</v>
      </c>
      <c r="P8" s="786">
        <v>0</v>
      </c>
      <c r="Q8" s="786">
        <v>0</v>
      </c>
      <c r="R8" s="786">
        <v>0</v>
      </c>
      <c r="S8" s="786">
        <v>0</v>
      </c>
      <c r="T8" s="786">
        <v>0</v>
      </c>
      <c r="U8" s="786">
        <v>0</v>
      </c>
      <c r="V8" s="786">
        <v>0</v>
      </c>
      <c r="W8" s="786">
        <v>0</v>
      </c>
      <c r="X8" s="786">
        <v>0</v>
      </c>
      <c r="Y8" s="786">
        <v>0</v>
      </c>
      <c r="Z8" s="786">
        <v>0</v>
      </c>
      <c r="AA8" s="786">
        <v>0</v>
      </c>
      <c r="AB8" s="786">
        <v>0</v>
      </c>
      <c r="AC8" s="786">
        <v>0</v>
      </c>
      <c r="AD8" s="786">
        <v>0</v>
      </c>
      <c r="AE8" s="786">
        <v>0</v>
      </c>
      <c r="AF8" s="786">
        <v>0</v>
      </c>
      <c r="AG8" s="786">
        <v>0</v>
      </c>
      <c r="AH8" s="786">
        <v>0</v>
      </c>
      <c r="AI8" s="786">
        <v>0</v>
      </c>
      <c r="AJ8" s="786">
        <v>0</v>
      </c>
      <c r="AK8" s="786">
        <v>0</v>
      </c>
      <c r="AL8" s="786">
        <v>0</v>
      </c>
      <c r="AM8" s="786">
        <v>0</v>
      </c>
      <c r="AN8" s="786">
        <v>0</v>
      </c>
      <c r="AO8" s="786">
        <v>0</v>
      </c>
      <c r="AP8" s="786">
        <v>0</v>
      </c>
      <c r="AQ8" s="786">
        <v>0</v>
      </c>
      <c r="AR8" s="786">
        <v>0</v>
      </c>
      <c r="AS8" s="786">
        <v>0</v>
      </c>
      <c r="AT8" s="786">
        <v>0</v>
      </c>
      <c r="AU8" s="786">
        <v>0</v>
      </c>
      <c r="AV8" s="786">
        <v>0</v>
      </c>
      <c r="AW8" s="786">
        <v>0</v>
      </c>
      <c r="AX8" s="786">
        <v>0</v>
      </c>
      <c r="AY8" s="786">
        <v>0</v>
      </c>
      <c r="AZ8" s="786">
        <v>0</v>
      </c>
      <c r="BA8" s="786">
        <v>0</v>
      </c>
      <c r="BB8" s="786">
        <v>0</v>
      </c>
      <c r="BC8" s="786">
        <v>0</v>
      </c>
      <c r="BD8" s="786">
        <v>0</v>
      </c>
      <c r="BE8" s="786">
        <v>0</v>
      </c>
    </row>
    <row r="9" spans="1:57" x14ac:dyDescent="0.25">
      <c r="A9" s="783" t="s">
        <v>223</v>
      </c>
      <c r="C9" s="784" t="s">
        <v>1062</v>
      </c>
      <c r="D9" s="783">
        <v>1</v>
      </c>
      <c r="E9" s="783">
        <v>1</v>
      </c>
      <c r="F9" s="783">
        <v>1</v>
      </c>
      <c r="G9" s="783">
        <v>1</v>
      </c>
      <c r="H9" s="783">
        <v>1</v>
      </c>
      <c r="I9" s="783">
        <v>1</v>
      </c>
      <c r="J9" s="783">
        <v>1</v>
      </c>
      <c r="K9" s="783">
        <v>1</v>
      </c>
      <c r="L9" s="783">
        <v>1</v>
      </c>
      <c r="M9" s="783">
        <v>1</v>
      </c>
      <c r="N9" s="783">
        <v>1</v>
      </c>
      <c r="O9" s="783">
        <v>1</v>
      </c>
      <c r="P9" s="783">
        <v>1</v>
      </c>
      <c r="Q9" s="783">
        <v>1</v>
      </c>
      <c r="R9" s="783">
        <v>1</v>
      </c>
      <c r="S9" s="783">
        <v>1</v>
      </c>
      <c r="T9" s="783">
        <v>1</v>
      </c>
      <c r="U9" s="783">
        <v>1</v>
      </c>
      <c r="V9" s="783">
        <v>1</v>
      </c>
      <c r="W9" s="783">
        <v>1</v>
      </c>
      <c r="X9" s="783">
        <v>1</v>
      </c>
      <c r="Y9" s="783">
        <v>1</v>
      </c>
      <c r="Z9" s="783">
        <v>1</v>
      </c>
      <c r="AA9" s="783">
        <v>1</v>
      </c>
      <c r="AB9" s="783">
        <v>1000</v>
      </c>
      <c r="AC9" s="783">
        <v>1000</v>
      </c>
      <c r="AD9" s="783">
        <v>1000</v>
      </c>
      <c r="AE9" s="783">
        <v>1000</v>
      </c>
      <c r="AF9" s="783">
        <v>1000</v>
      </c>
      <c r="AG9" s="783">
        <v>1000</v>
      </c>
      <c r="AH9" s="783">
        <v>1000</v>
      </c>
      <c r="AI9" s="783">
        <v>1000</v>
      </c>
      <c r="AJ9" s="783">
        <v>1000</v>
      </c>
      <c r="AK9" s="783">
        <v>1000</v>
      </c>
      <c r="AL9" s="783">
        <v>1000</v>
      </c>
      <c r="AM9" s="783">
        <v>1000</v>
      </c>
      <c r="AN9" s="783">
        <v>1000</v>
      </c>
      <c r="AO9" s="783">
        <v>1000</v>
      </c>
      <c r="AP9" s="783">
        <v>1000</v>
      </c>
      <c r="AQ9" s="783">
        <v>1000</v>
      </c>
      <c r="AR9" s="783">
        <v>1000</v>
      </c>
      <c r="AS9" s="783">
        <v>1000</v>
      </c>
      <c r="AT9" s="783">
        <v>1000</v>
      </c>
      <c r="AU9" s="783">
        <v>1000</v>
      </c>
      <c r="AV9" s="783">
        <v>1000</v>
      </c>
      <c r="AW9" s="783">
        <v>1000</v>
      </c>
      <c r="AX9" s="783">
        <v>1000</v>
      </c>
      <c r="AY9" s="783">
        <v>1000</v>
      </c>
      <c r="AZ9" s="783">
        <v>1000</v>
      </c>
      <c r="BA9" s="783">
        <v>1000</v>
      </c>
      <c r="BB9" s="783">
        <v>1000</v>
      </c>
      <c r="BC9" s="783">
        <v>1000</v>
      </c>
      <c r="BD9" s="783">
        <v>1000</v>
      </c>
      <c r="BE9" s="783">
        <v>1000</v>
      </c>
    </row>
    <row r="10" spans="1:57" x14ac:dyDescent="0.25">
      <c r="A10" s="783" t="s">
        <v>223</v>
      </c>
      <c r="C10" s="784" t="s">
        <v>1063</v>
      </c>
      <c r="D10" s="783">
        <v>1</v>
      </c>
      <c r="E10" s="783">
        <v>1</v>
      </c>
      <c r="F10" s="783">
        <v>1</v>
      </c>
      <c r="G10" s="783">
        <v>1</v>
      </c>
      <c r="H10" s="783">
        <v>1</v>
      </c>
      <c r="I10" s="783">
        <v>1</v>
      </c>
      <c r="J10" s="783">
        <v>1</v>
      </c>
      <c r="K10" s="783">
        <v>1</v>
      </c>
      <c r="L10" s="783">
        <v>1</v>
      </c>
      <c r="M10" s="783">
        <v>1</v>
      </c>
      <c r="N10" s="783">
        <v>1</v>
      </c>
      <c r="O10" s="783">
        <v>1</v>
      </c>
      <c r="P10" s="783">
        <v>1</v>
      </c>
      <c r="Q10" s="783">
        <v>1</v>
      </c>
      <c r="R10" s="783">
        <v>1</v>
      </c>
      <c r="S10" s="783">
        <v>1</v>
      </c>
      <c r="T10" s="783">
        <v>1</v>
      </c>
      <c r="U10" s="783">
        <v>1</v>
      </c>
      <c r="V10" s="783">
        <v>1</v>
      </c>
      <c r="W10" s="783">
        <v>1</v>
      </c>
      <c r="X10" s="783">
        <v>1</v>
      </c>
      <c r="Y10" s="783">
        <v>1</v>
      </c>
      <c r="Z10" s="783">
        <v>1</v>
      </c>
      <c r="AA10" s="783">
        <v>1</v>
      </c>
      <c r="AB10" s="783">
        <v>0</v>
      </c>
      <c r="AC10" s="783">
        <v>0</v>
      </c>
      <c r="AD10" s="783">
        <v>0</v>
      </c>
      <c r="AE10" s="783">
        <v>0</v>
      </c>
      <c r="AF10" s="783">
        <v>0</v>
      </c>
      <c r="AG10" s="783">
        <v>0</v>
      </c>
      <c r="AH10" s="783">
        <v>0</v>
      </c>
      <c r="AI10" s="783">
        <v>0</v>
      </c>
      <c r="AJ10" s="783">
        <v>0</v>
      </c>
      <c r="AK10" s="783">
        <v>0</v>
      </c>
      <c r="AL10" s="783">
        <v>0</v>
      </c>
      <c r="AM10" s="783">
        <v>0</v>
      </c>
      <c r="AN10" s="783">
        <v>0</v>
      </c>
      <c r="AO10" s="783">
        <v>0</v>
      </c>
      <c r="AP10" s="783">
        <v>0</v>
      </c>
      <c r="AQ10" s="783">
        <v>0</v>
      </c>
      <c r="AR10" s="783">
        <v>0</v>
      </c>
      <c r="AS10" s="783">
        <v>0</v>
      </c>
      <c r="AT10" s="783">
        <v>0</v>
      </c>
      <c r="AU10" s="783">
        <v>0</v>
      </c>
      <c r="AV10" s="783">
        <v>0</v>
      </c>
      <c r="AW10" s="783">
        <v>0</v>
      </c>
      <c r="AX10" s="783">
        <v>0</v>
      </c>
      <c r="AY10" s="783">
        <v>0</v>
      </c>
      <c r="AZ10" s="783">
        <v>0</v>
      </c>
      <c r="BA10" s="783">
        <v>0</v>
      </c>
      <c r="BB10" s="783">
        <v>0</v>
      </c>
      <c r="BC10" s="783">
        <v>0</v>
      </c>
      <c r="BD10" s="783">
        <v>0</v>
      </c>
      <c r="BE10" s="783">
        <v>0</v>
      </c>
    </row>
    <row r="11" spans="1:57" x14ac:dyDescent="0.25">
      <c r="A11" s="783" t="s">
        <v>223</v>
      </c>
      <c r="B11" s="783" t="s">
        <v>964</v>
      </c>
      <c r="C11" s="784" t="s">
        <v>697</v>
      </c>
      <c r="D11" s="783">
        <v>1500</v>
      </c>
      <c r="E11" s="783">
        <v>1500</v>
      </c>
      <c r="F11" s="783">
        <v>1500</v>
      </c>
      <c r="G11" s="783">
        <v>1500</v>
      </c>
      <c r="H11" s="783">
        <v>1000</v>
      </c>
      <c r="I11" s="783">
        <v>1000</v>
      </c>
      <c r="J11" s="783">
        <v>1000</v>
      </c>
      <c r="K11" s="783">
        <v>1000</v>
      </c>
      <c r="L11" s="783">
        <v>1000</v>
      </c>
      <c r="M11" s="783">
        <v>1000</v>
      </c>
      <c r="N11" s="783">
        <v>1000</v>
      </c>
      <c r="O11" s="783">
        <v>1000</v>
      </c>
      <c r="P11" s="783">
        <v>1000</v>
      </c>
      <c r="Q11" s="783">
        <v>1000</v>
      </c>
      <c r="R11" s="783">
        <v>1000</v>
      </c>
      <c r="S11" s="783">
        <v>1000</v>
      </c>
      <c r="T11" s="783">
        <v>1000</v>
      </c>
      <c r="U11" s="783">
        <v>1000</v>
      </c>
      <c r="V11" s="783">
        <v>1000</v>
      </c>
      <c r="W11" s="783">
        <v>1000</v>
      </c>
      <c r="X11" s="783">
        <v>1000</v>
      </c>
      <c r="Y11" s="783">
        <v>1000</v>
      </c>
      <c r="Z11" s="783">
        <v>1000</v>
      </c>
      <c r="AA11" s="783">
        <v>1000</v>
      </c>
      <c r="AB11" s="783">
        <v>1000</v>
      </c>
      <c r="AC11" s="783">
        <v>1000</v>
      </c>
      <c r="AD11" s="783">
        <v>1000</v>
      </c>
      <c r="AE11" s="783">
        <v>1000</v>
      </c>
      <c r="AF11" s="783">
        <v>1000</v>
      </c>
      <c r="AG11" s="783">
        <v>1000</v>
      </c>
      <c r="AH11" s="783">
        <v>1000</v>
      </c>
      <c r="AI11" s="783">
        <v>1000</v>
      </c>
      <c r="AJ11" s="783">
        <v>1000</v>
      </c>
      <c r="AK11" s="783">
        <v>1000</v>
      </c>
      <c r="AL11" s="783">
        <v>1000</v>
      </c>
      <c r="AM11" s="783">
        <v>1000</v>
      </c>
      <c r="AN11" s="783">
        <v>1000</v>
      </c>
      <c r="AO11" s="783">
        <v>1000</v>
      </c>
      <c r="AP11" s="783">
        <v>1000</v>
      </c>
      <c r="AQ11" s="783">
        <v>1000</v>
      </c>
      <c r="AR11" s="783">
        <v>1000</v>
      </c>
      <c r="AS11" s="783">
        <v>1000</v>
      </c>
      <c r="AT11" s="783">
        <v>1000</v>
      </c>
      <c r="AU11" s="783">
        <v>1000</v>
      </c>
      <c r="AV11" s="783">
        <v>1000</v>
      </c>
      <c r="AW11" s="783">
        <v>1000</v>
      </c>
      <c r="AX11" s="783">
        <v>1000</v>
      </c>
      <c r="AY11" s="783">
        <v>1000</v>
      </c>
      <c r="AZ11" s="783">
        <v>1000</v>
      </c>
      <c r="BA11" s="783">
        <v>1000</v>
      </c>
      <c r="BB11" s="783">
        <v>1000</v>
      </c>
      <c r="BC11" s="783">
        <v>1000</v>
      </c>
      <c r="BD11" s="783">
        <v>1000</v>
      </c>
      <c r="BE11" s="783">
        <v>1000</v>
      </c>
    </row>
    <row r="12" spans="1:57" x14ac:dyDescent="0.25">
      <c r="A12" s="783" t="s">
        <v>223</v>
      </c>
      <c r="B12" s="783" t="s">
        <v>965</v>
      </c>
      <c r="C12" s="784" t="s">
        <v>698</v>
      </c>
      <c r="D12" s="783">
        <v>0</v>
      </c>
      <c r="E12" s="783">
        <v>0</v>
      </c>
      <c r="F12" s="783">
        <v>0</v>
      </c>
      <c r="G12" s="783">
        <v>0</v>
      </c>
      <c r="H12" s="783">
        <v>0</v>
      </c>
      <c r="I12" s="783">
        <v>0</v>
      </c>
      <c r="J12" s="783">
        <v>0</v>
      </c>
      <c r="K12" s="783">
        <v>0</v>
      </c>
      <c r="L12" s="783">
        <v>0</v>
      </c>
      <c r="M12" s="783">
        <v>0</v>
      </c>
      <c r="N12" s="783">
        <v>0</v>
      </c>
      <c r="O12" s="783">
        <v>0</v>
      </c>
      <c r="P12" s="783">
        <v>0</v>
      </c>
      <c r="Q12" s="783">
        <v>0</v>
      </c>
      <c r="R12" s="783">
        <v>0</v>
      </c>
      <c r="S12" s="783">
        <v>0</v>
      </c>
      <c r="T12" s="783">
        <v>0</v>
      </c>
      <c r="U12" s="783">
        <v>0</v>
      </c>
      <c r="V12" s="783">
        <v>0</v>
      </c>
      <c r="W12" s="783">
        <v>0</v>
      </c>
      <c r="X12" s="783">
        <v>0</v>
      </c>
      <c r="Y12" s="783">
        <v>0</v>
      </c>
      <c r="Z12" s="783">
        <v>0</v>
      </c>
      <c r="AA12" s="783">
        <v>0</v>
      </c>
    </row>
    <row r="13" spans="1:57" x14ac:dyDescent="0.25">
      <c r="A13" s="783" t="s">
        <v>223</v>
      </c>
      <c r="B13" s="783" t="s">
        <v>89</v>
      </c>
      <c r="C13" s="784" t="s">
        <v>699</v>
      </c>
      <c r="D13" s="783">
        <v>1500</v>
      </c>
      <c r="E13" s="783">
        <v>1500</v>
      </c>
      <c r="F13" s="783">
        <v>1500</v>
      </c>
      <c r="G13" s="783">
        <v>1500</v>
      </c>
      <c r="H13" s="783">
        <v>1000</v>
      </c>
      <c r="I13" s="783">
        <v>1000</v>
      </c>
      <c r="J13" s="783">
        <v>1000</v>
      </c>
      <c r="K13" s="783">
        <v>1000</v>
      </c>
      <c r="L13" s="783">
        <v>1000</v>
      </c>
      <c r="M13" s="783">
        <v>1000</v>
      </c>
      <c r="N13" s="783">
        <v>1000</v>
      </c>
      <c r="O13" s="783">
        <v>1000</v>
      </c>
      <c r="P13" s="783">
        <v>1000</v>
      </c>
      <c r="Q13" s="783">
        <v>1000</v>
      </c>
      <c r="R13" s="783">
        <v>1000</v>
      </c>
      <c r="S13" s="783">
        <v>1000</v>
      </c>
      <c r="T13" s="783">
        <v>1000</v>
      </c>
      <c r="U13" s="783">
        <v>1000</v>
      </c>
      <c r="V13" s="783">
        <v>1000</v>
      </c>
      <c r="W13" s="783">
        <v>1000</v>
      </c>
      <c r="X13" s="783">
        <v>1000</v>
      </c>
      <c r="Y13" s="783">
        <v>1000</v>
      </c>
      <c r="Z13" s="783">
        <v>1000</v>
      </c>
      <c r="AA13" s="783">
        <v>1000</v>
      </c>
      <c r="AB13" s="783">
        <v>4109.5203396082998</v>
      </c>
      <c r="AC13" s="783">
        <v>3687.0062325577101</v>
      </c>
      <c r="AD13" s="783">
        <v>3647.96428439798</v>
      </c>
      <c r="AE13" s="783">
        <v>3929.5452224249998</v>
      </c>
      <c r="AF13" s="783">
        <v>4819.4684732894402</v>
      </c>
      <c r="AG13" s="783">
        <v>5283.5902633769101</v>
      </c>
      <c r="AH13" s="783">
        <v>5294.5681141602399</v>
      </c>
      <c r="AI13" s="783">
        <v>4578.90917456846</v>
      </c>
      <c r="AJ13" s="783">
        <v>4714.6489150229299</v>
      </c>
      <c r="AK13" s="783">
        <v>4656.4867222080502</v>
      </c>
      <c r="AL13" s="783">
        <v>4783.8831146542498</v>
      </c>
      <c r="AM13" s="783">
        <v>4107.3570912988998</v>
      </c>
      <c r="AN13" s="783">
        <v>4098.5492481413003</v>
      </c>
      <c r="AO13" s="783">
        <v>3675.7890314593201</v>
      </c>
      <c r="AP13" s="783">
        <v>3648.2694045415601</v>
      </c>
      <c r="AQ13" s="783">
        <v>3918.2457533525298</v>
      </c>
      <c r="AR13" s="783">
        <v>4793.5714243680004</v>
      </c>
      <c r="AS13" s="783">
        <v>5249.6817999467803</v>
      </c>
      <c r="AT13" s="783">
        <v>5252.3013907083396</v>
      </c>
      <c r="AU13" s="783">
        <v>4547.2332434475002</v>
      </c>
      <c r="AV13" s="783">
        <v>4682.3530190544298</v>
      </c>
      <c r="AW13" s="783">
        <v>4641.8883644726102</v>
      </c>
      <c r="AX13" s="783">
        <v>4776.3264639950303</v>
      </c>
      <c r="AY13" s="783">
        <v>4095.7703027981202</v>
      </c>
      <c r="AZ13" s="783">
        <v>4088.4857522891298</v>
      </c>
      <c r="BA13" s="783">
        <v>3665.6682059444202</v>
      </c>
      <c r="BB13" s="783">
        <v>3647.53033836346</v>
      </c>
      <c r="BC13" s="783">
        <v>3906.77864080068</v>
      </c>
      <c r="BD13" s="783">
        <v>4768.3348294385896</v>
      </c>
      <c r="BE13" s="783">
        <v>5215.9644687601003</v>
      </c>
    </row>
    <row r="14" spans="1:57" x14ac:dyDescent="0.25">
      <c r="A14" s="783" t="s">
        <v>223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 s="783">
        <v>0</v>
      </c>
      <c r="AC14" s="783">
        <v>0</v>
      </c>
      <c r="AD14" s="783">
        <v>0</v>
      </c>
      <c r="AE14" s="783">
        <v>0</v>
      </c>
      <c r="AF14" s="783">
        <v>0</v>
      </c>
      <c r="AG14" s="783">
        <v>0</v>
      </c>
      <c r="AH14" s="783">
        <v>0</v>
      </c>
      <c r="AI14" s="783">
        <v>0</v>
      </c>
      <c r="AJ14" s="783">
        <v>0</v>
      </c>
      <c r="AK14" s="783">
        <v>0</v>
      </c>
      <c r="AL14" s="783">
        <v>0</v>
      </c>
      <c r="AM14" s="783">
        <v>0</v>
      </c>
      <c r="AN14" s="783">
        <v>0</v>
      </c>
      <c r="AO14" s="783">
        <v>0</v>
      </c>
      <c r="AP14" s="783">
        <v>0</v>
      </c>
      <c r="AQ14" s="783">
        <v>0</v>
      </c>
      <c r="AR14" s="783">
        <v>0</v>
      </c>
      <c r="AS14" s="783">
        <v>0</v>
      </c>
      <c r="AT14" s="783">
        <v>0</v>
      </c>
      <c r="AU14" s="783">
        <v>0</v>
      </c>
      <c r="AV14" s="783">
        <v>0</v>
      </c>
      <c r="AW14" s="783">
        <v>0</v>
      </c>
      <c r="AX14" s="783">
        <v>0</v>
      </c>
      <c r="AY14" s="783">
        <v>0</v>
      </c>
      <c r="AZ14" s="783">
        <v>0</v>
      </c>
      <c r="BA14" s="783">
        <v>0</v>
      </c>
      <c r="BB14" s="783">
        <v>0</v>
      </c>
      <c r="BC14" s="783">
        <v>0</v>
      </c>
      <c r="BD14" s="783">
        <v>0</v>
      </c>
      <c r="BE14" s="783">
        <v>0</v>
      </c>
    </row>
    <row r="15" spans="1:57" s="788" customFormat="1" x14ac:dyDescent="0.25">
      <c r="A15" s="783" t="s">
        <v>223</v>
      </c>
      <c r="B15" s="783"/>
      <c r="C15" s="787" t="s">
        <v>700</v>
      </c>
      <c r="D15" s="783">
        <v>6606.0959408475301</v>
      </c>
      <c r="E15" s="783">
        <v>6374.2038870306797</v>
      </c>
      <c r="F15" s="783">
        <v>6664.2853831178099</v>
      </c>
      <c r="G15" s="783">
        <v>6093.4688333038703</v>
      </c>
      <c r="H15" s="783">
        <v>4796.5705358047398</v>
      </c>
      <c r="I15" s="783">
        <v>5307.9632956658697</v>
      </c>
      <c r="J15" s="783">
        <v>5385.1623989469799</v>
      </c>
      <c r="K15" s="783">
        <v>4642.7245369735301</v>
      </c>
      <c r="L15" s="783">
        <v>4782.4000193192296</v>
      </c>
      <c r="M15" s="783">
        <v>4682.2181238349804</v>
      </c>
      <c r="N15" s="783">
        <v>4791.5046663966205</v>
      </c>
      <c r="O15" s="783">
        <v>4121.1737606192401</v>
      </c>
      <c r="P15" s="783">
        <v>4109.0369397936201</v>
      </c>
      <c r="Q15" s="783">
        <v>3687.90155347563</v>
      </c>
      <c r="R15" s="783">
        <v>3647.4264040409198</v>
      </c>
      <c r="S15" s="783">
        <v>3941.2998521864802</v>
      </c>
      <c r="T15" s="783">
        <v>4848.0299314813801</v>
      </c>
      <c r="U15" s="783">
        <v>5321.0172177246804</v>
      </c>
      <c r="V15" s="783">
        <v>5337.9279430992401</v>
      </c>
      <c r="W15" s="783">
        <v>4610.6567191776803</v>
      </c>
      <c r="X15" s="783">
        <v>4747.6791062391003</v>
      </c>
      <c r="Y15" s="783">
        <v>4669.97025778239</v>
      </c>
      <c r="Z15" s="783">
        <v>4790.1604631251803</v>
      </c>
      <c r="AA15" s="783">
        <v>4118.6840770837198</v>
      </c>
      <c r="AB15" s="788">
        <v>1.0644</v>
      </c>
      <c r="AC15" s="788">
        <v>1.0644</v>
      </c>
      <c r="AD15" s="788">
        <v>1.0644</v>
      </c>
      <c r="AE15" s="788">
        <v>1.0644</v>
      </c>
      <c r="AF15" s="788">
        <v>1.0644</v>
      </c>
      <c r="AG15" s="788">
        <v>1.0644</v>
      </c>
      <c r="AH15" s="788">
        <v>1.0644</v>
      </c>
      <c r="AI15" s="788">
        <v>1.0644</v>
      </c>
      <c r="AJ15" s="788">
        <v>1.0644</v>
      </c>
      <c r="AK15" s="788">
        <v>1.0644</v>
      </c>
      <c r="AL15" s="788">
        <v>1.0644</v>
      </c>
      <c r="AM15" s="788">
        <v>1.0644</v>
      </c>
      <c r="AN15" s="788">
        <v>1.0644</v>
      </c>
      <c r="AO15" s="788">
        <v>1.0644</v>
      </c>
      <c r="AP15" s="788">
        <v>1.0644</v>
      </c>
      <c r="AQ15" s="788">
        <v>1.0644</v>
      </c>
      <c r="AR15" s="788">
        <v>1.0644</v>
      </c>
      <c r="AS15" s="788">
        <v>1.0644</v>
      </c>
      <c r="AT15" s="788">
        <v>1.0644</v>
      </c>
      <c r="AU15" s="788">
        <v>1.0644</v>
      </c>
      <c r="AV15" s="788">
        <v>1.0644</v>
      </c>
      <c r="AW15" s="788">
        <v>1.0644</v>
      </c>
      <c r="AX15" s="788">
        <v>1.0644</v>
      </c>
      <c r="AY15" s="788">
        <v>1.0644</v>
      </c>
      <c r="AZ15" s="788">
        <v>1.0644</v>
      </c>
      <c r="BA15" s="788">
        <v>1.0644</v>
      </c>
      <c r="BB15" s="788">
        <v>1.0644</v>
      </c>
      <c r="BC15" s="788">
        <v>1.0644</v>
      </c>
      <c r="BD15" s="788">
        <v>1.0644</v>
      </c>
      <c r="BE15" s="788">
        <v>1.0644</v>
      </c>
    </row>
    <row r="16" spans="1:57" s="788" customFormat="1" x14ac:dyDescent="0.25">
      <c r="A16" s="783" t="s">
        <v>223</v>
      </c>
      <c r="B16" s="783"/>
      <c r="C16" s="787" t="s">
        <v>701</v>
      </c>
      <c r="D16" s="783">
        <v>0</v>
      </c>
      <c r="E16" s="783">
        <v>0</v>
      </c>
      <c r="F16" s="783">
        <v>0</v>
      </c>
      <c r="G16" s="783">
        <v>0</v>
      </c>
      <c r="H16" s="783">
        <v>0</v>
      </c>
      <c r="I16" s="783">
        <v>0</v>
      </c>
      <c r="J16" s="783">
        <v>0</v>
      </c>
      <c r="K16" s="783">
        <v>0</v>
      </c>
      <c r="L16" s="783">
        <v>0</v>
      </c>
      <c r="M16" s="783">
        <v>0</v>
      </c>
      <c r="N16" s="783">
        <v>0</v>
      </c>
      <c r="O16" s="783">
        <v>0</v>
      </c>
      <c r="P16" s="783">
        <v>0</v>
      </c>
      <c r="Q16" s="783">
        <v>0</v>
      </c>
      <c r="R16" s="783">
        <v>0</v>
      </c>
      <c r="S16" s="783">
        <v>0</v>
      </c>
      <c r="T16" s="783">
        <v>0</v>
      </c>
      <c r="U16" s="783">
        <v>0</v>
      </c>
      <c r="V16" s="783">
        <v>0</v>
      </c>
      <c r="W16" s="783">
        <v>0</v>
      </c>
      <c r="X16" s="783">
        <v>0</v>
      </c>
      <c r="Y16" s="783">
        <v>0</v>
      </c>
      <c r="Z16" s="783">
        <v>0</v>
      </c>
      <c r="AA16" s="783">
        <v>0</v>
      </c>
      <c r="AB16" s="788">
        <v>0</v>
      </c>
      <c r="AC16" s="788">
        <v>0</v>
      </c>
      <c r="AD16" s="788">
        <v>0</v>
      </c>
      <c r="AE16" s="788">
        <v>0</v>
      </c>
      <c r="AF16" s="788">
        <v>0</v>
      </c>
      <c r="AG16" s="788">
        <v>0</v>
      </c>
      <c r="AH16" s="788">
        <v>0</v>
      </c>
      <c r="AI16" s="788">
        <v>0</v>
      </c>
      <c r="AJ16" s="788">
        <v>0</v>
      </c>
      <c r="AK16" s="788">
        <v>0</v>
      </c>
      <c r="AL16" s="788">
        <v>0</v>
      </c>
      <c r="AM16" s="788">
        <v>0</v>
      </c>
      <c r="AN16" s="788">
        <v>0</v>
      </c>
      <c r="AO16" s="788">
        <v>0</v>
      </c>
      <c r="AP16" s="788">
        <v>0</v>
      </c>
      <c r="AQ16" s="788">
        <v>0</v>
      </c>
      <c r="AR16" s="788">
        <v>0</v>
      </c>
      <c r="AS16" s="788">
        <v>0</v>
      </c>
      <c r="AT16" s="788">
        <v>0</v>
      </c>
      <c r="AU16" s="788">
        <v>0</v>
      </c>
      <c r="AV16" s="788">
        <v>0</v>
      </c>
      <c r="AW16" s="788">
        <v>0</v>
      </c>
      <c r="AX16" s="788">
        <v>0</v>
      </c>
      <c r="AY16" s="788">
        <v>0</v>
      </c>
      <c r="AZ16" s="788">
        <v>0</v>
      </c>
      <c r="BA16" s="788">
        <v>0</v>
      </c>
      <c r="BB16" s="788">
        <v>0</v>
      </c>
      <c r="BC16" s="788">
        <v>0</v>
      </c>
      <c r="BD16" s="788">
        <v>0</v>
      </c>
      <c r="BE16" s="788">
        <v>0</v>
      </c>
    </row>
    <row r="17" spans="1:57" x14ac:dyDescent="0.25">
      <c r="A17" s="783" t="s">
        <v>223</v>
      </c>
      <c r="B17" s="786"/>
      <c r="C17" s="784" t="s">
        <v>702</v>
      </c>
      <c r="D17" s="788">
        <v>1.0644</v>
      </c>
      <c r="E17" s="788">
        <v>1.0644</v>
      </c>
      <c r="F17" s="788">
        <v>1.0644</v>
      </c>
      <c r="G17" s="788">
        <v>1.0644</v>
      </c>
      <c r="H17" s="788">
        <v>1.0644</v>
      </c>
      <c r="I17" s="788">
        <v>1.0644</v>
      </c>
      <c r="J17" s="788">
        <v>1.0644</v>
      </c>
      <c r="K17" s="788">
        <v>1.0644</v>
      </c>
      <c r="L17" s="788">
        <v>1.0644</v>
      </c>
      <c r="M17" s="788">
        <v>1.0644</v>
      </c>
      <c r="N17" s="788">
        <v>1.0644</v>
      </c>
      <c r="O17" s="788">
        <v>1.0644</v>
      </c>
      <c r="P17" s="788">
        <v>1.0644</v>
      </c>
      <c r="Q17" s="788">
        <v>1.0644</v>
      </c>
      <c r="R17" s="788">
        <v>1.0644</v>
      </c>
      <c r="S17" s="788">
        <v>1.0644</v>
      </c>
      <c r="T17" s="788">
        <v>1.0644</v>
      </c>
      <c r="U17" s="788">
        <v>1.0644</v>
      </c>
      <c r="V17" s="788">
        <v>1.0644</v>
      </c>
      <c r="W17" s="788">
        <v>1.0644</v>
      </c>
      <c r="X17" s="788">
        <v>1.0644</v>
      </c>
      <c r="Y17" s="788">
        <v>1.0644</v>
      </c>
      <c r="Z17" s="788">
        <v>1.0644</v>
      </c>
      <c r="AA17" s="788">
        <v>1.0644</v>
      </c>
      <c r="AB17" s="783">
        <v>4374.1734494790799</v>
      </c>
      <c r="AC17" s="783">
        <v>3924.4494339344201</v>
      </c>
      <c r="AD17" s="783">
        <v>3882.89318431321</v>
      </c>
      <c r="AE17" s="783">
        <v>4182.6079347491705</v>
      </c>
      <c r="AF17" s="783">
        <v>5129.8422429692801</v>
      </c>
      <c r="AG17" s="783">
        <v>5623.8534763383896</v>
      </c>
      <c r="AH17" s="783">
        <v>5635.53830071215</v>
      </c>
      <c r="AI17" s="783">
        <v>4873.7909254106698</v>
      </c>
      <c r="AJ17" s="783">
        <v>5018.2723051504099</v>
      </c>
      <c r="AK17" s="783">
        <v>4956.3644671182501</v>
      </c>
      <c r="AL17" s="783">
        <v>5091.96518723798</v>
      </c>
      <c r="AM17" s="783">
        <v>4371.8708879785499</v>
      </c>
      <c r="AN17" s="783">
        <v>4362.4958197216001</v>
      </c>
      <c r="AO17" s="783">
        <v>3912.5098450853002</v>
      </c>
      <c r="AP17" s="783">
        <v>3883.21795419404</v>
      </c>
      <c r="AQ17" s="783">
        <v>4170.58077986844</v>
      </c>
      <c r="AR17" s="783">
        <v>5102.2774240973004</v>
      </c>
      <c r="AS17" s="783">
        <v>5587.7613078633603</v>
      </c>
      <c r="AT17" s="783">
        <v>5590.5496002699501</v>
      </c>
      <c r="AU17" s="783">
        <v>4840.0750643255196</v>
      </c>
      <c r="AV17" s="783">
        <v>4983.8965534815397</v>
      </c>
      <c r="AW17" s="783">
        <v>4940.8259751446503</v>
      </c>
      <c r="AX17" s="783">
        <v>5083.9218882763098</v>
      </c>
      <c r="AY17" s="783">
        <v>4359.5379102983197</v>
      </c>
      <c r="AZ17" s="783">
        <v>4351.7842347365604</v>
      </c>
      <c r="BA17" s="783">
        <v>3901.7372384072401</v>
      </c>
      <c r="BB17" s="783">
        <v>3882.43129215407</v>
      </c>
      <c r="BC17" s="783">
        <v>4158.3751852682399</v>
      </c>
      <c r="BD17" s="783">
        <v>5075.4155924544302</v>
      </c>
      <c r="BE17" s="783">
        <v>5551.87258054826</v>
      </c>
    </row>
    <row r="18" spans="1:57" x14ac:dyDescent="0.25">
      <c r="A18" s="783" t="s">
        <v>223</v>
      </c>
      <c r="C18" s="784" t="s">
        <v>703</v>
      </c>
      <c r="D18" s="788">
        <v>0</v>
      </c>
      <c r="E18" s="788">
        <v>0</v>
      </c>
      <c r="F18" s="788">
        <v>0</v>
      </c>
      <c r="G18" s="788">
        <v>0</v>
      </c>
      <c r="H18" s="788">
        <v>0</v>
      </c>
      <c r="I18" s="788">
        <v>0</v>
      </c>
      <c r="J18" s="788">
        <v>0</v>
      </c>
      <c r="K18" s="788">
        <v>0</v>
      </c>
      <c r="L18" s="788">
        <v>0</v>
      </c>
      <c r="M18" s="788">
        <v>0</v>
      </c>
      <c r="N18" s="788">
        <v>0</v>
      </c>
      <c r="O18" s="788">
        <v>0</v>
      </c>
      <c r="P18" s="788">
        <v>0</v>
      </c>
      <c r="Q18" s="788">
        <v>0</v>
      </c>
      <c r="R18" s="788">
        <v>0</v>
      </c>
      <c r="S18" s="788">
        <v>0</v>
      </c>
      <c r="T18" s="788">
        <v>0</v>
      </c>
      <c r="U18" s="788">
        <v>0</v>
      </c>
      <c r="V18" s="788">
        <v>0</v>
      </c>
      <c r="W18" s="788">
        <v>0</v>
      </c>
      <c r="X18" s="788">
        <v>0</v>
      </c>
      <c r="Y18" s="788">
        <v>0</v>
      </c>
      <c r="Z18" s="788">
        <v>0</v>
      </c>
      <c r="AA18" s="788">
        <v>0</v>
      </c>
      <c r="AB18" s="783">
        <v>0</v>
      </c>
      <c r="AC18" s="783">
        <v>0</v>
      </c>
      <c r="AD18" s="783">
        <v>0</v>
      </c>
      <c r="AE18" s="783">
        <v>0</v>
      </c>
      <c r="AF18" s="783">
        <v>0</v>
      </c>
      <c r="AG18" s="783">
        <v>0</v>
      </c>
      <c r="AH18" s="783">
        <v>0</v>
      </c>
      <c r="AI18" s="783">
        <v>0</v>
      </c>
      <c r="AJ18" s="783">
        <v>0</v>
      </c>
      <c r="AK18" s="783">
        <v>0</v>
      </c>
      <c r="AL18" s="783">
        <v>0</v>
      </c>
      <c r="AM18" s="783">
        <v>0</v>
      </c>
      <c r="AN18" s="783">
        <v>0</v>
      </c>
      <c r="AO18" s="783">
        <v>0</v>
      </c>
      <c r="AP18" s="783">
        <v>0</v>
      </c>
      <c r="AQ18" s="783">
        <v>0</v>
      </c>
      <c r="AR18" s="783">
        <v>0</v>
      </c>
      <c r="AS18" s="783">
        <v>0</v>
      </c>
      <c r="AT18" s="783">
        <v>0</v>
      </c>
      <c r="AU18" s="783">
        <v>0</v>
      </c>
      <c r="AV18" s="783">
        <v>0</v>
      </c>
      <c r="AW18" s="783">
        <v>0</v>
      </c>
      <c r="AX18" s="783">
        <v>0</v>
      </c>
      <c r="AY18" s="783">
        <v>0</v>
      </c>
      <c r="AZ18" s="783">
        <v>0</v>
      </c>
      <c r="BA18" s="783">
        <v>0</v>
      </c>
      <c r="BB18" s="783">
        <v>0</v>
      </c>
      <c r="BC18" s="783">
        <v>0</v>
      </c>
      <c r="BD18" s="783">
        <v>0</v>
      </c>
      <c r="BE18" s="783">
        <v>0</v>
      </c>
    </row>
    <row r="19" spans="1:57" x14ac:dyDescent="0.25">
      <c r="A19" s="783" t="s">
        <v>223</v>
      </c>
      <c r="C19" s="784" t="s">
        <v>704</v>
      </c>
      <c r="D19" s="783">
        <v>7031.5285194381104</v>
      </c>
      <c r="E19" s="783">
        <v>6784.7026173554495</v>
      </c>
      <c r="F19" s="783">
        <v>7093.4653617905897</v>
      </c>
      <c r="G19" s="783">
        <v>6485.8882261686304</v>
      </c>
      <c r="H19" s="783">
        <v>5105.4696783105601</v>
      </c>
      <c r="I19" s="783">
        <v>5649.7961319067499</v>
      </c>
      <c r="J19" s="783">
        <v>5731.9668574391599</v>
      </c>
      <c r="K19" s="783">
        <v>4941.7159971546198</v>
      </c>
      <c r="L19" s="783">
        <v>5090.3865805633905</v>
      </c>
      <c r="M19" s="783">
        <v>4983.7529710099598</v>
      </c>
      <c r="N19" s="783">
        <v>5100.0775669125596</v>
      </c>
      <c r="O19" s="783">
        <v>4386.5773508031198</v>
      </c>
      <c r="P19" s="783">
        <v>4373.6589187163299</v>
      </c>
      <c r="Q19" s="783">
        <v>3925.40241351946</v>
      </c>
      <c r="R19" s="783">
        <v>3882.32066446115</v>
      </c>
      <c r="S19" s="783">
        <v>4195.1195626672898</v>
      </c>
      <c r="T19" s="783">
        <v>5160.24305906878</v>
      </c>
      <c r="U19" s="783">
        <v>5663.6907265461496</v>
      </c>
      <c r="V19" s="783">
        <v>5681.6905026348304</v>
      </c>
      <c r="W19" s="783">
        <v>4907.5830118927297</v>
      </c>
      <c r="X19" s="783">
        <v>5053.4296406808999</v>
      </c>
      <c r="Y19" s="783">
        <v>4970.71634238357</v>
      </c>
      <c r="Z19" s="783">
        <v>5098.6467969504401</v>
      </c>
      <c r="AA19" s="783">
        <v>4383.9273316479103</v>
      </c>
      <c r="AB19" s="783">
        <v>4374.1734494790799</v>
      </c>
      <c r="AC19" s="783">
        <v>3924.4494339344201</v>
      </c>
      <c r="AD19" s="783">
        <v>3882.89318431321</v>
      </c>
      <c r="AE19" s="783">
        <v>4182.6079347491705</v>
      </c>
      <c r="AF19" s="783">
        <v>5129.8422429692801</v>
      </c>
      <c r="AG19" s="783">
        <v>5623.8534763383896</v>
      </c>
      <c r="AH19" s="783">
        <v>5635.53830071215</v>
      </c>
      <c r="AI19" s="783">
        <v>4873.7909254106698</v>
      </c>
      <c r="AJ19" s="783">
        <v>5018.2723051504099</v>
      </c>
      <c r="AK19" s="783">
        <v>4956.3644671182501</v>
      </c>
      <c r="AL19" s="783">
        <v>5091.96518723798</v>
      </c>
      <c r="AM19" s="783">
        <v>4371.8708879785499</v>
      </c>
      <c r="AN19" s="783">
        <v>4362.4958197216001</v>
      </c>
      <c r="AO19" s="783">
        <v>3912.5098450853002</v>
      </c>
      <c r="AP19" s="783">
        <v>3883.21795419404</v>
      </c>
      <c r="AQ19" s="783">
        <v>4170.58077986844</v>
      </c>
      <c r="AR19" s="783">
        <v>5102.2774240973004</v>
      </c>
      <c r="AS19" s="783">
        <v>5587.7613078633603</v>
      </c>
      <c r="AT19" s="783">
        <v>5590.5496002699501</v>
      </c>
      <c r="AU19" s="783">
        <v>4840.0750643255196</v>
      </c>
      <c r="AV19" s="783">
        <v>4983.8965534815397</v>
      </c>
      <c r="AW19" s="783">
        <v>4940.8259751446503</v>
      </c>
      <c r="AX19" s="783">
        <v>5083.9218882763098</v>
      </c>
      <c r="AY19" s="783">
        <v>4359.5379102983197</v>
      </c>
      <c r="AZ19" s="783">
        <v>4351.7842347365604</v>
      </c>
      <c r="BA19" s="783">
        <v>3901.7372384072401</v>
      </c>
      <c r="BB19" s="783">
        <v>3882.43129215407</v>
      </c>
      <c r="BC19" s="783">
        <v>4158.3751852682399</v>
      </c>
      <c r="BD19" s="783">
        <v>5075.4155924544302</v>
      </c>
      <c r="BE19" s="783">
        <v>5551.87258054826</v>
      </c>
    </row>
    <row r="20" spans="1:57" x14ac:dyDescent="0.25">
      <c r="A20" s="783" t="s">
        <v>223</v>
      </c>
      <c r="C20" s="784" t="s">
        <v>705</v>
      </c>
      <c r="D20" s="783">
        <v>0</v>
      </c>
      <c r="E20" s="783">
        <v>0</v>
      </c>
      <c r="F20" s="783">
        <v>0</v>
      </c>
      <c r="G20" s="783">
        <v>0</v>
      </c>
      <c r="H20" s="783">
        <v>0</v>
      </c>
      <c r="I20" s="783">
        <v>0</v>
      </c>
      <c r="J20" s="783">
        <v>0</v>
      </c>
      <c r="K20" s="783">
        <v>0</v>
      </c>
      <c r="L20" s="783">
        <v>0</v>
      </c>
      <c r="M20" s="783">
        <v>0</v>
      </c>
      <c r="N20" s="783">
        <v>0</v>
      </c>
      <c r="O20" s="783">
        <v>0</v>
      </c>
      <c r="P20" s="783">
        <v>0</v>
      </c>
      <c r="Q20" s="783">
        <v>0</v>
      </c>
      <c r="R20" s="783">
        <v>0</v>
      </c>
      <c r="S20" s="783">
        <v>0</v>
      </c>
      <c r="T20" s="783">
        <v>0</v>
      </c>
      <c r="U20" s="783">
        <v>0</v>
      </c>
      <c r="V20" s="783">
        <v>0</v>
      </c>
      <c r="W20" s="783">
        <v>0</v>
      </c>
      <c r="X20" s="783">
        <v>0</v>
      </c>
      <c r="Y20" s="783">
        <v>0</v>
      </c>
      <c r="Z20" s="783">
        <v>0</v>
      </c>
      <c r="AA20" s="783">
        <v>0</v>
      </c>
    </row>
    <row r="21" spans="1:57" s="786" customFormat="1" x14ac:dyDescent="0.25">
      <c r="A21" s="783" t="s">
        <v>223</v>
      </c>
      <c r="B21" s="783" t="s">
        <v>374</v>
      </c>
      <c r="C21" s="785" t="s">
        <v>706</v>
      </c>
      <c r="D21" s="783">
        <v>7031.5285194381104</v>
      </c>
      <c r="E21" s="783">
        <v>6784.7026173554495</v>
      </c>
      <c r="F21" s="783">
        <v>7093.4653617905897</v>
      </c>
      <c r="G21" s="783">
        <v>6485.8882261686304</v>
      </c>
      <c r="H21" s="783">
        <v>5105.4696783105601</v>
      </c>
      <c r="I21" s="783">
        <v>5649.7961319067499</v>
      </c>
      <c r="J21" s="783">
        <v>5731.9668574391599</v>
      </c>
      <c r="K21" s="783">
        <v>4941.7159971546198</v>
      </c>
      <c r="L21" s="783">
        <v>5090.3865805633905</v>
      </c>
      <c r="M21" s="783">
        <v>4983.7529710099598</v>
      </c>
      <c r="N21" s="783">
        <v>5100.0775669125596</v>
      </c>
      <c r="O21" s="783">
        <v>4386.5773508031198</v>
      </c>
      <c r="P21" s="783">
        <v>4373.6589187163299</v>
      </c>
      <c r="Q21" s="783">
        <v>3925.40241351946</v>
      </c>
      <c r="R21" s="783">
        <v>3882.32066446115</v>
      </c>
      <c r="S21" s="783">
        <v>4195.1195626672898</v>
      </c>
      <c r="T21" s="783">
        <v>5160.24305906878</v>
      </c>
      <c r="U21" s="783">
        <v>5663.6907265461496</v>
      </c>
      <c r="V21" s="783">
        <v>5681.6905026348304</v>
      </c>
      <c r="W21" s="783">
        <v>4907.5830118927297</v>
      </c>
      <c r="X21" s="783">
        <v>5053.4296406808999</v>
      </c>
      <c r="Y21" s="783">
        <v>4970.71634238357</v>
      </c>
      <c r="Z21" s="783">
        <v>5098.6467969504401</v>
      </c>
      <c r="AA21" s="783">
        <v>4383.9273316479103</v>
      </c>
      <c r="AB21" s="786">
        <v>0</v>
      </c>
      <c r="AC21" s="786">
        <v>0</v>
      </c>
      <c r="AD21" s="786">
        <v>0</v>
      </c>
      <c r="AE21" s="786">
        <v>0</v>
      </c>
      <c r="AF21" s="786">
        <v>0</v>
      </c>
      <c r="AG21" s="786">
        <v>0</v>
      </c>
      <c r="AH21" s="786">
        <v>0</v>
      </c>
      <c r="AI21" s="786">
        <v>0</v>
      </c>
      <c r="AJ21" s="786">
        <v>0</v>
      </c>
      <c r="AK21" s="786">
        <v>0</v>
      </c>
      <c r="AL21" s="786">
        <v>0</v>
      </c>
      <c r="AM21" s="786">
        <v>0</v>
      </c>
      <c r="AN21" s="786">
        <v>0</v>
      </c>
      <c r="AO21" s="786">
        <v>0</v>
      </c>
      <c r="AP21" s="786">
        <v>0</v>
      </c>
      <c r="AQ21" s="786">
        <v>0</v>
      </c>
      <c r="AR21" s="786">
        <v>0</v>
      </c>
      <c r="AS21" s="786">
        <v>0</v>
      </c>
      <c r="AT21" s="786">
        <v>0</v>
      </c>
      <c r="AU21" s="786">
        <v>0</v>
      </c>
      <c r="AV21" s="786">
        <v>0</v>
      </c>
      <c r="AW21" s="786">
        <v>0</v>
      </c>
      <c r="AX21" s="786">
        <v>0</v>
      </c>
      <c r="AY21" s="786">
        <v>0</v>
      </c>
      <c r="AZ21" s="786">
        <v>0</v>
      </c>
      <c r="BA21" s="786">
        <v>0</v>
      </c>
      <c r="BB21" s="786">
        <v>0</v>
      </c>
      <c r="BC21" s="786">
        <v>0</v>
      </c>
      <c r="BD21" s="786">
        <v>0</v>
      </c>
      <c r="BE21" s="786">
        <v>0</v>
      </c>
    </row>
    <row r="22" spans="1:57" x14ac:dyDescent="0.25">
      <c r="A22" s="783" t="s">
        <v>223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 s="783">
        <v>0</v>
      </c>
      <c r="AC22" s="783">
        <v>0</v>
      </c>
      <c r="AD22" s="783">
        <v>0</v>
      </c>
      <c r="AE22" s="783">
        <v>0</v>
      </c>
      <c r="AF22" s="783">
        <v>0</v>
      </c>
      <c r="AG22" s="783">
        <v>0</v>
      </c>
      <c r="AH22" s="783">
        <v>0</v>
      </c>
      <c r="AI22" s="783">
        <v>0</v>
      </c>
      <c r="AJ22" s="783">
        <v>0</v>
      </c>
      <c r="AK22" s="783">
        <v>0</v>
      </c>
      <c r="AL22" s="783">
        <v>0</v>
      </c>
      <c r="AM22" s="783">
        <v>0</v>
      </c>
      <c r="AN22" s="783">
        <v>0</v>
      </c>
      <c r="AO22" s="783">
        <v>0</v>
      </c>
      <c r="AP22" s="783">
        <v>0</v>
      </c>
      <c r="AQ22" s="783">
        <v>0</v>
      </c>
      <c r="AR22" s="783">
        <v>0</v>
      </c>
      <c r="AS22" s="783">
        <v>0</v>
      </c>
      <c r="AT22" s="783">
        <v>0</v>
      </c>
      <c r="AU22" s="783">
        <v>0</v>
      </c>
      <c r="AV22" s="783">
        <v>0</v>
      </c>
      <c r="AW22" s="783">
        <v>0</v>
      </c>
      <c r="AX22" s="783">
        <v>0</v>
      </c>
      <c r="AY22" s="783">
        <v>0</v>
      </c>
      <c r="AZ22" s="783">
        <v>0</v>
      </c>
      <c r="BA22" s="783">
        <v>0</v>
      </c>
      <c r="BB22" s="783">
        <v>0</v>
      </c>
      <c r="BC22" s="783">
        <v>0</v>
      </c>
      <c r="BD22" s="783">
        <v>0</v>
      </c>
      <c r="BE22" s="783">
        <v>0</v>
      </c>
    </row>
    <row r="23" spans="1:57" x14ac:dyDescent="0.25">
      <c r="A23" s="783" t="s">
        <v>223</v>
      </c>
      <c r="C23" s="784" t="s">
        <v>707</v>
      </c>
      <c r="D23" s="786">
        <v>0</v>
      </c>
      <c r="E23" s="786">
        <v>0</v>
      </c>
      <c r="F23" s="786">
        <v>0</v>
      </c>
      <c r="G23" s="786">
        <v>0</v>
      </c>
      <c r="H23" s="786">
        <v>0</v>
      </c>
      <c r="I23" s="786">
        <v>0</v>
      </c>
      <c r="J23" s="786">
        <v>0</v>
      </c>
      <c r="K23" s="786">
        <v>0</v>
      </c>
      <c r="L23" s="786">
        <v>0</v>
      </c>
      <c r="M23" s="786">
        <v>0</v>
      </c>
      <c r="N23" s="786">
        <v>0</v>
      </c>
      <c r="O23" s="786">
        <v>0</v>
      </c>
      <c r="P23" s="786">
        <v>0</v>
      </c>
      <c r="Q23" s="786">
        <v>0</v>
      </c>
      <c r="R23" s="786">
        <v>0</v>
      </c>
      <c r="S23" s="786">
        <v>0</v>
      </c>
      <c r="T23" s="786">
        <v>0</v>
      </c>
      <c r="U23" s="786">
        <v>0</v>
      </c>
      <c r="V23" s="786">
        <v>0</v>
      </c>
      <c r="W23" s="786">
        <v>0</v>
      </c>
      <c r="X23" s="786">
        <v>0</v>
      </c>
      <c r="Y23" s="786">
        <v>0</v>
      </c>
      <c r="Z23" s="786">
        <v>0</v>
      </c>
      <c r="AA23" s="786">
        <v>0</v>
      </c>
    </row>
    <row r="24" spans="1:57" x14ac:dyDescent="0.25">
      <c r="A24" s="783" t="s">
        <v>223</v>
      </c>
      <c r="B24" s="783" t="s">
        <v>520</v>
      </c>
      <c r="C24" s="784" t="s">
        <v>708</v>
      </c>
      <c r="D24" s="783">
        <v>0</v>
      </c>
      <c r="E24" s="783">
        <v>0</v>
      </c>
      <c r="F24" s="783">
        <v>0</v>
      </c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3">
        <v>0</v>
      </c>
      <c r="N24" s="783">
        <v>0</v>
      </c>
      <c r="O24" s="783">
        <v>0</v>
      </c>
      <c r="P24" s="783">
        <v>0</v>
      </c>
      <c r="Q24" s="783">
        <v>0</v>
      </c>
      <c r="R24" s="783">
        <v>0</v>
      </c>
      <c r="S24" s="783">
        <v>0</v>
      </c>
      <c r="T24" s="783">
        <v>0</v>
      </c>
      <c r="U24" s="783">
        <v>0</v>
      </c>
      <c r="V24" s="783">
        <v>0</v>
      </c>
      <c r="W24" s="783">
        <v>0</v>
      </c>
      <c r="X24" s="783">
        <v>0</v>
      </c>
      <c r="Y24" s="783">
        <v>0</v>
      </c>
      <c r="Z24" s="783">
        <v>0</v>
      </c>
      <c r="AA24" s="783">
        <v>0</v>
      </c>
      <c r="AB24" s="783">
        <v>0</v>
      </c>
      <c r="AC24" s="783">
        <v>0</v>
      </c>
      <c r="AD24" s="783">
        <v>0</v>
      </c>
      <c r="AE24" s="783">
        <v>0</v>
      </c>
      <c r="AF24" s="783">
        <v>0</v>
      </c>
      <c r="AG24" s="783">
        <v>0</v>
      </c>
      <c r="AH24" s="783">
        <v>0</v>
      </c>
      <c r="AI24" s="783">
        <v>0</v>
      </c>
      <c r="AJ24" s="783">
        <v>0</v>
      </c>
      <c r="AK24" s="783">
        <v>0</v>
      </c>
      <c r="AL24" s="783">
        <v>0</v>
      </c>
      <c r="AM24" s="783">
        <v>0</v>
      </c>
      <c r="AN24" s="783">
        <v>0</v>
      </c>
      <c r="AO24" s="783">
        <v>0</v>
      </c>
      <c r="AP24" s="783">
        <v>0</v>
      </c>
      <c r="AQ24" s="783">
        <v>0</v>
      </c>
      <c r="AR24" s="783">
        <v>0</v>
      </c>
      <c r="AS24" s="783">
        <v>0</v>
      </c>
      <c r="AT24" s="783">
        <v>0</v>
      </c>
      <c r="AU24" s="783">
        <v>0</v>
      </c>
      <c r="AV24" s="783">
        <v>0</v>
      </c>
      <c r="AW24" s="783">
        <v>0</v>
      </c>
      <c r="AX24" s="783">
        <v>0</v>
      </c>
      <c r="AY24" s="783">
        <v>0</v>
      </c>
      <c r="AZ24" s="783">
        <v>0</v>
      </c>
      <c r="BA24" s="783">
        <v>0</v>
      </c>
      <c r="BB24" s="783">
        <v>0</v>
      </c>
      <c r="BC24" s="783">
        <v>0</v>
      </c>
      <c r="BD24" s="783">
        <v>0</v>
      </c>
      <c r="BE24" s="783">
        <v>0</v>
      </c>
    </row>
    <row r="25" spans="1:57" s="788" customFormat="1" x14ac:dyDescent="0.25">
      <c r="A25" s="783" t="s">
        <v>223</v>
      </c>
      <c r="B25" s="783"/>
      <c r="C25" s="787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 s="788">
        <v>0</v>
      </c>
      <c r="AC25" s="788">
        <v>0</v>
      </c>
      <c r="AD25" s="788">
        <v>0</v>
      </c>
      <c r="AE25" s="788">
        <v>0</v>
      </c>
      <c r="AF25" s="788">
        <v>0</v>
      </c>
      <c r="AG25" s="788">
        <v>0</v>
      </c>
      <c r="AH25" s="788">
        <v>0</v>
      </c>
      <c r="AI25" s="788">
        <v>0</v>
      </c>
      <c r="AJ25" s="788">
        <v>0</v>
      </c>
      <c r="AK25" s="788">
        <v>0</v>
      </c>
      <c r="AL25" s="788">
        <v>0</v>
      </c>
      <c r="AM25" s="788">
        <v>0</v>
      </c>
      <c r="AN25" s="788">
        <v>0</v>
      </c>
      <c r="AO25" s="788">
        <v>0</v>
      </c>
      <c r="AP25" s="788">
        <v>0</v>
      </c>
      <c r="AQ25" s="788">
        <v>0</v>
      </c>
      <c r="AR25" s="788">
        <v>0</v>
      </c>
      <c r="AS25" s="788">
        <v>0</v>
      </c>
      <c r="AT25" s="788">
        <v>0</v>
      </c>
      <c r="AU25" s="788">
        <v>0</v>
      </c>
      <c r="AV25" s="788">
        <v>0</v>
      </c>
      <c r="AW25" s="788">
        <v>0</v>
      </c>
      <c r="AX25" s="788">
        <v>0</v>
      </c>
      <c r="AY25" s="788">
        <v>0</v>
      </c>
      <c r="AZ25" s="788">
        <v>0</v>
      </c>
      <c r="BA25" s="788">
        <v>0</v>
      </c>
      <c r="BB25" s="788">
        <v>0</v>
      </c>
      <c r="BC25" s="788">
        <v>0</v>
      </c>
      <c r="BD25" s="788">
        <v>0</v>
      </c>
      <c r="BE25" s="788">
        <v>0</v>
      </c>
    </row>
    <row r="26" spans="1:57" x14ac:dyDescent="0.25">
      <c r="A26" s="783" t="s">
        <v>223</v>
      </c>
      <c r="C26" s="784" t="s">
        <v>709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3">
        <v>0</v>
      </c>
      <c r="N26" s="783">
        <v>0</v>
      </c>
      <c r="O26" s="783">
        <v>0</v>
      </c>
      <c r="P26" s="783">
        <v>0</v>
      </c>
      <c r="Q26" s="783">
        <v>0</v>
      </c>
      <c r="R26" s="783">
        <v>0</v>
      </c>
      <c r="S26" s="783">
        <v>0</v>
      </c>
      <c r="T26" s="783">
        <v>0</v>
      </c>
      <c r="U26" s="783">
        <v>0</v>
      </c>
      <c r="V26" s="783">
        <v>0</v>
      </c>
      <c r="W26" s="783">
        <v>0</v>
      </c>
      <c r="X26" s="783">
        <v>0</v>
      </c>
      <c r="Y26" s="783">
        <v>0</v>
      </c>
      <c r="Z26" s="783">
        <v>0</v>
      </c>
      <c r="AA26" s="783">
        <v>0</v>
      </c>
      <c r="AB26" s="783">
        <v>0</v>
      </c>
      <c r="AC26" s="783">
        <v>0</v>
      </c>
      <c r="AD26" s="783">
        <v>0</v>
      </c>
      <c r="AE26" s="783">
        <v>0</v>
      </c>
      <c r="AF26" s="783">
        <v>0</v>
      </c>
      <c r="AG26" s="783">
        <v>0</v>
      </c>
      <c r="AH26" s="783">
        <v>0</v>
      </c>
      <c r="AI26" s="783">
        <v>0</v>
      </c>
      <c r="AJ26" s="783">
        <v>0</v>
      </c>
      <c r="AK26" s="783">
        <v>0</v>
      </c>
      <c r="AL26" s="783">
        <v>0</v>
      </c>
      <c r="AM26" s="783">
        <v>0</v>
      </c>
      <c r="AN26" s="783">
        <v>0</v>
      </c>
      <c r="AO26" s="783">
        <v>0</v>
      </c>
      <c r="AP26" s="783">
        <v>0</v>
      </c>
      <c r="AQ26" s="783">
        <v>0</v>
      </c>
      <c r="AR26" s="783">
        <v>0</v>
      </c>
      <c r="AS26" s="783">
        <v>0</v>
      </c>
      <c r="AT26" s="783">
        <v>0</v>
      </c>
      <c r="AU26" s="783">
        <v>0</v>
      </c>
      <c r="AV26" s="783">
        <v>0</v>
      </c>
      <c r="AW26" s="783">
        <v>0</v>
      </c>
      <c r="AX26" s="783">
        <v>0</v>
      </c>
      <c r="AY26" s="783">
        <v>0</v>
      </c>
      <c r="AZ26" s="783">
        <v>0</v>
      </c>
      <c r="BA26" s="783">
        <v>0</v>
      </c>
      <c r="BB26" s="783">
        <v>0</v>
      </c>
      <c r="BC26" s="783">
        <v>0</v>
      </c>
      <c r="BD26" s="783">
        <v>0</v>
      </c>
      <c r="BE26" s="783">
        <v>0</v>
      </c>
    </row>
    <row r="27" spans="1:57" x14ac:dyDescent="0.25">
      <c r="A27" s="783" t="s">
        <v>223</v>
      </c>
      <c r="C27" s="784" t="s">
        <v>710</v>
      </c>
      <c r="D27" s="788">
        <v>0</v>
      </c>
      <c r="E27" s="788">
        <v>0</v>
      </c>
      <c r="F27" s="788">
        <v>0</v>
      </c>
      <c r="G27" s="788">
        <v>0</v>
      </c>
      <c r="H27" s="788">
        <v>0</v>
      </c>
      <c r="I27" s="788">
        <v>0</v>
      </c>
      <c r="J27" s="788">
        <v>0</v>
      </c>
      <c r="K27" s="788">
        <v>0</v>
      </c>
      <c r="L27" s="788">
        <v>0</v>
      </c>
      <c r="M27" s="788">
        <v>0</v>
      </c>
      <c r="N27" s="788">
        <v>0</v>
      </c>
      <c r="O27" s="788">
        <v>0</v>
      </c>
      <c r="P27" s="788">
        <v>0</v>
      </c>
      <c r="Q27" s="788">
        <v>0</v>
      </c>
      <c r="R27" s="788">
        <v>0</v>
      </c>
      <c r="S27" s="788">
        <v>0</v>
      </c>
      <c r="T27" s="788">
        <v>0</v>
      </c>
      <c r="U27" s="788">
        <v>0</v>
      </c>
      <c r="V27" s="788">
        <v>0</v>
      </c>
      <c r="W27" s="788">
        <v>0</v>
      </c>
      <c r="X27" s="788">
        <v>0</v>
      </c>
      <c r="Y27" s="788">
        <v>0</v>
      </c>
      <c r="Z27" s="788">
        <v>0</v>
      </c>
      <c r="AA27" s="788">
        <v>0</v>
      </c>
    </row>
    <row r="28" spans="1:57" x14ac:dyDescent="0.25">
      <c r="A28" s="783" t="s">
        <v>223</v>
      </c>
      <c r="B28" s="783" t="s">
        <v>154</v>
      </c>
      <c r="C28" s="784" t="s">
        <v>711</v>
      </c>
      <c r="D28" s="783">
        <v>0</v>
      </c>
      <c r="E28" s="783">
        <v>0</v>
      </c>
      <c r="F28" s="783">
        <v>0</v>
      </c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3">
        <v>0</v>
      </c>
      <c r="N28" s="783">
        <v>0</v>
      </c>
      <c r="O28" s="783">
        <v>0</v>
      </c>
      <c r="P28" s="783">
        <v>0</v>
      </c>
      <c r="Q28" s="783">
        <v>0</v>
      </c>
      <c r="R28" s="783">
        <v>0</v>
      </c>
      <c r="S28" s="783">
        <v>0</v>
      </c>
      <c r="T28" s="783">
        <v>0</v>
      </c>
      <c r="U28" s="783">
        <v>0</v>
      </c>
      <c r="V28" s="783">
        <v>0</v>
      </c>
      <c r="W28" s="783">
        <v>0</v>
      </c>
      <c r="X28" s="783">
        <v>0</v>
      </c>
      <c r="Y28" s="783">
        <v>0</v>
      </c>
      <c r="Z28" s="783">
        <v>0</v>
      </c>
      <c r="AA28" s="783">
        <v>0</v>
      </c>
      <c r="AB28" s="783">
        <v>0</v>
      </c>
      <c r="AC28" s="783">
        <v>0</v>
      </c>
      <c r="AD28" s="783">
        <v>0</v>
      </c>
      <c r="AE28" s="783">
        <v>0</v>
      </c>
      <c r="AF28" s="783">
        <v>0</v>
      </c>
      <c r="AG28" s="783">
        <v>0</v>
      </c>
      <c r="AH28" s="783">
        <v>0</v>
      </c>
      <c r="AI28" s="783">
        <v>0</v>
      </c>
      <c r="AJ28" s="783">
        <v>0</v>
      </c>
      <c r="AK28" s="783">
        <v>0</v>
      </c>
      <c r="AL28" s="783">
        <v>0</v>
      </c>
      <c r="AM28" s="783">
        <v>0</v>
      </c>
      <c r="AN28" s="783">
        <v>0</v>
      </c>
      <c r="AO28" s="783">
        <v>0</v>
      </c>
      <c r="AP28" s="783">
        <v>0</v>
      </c>
      <c r="AQ28" s="783">
        <v>0</v>
      </c>
      <c r="AR28" s="783">
        <v>0</v>
      </c>
      <c r="AS28" s="783">
        <v>0</v>
      </c>
      <c r="AT28" s="783">
        <v>0</v>
      </c>
      <c r="AU28" s="783">
        <v>0</v>
      </c>
      <c r="AV28" s="783">
        <v>0</v>
      </c>
      <c r="AW28" s="783">
        <v>0</v>
      </c>
      <c r="AX28" s="783">
        <v>0</v>
      </c>
      <c r="AY28" s="783">
        <v>0</v>
      </c>
      <c r="AZ28" s="783">
        <v>0</v>
      </c>
      <c r="BA28" s="783">
        <v>0</v>
      </c>
      <c r="BB28" s="783">
        <v>0</v>
      </c>
      <c r="BC28" s="783">
        <v>0</v>
      </c>
      <c r="BD28" s="783">
        <v>0</v>
      </c>
      <c r="BE28" s="783">
        <v>0</v>
      </c>
    </row>
    <row r="29" spans="1:57" x14ac:dyDescent="0.25">
      <c r="A29" s="783" t="s">
        <v>223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57" x14ac:dyDescent="0.25">
      <c r="A30" s="783" t="s">
        <v>223</v>
      </c>
      <c r="B30" s="783" t="s">
        <v>521</v>
      </c>
      <c r="C30" s="784" t="s">
        <v>712</v>
      </c>
      <c r="D30" s="783">
        <v>0</v>
      </c>
      <c r="E30" s="783">
        <v>0</v>
      </c>
      <c r="F30" s="783">
        <v>0</v>
      </c>
      <c r="G30" s="783">
        <v>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3">
        <v>0</v>
      </c>
      <c r="N30" s="783">
        <v>0</v>
      </c>
      <c r="O30" s="783">
        <v>0</v>
      </c>
      <c r="P30" s="783">
        <v>0</v>
      </c>
      <c r="Q30" s="783">
        <v>0</v>
      </c>
      <c r="R30" s="783">
        <v>0</v>
      </c>
      <c r="S30" s="783">
        <v>0</v>
      </c>
      <c r="T30" s="783">
        <v>0</v>
      </c>
      <c r="U30" s="783">
        <v>0</v>
      </c>
      <c r="V30" s="783">
        <v>0</v>
      </c>
      <c r="W30" s="783">
        <v>0</v>
      </c>
      <c r="X30" s="783">
        <v>0</v>
      </c>
      <c r="Y30" s="783">
        <v>0</v>
      </c>
      <c r="Z30" s="783">
        <v>0</v>
      </c>
      <c r="AA30" s="783">
        <v>0</v>
      </c>
      <c r="AB30" s="783">
        <v>9681.7588086908199</v>
      </c>
      <c r="AC30" s="783">
        <v>8428.4273388470901</v>
      </c>
      <c r="AD30" s="783">
        <v>9742.9014729914106</v>
      </c>
      <c r="AE30" s="783">
        <v>11523.570311085499</v>
      </c>
      <c r="AF30" s="783">
        <v>16648.5044014468</v>
      </c>
      <c r="AG30" s="783">
        <v>21022.101954255199</v>
      </c>
      <c r="AH30" s="783">
        <v>21416.9663091275</v>
      </c>
      <c r="AI30" s="783">
        <v>19059.434638656199</v>
      </c>
      <c r="AJ30" s="783">
        <v>18974.489373566401</v>
      </c>
      <c r="AK30" s="783">
        <v>18409.981669315199</v>
      </c>
      <c r="AL30" s="783">
        <v>18417.318057037199</v>
      </c>
      <c r="AM30" s="783">
        <v>10831.506267434301</v>
      </c>
      <c r="AN30" s="783">
        <v>9580.96595361242</v>
      </c>
      <c r="AO30" s="783">
        <v>8427.9784383475107</v>
      </c>
      <c r="AP30" s="783">
        <v>10033.474677350199</v>
      </c>
      <c r="AQ30" s="783">
        <v>11833.4285181138</v>
      </c>
      <c r="AR30" s="783">
        <v>16959.014476784901</v>
      </c>
      <c r="AS30" s="783">
        <v>21362.864818174199</v>
      </c>
      <c r="AT30" s="783">
        <v>21795.047509596901</v>
      </c>
      <c r="AU30" s="783">
        <v>19885.324197055099</v>
      </c>
      <c r="AV30" s="783">
        <v>18766.163022034099</v>
      </c>
      <c r="AW30" s="783">
        <v>18737.723997421799</v>
      </c>
      <c r="AX30" s="783">
        <v>18737.5079879472</v>
      </c>
      <c r="AY30" s="783">
        <v>11031.134361152899</v>
      </c>
      <c r="AZ30" s="783">
        <v>9582.8183418994995</v>
      </c>
      <c r="BA30" s="783">
        <v>8237.8838870957497</v>
      </c>
      <c r="BB30" s="783">
        <v>10156.196411369299</v>
      </c>
      <c r="BC30" s="783">
        <v>11953.9007808651</v>
      </c>
      <c r="BD30" s="783">
        <v>12299.394948253001</v>
      </c>
      <c r="BE30" s="783">
        <v>15841.172763480001</v>
      </c>
    </row>
    <row r="31" spans="1:57" x14ac:dyDescent="0.25">
      <c r="A31" s="783" t="s">
        <v>223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 s="783">
        <v>727.45138898749894</v>
      </c>
      <c r="AC31" s="783">
        <v>616.62946023923405</v>
      </c>
      <c r="AD31" s="783">
        <v>546.55788193472995</v>
      </c>
      <c r="AE31" s="783">
        <v>505.84921837834298</v>
      </c>
      <c r="AF31" s="783">
        <v>462.838488513306</v>
      </c>
      <c r="AG31" s="783">
        <v>489.970253381166</v>
      </c>
      <c r="AH31" s="783">
        <v>440.73083202214502</v>
      </c>
      <c r="AI31" s="783">
        <v>457.21682646967298</v>
      </c>
      <c r="AJ31" s="783">
        <v>507.13483805618398</v>
      </c>
      <c r="AK31" s="783">
        <v>723.42512543216503</v>
      </c>
      <c r="AL31" s="783">
        <v>804.59518755301394</v>
      </c>
      <c r="AM31" s="783">
        <v>718.310432939213</v>
      </c>
      <c r="AN31" s="783">
        <v>760.37037058773501</v>
      </c>
      <c r="AO31" s="783">
        <v>649.73674757287301</v>
      </c>
      <c r="AP31" s="783">
        <v>579.14943572101902</v>
      </c>
      <c r="AQ31" s="783">
        <v>539.08937203804396</v>
      </c>
      <c r="AR31" s="783">
        <v>494.71744227479502</v>
      </c>
      <c r="AS31" s="783">
        <v>525.21297676235395</v>
      </c>
      <c r="AT31" s="783">
        <v>473.62980194868999</v>
      </c>
      <c r="AU31" s="783">
        <v>491.68616905222899</v>
      </c>
      <c r="AV31" s="783">
        <v>536.69075982275501</v>
      </c>
      <c r="AW31" s="783">
        <v>765.51020830779396</v>
      </c>
      <c r="AX31" s="783">
        <v>847.08841376218197</v>
      </c>
      <c r="AY31" s="783">
        <v>757.68872697035101</v>
      </c>
      <c r="AZ31" s="783">
        <v>794.39694108502795</v>
      </c>
      <c r="BA31" s="783">
        <v>674.49517944593401</v>
      </c>
      <c r="BB31" s="783">
        <v>607.09299089397803</v>
      </c>
      <c r="BC31" s="783">
        <v>571.44478810131295</v>
      </c>
      <c r="BD31" s="783">
        <v>484.74659938395502</v>
      </c>
      <c r="BE31" s="783">
        <v>528.07758082487203</v>
      </c>
    </row>
    <row r="32" spans="1:57" x14ac:dyDescent="0.25">
      <c r="A32" s="783" t="s">
        <v>223</v>
      </c>
      <c r="B32" s="783" t="s">
        <v>107</v>
      </c>
      <c r="C32" s="784" t="s">
        <v>713</v>
      </c>
      <c r="D32" s="783">
        <v>4715.2591501719198</v>
      </c>
      <c r="E32" s="783">
        <v>8805.1191315466604</v>
      </c>
      <c r="F32" s="783">
        <v>19233.291488074301</v>
      </c>
      <c r="G32" s="783">
        <v>18393.175499250301</v>
      </c>
      <c r="H32" s="783">
        <v>16464.154966158101</v>
      </c>
      <c r="I32" s="783">
        <v>20153.722819181301</v>
      </c>
      <c r="J32" s="783">
        <v>21184.497999403698</v>
      </c>
      <c r="K32" s="783">
        <v>18279.629421298301</v>
      </c>
      <c r="L32" s="783">
        <v>18628.100699054299</v>
      </c>
      <c r="M32" s="783">
        <v>17319.221321985799</v>
      </c>
      <c r="N32" s="783">
        <v>18027.3529062942</v>
      </c>
      <c r="O32" s="783">
        <v>10447.0912033144</v>
      </c>
      <c r="P32" s="783">
        <v>8613.4467696033298</v>
      </c>
      <c r="Q32" s="783">
        <v>8036.8497489041101</v>
      </c>
      <c r="R32" s="783">
        <v>9473.9784823549908</v>
      </c>
      <c r="S32" s="783">
        <v>11526.3482100111</v>
      </c>
      <c r="T32" s="783">
        <v>17661.4477127219</v>
      </c>
      <c r="U32" s="783">
        <v>20871.541284159401</v>
      </c>
      <c r="V32" s="783">
        <v>21283.9686922941</v>
      </c>
      <c r="W32" s="783">
        <v>18625.462474827898</v>
      </c>
      <c r="X32" s="783">
        <v>19142.702647809299</v>
      </c>
      <c r="Y32" s="783">
        <v>17074.741474541301</v>
      </c>
      <c r="Z32" s="783">
        <v>17083.384308050801</v>
      </c>
      <c r="AA32" s="783">
        <v>9439.0509730075792</v>
      </c>
      <c r="AB32" s="783">
        <v>329.82243981753697</v>
      </c>
      <c r="AC32" s="783">
        <v>319.94716651278497</v>
      </c>
      <c r="AD32" s="783">
        <v>262.81454373158601</v>
      </c>
      <c r="AE32" s="783">
        <v>160.23378176144101</v>
      </c>
      <c r="AF32" s="783">
        <v>114.86008783441601</v>
      </c>
      <c r="AG32" s="783">
        <v>108.48764603716999</v>
      </c>
      <c r="AH32" s="783">
        <v>98.192044562591505</v>
      </c>
      <c r="AI32" s="783">
        <v>101.316361496342</v>
      </c>
      <c r="AJ32" s="783">
        <v>126.111317069481</v>
      </c>
      <c r="AK32" s="783">
        <v>178.022788616913</v>
      </c>
      <c r="AL32" s="783">
        <v>247.08589766138499</v>
      </c>
      <c r="AM32" s="783">
        <v>311.93803253625703</v>
      </c>
      <c r="AN32" s="783">
        <v>323.59479077661501</v>
      </c>
      <c r="AO32" s="783">
        <v>313.74382808898798</v>
      </c>
      <c r="AP32" s="783">
        <v>258.13960910838</v>
      </c>
      <c r="AQ32" s="783">
        <v>155.57133501996501</v>
      </c>
      <c r="AR32" s="783">
        <v>111.47018910599699</v>
      </c>
      <c r="AS32" s="783">
        <v>105.41522303503</v>
      </c>
      <c r="AT32" s="783">
        <v>98.844351960936805</v>
      </c>
      <c r="AU32" s="783">
        <v>100.87549703931001</v>
      </c>
      <c r="AV32" s="783">
        <v>125.472390874021</v>
      </c>
      <c r="AW32" s="783">
        <v>179.13644648831101</v>
      </c>
      <c r="AX32" s="783">
        <v>250.26468922170801</v>
      </c>
      <c r="AY32" s="783">
        <v>316.92475378259502</v>
      </c>
      <c r="AZ32" s="783">
        <v>329.436436009234</v>
      </c>
      <c r="BA32" s="783">
        <v>319.45502093407498</v>
      </c>
      <c r="BB32" s="783">
        <v>262.85304690540698</v>
      </c>
      <c r="BC32" s="783">
        <v>156.66167787977699</v>
      </c>
      <c r="BD32" s="783">
        <v>112.31143800716301</v>
      </c>
      <c r="BE32" s="783">
        <v>106.296910335066</v>
      </c>
    </row>
    <row r="33" spans="1:57" x14ac:dyDescent="0.25">
      <c r="A33" s="783" t="s">
        <v>223</v>
      </c>
      <c r="B33" s="783" t="s">
        <v>614</v>
      </c>
      <c r="C33" s="784" t="s">
        <v>714</v>
      </c>
      <c r="D33" s="783">
        <v>3451.3301000903598</v>
      </c>
      <c r="E33" s="783">
        <v>2403.0946195368301</v>
      </c>
      <c r="F33" s="783">
        <v>3647.5446628741602</v>
      </c>
      <c r="G33" s="783">
        <v>2756.64957666186</v>
      </c>
      <c r="H33" s="783">
        <v>1622.7608539712601</v>
      </c>
      <c r="I33" s="783">
        <v>1624.8461072513501</v>
      </c>
      <c r="J33" s="783">
        <v>2050.8805169951802</v>
      </c>
      <c r="K33" s="783">
        <v>2150.40732478478</v>
      </c>
      <c r="L33" s="783">
        <v>2368.2281949634198</v>
      </c>
      <c r="M33" s="783">
        <v>3346.5458816378</v>
      </c>
      <c r="N33" s="783">
        <v>3823.0968300106501</v>
      </c>
      <c r="O33" s="783">
        <v>3364.26141634233</v>
      </c>
      <c r="P33" s="783">
        <v>3470.73219586388</v>
      </c>
      <c r="Q33" s="783">
        <v>2921.9377622431098</v>
      </c>
      <c r="R33" s="783">
        <v>2561.8112798777902</v>
      </c>
      <c r="S33" s="783">
        <v>2234.9388790374701</v>
      </c>
      <c r="T33" s="783">
        <v>2072.0927094126901</v>
      </c>
      <c r="U33" s="783">
        <v>2116.7145240374498</v>
      </c>
      <c r="V33" s="783">
        <v>2220.5612696306698</v>
      </c>
      <c r="W33" s="783">
        <v>2310.2744493762998</v>
      </c>
      <c r="X33" s="783">
        <v>2559.37703370894</v>
      </c>
      <c r="Y33" s="783">
        <v>3604.1241556820701</v>
      </c>
      <c r="Z33" s="783">
        <v>4039.07916459951</v>
      </c>
      <c r="AA33" s="783">
        <v>3445.77534897431</v>
      </c>
      <c r="AB33" s="783">
        <v>10739.0326374958</v>
      </c>
      <c r="AC33" s="783">
        <v>9365.0039655991095</v>
      </c>
      <c r="AD33" s="783">
        <v>10552.273898657701</v>
      </c>
      <c r="AE33" s="783">
        <v>12189.6533112253</v>
      </c>
      <c r="AF33" s="783">
        <v>17226.202977794601</v>
      </c>
      <c r="AG33" s="783">
        <v>21620.559853673501</v>
      </c>
      <c r="AH33" s="783">
        <v>21955.8891857122</v>
      </c>
      <c r="AI33" s="783">
        <v>19617.9678266222</v>
      </c>
      <c r="AJ33" s="783">
        <v>19607.735528692101</v>
      </c>
      <c r="AK33" s="783">
        <v>19311.429583364199</v>
      </c>
      <c r="AL33" s="783">
        <v>19468.9991422516</v>
      </c>
      <c r="AM33" s="783">
        <v>11861.7547329098</v>
      </c>
      <c r="AN33" s="783">
        <v>10664.9311149767</v>
      </c>
      <c r="AO33" s="783">
        <v>9391.4590140093696</v>
      </c>
      <c r="AP33" s="783">
        <v>10870.763722179599</v>
      </c>
      <c r="AQ33" s="783">
        <v>12528.0892251718</v>
      </c>
      <c r="AR33" s="783">
        <v>17565.2021081657</v>
      </c>
      <c r="AS33" s="783">
        <v>21993.493017971599</v>
      </c>
      <c r="AT33" s="783">
        <v>22367.521663506501</v>
      </c>
      <c r="AU33" s="783">
        <v>20477.885863146701</v>
      </c>
      <c r="AV33" s="783">
        <v>19428.3261727309</v>
      </c>
      <c r="AW33" s="783">
        <v>19682.370652217902</v>
      </c>
      <c r="AX33" s="783">
        <v>19834.861090931099</v>
      </c>
      <c r="AY33" s="783">
        <v>12105.747841905801</v>
      </c>
      <c r="AZ33" s="783">
        <v>10706.6517189937</v>
      </c>
      <c r="BA33" s="783">
        <v>9231.8340874757596</v>
      </c>
      <c r="BB33" s="783">
        <v>11026.142449168699</v>
      </c>
      <c r="BC33" s="783">
        <v>12682.0072468462</v>
      </c>
      <c r="BD33" s="783">
        <v>12896.4529856441</v>
      </c>
      <c r="BE33" s="783">
        <v>16475.547254640001</v>
      </c>
    </row>
    <row r="34" spans="1:57" x14ac:dyDescent="0.25">
      <c r="A34" s="783" t="s">
        <v>223</v>
      </c>
      <c r="B34" s="783" t="s">
        <v>109</v>
      </c>
      <c r="C34" s="784" t="s">
        <v>715</v>
      </c>
      <c r="D34" s="783">
        <v>2359.1060694868702</v>
      </c>
      <c r="E34" s="783">
        <v>340.518605233068</v>
      </c>
      <c r="F34" s="783">
        <v>1372.09538310269</v>
      </c>
      <c r="G34" s="783">
        <v>641.50217648699004</v>
      </c>
      <c r="H34" s="783">
        <v>137.958655781923</v>
      </c>
      <c r="I34" s="783">
        <v>100.76751917843499</v>
      </c>
      <c r="J34" s="783">
        <v>20.402504539700399</v>
      </c>
      <c r="K34" s="783">
        <v>21.076415418605102</v>
      </c>
      <c r="L34" s="783">
        <v>26.141484360888999</v>
      </c>
      <c r="M34" s="783">
        <v>36.842512387773901</v>
      </c>
      <c r="N34" s="783">
        <v>50.875945381944398</v>
      </c>
      <c r="O34" s="783">
        <v>63.900248722214897</v>
      </c>
      <c r="P34" s="783">
        <v>57.941665783334798</v>
      </c>
      <c r="Q34" s="783">
        <v>56.4980774033153</v>
      </c>
      <c r="R34" s="783">
        <v>46.447862736066803</v>
      </c>
      <c r="S34" s="783">
        <v>28.587448352407598</v>
      </c>
      <c r="T34" s="783">
        <v>20.546430814313201</v>
      </c>
      <c r="U34" s="783">
        <v>19.3325593852453</v>
      </c>
      <c r="V34" s="783">
        <v>19.213068264884502</v>
      </c>
      <c r="W34" s="783">
        <v>19.862914130680299</v>
      </c>
      <c r="X34" s="783">
        <v>24.6140488007884</v>
      </c>
      <c r="Y34" s="783">
        <v>34.737678338113</v>
      </c>
      <c r="Z34" s="783">
        <v>48.264772589543803</v>
      </c>
      <c r="AA34" s="783">
        <v>60.9105829213146</v>
      </c>
    </row>
    <row r="35" spans="1:57" x14ac:dyDescent="0.25">
      <c r="A35" s="783" t="s">
        <v>223</v>
      </c>
      <c r="B35" s="786"/>
      <c r="C35" s="784" t="s">
        <v>716</v>
      </c>
      <c r="D35" s="783">
        <v>10525.6953197491</v>
      </c>
      <c r="E35" s="783">
        <v>11548.732356316499</v>
      </c>
      <c r="F35" s="783">
        <v>24252.931534051098</v>
      </c>
      <c r="G35" s="783">
        <v>21791.327252399198</v>
      </c>
      <c r="H35" s="783">
        <v>18224.8744759113</v>
      </c>
      <c r="I35" s="783">
        <v>21879.336445611101</v>
      </c>
      <c r="J35" s="783">
        <v>23255.781020938601</v>
      </c>
      <c r="K35" s="783">
        <v>20451.1131615017</v>
      </c>
      <c r="L35" s="783">
        <v>21022.470378378599</v>
      </c>
      <c r="M35" s="783">
        <v>20702.6097160114</v>
      </c>
      <c r="N35" s="783">
        <v>21901.325681686802</v>
      </c>
      <c r="O35" s="783">
        <v>13875.252868378901</v>
      </c>
      <c r="P35" s="783">
        <v>12142.1206312505</v>
      </c>
      <c r="Q35" s="783">
        <v>11015.2855885505</v>
      </c>
      <c r="R35" s="783">
        <v>12082.2376249688</v>
      </c>
      <c r="S35" s="783">
        <v>13789.874537400899</v>
      </c>
      <c r="T35" s="783">
        <v>19754.086852948902</v>
      </c>
      <c r="U35" s="783">
        <v>23007.588367582099</v>
      </c>
      <c r="V35" s="783">
        <v>23523.7430301897</v>
      </c>
      <c r="W35" s="783">
        <v>20955.5998383349</v>
      </c>
      <c r="X35" s="783">
        <v>21726.693730318999</v>
      </c>
      <c r="Y35" s="783">
        <v>20713.603308561502</v>
      </c>
      <c r="Z35" s="783">
        <v>21170.728245239901</v>
      </c>
      <c r="AA35" s="783">
        <v>12945.7369049032</v>
      </c>
      <c r="AB35" s="783">
        <v>16113.2060869749</v>
      </c>
      <c r="AC35" s="783">
        <v>14289.4533995335</v>
      </c>
      <c r="AD35" s="783">
        <v>15435.1670829709</v>
      </c>
      <c r="AE35" s="783">
        <v>17372.2612459745</v>
      </c>
      <c r="AF35" s="783">
        <v>23356.045220763801</v>
      </c>
      <c r="AG35" s="783">
        <v>28244.413330011899</v>
      </c>
      <c r="AH35" s="783">
        <v>28591.4274864244</v>
      </c>
      <c r="AI35" s="783">
        <v>25491.7587520329</v>
      </c>
      <c r="AJ35" s="783">
        <v>25626.007833842501</v>
      </c>
      <c r="AK35" s="783">
        <v>25267.794050482498</v>
      </c>
      <c r="AL35" s="783">
        <v>25560.964329489601</v>
      </c>
      <c r="AM35" s="783">
        <v>17233.625620888299</v>
      </c>
      <c r="AN35" s="783">
        <v>16027.4269346983</v>
      </c>
      <c r="AO35" s="783">
        <v>14303.968859094601</v>
      </c>
      <c r="AP35" s="783">
        <v>15753.9816763737</v>
      </c>
      <c r="AQ35" s="783">
        <v>17698.6700050402</v>
      </c>
      <c r="AR35" s="783">
        <v>23667.479532263002</v>
      </c>
      <c r="AS35" s="783">
        <v>28581.2543258349</v>
      </c>
      <c r="AT35" s="783">
        <v>28958.071263776499</v>
      </c>
      <c r="AU35" s="783">
        <v>26317.960927472199</v>
      </c>
      <c r="AV35" s="783">
        <v>25412.2227262124</v>
      </c>
      <c r="AW35" s="783">
        <v>25623.1966273625</v>
      </c>
      <c r="AX35" s="783">
        <v>25918.782979207499</v>
      </c>
      <c r="AY35" s="783">
        <v>17465.285752204101</v>
      </c>
      <c r="AZ35" s="783">
        <v>16058.435953730301</v>
      </c>
      <c r="BA35" s="783">
        <v>14133.571325883</v>
      </c>
      <c r="BB35" s="783">
        <v>15908.5737413228</v>
      </c>
      <c r="BC35" s="783">
        <v>17840.382432114398</v>
      </c>
      <c r="BD35" s="783">
        <v>18971.868578098602</v>
      </c>
      <c r="BE35" s="783">
        <v>23027.419835188201</v>
      </c>
    </row>
    <row r="36" spans="1:57" s="880" customFormat="1" x14ac:dyDescent="0.25">
      <c r="A36" s="783" t="s">
        <v>223</v>
      </c>
      <c r="B36" s="786"/>
      <c r="C36" s="881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57" x14ac:dyDescent="0.25">
      <c r="A37" s="783" t="s">
        <v>223</v>
      </c>
      <c r="C37" s="784" t="s">
        <v>717</v>
      </c>
      <c r="D37" s="783">
        <v>19057.223839187202</v>
      </c>
      <c r="E37" s="783">
        <v>19833.434973672</v>
      </c>
      <c r="F37" s="783">
        <v>32846.396895841703</v>
      </c>
      <c r="G37" s="783">
        <v>29777.215478567799</v>
      </c>
      <c r="H37" s="783">
        <v>24330.344154221799</v>
      </c>
      <c r="I37" s="783">
        <v>28529.132577517899</v>
      </c>
      <c r="J37" s="783">
        <v>29987.747878377799</v>
      </c>
      <c r="K37" s="783">
        <v>26392.829158656401</v>
      </c>
      <c r="L37" s="783">
        <v>27112.856958942</v>
      </c>
      <c r="M37" s="783">
        <v>26686.362687021399</v>
      </c>
      <c r="N37" s="783">
        <v>28001.403248599399</v>
      </c>
      <c r="O37" s="783">
        <v>19261.830219182099</v>
      </c>
      <c r="P37" s="783">
        <v>17515.779549966799</v>
      </c>
      <c r="Q37" s="783">
        <v>15940.688002069999</v>
      </c>
      <c r="R37" s="783">
        <v>16964.558289429999</v>
      </c>
      <c r="S37" s="783">
        <v>18984.994100068201</v>
      </c>
      <c r="T37" s="783">
        <v>25914.3299120177</v>
      </c>
      <c r="U37" s="783">
        <v>29671.2790941282</v>
      </c>
      <c r="V37" s="783">
        <v>30205.4335328245</v>
      </c>
      <c r="W37" s="783">
        <v>26863.1828502276</v>
      </c>
      <c r="X37" s="783">
        <v>27780.1233709999</v>
      </c>
      <c r="Y37" s="783">
        <v>26684.319650945101</v>
      </c>
      <c r="Z37" s="783">
        <v>27269.375042190299</v>
      </c>
      <c r="AA37" s="783">
        <v>18329.6642365511</v>
      </c>
      <c r="AB37" s="783">
        <v>1</v>
      </c>
      <c r="AC37" s="783">
        <v>1</v>
      </c>
      <c r="AD37" s="783">
        <v>1</v>
      </c>
      <c r="AE37" s="783">
        <v>1</v>
      </c>
      <c r="AF37" s="783">
        <v>1</v>
      </c>
      <c r="AG37" s="783">
        <v>1</v>
      </c>
      <c r="AH37" s="783">
        <v>1</v>
      </c>
      <c r="AI37" s="783">
        <v>1</v>
      </c>
      <c r="AJ37" s="783">
        <v>1</v>
      </c>
      <c r="AK37" s="783">
        <v>1</v>
      </c>
      <c r="AL37" s="783">
        <v>1</v>
      </c>
      <c r="AM37" s="783">
        <v>1</v>
      </c>
      <c r="AN37" s="783">
        <v>1</v>
      </c>
      <c r="AO37" s="783">
        <v>1</v>
      </c>
      <c r="AP37" s="783">
        <v>1</v>
      </c>
      <c r="AQ37" s="783">
        <v>1</v>
      </c>
      <c r="AR37" s="783">
        <v>1</v>
      </c>
      <c r="AS37" s="783">
        <v>1</v>
      </c>
      <c r="AT37" s="783">
        <v>1</v>
      </c>
      <c r="AU37" s="783">
        <v>1</v>
      </c>
      <c r="AV37" s="783">
        <v>1</v>
      </c>
      <c r="AW37" s="783">
        <v>1</v>
      </c>
      <c r="AX37" s="783">
        <v>1</v>
      </c>
      <c r="AY37" s="783">
        <v>1</v>
      </c>
      <c r="AZ37" s="783">
        <v>1</v>
      </c>
      <c r="BA37" s="783">
        <v>1</v>
      </c>
      <c r="BB37" s="783">
        <v>1</v>
      </c>
      <c r="BC37" s="783">
        <v>1</v>
      </c>
      <c r="BD37" s="783">
        <v>1</v>
      </c>
      <c r="BE37" s="783">
        <v>1</v>
      </c>
    </row>
    <row r="38" spans="1:57" s="811" customFormat="1" x14ac:dyDescent="0.25">
      <c r="C38" s="812" t="s">
        <v>718</v>
      </c>
      <c r="AB38" s="811">
        <v>0</v>
      </c>
      <c r="AC38" s="811">
        <v>0</v>
      </c>
      <c r="AD38" s="811">
        <v>0</v>
      </c>
      <c r="AE38" s="811">
        <v>0</v>
      </c>
      <c r="AF38" s="811">
        <v>0</v>
      </c>
      <c r="AG38" s="811">
        <v>0</v>
      </c>
      <c r="AH38" s="811">
        <v>0</v>
      </c>
      <c r="AI38" s="811">
        <v>0</v>
      </c>
      <c r="AJ38" s="811">
        <v>0</v>
      </c>
      <c r="AK38" s="811">
        <v>0</v>
      </c>
      <c r="AL38" s="811">
        <v>0</v>
      </c>
      <c r="AM38" s="811">
        <v>0</v>
      </c>
      <c r="AN38" s="811">
        <v>0</v>
      </c>
      <c r="AO38" s="811">
        <v>0</v>
      </c>
      <c r="AP38" s="811">
        <v>0</v>
      </c>
      <c r="AQ38" s="811">
        <v>0</v>
      </c>
      <c r="AR38" s="811">
        <v>0</v>
      </c>
      <c r="AS38" s="811">
        <v>0</v>
      </c>
      <c r="AT38" s="811">
        <v>0</v>
      </c>
      <c r="AU38" s="811">
        <v>0</v>
      </c>
      <c r="AV38" s="811">
        <v>0</v>
      </c>
      <c r="AW38" s="811">
        <v>0</v>
      </c>
      <c r="AX38" s="811">
        <v>0</v>
      </c>
      <c r="AY38" s="811">
        <v>0</v>
      </c>
      <c r="AZ38" s="811">
        <v>0</v>
      </c>
      <c r="BA38" s="811">
        <v>0</v>
      </c>
      <c r="BB38" s="811">
        <v>0</v>
      </c>
      <c r="BC38" s="811">
        <v>0</v>
      </c>
      <c r="BD38" s="811">
        <v>0</v>
      </c>
      <c r="BE38" s="811">
        <v>0</v>
      </c>
    </row>
    <row r="39" spans="1:57" s="786" customFormat="1" x14ac:dyDescent="0.25">
      <c r="A39" s="783" t="s">
        <v>445</v>
      </c>
      <c r="B39" s="783"/>
      <c r="C39" s="785" t="s">
        <v>693</v>
      </c>
      <c r="D39" s="783">
        <v>1</v>
      </c>
      <c r="E39" s="783">
        <v>1</v>
      </c>
      <c r="F39" s="783">
        <v>1</v>
      </c>
      <c r="G39" s="783">
        <v>1</v>
      </c>
      <c r="H39" s="783">
        <v>1</v>
      </c>
      <c r="I39" s="783">
        <v>1</v>
      </c>
      <c r="J39" s="783">
        <v>1</v>
      </c>
      <c r="K39" s="783">
        <v>1</v>
      </c>
      <c r="L39" s="783">
        <v>1</v>
      </c>
      <c r="M39" s="783">
        <v>1</v>
      </c>
      <c r="N39" s="783">
        <v>1</v>
      </c>
      <c r="O39" s="783">
        <v>1</v>
      </c>
      <c r="P39" s="783">
        <v>1</v>
      </c>
      <c r="Q39" s="783">
        <v>1</v>
      </c>
      <c r="R39" s="783">
        <v>1</v>
      </c>
      <c r="S39" s="783">
        <v>1</v>
      </c>
      <c r="T39" s="783">
        <v>1</v>
      </c>
      <c r="U39" s="783">
        <v>1</v>
      </c>
      <c r="V39" s="783">
        <v>1</v>
      </c>
      <c r="W39" s="783">
        <v>1</v>
      </c>
      <c r="X39" s="783">
        <v>1</v>
      </c>
      <c r="Y39" s="783">
        <v>1</v>
      </c>
      <c r="Z39" s="783">
        <v>1</v>
      </c>
      <c r="AA39" s="783">
        <v>1</v>
      </c>
      <c r="AB39" s="786">
        <v>500</v>
      </c>
      <c r="AC39" s="786">
        <v>500</v>
      </c>
      <c r="AD39" s="786">
        <v>500</v>
      </c>
      <c r="AE39" s="786">
        <v>500</v>
      </c>
      <c r="AF39" s="786">
        <v>500</v>
      </c>
      <c r="AG39" s="786">
        <v>500</v>
      </c>
      <c r="AH39" s="786">
        <v>500</v>
      </c>
      <c r="AI39" s="786">
        <v>500</v>
      </c>
      <c r="AJ39" s="786">
        <v>500</v>
      </c>
      <c r="AK39" s="786">
        <v>500</v>
      </c>
      <c r="AL39" s="786">
        <v>500</v>
      </c>
      <c r="AM39" s="786">
        <v>500</v>
      </c>
      <c r="AN39" s="786">
        <v>500</v>
      </c>
      <c r="AO39" s="786">
        <v>500</v>
      </c>
      <c r="AP39" s="786">
        <v>500</v>
      </c>
      <c r="AQ39" s="786">
        <v>500</v>
      </c>
      <c r="AR39" s="786">
        <v>500</v>
      </c>
      <c r="AS39" s="786">
        <v>500</v>
      </c>
      <c r="AT39" s="786">
        <v>500</v>
      </c>
      <c r="AU39" s="786">
        <v>500</v>
      </c>
      <c r="AV39" s="786">
        <v>500</v>
      </c>
      <c r="AW39" s="786">
        <v>500</v>
      </c>
      <c r="AX39" s="786">
        <v>500</v>
      </c>
      <c r="AY39" s="786">
        <v>500</v>
      </c>
      <c r="AZ39" s="786">
        <v>500</v>
      </c>
      <c r="BA39" s="786">
        <v>500</v>
      </c>
      <c r="BB39" s="786">
        <v>500</v>
      </c>
      <c r="BC39" s="786">
        <v>500</v>
      </c>
      <c r="BD39" s="786">
        <v>500</v>
      </c>
      <c r="BE39" s="786">
        <v>500</v>
      </c>
    </row>
    <row r="40" spans="1:57" s="786" customFormat="1" x14ac:dyDescent="0.25">
      <c r="A40" s="783" t="s">
        <v>445</v>
      </c>
      <c r="B40" s="783"/>
      <c r="C40" s="785" t="s">
        <v>694</v>
      </c>
      <c r="D40" s="783">
        <v>0</v>
      </c>
      <c r="E40" s="783">
        <v>0</v>
      </c>
      <c r="F40" s="783">
        <v>0</v>
      </c>
      <c r="G40" s="783">
        <v>0</v>
      </c>
      <c r="H40" s="783">
        <v>0</v>
      </c>
      <c r="I40" s="783">
        <v>0</v>
      </c>
      <c r="J40" s="783">
        <v>0</v>
      </c>
      <c r="K40" s="783">
        <v>0</v>
      </c>
      <c r="L40" s="783">
        <v>0</v>
      </c>
      <c r="M40" s="783">
        <v>0</v>
      </c>
      <c r="N40" s="783">
        <v>0</v>
      </c>
      <c r="O40" s="783">
        <v>0</v>
      </c>
      <c r="P40" s="783">
        <v>0</v>
      </c>
      <c r="Q40" s="783">
        <v>0</v>
      </c>
      <c r="R40" s="783">
        <v>0</v>
      </c>
      <c r="S40" s="783">
        <v>0</v>
      </c>
      <c r="T40" s="783">
        <v>0</v>
      </c>
      <c r="U40" s="783">
        <v>0</v>
      </c>
      <c r="V40" s="783">
        <v>0</v>
      </c>
      <c r="W40" s="783">
        <v>0</v>
      </c>
      <c r="X40" s="783">
        <v>0</v>
      </c>
      <c r="Y40" s="783">
        <v>0</v>
      </c>
      <c r="Z40" s="783">
        <v>0</v>
      </c>
      <c r="AA40" s="783">
        <v>0</v>
      </c>
      <c r="AB40" s="786">
        <v>0</v>
      </c>
      <c r="AC40" s="786">
        <v>0</v>
      </c>
      <c r="AD40" s="786">
        <v>0</v>
      </c>
      <c r="AE40" s="786">
        <v>0</v>
      </c>
      <c r="AF40" s="786">
        <v>0</v>
      </c>
      <c r="AG40" s="786">
        <v>0</v>
      </c>
      <c r="AH40" s="786">
        <v>0</v>
      </c>
      <c r="AI40" s="786">
        <v>0</v>
      </c>
      <c r="AJ40" s="786">
        <v>0</v>
      </c>
      <c r="AK40" s="786">
        <v>0</v>
      </c>
      <c r="AL40" s="786">
        <v>0</v>
      </c>
      <c r="AM40" s="786">
        <v>0</v>
      </c>
      <c r="AN40" s="786">
        <v>0</v>
      </c>
      <c r="AO40" s="786">
        <v>0</v>
      </c>
      <c r="AP40" s="786">
        <v>0</v>
      </c>
      <c r="AQ40" s="786">
        <v>0</v>
      </c>
      <c r="AR40" s="786">
        <v>0</v>
      </c>
      <c r="AS40" s="786">
        <v>0</v>
      </c>
      <c r="AT40" s="786">
        <v>0</v>
      </c>
      <c r="AU40" s="786">
        <v>0</v>
      </c>
      <c r="AV40" s="786">
        <v>0</v>
      </c>
      <c r="AW40" s="786">
        <v>0</v>
      </c>
      <c r="AX40" s="786">
        <v>0</v>
      </c>
      <c r="AY40" s="786">
        <v>0</v>
      </c>
      <c r="AZ40" s="786">
        <v>0</v>
      </c>
      <c r="BA40" s="786">
        <v>0</v>
      </c>
      <c r="BB40" s="786">
        <v>0</v>
      </c>
      <c r="BC40" s="786">
        <v>0</v>
      </c>
      <c r="BD40" s="786">
        <v>0</v>
      </c>
      <c r="BE40" s="786">
        <v>0</v>
      </c>
    </row>
    <row r="41" spans="1:57" x14ac:dyDescent="0.25">
      <c r="A41" s="783" t="s">
        <v>445</v>
      </c>
      <c r="C41" s="784" t="s">
        <v>695</v>
      </c>
      <c r="D41" s="786">
        <v>500</v>
      </c>
      <c r="E41" s="786">
        <v>500</v>
      </c>
      <c r="F41" s="786">
        <v>500</v>
      </c>
      <c r="G41" s="786">
        <v>500</v>
      </c>
      <c r="H41" s="786">
        <v>500</v>
      </c>
      <c r="I41" s="786">
        <v>500</v>
      </c>
      <c r="J41" s="786">
        <v>500</v>
      </c>
      <c r="K41" s="786">
        <v>500</v>
      </c>
      <c r="L41" s="786">
        <v>500</v>
      </c>
      <c r="M41" s="786">
        <v>500</v>
      </c>
      <c r="N41" s="786">
        <v>500</v>
      </c>
      <c r="O41" s="786">
        <v>500</v>
      </c>
      <c r="P41" s="786">
        <v>500</v>
      </c>
      <c r="Q41" s="786">
        <v>500</v>
      </c>
      <c r="R41" s="786">
        <v>500</v>
      </c>
      <c r="S41" s="786">
        <v>500</v>
      </c>
      <c r="T41" s="786">
        <v>500</v>
      </c>
      <c r="U41" s="786">
        <v>500</v>
      </c>
      <c r="V41" s="786">
        <v>500</v>
      </c>
      <c r="W41" s="786">
        <v>500</v>
      </c>
      <c r="X41" s="786">
        <v>500</v>
      </c>
      <c r="Y41" s="786">
        <v>500</v>
      </c>
      <c r="Z41" s="786">
        <v>500</v>
      </c>
      <c r="AA41" s="786">
        <v>500</v>
      </c>
      <c r="AB41" s="783">
        <v>500</v>
      </c>
      <c r="AC41" s="783">
        <v>500</v>
      </c>
      <c r="AD41" s="783">
        <v>500</v>
      </c>
      <c r="AE41" s="783">
        <v>500</v>
      </c>
      <c r="AF41" s="783">
        <v>500</v>
      </c>
      <c r="AG41" s="783">
        <v>500</v>
      </c>
      <c r="AH41" s="783">
        <v>500</v>
      </c>
      <c r="AI41" s="783">
        <v>500</v>
      </c>
      <c r="AJ41" s="783">
        <v>500</v>
      </c>
      <c r="AK41" s="783">
        <v>500</v>
      </c>
      <c r="AL41" s="783">
        <v>500</v>
      </c>
      <c r="AM41" s="783">
        <v>500</v>
      </c>
      <c r="AN41" s="783">
        <v>500</v>
      </c>
      <c r="AO41" s="783">
        <v>500</v>
      </c>
      <c r="AP41" s="783">
        <v>500</v>
      </c>
      <c r="AQ41" s="783">
        <v>500</v>
      </c>
      <c r="AR41" s="783">
        <v>500</v>
      </c>
      <c r="AS41" s="783">
        <v>500</v>
      </c>
      <c r="AT41" s="783">
        <v>500</v>
      </c>
      <c r="AU41" s="783">
        <v>500</v>
      </c>
      <c r="AV41" s="783">
        <v>500</v>
      </c>
      <c r="AW41" s="783">
        <v>500</v>
      </c>
      <c r="AX41" s="783">
        <v>500</v>
      </c>
      <c r="AY41" s="783">
        <v>500</v>
      </c>
      <c r="AZ41" s="783">
        <v>500</v>
      </c>
      <c r="BA41" s="783">
        <v>500</v>
      </c>
      <c r="BB41" s="783">
        <v>500</v>
      </c>
      <c r="BC41" s="783">
        <v>500</v>
      </c>
      <c r="BD41" s="783">
        <v>500</v>
      </c>
      <c r="BE41" s="783">
        <v>500</v>
      </c>
    </row>
    <row r="42" spans="1:57" x14ac:dyDescent="0.25">
      <c r="A42" s="783" t="s">
        <v>445</v>
      </c>
      <c r="C42" s="784" t="s">
        <v>696</v>
      </c>
      <c r="D42" s="786">
        <v>0</v>
      </c>
      <c r="E42" s="786">
        <v>0</v>
      </c>
      <c r="F42" s="786">
        <v>0</v>
      </c>
      <c r="G42" s="786">
        <v>0</v>
      </c>
      <c r="H42" s="786">
        <v>0</v>
      </c>
      <c r="I42" s="786">
        <v>0</v>
      </c>
      <c r="J42" s="786">
        <v>0</v>
      </c>
      <c r="K42" s="786">
        <v>0</v>
      </c>
      <c r="L42" s="786">
        <v>0</v>
      </c>
      <c r="M42" s="786">
        <v>0</v>
      </c>
      <c r="N42" s="786">
        <v>0</v>
      </c>
      <c r="O42" s="786">
        <v>0</v>
      </c>
      <c r="P42" s="786">
        <v>0</v>
      </c>
      <c r="Q42" s="786">
        <v>0</v>
      </c>
      <c r="R42" s="786">
        <v>0</v>
      </c>
      <c r="S42" s="786">
        <v>0</v>
      </c>
      <c r="T42" s="786">
        <v>0</v>
      </c>
      <c r="U42" s="786">
        <v>0</v>
      </c>
      <c r="V42" s="786">
        <v>0</v>
      </c>
      <c r="W42" s="786">
        <v>0</v>
      </c>
      <c r="X42" s="786">
        <v>0</v>
      </c>
      <c r="Y42" s="786">
        <v>0</v>
      </c>
      <c r="Z42" s="786">
        <v>0</v>
      </c>
      <c r="AA42" s="786">
        <v>0</v>
      </c>
      <c r="AB42" s="783">
        <v>0</v>
      </c>
      <c r="AC42" s="783">
        <v>0</v>
      </c>
      <c r="AD42" s="783">
        <v>0</v>
      </c>
      <c r="AE42" s="783">
        <v>0</v>
      </c>
      <c r="AF42" s="783">
        <v>0</v>
      </c>
      <c r="AG42" s="783">
        <v>0</v>
      </c>
      <c r="AH42" s="783">
        <v>0</v>
      </c>
      <c r="AI42" s="783">
        <v>0</v>
      </c>
      <c r="AJ42" s="783">
        <v>0</v>
      </c>
      <c r="AK42" s="783">
        <v>0</v>
      </c>
      <c r="AL42" s="783">
        <v>0</v>
      </c>
      <c r="AM42" s="783">
        <v>0</v>
      </c>
      <c r="AN42" s="783">
        <v>0</v>
      </c>
      <c r="AO42" s="783">
        <v>0</v>
      </c>
      <c r="AP42" s="783">
        <v>0</v>
      </c>
      <c r="AQ42" s="783">
        <v>0</v>
      </c>
      <c r="AR42" s="783">
        <v>0</v>
      </c>
      <c r="AS42" s="783">
        <v>0</v>
      </c>
      <c r="AT42" s="783">
        <v>0</v>
      </c>
      <c r="AU42" s="783">
        <v>0</v>
      </c>
      <c r="AV42" s="783">
        <v>0</v>
      </c>
      <c r="AW42" s="783">
        <v>0</v>
      </c>
      <c r="AX42" s="783">
        <v>0</v>
      </c>
      <c r="AY42" s="783">
        <v>0</v>
      </c>
      <c r="AZ42" s="783">
        <v>0</v>
      </c>
      <c r="BA42" s="783">
        <v>0</v>
      </c>
      <c r="BB42" s="783">
        <v>0</v>
      </c>
      <c r="BC42" s="783">
        <v>0</v>
      </c>
      <c r="BD42" s="783">
        <v>0</v>
      </c>
      <c r="BE42" s="783">
        <v>0</v>
      </c>
    </row>
    <row r="43" spans="1:57" x14ac:dyDescent="0.25">
      <c r="A43" s="783" t="s">
        <v>445</v>
      </c>
      <c r="C43" s="784" t="s">
        <v>1062</v>
      </c>
      <c r="D43" s="783">
        <v>1</v>
      </c>
      <c r="E43" s="783">
        <v>1</v>
      </c>
      <c r="F43" s="783">
        <v>1</v>
      </c>
      <c r="G43" s="783">
        <v>1</v>
      </c>
      <c r="H43" s="783">
        <v>1</v>
      </c>
      <c r="I43" s="783">
        <v>1</v>
      </c>
      <c r="J43" s="783">
        <v>1</v>
      </c>
      <c r="K43" s="783">
        <v>1</v>
      </c>
      <c r="L43" s="783">
        <v>1</v>
      </c>
      <c r="M43" s="783">
        <v>1</v>
      </c>
      <c r="N43" s="783">
        <v>1</v>
      </c>
      <c r="O43" s="783">
        <v>1</v>
      </c>
      <c r="P43" s="783">
        <v>1</v>
      </c>
      <c r="Q43" s="783">
        <v>1</v>
      </c>
      <c r="R43" s="783">
        <v>1</v>
      </c>
      <c r="S43" s="783">
        <v>1</v>
      </c>
      <c r="T43" s="783">
        <v>1</v>
      </c>
      <c r="U43" s="783">
        <v>1</v>
      </c>
      <c r="V43" s="783">
        <v>1</v>
      </c>
      <c r="W43" s="783">
        <v>1</v>
      </c>
      <c r="X43" s="783">
        <v>1</v>
      </c>
      <c r="Y43" s="783">
        <v>1</v>
      </c>
      <c r="Z43" s="783">
        <v>1</v>
      </c>
      <c r="AA43" s="783">
        <v>1</v>
      </c>
      <c r="AB43" s="783">
        <v>500</v>
      </c>
      <c r="AC43" s="783">
        <v>500</v>
      </c>
      <c r="AD43" s="783">
        <v>500</v>
      </c>
      <c r="AE43" s="783">
        <v>500</v>
      </c>
      <c r="AF43" s="783">
        <v>500</v>
      </c>
      <c r="AG43" s="783">
        <v>500</v>
      </c>
      <c r="AH43" s="783">
        <v>500</v>
      </c>
      <c r="AI43" s="783">
        <v>500</v>
      </c>
      <c r="AJ43" s="783">
        <v>500</v>
      </c>
      <c r="AK43" s="783">
        <v>500</v>
      </c>
      <c r="AL43" s="783">
        <v>500</v>
      </c>
      <c r="AM43" s="783">
        <v>500</v>
      </c>
      <c r="AN43" s="783">
        <v>500</v>
      </c>
      <c r="AO43" s="783">
        <v>500</v>
      </c>
      <c r="AP43" s="783">
        <v>500</v>
      </c>
      <c r="AQ43" s="783">
        <v>500</v>
      </c>
      <c r="AR43" s="783">
        <v>500</v>
      </c>
      <c r="AS43" s="783">
        <v>500</v>
      </c>
      <c r="AT43" s="783">
        <v>500</v>
      </c>
      <c r="AU43" s="783">
        <v>500</v>
      </c>
      <c r="AV43" s="783">
        <v>500</v>
      </c>
      <c r="AW43" s="783">
        <v>500</v>
      </c>
      <c r="AX43" s="783">
        <v>500</v>
      </c>
      <c r="AY43" s="783">
        <v>500</v>
      </c>
      <c r="AZ43" s="783">
        <v>500</v>
      </c>
      <c r="BA43" s="783">
        <v>500</v>
      </c>
      <c r="BB43" s="783">
        <v>500</v>
      </c>
      <c r="BC43" s="783">
        <v>500</v>
      </c>
      <c r="BD43" s="783">
        <v>500</v>
      </c>
      <c r="BE43" s="783">
        <v>500</v>
      </c>
    </row>
    <row r="44" spans="1:57" x14ac:dyDescent="0.25">
      <c r="A44" s="783" t="s">
        <v>445</v>
      </c>
      <c r="C44" s="784" t="s">
        <v>1063</v>
      </c>
      <c r="D44" s="783">
        <v>1</v>
      </c>
      <c r="E44" s="783">
        <v>1</v>
      </c>
      <c r="F44" s="783">
        <v>1</v>
      </c>
      <c r="G44" s="783">
        <v>1</v>
      </c>
      <c r="H44" s="783">
        <v>1</v>
      </c>
      <c r="I44" s="783">
        <v>1</v>
      </c>
      <c r="J44" s="783">
        <v>1</v>
      </c>
      <c r="K44" s="783">
        <v>1</v>
      </c>
      <c r="L44" s="783">
        <v>1</v>
      </c>
      <c r="M44" s="783">
        <v>1</v>
      </c>
      <c r="N44" s="783">
        <v>1</v>
      </c>
      <c r="O44" s="783">
        <v>1</v>
      </c>
      <c r="P44" s="783">
        <v>1</v>
      </c>
      <c r="Q44" s="783">
        <v>1</v>
      </c>
      <c r="R44" s="783">
        <v>1</v>
      </c>
      <c r="S44" s="783">
        <v>1</v>
      </c>
      <c r="T44" s="783">
        <v>1</v>
      </c>
      <c r="U44" s="783">
        <v>1</v>
      </c>
      <c r="V44" s="783">
        <v>1</v>
      </c>
      <c r="W44" s="783">
        <v>1</v>
      </c>
      <c r="X44" s="783">
        <v>1</v>
      </c>
      <c r="Y44" s="783">
        <v>1</v>
      </c>
      <c r="Z44" s="783">
        <v>1</v>
      </c>
      <c r="AA44" s="783">
        <v>1</v>
      </c>
    </row>
    <row r="45" spans="1:57" x14ac:dyDescent="0.25">
      <c r="A45" s="783" t="s">
        <v>445</v>
      </c>
      <c r="B45" s="783" t="s">
        <v>964</v>
      </c>
      <c r="C45" s="784" t="s">
        <v>697</v>
      </c>
      <c r="D45" s="783">
        <v>500</v>
      </c>
      <c r="E45" s="783">
        <v>500</v>
      </c>
      <c r="F45" s="783">
        <v>500</v>
      </c>
      <c r="G45" s="783">
        <v>500</v>
      </c>
      <c r="H45" s="783">
        <v>500</v>
      </c>
      <c r="I45" s="783">
        <v>500</v>
      </c>
      <c r="J45" s="783">
        <v>500</v>
      </c>
      <c r="K45" s="783">
        <v>500</v>
      </c>
      <c r="L45" s="783">
        <v>500</v>
      </c>
      <c r="M45" s="783">
        <v>500</v>
      </c>
      <c r="N45" s="783">
        <v>500</v>
      </c>
      <c r="O45" s="783">
        <v>500</v>
      </c>
      <c r="P45" s="783">
        <v>500</v>
      </c>
      <c r="Q45" s="783">
        <v>500</v>
      </c>
      <c r="R45" s="783">
        <v>500</v>
      </c>
      <c r="S45" s="783">
        <v>500</v>
      </c>
      <c r="T45" s="783">
        <v>500</v>
      </c>
      <c r="U45" s="783">
        <v>500</v>
      </c>
      <c r="V45" s="783">
        <v>500</v>
      </c>
      <c r="W45" s="783">
        <v>500</v>
      </c>
      <c r="X45" s="783">
        <v>500</v>
      </c>
      <c r="Y45" s="783">
        <v>500</v>
      </c>
      <c r="Z45" s="783">
        <v>500</v>
      </c>
      <c r="AA45" s="783">
        <v>500</v>
      </c>
      <c r="AB45" s="783">
        <v>2882.95</v>
      </c>
      <c r="AC45" s="783">
        <v>8220.7749999999996</v>
      </c>
      <c r="AD45" s="783">
        <v>12457.35</v>
      </c>
      <c r="AE45" s="783">
        <v>13371.75</v>
      </c>
      <c r="AF45" s="783">
        <v>13842.125</v>
      </c>
      <c r="AG45" s="783">
        <v>8835.5</v>
      </c>
      <c r="AH45" s="783">
        <v>6889.625</v>
      </c>
      <c r="AI45" s="783">
        <v>5839.0749999999998</v>
      </c>
      <c r="AJ45" s="783">
        <v>5534.2250000000004</v>
      </c>
      <c r="AK45" s="783">
        <v>6263.6750000000002</v>
      </c>
      <c r="AL45" s="783">
        <v>4769.45</v>
      </c>
      <c r="AM45" s="783">
        <v>6921.75</v>
      </c>
      <c r="AN45" s="783">
        <v>2882.95</v>
      </c>
      <c r="AO45" s="783">
        <v>8220.7749999999996</v>
      </c>
      <c r="AP45" s="783">
        <v>12457.35</v>
      </c>
      <c r="AQ45" s="783">
        <v>13371.75</v>
      </c>
      <c r="AR45" s="783">
        <v>13842.125</v>
      </c>
      <c r="AS45" s="783">
        <v>8835.5</v>
      </c>
      <c r="AT45" s="783">
        <v>6889.625</v>
      </c>
      <c r="AU45" s="783">
        <v>5839.0749999999998</v>
      </c>
      <c r="AV45" s="783">
        <v>5534.2250000000004</v>
      </c>
      <c r="AW45" s="783">
        <v>6263.6750000000002</v>
      </c>
      <c r="AX45" s="783">
        <v>4769.45</v>
      </c>
      <c r="AY45" s="783">
        <v>6921.75</v>
      </c>
      <c r="AZ45" s="783">
        <v>2882.95</v>
      </c>
      <c r="BA45" s="783">
        <v>8220.7749999999996</v>
      </c>
      <c r="BB45" s="783">
        <v>12457.35</v>
      </c>
      <c r="BC45" s="783">
        <v>13371.75</v>
      </c>
      <c r="BD45" s="783">
        <v>13842.125</v>
      </c>
      <c r="BE45" s="783">
        <v>8835.5</v>
      </c>
    </row>
    <row r="46" spans="1:57" x14ac:dyDescent="0.25">
      <c r="A46" s="783" t="s">
        <v>445</v>
      </c>
      <c r="B46" s="783" t="s">
        <v>965</v>
      </c>
      <c r="C46" s="784" t="s">
        <v>698</v>
      </c>
      <c r="D46" s="783">
        <v>0</v>
      </c>
      <c r="E46" s="783">
        <v>0</v>
      </c>
      <c r="F46" s="783">
        <v>0</v>
      </c>
      <c r="G46" s="783">
        <v>0</v>
      </c>
      <c r="H46" s="783">
        <v>0</v>
      </c>
      <c r="I46" s="783">
        <v>0</v>
      </c>
      <c r="J46" s="783">
        <v>0</v>
      </c>
      <c r="K46" s="783">
        <v>0</v>
      </c>
      <c r="L46" s="783">
        <v>0</v>
      </c>
      <c r="M46" s="783">
        <v>0</v>
      </c>
      <c r="N46" s="783">
        <v>0</v>
      </c>
      <c r="O46" s="783">
        <v>0</v>
      </c>
      <c r="P46" s="783">
        <v>0</v>
      </c>
      <c r="Q46" s="783">
        <v>0</v>
      </c>
      <c r="R46" s="783">
        <v>0</v>
      </c>
      <c r="S46" s="783">
        <v>0</v>
      </c>
      <c r="T46" s="783">
        <v>0</v>
      </c>
      <c r="U46" s="783">
        <v>0</v>
      </c>
      <c r="V46" s="783">
        <v>0</v>
      </c>
      <c r="W46" s="783">
        <v>0</v>
      </c>
      <c r="X46" s="783">
        <v>0</v>
      </c>
      <c r="Y46" s="783">
        <v>0</v>
      </c>
      <c r="Z46" s="783">
        <v>0</v>
      </c>
      <c r="AA46" s="783">
        <v>0</v>
      </c>
      <c r="AB46" s="783">
        <v>0</v>
      </c>
      <c r="AC46" s="783">
        <v>0</v>
      </c>
      <c r="AD46" s="783">
        <v>0</v>
      </c>
      <c r="AE46" s="783">
        <v>0</v>
      </c>
      <c r="AF46" s="783">
        <v>0</v>
      </c>
      <c r="AG46" s="783">
        <v>0</v>
      </c>
      <c r="AH46" s="783">
        <v>0</v>
      </c>
      <c r="AI46" s="783">
        <v>0</v>
      </c>
      <c r="AJ46" s="783">
        <v>0</v>
      </c>
      <c r="AK46" s="783">
        <v>0</v>
      </c>
      <c r="AL46" s="783">
        <v>0</v>
      </c>
      <c r="AM46" s="783">
        <v>0</v>
      </c>
      <c r="AN46" s="783">
        <v>0</v>
      </c>
      <c r="AO46" s="783">
        <v>0</v>
      </c>
      <c r="AP46" s="783">
        <v>0</v>
      </c>
      <c r="AQ46" s="783">
        <v>0</v>
      </c>
      <c r="AR46" s="783">
        <v>0</v>
      </c>
      <c r="AS46" s="783">
        <v>0</v>
      </c>
      <c r="AT46" s="783">
        <v>0</v>
      </c>
      <c r="AU46" s="783">
        <v>0</v>
      </c>
      <c r="AV46" s="783">
        <v>0</v>
      </c>
      <c r="AW46" s="783">
        <v>0</v>
      </c>
      <c r="AX46" s="783">
        <v>0</v>
      </c>
      <c r="AY46" s="783">
        <v>0</v>
      </c>
      <c r="AZ46" s="783">
        <v>0</v>
      </c>
      <c r="BA46" s="783">
        <v>0</v>
      </c>
      <c r="BB46" s="783">
        <v>0</v>
      </c>
      <c r="BC46" s="783">
        <v>0</v>
      </c>
      <c r="BD46" s="783">
        <v>0</v>
      </c>
      <c r="BE46" s="783">
        <v>0</v>
      </c>
    </row>
    <row r="47" spans="1:57" s="788" customFormat="1" x14ac:dyDescent="0.25">
      <c r="A47" s="783" t="s">
        <v>445</v>
      </c>
      <c r="B47" s="783" t="s">
        <v>89</v>
      </c>
      <c r="C47" s="787" t="s">
        <v>699</v>
      </c>
      <c r="D47" s="783">
        <v>500</v>
      </c>
      <c r="E47" s="783">
        <v>500</v>
      </c>
      <c r="F47" s="783">
        <v>500</v>
      </c>
      <c r="G47" s="783">
        <v>500</v>
      </c>
      <c r="H47" s="783">
        <v>500</v>
      </c>
      <c r="I47" s="783">
        <v>500</v>
      </c>
      <c r="J47" s="783">
        <v>500</v>
      </c>
      <c r="K47" s="783">
        <v>500</v>
      </c>
      <c r="L47" s="783">
        <v>500</v>
      </c>
      <c r="M47" s="783">
        <v>500</v>
      </c>
      <c r="N47" s="783">
        <v>500</v>
      </c>
      <c r="O47" s="783">
        <v>500</v>
      </c>
      <c r="P47" s="783">
        <v>500</v>
      </c>
      <c r="Q47" s="783">
        <v>500</v>
      </c>
      <c r="R47" s="783">
        <v>500</v>
      </c>
      <c r="S47" s="783">
        <v>500</v>
      </c>
      <c r="T47" s="783">
        <v>500</v>
      </c>
      <c r="U47" s="783">
        <v>500</v>
      </c>
      <c r="V47" s="783">
        <v>500</v>
      </c>
      <c r="W47" s="783">
        <v>500</v>
      </c>
      <c r="X47" s="783">
        <v>500</v>
      </c>
      <c r="Y47" s="783">
        <v>500</v>
      </c>
      <c r="Z47" s="783">
        <v>500</v>
      </c>
      <c r="AA47" s="783">
        <v>500</v>
      </c>
      <c r="AB47" s="788">
        <v>1.0644</v>
      </c>
      <c r="AC47" s="788">
        <v>1.0644</v>
      </c>
      <c r="AD47" s="788">
        <v>1.0644</v>
      </c>
      <c r="AE47" s="788">
        <v>1.0644</v>
      </c>
      <c r="AF47" s="788">
        <v>1.0644</v>
      </c>
      <c r="AG47" s="788">
        <v>1.0644</v>
      </c>
      <c r="AH47" s="788">
        <v>1.0644</v>
      </c>
      <c r="AI47" s="788">
        <v>1.0644</v>
      </c>
      <c r="AJ47" s="788">
        <v>1.0644</v>
      </c>
      <c r="AK47" s="788">
        <v>1.0644</v>
      </c>
      <c r="AL47" s="788">
        <v>1.0644</v>
      </c>
      <c r="AM47" s="788">
        <v>1.0644</v>
      </c>
      <c r="AN47" s="788">
        <v>1.0644</v>
      </c>
      <c r="AO47" s="788">
        <v>1.0644</v>
      </c>
      <c r="AP47" s="788">
        <v>1.0644</v>
      </c>
      <c r="AQ47" s="788">
        <v>1.0644</v>
      </c>
      <c r="AR47" s="788">
        <v>1.0644</v>
      </c>
      <c r="AS47" s="788">
        <v>1.0644</v>
      </c>
      <c r="AT47" s="788">
        <v>1.0644</v>
      </c>
      <c r="AU47" s="788">
        <v>1.0644</v>
      </c>
      <c r="AV47" s="788">
        <v>1.0644</v>
      </c>
      <c r="AW47" s="788">
        <v>1.0644</v>
      </c>
      <c r="AX47" s="788">
        <v>1.0644</v>
      </c>
      <c r="AY47" s="788">
        <v>1.0644</v>
      </c>
      <c r="AZ47" s="788">
        <v>1.0644</v>
      </c>
      <c r="BA47" s="788">
        <v>1.0644</v>
      </c>
      <c r="BB47" s="788">
        <v>1.0644</v>
      </c>
      <c r="BC47" s="788">
        <v>1.0644</v>
      </c>
      <c r="BD47" s="788">
        <v>1.0644</v>
      </c>
      <c r="BE47" s="788">
        <v>1.0644</v>
      </c>
    </row>
    <row r="48" spans="1:57" s="788" customFormat="1" x14ac:dyDescent="0.25">
      <c r="A48" s="783" t="s">
        <v>445</v>
      </c>
      <c r="B48" s="783"/>
      <c r="C48" s="787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 s="788">
        <v>0</v>
      </c>
      <c r="AC48" s="788">
        <v>0</v>
      </c>
      <c r="AD48" s="788">
        <v>0</v>
      </c>
      <c r="AE48" s="788">
        <v>0</v>
      </c>
      <c r="AF48" s="788">
        <v>0</v>
      </c>
      <c r="AG48" s="788">
        <v>0</v>
      </c>
      <c r="AH48" s="788">
        <v>0</v>
      </c>
      <c r="AI48" s="788">
        <v>0</v>
      </c>
      <c r="AJ48" s="788">
        <v>0</v>
      </c>
      <c r="AK48" s="788">
        <v>0</v>
      </c>
      <c r="AL48" s="788">
        <v>0</v>
      </c>
      <c r="AM48" s="788">
        <v>0</v>
      </c>
      <c r="AN48" s="788">
        <v>0</v>
      </c>
      <c r="AO48" s="788">
        <v>0</v>
      </c>
      <c r="AP48" s="788">
        <v>0</v>
      </c>
      <c r="AQ48" s="788">
        <v>0</v>
      </c>
      <c r="AR48" s="788">
        <v>0</v>
      </c>
      <c r="AS48" s="788">
        <v>0</v>
      </c>
      <c r="AT48" s="788">
        <v>0</v>
      </c>
      <c r="AU48" s="788">
        <v>0</v>
      </c>
      <c r="AV48" s="788">
        <v>0</v>
      </c>
      <c r="AW48" s="788">
        <v>0</v>
      </c>
      <c r="AX48" s="788">
        <v>0</v>
      </c>
      <c r="AY48" s="788">
        <v>0</v>
      </c>
      <c r="AZ48" s="788">
        <v>0</v>
      </c>
      <c r="BA48" s="788">
        <v>0</v>
      </c>
      <c r="BB48" s="788">
        <v>0</v>
      </c>
      <c r="BC48" s="788">
        <v>0</v>
      </c>
      <c r="BD48" s="788">
        <v>0</v>
      </c>
      <c r="BE48" s="788">
        <v>0</v>
      </c>
    </row>
    <row r="49" spans="1:57" x14ac:dyDescent="0.25">
      <c r="A49" s="783" t="s">
        <v>445</v>
      </c>
      <c r="C49" s="784" t="s">
        <v>700</v>
      </c>
      <c r="D49" s="783">
        <v>2882.95</v>
      </c>
      <c r="E49" s="783">
        <v>8220.7749999999996</v>
      </c>
      <c r="F49" s="783">
        <v>12457.35</v>
      </c>
      <c r="G49" s="783">
        <v>13371.75</v>
      </c>
      <c r="H49" s="783">
        <v>13842.125</v>
      </c>
      <c r="I49" s="783">
        <v>8835.5</v>
      </c>
      <c r="J49" s="783">
        <v>6889.625</v>
      </c>
      <c r="K49" s="783">
        <v>5839.0749999999998</v>
      </c>
      <c r="L49" s="783">
        <v>5534.2250000000004</v>
      </c>
      <c r="M49" s="783">
        <v>6263.6750000000002</v>
      </c>
      <c r="N49" s="783">
        <v>4769.45</v>
      </c>
      <c r="O49" s="783">
        <v>6921.75</v>
      </c>
      <c r="P49" s="783">
        <v>2882.95</v>
      </c>
      <c r="Q49" s="783">
        <v>8220.7749999999996</v>
      </c>
      <c r="R49" s="783">
        <v>12457.35</v>
      </c>
      <c r="S49" s="783">
        <v>13371.75</v>
      </c>
      <c r="T49" s="783">
        <v>13842.125</v>
      </c>
      <c r="U49" s="783">
        <v>8835.5</v>
      </c>
      <c r="V49" s="783">
        <v>6889.625</v>
      </c>
      <c r="W49" s="783">
        <v>5839.0749999999998</v>
      </c>
      <c r="X49" s="783">
        <v>5534.2250000000004</v>
      </c>
      <c r="Y49" s="783">
        <v>6263.6750000000002</v>
      </c>
      <c r="Z49" s="783">
        <v>4769.45</v>
      </c>
      <c r="AA49" s="783">
        <v>6921.75</v>
      </c>
      <c r="AB49" s="783">
        <v>3068.6119799999901</v>
      </c>
      <c r="AC49" s="783">
        <v>8750.1929099999998</v>
      </c>
      <c r="AD49" s="783">
        <v>13259.60334</v>
      </c>
      <c r="AE49" s="783">
        <v>14232.8907</v>
      </c>
      <c r="AF49" s="783">
        <v>14733.557849999999</v>
      </c>
      <c r="AG49" s="783">
        <v>9404.5061999999998</v>
      </c>
      <c r="AH49" s="783">
        <v>7333.3168500000002</v>
      </c>
      <c r="AI49" s="783">
        <v>6215.1114299999999</v>
      </c>
      <c r="AJ49" s="783">
        <v>5890.6290900000004</v>
      </c>
      <c r="AK49" s="783">
        <v>6667.0556699999997</v>
      </c>
      <c r="AL49" s="783">
        <v>5076.6025799999998</v>
      </c>
      <c r="AM49" s="783">
        <v>7367.5106999999998</v>
      </c>
      <c r="AN49" s="783">
        <v>3068.6119799999901</v>
      </c>
      <c r="AO49" s="783">
        <v>8750.1929099999998</v>
      </c>
      <c r="AP49" s="783">
        <v>13259.60334</v>
      </c>
      <c r="AQ49" s="783">
        <v>14232.8907</v>
      </c>
      <c r="AR49" s="783">
        <v>14733.557849999999</v>
      </c>
      <c r="AS49" s="783">
        <v>9404.5061999999998</v>
      </c>
      <c r="AT49" s="783">
        <v>7333.3168500000002</v>
      </c>
      <c r="AU49" s="783">
        <v>6215.1114299999999</v>
      </c>
      <c r="AV49" s="783">
        <v>5890.6290900000004</v>
      </c>
      <c r="AW49" s="783">
        <v>6667.0556699999997</v>
      </c>
      <c r="AX49" s="783">
        <v>5076.6025799999998</v>
      </c>
      <c r="AY49" s="783">
        <v>7367.5106999999998</v>
      </c>
      <c r="AZ49" s="783">
        <v>3068.6119799999901</v>
      </c>
      <c r="BA49" s="783">
        <v>8750.1929099999998</v>
      </c>
      <c r="BB49" s="783">
        <v>13259.60334</v>
      </c>
      <c r="BC49" s="783">
        <v>14232.8907</v>
      </c>
      <c r="BD49" s="783">
        <v>14733.557849999999</v>
      </c>
      <c r="BE49" s="783">
        <v>9404.5061999999998</v>
      </c>
    </row>
    <row r="50" spans="1:57" x14ac:dyDescent="0.25">
      <c r="A50" s="783" t="s">
        <v>445</v>
      </c>
      <c r="C50" s="784" t="s">
        <v>701</v>
      </c>
      <c r="D50" s="783">
        <v>0</v>
      </c>
      <c r="E50" s="783">
        <v>0</v>
      </c>
      <c r="F50" s="783">
        <v>0</v>
      </c>
      <c r="G50" s="783">
        <v>0</v>
      </c>
      <c r="H50" s="783">
        <v>0</v>
      </c>
      <c r="I50" s="783">
        <v>0</v>
      </c>
      <c r="J50" s="783">
        <v>0</v>
      </c>
      <c r="K50" s="783">
        <v>0</v>
      </c>
      <c r="L50" s="783">
        <v>0</v>
      </c>
      <c r="M50" s="783">
        <v>0</v>
      </c>
      <c r="N50" s="783">
        <v>0</v>
      </c>
      <c r="O50" s="783">
        <v>0</v>
      </c>
      <c r="P50" s="783">
        <v>0</v>
      </c>
      <c r="Q50" s="783">
        <v>0</v>
      </c>
      <c r="R50" s="783">
        <v>0</v>
      </c>
      <c r="S50" s="783">
        <v>0</v>
      </c>
      <c r="T50" s="783">
        <v>0</v>
      </c>
      <c r="U50" s="783">
        <v>0</v>
      </c>
      <c r="V50" s="783">
        <v>0</v>
      </c>
      <c r="W50" s="783">
        <v>0</v>
      </c>
      <c r="X50" s="783">
        <v>0</v>
      </c>
      <c r="Y50" s="783">
        <v>0</v>
      </c>
      <c r="Z50" s="783">
        <v>0</v>
      </c>
      <c r="AA50" s="783">
        <v>0</v>
      </c>
      <c r="AB50" s="783">
        <v>0</v>
      </c>
      <c r="AC50" s="783">
        <v>0</v>
      </c>
      <c r="AD50" s="783">
        <v>0</v>
      </c>
      <c r="AE50" s="783">
        <v>0</v>
      </c>
      <c r="AF50" s="783">
        <v>0</v>
      </c>
      <c r="AG50" s="783">
        <v>0</v>
      </c>
      <c r="AH50" s="783">
        <v>0</v>
      </c>
      <c r="AI50" s="783">
        <v>0</v>
      </c>
      <c r="AJ50" s="783">
        <v>0</v>
      </c>
      <c r="AK50" s="783">
        <v>0</v>
      </c>
      <c r="AL50" s="783">
        <v>0</v>
      </c>
      <c r="AM50" s="783">
        <v>0</v>
      </c>
      <c r="AN50" s="783">
        <v>0</v>
      </c>
      <c r="AO50" s="783">
        <v>0</v>
      </c>
      <c r="AP50" s="783">
        <v>0</v>
      </c>
      <c r="AQ50" s="783">
        <v>0</v>
      </c>
      <c r="AR50" s="783">
        <v>0</v>
      </c>
      <c r="AS50" s="783">
        <v>0</v>
      </c>
      <c r="AT50" s="783">
        <v>0</v>
      </c>
      <c r="AU50" s="783">
        <v>0</v>
      </c>
      <c r="AV50" s="783">
        <v>0</v>
      </c>
      <c r="AW50" s="783">
        <v>0</v>
      </c>
      <c r="AX50" s="783">
        <v>0</v>
      </c>
      <c r="AY50" s="783">
        <v>0</v>
      </c>
      <c r="AZ50" s="783">
        <v>0</v>
      </c>
      <c r="BA50" s="783">
        <v>0</v>
      </c>
      <c r="BB50" s="783">
        <v>0</v>
      </c>
      <c r="BC50" s="783">
        <v>0</v>
      </c>
      <c r="BD50" s="783">
        <v>0</v>
      </c>
      <c r="BE50" s="783">
        <v>0</v>
      </c>
    </row>
    <row r="51" spans="1:57" x14ac:dyDescent="0.25">
      <c r="A51" s="783" t="s">
        <v>445</v>
      </c>
      <c r="B51" s="786"/>
      <c r="C51" s="784" t="s">
        <v>702</v>
      </c>
      <c r="D51" s="788">
        <v>1.0644</v>
      </c>
      <c r="E51" s="788">
        <v>1.0644</v>
      </c>
      <c r="F51" s="788">
        <v>1.0644</v>
      </c>
      <c r="G51" s="788">
        <v>1.0644</v>
      </c>
      <c r="H51" s="788">
        <v>1.0644</v>
      </c>
      <c r="I51" s="788">
        <v>1.0644</v>
      </c>
      <c r="J51" s="788">
        <v>1.0644</v>
      </c>
      <c r="K51" s="788">
        <v>1.0644</v>
      </c>
      <c r="L51" s="788">
        <v>1.0644</v>
      </c>
      <c r="M51" s="788">
        <v>1.0644</v>
      </c>
      <c r="N51" s="788">
        <v>1.0644</v>
      </c>
      <c r="O51" s="788">
        <v>1.0644</v>
      </c>
      <c r="P51" s="788">
        <v>1.0644</v>
      </c>
      <c r="Q51" s="788">
        <v>1.0644</v>
      </c>
      <c r="R51" s="788">
        <v>1.0644</v>
      </c>
      <c r="S51" s="788">
        <v>1.0644</v>
      </c>
      <c r="T51" s="788">
        <v>1.0644</v>
      </c>
      <c r="U51" s="788">
        <v>1.0644</v>
      </c>
      <c r="V51" s="788">
        <v>1.0644</v>
      </c>
      <c r="W51" s="788">
        <v>1.0644</v>
      </c>
      <c r="X51" s="788">
        <v>1.0644</v>
      </c>
      <c r="Y51" s="788">
        <v>1.0644</v>
      </c>
      <c r="Z51" s="788">
        <v>1.0644</v>
      </c>
      <c r="AA51" s="788">
        <v>1.0644</v>
      </c>
      <c r="AB51" s="783">
        <v>3068.6119799999901</v>
      </c>
      <c r="AC51" s="783">
        <v>8750.1929099999998</v>
      </c>
      <c r="AD51" s="783">
        <v>13259.60334</v>
      </c>
      <c r="AE51" s="783">
        <v>14232.8907</v>
      </c>
      <c r="AF51" s="783">
        <v>14733.557849999999</v>
      </c>
      <c r="AG51" s="783">
        <v>9404.5061999999998</v>
      </c>
      <c r="AH51" s="783">
        <v>7333.3168500000002</v>
      </c>
      <c r="AI51" s="783">
        <v>6215.1114299999999</v>
      </c>
      <c r="AJ51" s="783">
        <v>5890.6290900000004</v>
      </c>
      <c r="AK51" s="783">
        <v>6667.0556699999997</v>
      </c>
      <c r="AL51" s="783">
        <v>5076.6025799999998</v>
      </c>
      <c r="AM51" s="783">
        <v>7367.5106999999998</v>
      </c>
      <c r="AN51" s="783">
        <v>3068.6119799999901</v>
      </c>
      <c r="AO51" s="783">
        <v>8750.1929099999998</v>
      </c>
      <c r="AP51" s="783">
        <v>13259.60334</v>
      </c>
      <c r="AQ51" s="783">
        <v>14232.8907</v>
      </c>
      <c r="AR51" s="783">
        <v>14733.557849999999</v>
      </c>
      <c r="AS51" s="783">
        <v>9404.5061999999998</v>
      </c>
      <c r="AT51" s="783">
        <v>7333.3168500000002</v>
      </c>
      <c r="AU51" s="783">
        <v>6215.1114299999999</v>
      </c>
      <c r="AV51" s="783">
        <v>5890.6290900000004</v>
      </c>
      <c r="AW51" s="783">
        <v>6667.0556699999997</v>
      </c>
      <c r="AX51" s="783">
        <v>5076.6025799999998</v>
      </c>
      <c r="AY51" s="783">
        <v>7367.5106999999998</v>
      </c>
      <c r="AZ51" s="783">
        <v>3068.6119799999901</v>
      </c>
      <c r="BA51" s="783">
        <v>8750.1929099999998</v>
      </c>
      <c r="BB51" s="783">
        <v>13259.60334</v>
      </c>
      <c r="BC51" s="783">
        <v>14232.8907</v>
      </c>
      <c r="BD51" s="783">
        <v>14733.557849999999</v>
      </c>
      <c r="BE51" s="783">
        <v>9404.5061999999998</v>
      </c>
    </row>
    <row r="52" spans="1:57" x14ac:dyDescent="0.25">
      <c r="A52" s="783" t="s">
        <v>445</v>
      </c>
      <c r="C52" s="784" t="s">
        <v>703</v>
      </c>
      <c r="D52" s="788">
        <v>0</v>
      </c>
      <c r="E52" s="788">
        <v>0</v>
      </c>
      <c r="F52" s="788">
        <v>0</v>
      </c>
      <c r="G52" s="788">
        <v>0</v>
      </c>
      <c r="H52" s="788">
        <v>0</v>
      </c>
      <c r="I52" s="788">
        <v>0</v>
      </c>
      <c r="J52" s="788">
        <v>0</v>
      </c>
      <c r="K52" s="788">
        <v>0</v>
      </c>
      <c r="L52" s="788">
        <v>0</v>
      </c>
      <c r="M52" s="788">
        <v>0</v>
      </c>
      <c r="N52" s="788">
        <v>0</v>
      </c>
      <c r="O52" s="788">
        <v>0</v>
      </c>
      <c r="P52" s="788">
        <v>0</v>
      </c>
      <c r="Q52" s="788">
        <v>0</v>
      </c>
      <c r="R52" s="788">
        <v>0</v>
      </c>
      <c r="S52" s="788">
        <v>0</v>
      </c>
      <c r="T52" s="788">
        <v>0</v>
      </c>
      <c r="U52" s="788">
        <v>0</v>
      </c>
      <c r="V52" s="788">
        <v>0</v>
      </c>
      <c r="W52" s="788">
        <v>0</v>
      </c>
      <c r="X52" s="788">
        <v>0</v>
      </c>
      <c r="Y52" s="788">
        <v>0</v>
      </c>
      <c r="Z52" s="788">
        <v>0</v>
      </c>
      <c r="AA52" s="788">
        <v>0</v>
      </c>
    </row>
    <row r="53" spans="1:57" s="786" customFormat="1" x14ac:dyDescent="0.25">
      <c r="A53" s="783" t="s">
        <v>445</v>
      </c>
      <c r="B53" s="783"/>
      <c r="C53" s="785" t="s">
        <v>704</v>
      </c>
      <c r="D53" s="783">
        <v>3068.6119799999901</v>
      </c>
      <c r="E53" s="783">
        <v>8750.1929099999998</v>
      </c>
      <c r="F53" s="783">
        <v>13259.60334</v>
      </c>
      <c r="G53" s="783">
        <v>14232.8907</v>
      </c>
      <c r="H53" s="783">
        <v>14733.557849999999</v>
      </c>
      <c r="I53" s="783">
        <v>9404.5061999999998</v>
      </c>
      <c r="J53" s="783">
        <v>7333.3168500000002</v>
      </c>
      <c r="K53" s="783">
        <v>6215.1114299999999</v>
      </c>
      <c r="L53" s="783">
        <v>5890.6290900000004</v>
      </c>
      <c r="M53" s="783">
        <v>6667.0556699999997</v>
      </c>
      <c r="N53" s="783">
        <v>5076.6025799999998</v>
      </c>
      <c r="O53" s="783">
        <v>7367.5106999999998</v>
      </c>
      <c r="P53" s="783">
        <v>3068.6119799999901</v>
      </c>
      <c r="Q53" s="783">
        <v>8750.1929099999998</v>
      </c>
      <c r="R53" s="783">
        <v>13259.60334</v>
      </c>
      <c r="S53" s="783">
        <v>14232.8907</v>
      </c>
      <c r="T53" s="783">
        <v>14733.557849999999</v>
      </c>
      <c r="U53" s="783">
        <v>9404.5061999999998</v>
      </c>
      <c r="V53" s="783">
        <v>7333.3168500000002</v>
      </c>
      <c r="W53" s="783">
        <v>6215.1114299999999</v>
      </c>
      <c r="X53" s="783">
        <v>5890.6290900000004</v>
      </c>
      <c r="Y53" s="783">
        <v>6667.0556699999997</v>
      </c>
      <c r="Z53" s="783">
        <v>5076.6025799999998</v>
      </c>
      <c r="AA53" s="783">
        <v>7367.5106999999998</v>
      </c>
      <c r="AB53" s="786">
        <v>550</v>
      </c>
      <c r="AC53" s="786">
        <v>550</v>
      </c>
      <c r="AD53" s="786">
        <v>550</v>
      </c>
      <c r="AE53" s="786">
        <v>550</v>
      </c>
      <c r="AF53" s="786">
        <v>550</v>
      </c>
      <c r="AG53" s="786">
        <v>550</v>
      </c>
      <c r="AH53" s="786">
        <v>550</v>
      </c>
      <c r="AI53" s="786">
        <v>550</v>
      </c>
      <c r="AJ53" s="786">
        <v>550</v>
      </c>
      <c r="AK53" s="786">
        <v>550</v>
      </c>
      <c r="AL53" s="786">
        <v>550</v>
      </c>
      <c r="AM53" s="786">
        <v>550</v>
      </c>
      <c r="AN53" s="786">
        <v>550</v>
      </c>
      <c r="AO53" s="786">
        <v>550</v>
      </c>
      <c r="AP53" s="786">
        <v>550</v>
      </c>
      <c r="AQ53" s="786">
        <v>550</v>
      </c>
      <c r="AR53" s="786">
        <v>550</v>
      </c>
      <c r="AS53" s="786">
        <v>550</v>
      </c>
      <c r="AT53" s="786">
        <v>550</v>
      </c>
      <c r="AU53" s="786">
        <v>550</v>
      </c>
      <c r="AV53" s="786">
        <v>550</v>
      </c>
      <c r="AW53" s="786">
        <v>550</v>
      </c>
      <c r="AX53" s="786">
        <v>550</v>
      </c>
      <c r="AY53" s="786">
        <v>550</v>
      </c>
      <c r="AZ53" s="786">
        <v>550</v>
      </c>
      <c r="BA53" s="786">
        <v>550</v>
      </c>
      <c r="BB53" s="786">
        <v>550</v>
      </c>
      <c r="BC53" s="786">
        <v>550</v>
      </c>
      <c r="BD53" s="786">
        <v>550</v>
      </c>
      <c r="BE53" s="786">
        <v>550</v>
      </c>
    </row>
    <row r="54" spans="1:57" x14ac:dyDescent="0.25">
      <c r="A54" s="783" t="s">
        <v>445</v>
      </c>
      <c r="C54" s="784" t="s">
        <v>705</v>
      </c>
      <c r="D54" s="783">
        <v>0</v>
      </c>
      <c r="E54" s="783">
        <v>0</v>
      </c>
      <c r="F54" s="783">
        <v>0</v>
      </c>
      <c r="G54" s="783">
        <v>0</v>
      </c>
      <c r="H54" s="783">
        <v>0</v>
      </c>
      <c r="I54" s="783">
        <v>0</v>
      </c>
      <c r="J54" s="783">
        <v>0</v>
      </c>
      <c r="K54" s="783">
        <v>0</v>
      </c>
      <c r="L54" s="783">
        <v>0</v>
      </c>
      <c r="M54" s="783">
        <v>0</v>
      </c>
      <c r="N54" s="783">
        <v>0</v>
      </c>
      <c r="O54" s="783">
        <v>0</v>
      </c>
      <c r="P54" s="783">
        <v>0</v>
      </c>
      <c r="Q54" s="783">
        <v>0</v>
      </c>
      <c r="R54" s="783">
        <v>0</v>
      </c>
      <c r="S54" s="783">
        <v>0</v>
      </c>
      <c r="T54" s="783">
        <v>0</v>
      </c>
      <c r="U54" s="783">
        <v>0</v>
      </c>
      <c r="V54" s="783">
        <v>0</v>
      </c>
      <c r="W54" s="783">
        <v>0</v>
      </c>
      <c r="X54" s="783">
        <v>0</v>
      </c>
      <c r="Y54" s="783">
        <v>0</v>
      </c>
      <c r="Z54" s="783">
        <v>0</v>
      </c>
      <c r="AA54" s="783">
        <v>0</v>
      </c>
      <c r="AB54" s="783">
        <v>550</v>
      </c>
      <c r="AC54" s="783">
        <v>550</v>
      </c>
      <c r="AD54" s="783">
        <v>550</v>
      </c>
      <c r="AE54" s="783">
        <v>550</v>
      </c>
      <c r="AF54" s="783">
        <v>550</v>
      </c>
      <c r="AG54" s="783">
        <v>550</v>
      </c>
      <c r="AH54" s="783">
        <v>550</v>
      </c>
      <c r="AI54" s="783">
        <v>550</v>
      </c>
      <c r="AJ54" s="783">
        <v>550</v>
      </c>
      <c r="AK54" s="783">
        <v>550</v>
      </c>
      <c r="AL54" s="783">
        <v>550</v>
      </c>
      <c r="AM54" s="783">
        <v>550</v>
      </c>
      <c r="AN54" s="783">
        <v>550</v>
      </c>
      <c r="AO54" s="783">
        <v>550</v>
      </c>
      <c r="AP54" s="783">
        <v>550</v>
      </c>
      <c r="AQ54" s="783">
        <v>550</v>
      </c>
      <c r="AR54" s="783">
        <v>550</v>
      </c>
      <c r="AS54" s="783">
        <v>550</v>
      </c>
      <c r="AT54" s="783">
        <v>550</v>
      </c>
      <c r="AU54" s="783">
        <v>550</v>
      </c>
      <c r="AV54" s="783">
        <v>550</v>
      </c>
      <c r="AW54" s="783">
        <v>550</v>
      </c>
      <c r="AX54" s="783">
        <v>550</v>
      </c>
      <c r="AY54" s="783">
        <v>550</v>
      </c>
      <c r="AZ54" s="783">
        <v>550</v>
      </c>
      <c r="BA54" s="783">
        <v>550</v>
      </c>
      <c r="BB54" s="783">
        <v>550</v>
      </c>
      <c r="BC54" s="783">
        <v>550</v>
      </c>
      <c r="BD54" s="783">
        <v>550</v>
      </c>
      <c r="BE54" s="783">
        <v>550</v>
      </c>
    </row>
    <row r="55" spans="1:57" x14ac:dyDescent="0.25">
      <c r="A55" s="783" t="s">
        <v>445</v>
      </c>
      <c r="B55" s="783" t="s">
        <v>374</v>
      </c>
      <c r="C55" s="784" t="s">
        <v>706</v>
      </c>
      <c r="D55" s="783">
        <v>3068.6119799999901</v>
      </c>
      <c r="E55" s="783">
        <v>8750.1929099999998</v>
      </c>
      <c r="F55" s="783">
        <v>13259.60334</v>
      </c>
      <c r="G55" s="783">
        <v>14232.8907</v>
      </c>
      <c r="H55" s="783">
        <v>14733.557849999999</v>
      </c>
      <c r="I55" s="783">
        <v>9404.5061999999998</v>
      </c>
      <c r="J55" s="783">
        <v>7333.3168500000002</v>
      </c>
      <c r="K55" s="783">
        <v>6215.1114299999999</v>
      </c>
      <c r="L55" s="783">
        <v>5890.6290900000004</v>
      </c>
      <c r="M55" s="783">
        <v>6667.0556699999997</v>
      </c>
      <c r="N55" s="783">
        <v>5076.6025799999998</v>
      </c>
      <c r="O55" s="783">
        <v>7367.5106999999998</v>
      </c>
      <c r="P55" s="783">
        <v>3068.6119799999901</v>
      </c>
      <c r="Q55" s="783">
        <v>8750.1929099999998</v>
      </c>
      <c r="R55" s="783">
        <v>13259.60334</v>
      </c>
      <c r="S55" s="783">
        <v>14232.8907</v>
      </c>
      <c r="T55" s="783">
        <v>14733.557849999999</v>
      </c>
      <c r="U55" s="783">
        <v>9404.5061999999998</v>
      </c>
      <c r="V55" s="783">
        <v>7333.3168500000002</v>
      </c>
      <c r="W55" s="783">
        <v>6215.1114299999999</v>
      </c>
      <c r="X55" s="783">
        <v>5890.6290900000004</v>
      </c>
      <c r="Y55" s="783">
        <v>6667.0556699999997</v>
      </c>
      <c r="Z55" s="783">
        <v>5076.6025799999998</v>
      </c>
      <c r="AA55" s="783">
        <v>7367.5106999999998</v>
      </c>
    </row>
    <row r="56" spans="1:57" x14ac:dyDescent="0.25">
      <c r="A56" s="783" t="s">
        <v>445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 s="783">
        <v>0</v>
      </c>
      <c r="AC56" s="783">
        <v>0</v>
      </c>
      <c r="AD56" s="783">
        <v>0</v>
      </c>
      <c r="AE56" s="783">
        <v>0</v>
      </c>
      <c r="AF56" s="783">
        <v>0</v>
      </c>
      <c r="AG56" s="783">
        <v>0</v>
      </c>
      <c r="AH56" s="783">
        <v>0</v>
      </c>
      <c r="AI56" s="783">
        <v>0</v>
      </c>
      <c r="AJ56" s="783">
        <v>0</v>
      </c>
      <c r="AK56" s="783">
        <v>0</v>
      </c>
      <c r="AL56" s="783">
        <v>0</v>
      </c>
      <c r="AM56" s="783">
        <v>0</v>
      </c>
      <c r="AN56" s="783">
        <v>0</v>
      </c>
      <c r="AO56" s="783">
        <v>0</v>
      </c>
      <c r="AP56" s="783">
        <v>0</v>
      </c>
      <c r="AQ56" s="783">
        <v>0</v>
      </c>
      <c r="AR56" s="783">
        <v>0</v>
      </c>
      <c r="AS56" s="783">
        <v>0</v>
      </c>
      <c r="AT56" s="783">
        <v>0</v>
      </c>
      <c r="AU56" s="783">
        <v>0</v>
      </c>
      <c r="AV56" s="783">
        <v>0</v>
      </c>
      <c r="AW56" s="783">
        <v>0</v>
      </c>
      <c r="AX56" s="783">
        <v>0</v>
      </c>
      <c r="AY56" s="783">
        <v>0</v>
      </c>
      <c r="AZ56" s="783">
        <v>0</v>
      </c>
      <c r="BA56" s="783">
        <v>0</v>
      </c>
      <c r="BB56" s="783">
        <v>0</v>
      </c>
      <c r="BC56" s="783">
        <v>0</v>
      </c>
      <c r="BD56" s="783">
        <v>0</v>
      </c>
      <c r="BE56" s="783">
        <v>0</v>
      </c>
    </row>
    <row r="57" spans="1:57" s="788" customFormat="1" x14ac:dyDescent="0.25">
      <c r="A57" s="783" t="s">
        <v>445</v>
      </c>
      <c r="B57" s="783"/>
      <c r="C57" s="787" t="s">
        <v>707</v>
      </c>
      <c r="D57" s="786">
        <v>550</v>
      </c>
      <c r="E57" s="786">
        <v>550</v>
      </c>
      <c r="F57" s="786">
        <v>550</v>
      </c>
      <c r="G57" s="786">
        <v>550</v>
      </c>
      <c r="H57" s="786">
        <v>550</v>
      </c>
      <c r="I57" s="786">
        <v>550</v>
      </c>
      <c r="J57" s="786">
        <v>550</v>
      </c>
      <c r="K57" s="786">
        <v>550</v>
      </c>
      <c r="L57" s="786">
        <v>550</v>
      </c>
      <c r="M57" s="786">
        <v>550</v>
      </c>
      <c r="N57" s="786">
        <v>550</v>
      </c>
      <c r="O57" s="786">
        <v>550</v>
      </c>
      <c r="P57" s="786">
        <v>550</v>
      </c>
      <c r="Q57" s="786">
        <v>550</v>
      </c>
      <c r="R57" s="786">
        <v>550</v>
      </c>
      <c r="S57" s="786">
        <v>550</v>
      </c>
      <c r="T57" s="786">
        <v>550</v>
      </c>
      <c r="U57" s="786">
        <v>550</v>
      </c>
      <c r="V57" s="786">
        <v>550</v>
      </c>
      <c r="W57" s="786">
        <v>550</v>
      </c>
      <c r="X57" s="786">
        <v>550</v>
      </c>
      <c r="Y57" s="786">
        <v>550</v>
      </c>
      <c r="Z57" s="786">
        <v>550</v>
      </c>
      <c r="AA57" s="786">
        <v>550</v>
      </c>
      <c r="AB57" s="788">
        <v>0</v>
      </c>
      <c r="AC57" s="788">
        <v>0</v>
      </c>
      <c r="AD57" s="788">
        <v>0</v>
      </c>
      <c r="AE57" s="788">
        <v>0</v>
      </c>
      <c r="AF57" s="788">
        <v>0</v>
      </c>
      <c r="AG57" s="788">
        <v>0</v>
      </c>
      <c r="AH57" s="788">
        <v>0</v>
      </c>
      <c r="AI57" s="788">
        <v>0</v>
      </c>
      <c r="AJ57" s="788">
        <v>0</v>
      </c>
      <c r="AK57" s="788">
        <v>0</v>
      </c>
      <c r="AL57" s="788">
        <v>0</v>
      </c>
      <c r="AM57" s="788">
        <v>0</v>
      </c>
      <c r="AN57" s="788">
        <v>0</v>
      </c>
      <c r="AO57" s="788">
        <v>0</v>
      </c>
      <c r="AP57" s="788">
        <v>0</v>
      </c>
      <c r="AQ57" s="788">
        <v>0</v>
      </c>
      <c r="AR57" s="788">
        <v>0</v>
      </c>
      <c r="AS57" s="788">
        <v>0</v>
      </c>
      <c r="AT57" s="788">
        <v>0</v>
      </c>
      <c r="AU57" s="788">
        <v>0</v>
      </c>
      <c r="AV57" s="788">
        <v>0</v>
      </c>
      <c r="AW57" s="788">
        <v>0</v>
      </c>
      <c r="AX57" s="788">
        <v>0</v>
      </c>
      <c r="AY57" s="788">
        <v>0</v>
      </c>
      <c r="AZ57" s="788">
        <v>0</v>
      </c>
      <c r="BA57" s="788">
        <v>0</v>
      </c>
      <c r="BB57" s="788">
        <v>0</v>
      </c>
      <c r="BC57" s="788">
        <v>0</v>
      </c>
      <c r="BD57" s="788">
        <v>0</v>
      </c>
      <c r="BE57" s="788">
        <v>0</v>
      </c>
    </row>
    <row r="58" spans="1:57" x14ac:dyDescent="0.25">
      <c r="A58" s="783" t="s">
        <v>445</v>
      </c>
      <c r="B58" s="783" t="s">
        <v>520</v>
      </c>
      <c r="C58" s="784" t="s">
        <v>708</v>
      </c>
      <c r="D58" s="783">
        <v>550</v>
      </c>
      <c r="E58" s="783">
        <v>550</v>
      </c>
      <c r="F58" s="783">
        <v>550</v>
      </c>
      <c r="G58" s="783">
        <v>550</v>
      </c>
      <c r="H58" s="783">
        <v>550</v>
      </c>
      <c r="I58" s="783">
        <v>550</v>
      </c>
      <c r="J58" s="783">
        <v>550</v>
      </c>
      <c r="K58" s="783">
        <v>550</v>
      </c>
      <c r="L58" s="783">
        <v>550</v>
      </c>
      <c r="M58" s="783">
        <v>550</v>
      </c>
      <c r="N58" s="783">
        <v>550</v>
      </c>
      <c r="O58" s="783">
        <v>550</v>
      </c>
      <c r="P58" s="783">
        <v>550</v>
      </c>
      <c r="Q58" s="783">
        <v>550</v>
      </c>
      <c r="R58" s="783">
        <v>550</v>
      </c>
      <c r="S58" s="783">
        <v>550</v>
      </c>
      <c r="T58" s="783">
        <v>550</v>
      </c>
      <c r="U58" s="783">
        <v>550</v>
      </c>
      <c r="V58" s="783">
        <v>550</v>
      </c>
      <c r="W58" s="783">
        <v>550</v>
      </c>
      <c r="X58" s="783">
        <v>550</v>
      </c>
      <c r="Y58" s="783">
        <v>550</v>
      </c>
      <c r="Z58" s="783">
        <v>550</v>
      </c>
      <c r="AA58" s="783">
        <v>550</v>
      </c>
      <c r="AB58" s="783">
        <v>0</v>
      </c>
      <c r="AC58" s="783">
        <v>0</v>
      </c>
      <c r="AD58" s="783">
        <v>0</v>
      </c>
      <c r="AE58" s="783">
        <v>0</v>
      </c>
      <c r="AF58" s="783">
        <v>0</v>
      </c>
      <c r="AG58" s="783">
        <v>0</v>
      </c>
      <c r="AH58" s="783">
        <v>0</v>
      </c>
      <c r="AI58" s="783">
        <v>0</v>
      </c>
      <c r="AJ58" s="783">
        <v>0</v>
      </c>
      <c r="AK58" s="783">
        <v>0</v>
      </c>
      <c r="AL58" s="783">
        <v>0</v>
      </c>
      <c r="AM58" s="783">
        <v>0</v>
      </c>
      <c r="AN58" s="783">
        <v>0</v>
      </c>
      <c r="AO58" s="783">
        <v>0</v>
      </c>
      <c r="AP58" s="783">
        <v>0</v>
      </c>
      <c r="AQ58" s="783">
        <v>0</v>
      </c>
      <c r="AR58" s="783">
        <v>0</v>
      </c>
      <c r="AS58" s="783">
        <v>0</v>
      </c>
      <c r="AT58" s="783">
        <v>0</v>
      </c>
      <c r="AU58" s="783">
        <v>0</v>
      </c>
      <c r="AV58" s="783">
        <v>0</v>
      </c>
      <c r="AW58" s="783">
        <v>0</v>
      </c>
      <c r="AX58" s="783">
        <v>0</v>
      </c>
      <c r="AY58" s="783">
        <v>0</v>
      </c>
      <c r="AZ58" s="783">
        <v>0</v>
      </c>
      <c r="BA58" s="783">
        <v>0</v>
      </c>
      <c r="BB58" s="783">
        <v>0</v>
      </c>
      <c r="BC58" s="783">
        <v>0</v>
      </c>
      <c r="BD58" s="783">
        <v>0</v>
      </c>
      <c r="BE58" s="783">
        <v>0</v>
      </c>
    </row>
    <row r="59" spans="1:57" x14ac:dyDescent="0.25">
      <c r="A59" s="783" t="s">
        <v>445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57" x14ac:dyDescent="0.25">
      <c r="A60" s="783" t="s">
        <v>445</v>
      </c>
      <c r="C60" s="784" t="s">
        <v>709</v>
      </c>
      <c r="D60" s="783">
        <v>0</v>
      </c>
      <c r="E60" s="783">
        <v>0</v>
      </c>
      <c r="F60" s="783">
        <v>0</v>
      </c>
      <c r="G60" s="783">
        <v>0</v>
      </c>
      <c r="H60" s="783">
        <v>0</v>
      </c>
      <c r="I60" s="783">
        <v>0</v>
      </c>
      <c r="J60" s="783">
        <v>0</v>
      </c>
      <c r="K60" s="783">
        <v>0</v>
      </c>
      <c r="L60" s="783">
        <v>0</v>
      </c>
      <c r="M60" s="783">
        <v>0</v>
      </c>
      <c r="N60" s="783">
        <v>0</v>
      </c>
      <c r="O60" s="783">
        <v>0</v>
      </c>
      <c r="P60" s="783">
        <v>0</v>
      </c>
      <c r="Q60" s="783">
        <v>0</v>
      </c>
      <c r="R60" s="783">
        <v>0</v>
      </c>
      <c r="S60" s="783">
        <v>0</v>
      </c>
      <c r="T60" s="783">
        <v>0</v>
      </c>
      <c r="U60" s="783">
        <v>0</v>
      </c>
      <c r="V60" s="783">
        <v>0</v>
      </c>
      <c r="W60" s="783">
        <v>0</v>
      </c>
      <c r="X60" s="783">
        <v>0</v>
      </c>
      <c r="Y60" s="783">
        <v>0</v>
      </c>
      <c r="Z60" s="783">
        <v>0</v>
      </c>
      <c r="AA60" s="783">
        <v>0</v>
      </c>
      <c r="AB60" s="783">
        <v>0</v>
      </c>
      <c r="AC60" s="783">
        <v>0</v>
      </c>
      <c r="AD60" s="783">
        <v>0</v>
      </c>
      <c r="AE60" s="783">
        <v>0</v>
      </c>
      <c r="AF60" s="783">
        <v>0</v>
      </c>
      <c r="AG60" s="783">
        <v>0</v>
      </c>
      <c r="AH60" s="783">
        <v>0</v>
      </c>
      <c r="AI60" s="783">
        <v>0</v>
      </c>
      <c r="AJ60" s="783">
        <v>0</v>
      </c>
      <c r="AK60" s="783">
        <v>0</v>
      </c>
      <c r="AL60" s="783">
        <v>0</v>
      </c>
      <c r="AM60" s="783">
        <v>0</v>
      </c>
      <c r="AN60" s="783">
        <v>0</v>
      </c>
      <c r="AO60" s="783">
        <v>0</v>
      </c>
      <c r="AP60" s="783">
        <v>0</v>
      </c>
      <c r="AQ60" s="783">
        <v>0</v>
      </c>
      <c r="AR60" s="783">
        <v>0</v>
      </c>
      <c r="AS60" s="783">
        <v>0</v>
      </c>
      <c r="AT60" s="783">
        <v>0</v>
      </c>
      <c r="AU60" s="783">
        <v>0</v>
      </c>
      <c r="AV60" s="783">
        <v>0</v>
      </c>
      <c r="AW60" s="783">
        <v>0</v>
      </c>
      <c r="AX60" s="783">
        <v>0</v>
      </c>
      <c r="AY60" s="783">
        <v>0</v>
      </c>
      <c r="AZ60" s="783">
        <v>0</v>
      </c>
      <c r="BA60" s="783">
        <v>0</v>
      </c>
      <c r="BB60" s="783">
        <v>0</v>
      </c>
      <c r="BC60" s="783">
        <v>0</v>
      </c>
      <c r="BD60" s="783">
        <v>0</v>
      </c>
      <c r="BE60" s="783">
        <v>0</v>
      </c>
    </row>
    <row r="61" spans="1:57" x14ac:dyDescent="0.25">
      <c r="A61" s="783" t="s">
        <v>445</v>
      </c>
      <c r="C61" s="784" t="s">
        <v>710</v>
      </c>
      <c r="D61" s="788">
        <v>0</v>
      </c>
      <c r="E61" s="788">
        <v>0</v>
      </c>
      <c r="F61" s="788">
        <v>0</v>
      </c>
      <c r="G61" s="788">
        <v>0</v>
      </c>
      <c r="H61" s="788">
        <v>0</v>
      </c>
      <c r="I61" s="788">
        <v>0</v>
      </c>
      <c r="J61" s="788">
        <v>0</v>
      </c>
      <c r="K61" s="788">
        <v>0</v>
      </c>
      <c r="L61" s="788">
        <v>0</v>
      </c>
      <c r="M61" s="788">
        <v>0</v>
      </c>
      <c r="N61" s="788">
        <v>0</v>
      </c>
      <c r="O61" s="788">
        <v>0</v>
      </c>
      <c r="P61" s="788">
        <v>0</v>
      </c>
      <c r="Q61" s="788">
        <v>0</v>
      </c>
      <c r="R61" s="788">
        <v>0</v>
      </c>
      <c r="S61" s="788">
        <v>0</v>
      </c>
      <c r="T61" s="788">
        <v>0</v>
      </c>
      <c r="U61" s="788">
        <v>0</v>
      </c>
      <c r="V61" s="788">
        <v>0</v>
      </c>
      <c r="W61" s="788">
        <v>0</v>
      </c>
      <c r="X61" s="788">
        <v>0</v>
      </c>
      <c r="Y61" s="788">
        <v>0</v>
      </c>
      <c r="Z61" s="788">
        <v>0</v>
      </c>
      <c r="AA61" s="788">
        <v>0</v>
      </c>
    </row>
    <row r="62" spans="1:57" x14ac:dyDescent="0.25">
      <c r="A62" s="783" t="s">
        <v>445</v>
      </c>
      <c r="B62" s="783" t="s">
        <v>154</v>
      </c>
      <c r="C62" s="784" t="s">
        <v>711</v>
      </c>
      <c r="D62" s="783">
        <v>0</v>
      </c>
      <c r="E62" s="783">
        <v>0</v>
      </c>
      <c r="F62" s="783">
        <v>0</v>
      </c>
      <c r="G62" s="783">
        <v>0</v>
      </c>
      <c r="H62" s="783">
        <v>0</v>
      </c>
      <c r="I62" s="783">
        <v>0</v>
      </c>
      <c r="J62" s="783">
        <v>0</v>
      </c>
      <c r="K62" s="783">
        <v>0</v>
      </c>
      <c r="L62" s="783">
        <v>0</v>
      </c>
      <c r="M62" s="783">
        <v>0</v>
      </c>
      <c r="N62" s="783">
        <v>0</v>
      </c>
      <c r="O62" s="783">
        <v>0</v>
      </c>
      <c r="P62" s="783">
        <v>0</v>
      </c>
      <c r="Q62" s="783">
        <v>0</v>
      </c>
      <c r="R62" s="783">
        <v>0</v>
      </c>
      <c r="S62" s="783">
        <v>0</v>
      </c>
      <c r="T62" s="783">
        <v>0</v>
      </c>
      <c r="U62" s="783">
        <v>0</v>
      </c>
      <c r="V62" s="783">
        <v>0</v>
      </c>
      <c r="W62" s="783">
        <v>0</v>
      </c>
      <c r="X62" s="783">
        <v>0</v>
      </c>
      <c r="Y62" s="783">
        <v>0</v>
      </c>
      <c r="Z62" s="783">
        <v>0</v>
      </c>
      <c r="AA62" s="783">
        <v>0</v>
      </c>
      <c r="AB62" s="783">
        <v>0</v>
      </c>
      <c r="AC62" s="783">
        <v>0</v>
      </c>
      <c r="AD62" s="783">
        <v>0</v>
      </c>
      <c r="AE62" s="783">
        <v>0</v>
      </c>
      <c r="AF62" s="783">
        <v>0</v>
      </c>
      <c r="AG62" s="783">
        <v>0</v>
      </c>
      <c r="AH62" s="783">
        <v>0</v>
      </c>
      <c r="AI62" s="783">
        <v>0</v>
      </c>
      <c r="AJ62" s="783">
        <v>0</v>
      </c>
      <c r="AK62" s="783">
        <v>0</v>
      </c>
      <c r="AL62" s="783">
        <v>0</v>
      </c>
      <c r="AM62" s="783">
        <v>0</v>
      </c>
      <c r="AN62" s="783">
        <v>0</v>
      </c>
      <c r="AO62" s="783">
        <v>0</v>
      </c>
      <c r="AP62" s="783">
        <v>0</v>
      </c>
      <c r="AQ62" s="783">
        <v>0</v>
      </c>
      <c r="AR62" s="783">
        <v>0</v>
      </c>
      <c r="AS62" s="783">
        <v>0</v>
      </c>
      <c r="AT62" s="783">
        <v>0</v>
      </c>
      <c r="AU62" s="783">
        <v>0</v>
      </c>
      <c r="AV62" s="783">
        <v>0</v>
      </c>
      <c r="AW62" s="783">
        <v>0</v>
      </c>
      <c r="AX62" s="783">
        <v>0</v>
      </c>
      <c r="AY62" s="783">
        <v>0</v>
      </c>
      <c r="AZ62" s="783">
        <v>0</v>
      </c>
      <c r="BA62" s="783">
        <v>0</v>
      </c>
      <c r="BB62" s="783">
        <v>0</v>
      </c>
      <c r="BC62" s="783">
        <v>0</v>
      </c>
      <c r="BD62" s="783">
        <v>0</v>
      </c>
      <c r="BE62" s="783">
        <v>0</v>
      </c>
    </row>
    <row r="63" spans="1:57" x14ac:dyDescent="0.25">
      <c r="A63" s="783" t="s">
        <v>445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 s="783">
        <v>194.73142945295101</v>
      </c>
      <c r="AC63" s="783">
        <v>441.97802086564201</v>
      </c>
      <c r="AD63" s="783">
        <v>525.302691959448</v>
      </c>
      <c r="AE63" s="783">
        <v>458.35701763408503</v>
      </c>
      <c r="AF63" s="783">
        <v>319.10068974151801</v>
      </c>
      <c r="AG63" s="783">
        <v>184.561334473399</v>
      </c>
      <c r="AH63" s="783">
        <v>131.25025841333701</v>
      </c>
      <c r="AI63" s="783">
        <v>132.685918593991</v>
      </c>
      <c r="AJ63" s="783">
        <v>140.127099259414</v>
      </c>
      <c r="AK63" s="783">
        <v>227.45388089155301</v>
      </c>
      <c r="AL63" s="783">
        <v>199.117848164881</v>
      </c>
      <c r="AM63" s="783">
        <v>366.10780275022302</v>
      </c>
      <c r="AN63" s="783">
        <v>205.12601786656899</v>
      </c>
      <c r="AO63" s="783">
        <v>466.34226040123002</v>
      </c>
      <c r="AP63" s="783">
        <v>546.12786278790304</v>
      </c>
      <c r="AQ63" s="783">
        <v>480.13084507110102</v>
      </c>
      <c r="AR63" s="783">
        <v>336.96463715570098</v>
      </c>
      <c r="AS63" s="783">
        <v>195.709802875094</v>
      </c>
      <c r="AT63" s="783">
        <v>139.3949993599</v>
      </c>
      <c r="AU63" s="783">
        <v>138.31475271475799</v>
      </c>
      <c r="AV63" s="783">
        <v>149.74439561706501</v>
      </c>
      <c r="AW63" s="783">
        <v>237.652241398303</v>
      </c>
      <c r="AX63" s="783">
        <v>206.99733907879599</v>
      </c>
      <c r="AY63" s="783">
        <v>381.733708139459</v>
      </c>
      <c r="AZ63" s="783">
        <v>214.34777228475701</v>
      </c>
      <c r="BA63" s="783">
        <v>491.13199178868501</v>
      </c>
      <c r="BB63" s="783">
        <v>567.73981759533899</v>
      </c>
      <c r="BC63" s="783">
        <v>505.72469584802298</v>
      </c>
      <c r="BD63" s="783">
        <v>413.85706237977502</v>
      </c>
      <c r="BE63" s="783">
        <v>245.37563278072901</v>
      </c>
    </row>
    <row r="64" spans="1:57" x14ac:dyDescent="0.25">
      <c r="A64" s="783" t="s">
        <v>445</v>
      </c>
      <c r="B64" s="783" t="s">
        <v>521</v>
      </c>
      <c r="C64" s="784" t="s">
        <v>712</v>
      </c>
      <c r="D64" s="783">
        <v>0</v>
      </c>
      <c r="E64" s="783">
        <v>0</v>
      </c>
      <c r="F64" s="783">
        <v>0</v>
      </c>
      <c r="G64" s="783">
        <v>0</v>
      </c>
      <c r="H64" s="783">
        <v>0</v>
      </c>
      <c r="I64" s="783">
        <v>0</v>
      </c>
      <c r="J64" s="783">
        <v>0</v>
      </c>
      <c r="K64" s="783">
        <v>0</v>
      </c>
      <c r="L64" s="783">
        <v>0</v>
      </c>
      <c r="M64" s="783">
        <v>0</v>
      </c>
      <c r="N64" s="783">
        <v>0</v>
      </c>
      <c r="O64" s="783">
        <v>0</v>
      </c>
      <c r="P64" s="783">
        <v>0</v>
      </c>
      <c r="Q64" s="783">
        <v>0</v>
      </c>
      <c r="R64" s="783">
        <v>0</v>
      </c>
      <c r="S64" s="783">
        <v>0</v>
      </c>
      <c r="T64" s="783">
        <v>0</v>
      </c>
      <c r="U64" s="783">
        <v>0</v>
      </c>
      <c r="V64" s="783">
        <v>0</v>
      </c>
      <c r="W64" s="783">
        <v>0</v>
      </c>
      <c r="X64" s="783">
        <v>0</v>
      </c>
      <c r="Y64" s="783">
        <v>0</v>
      </c>
      <c r="Z64" s="783">
        <v>0</v>
      </c>
      <c r="AA64" s="783">
        <v>0</v>
      </c>
      <c r="AB64" s="783">
        <v>0</v>
      </c>
      <c r="AC64" s="783">
        <v>0</v>
      </c>
      <c r="AD64" s="783">
        <v>0</v>
      </c>
      <c r="AE64" s="783">
        <v>0</v>
      </c>
      <c r="AF64" s="783">
        <v>0</v>
      </c>
      <c r="AG64" s="783">
        <v>0</v>
      </c>
      <c r="AH64" s="783">
        <v>0</v>
      </c>
      <c r="AI64" s="783">
        <v>0</v>
      </c>
      <c r="AJ64" s="783">
        <v>0</v>
      </c>
      <c r="AK64" s="783">
        <v>0</v>
      </c>
      <c r="AL64" s="783">
        <v>0</v>
      </c>
      <c r="AM64" s="783">
        <v>0</v>
      </c>
      <c r="AN64" s="783">
        <v>0</v>
      </c>
      <c r="AO64" s="783">
        <v>0</v>
      </c>
      <c r="AP64" s="783">
        <v>0</v>
      </c>
      <c r="AQ64" s="783">
        <v>0</v>
      </c>
      <c r="AR64" s="783">
        <v>0</v>
      </c>
      <c r="AS64" s="783">
        <v>0</v>
      </c>
      <c r="AT64" s="783">
        <v>0</v>
      </c>
      <c r="AU64" s="783">
        <v>0</v>
      </c>
      <c r="AV64" s="783">
        <v>0</v>
      </c>
      <c r="AW64" s="783">
        <v>0</v>
      </c>
      <c r="AX64" s="783">
        <v>0</v>
      </c>
      <c r="AY64" s="783">
        <v>0</v>
      </c>
      <c r="AZ64" s="783">
        <v>0</v>
      </c>
      <c r="BA64" s="783">
        <v>0</v>
      </c>
      <c r="BB64" s="783">
        <v>0</v>
      </c>
      <c r="BC64" s="783">
        <v>0</v>
      </c>
      <c r="BD64" s="783">
        <v>0</v>
      </c>
      <c r="BE64" s="783">
        <v>0</v>
      </c>
    </row>
    <row r="65" spans="1:59" x14ac:dyDescent="0.25">
      <c r="A65" s="783" t="s">
        <v>445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 s="783">
        <v>194.73142945295101</v>
      </c>
      <c r="AC65" s="783">
        <v>441.97802086564201</v>
      </c>
      <c r="AD65" s="783">
        <v>525.302691959448</v>
      </c>
      <c r="AE65" s="783">
        <v>458.35701763408503</v>
      </c>
      <c r="AF65" s="783">
        <v>319.10068974151801</v>
      </c>
      <c r="AG65" s="783">
        <v>184.561334473399</v>
      </c>
      <c r="AH65" s="783">
        <v>131.25025841333701</v>
      </c>
      <c r="AI65" s="783">
        <v>132.685918593991</v>
      </c>
      <c r="AJ65" s="783">
        <v>140.127099259414</v>
      </c>
      <c r="AK65" s="783">
        <v>227.45388089155301</v>
      </c>
      <c r="AL65" s="783">
        <v>199.117848164881</v>
      </c>
      <c r="AM65" s="783">
        <v>366.10780275022302</v>
      </c>
      <c r="AN65" s="783">
        <v>205.12601786656899</v>
      </c>
      <c r="AO65" s="783">
        <v>466.34226040123002</v>
      </c>
      <c r="AP65" s="783">
        <v>546.12786278790304</v>
      </c>
      <c r="AQ65" s="783">
        <v>480.13084507110102</v>
      </c>
      <c r="AR65" s="783">
        <v>336.96463715570098</v>
      </c>
      <c r="AS65" s="783">
        <v>195.709802875094</v>
      </c>
      <c r="AT65" s="783">
        <v>139.3949993599</v>
      </c>
      <c r="AU65" s="783">
        <v>138.31475271475799</v>
      </c>
      <c r="AV65" s="783">
        <v>149.74439561706501</v>
      </c>
      <c r="AW65" s="783">
        <v>237.652241398303</v>
      </c>
      <c r="AX65" s="783">
        <v>206.99733907879599</v>
      </c>
      <c r="AY65" s="783">
        <v>381.733708139459</v>
      </c>
      <c r="AZ65" s="783">
        <v>214.34777228475701</v>
      </c>
      <c r="BA65" s="783">
        <v>491.13199178868501</v>
      </c>
      <c r="BB65" s="783">
        <v>567.73981759533899</v>
      </c>
      <c r="BC65" s="783">
        <v>505.72469584802298</v>
      </c>
      <c r="BD65" s="783">
        <v>413.85706237977502</v>
      </c>
      <c r="BE65" s="783">
        <v>245.37563278072901</v>
      </c>
    </row>
    <row r="66" spans="1:59" x14ac:dyDescent="0.25">
      <c r="A66" s="783" t="s">
        <v>445</v>
      </c>
      <c r="B66" s="783" t="s">
        <v>107</v>
      </c>
      <c r="C66" s="784" t="s">
        <v>713</v>
      </c>
      <c r="D66" s="783">
        <v>0</v>
      </c>
      <c r="E66" s="783">
        <v>0</v>
      </c>
      <c r="F66" s="783">
        <v>0</v>
      </c>
      <c r="G66" s="783">
        <v>0</v>
      </c>
      <c r="H66" s="783">
        <v>0</v>
      </c>
      <c r="I66" s="783">
        <v>0</v>
      </c>
      <c r="J66" s="783">
        <v>0</v>
      </c>
      <c r="K66" s="783">
        <v>0</v>
      </c>
      <c r="L66" s="783">
        <v>0</v>
      </c>
      <c r="M66" s="783">
        <v>0</v>
      </c>
      <c r="N66" s="783">
        <v>0</v>
      </c>
      <c r="O66" s="783">
        <v>0</v>
      </c>
      <c r="P66" s="783">
        <v>0</v>
      </c>
      <c r="Q66" s="783">
        <v>0</v>
      </c>
      <c r="R66" s="783">
        <v>0</v>
      </c>
      <c r="S66" s="783">
        <v>0</v>
      </c>
      <c r="T66" s="783">
        <v>0</v>
      </c>
      <c r="U66" s="783">
        <v>0</v>
      </c>
      <c r="V66" s="783">
        <v>0</v>
      </c>
      <c r="W66" s="783">
        <v>0</v>
      </c>
      <c r="X66" s="783">
        <v>0</v>
      </c>
      <c r="Y66" s="783">
        <v>0</v>
      </c>
      <c r="Z66" s="783">
        <v>0</v>
      </c>
      <c r="AA66" s="783">
        <v>0</v>
      </c>
    </row>
    <row r="67" spans="1:59" x14ac:dyDescent="0.25">
      <c r="A67" s="783" t="s">
        <v>445</v>
      </c>
      <c r="B67" s="783" t="s">
        <v>614</v>
      </c>
      <c r="C67" s="784" t="s">
        <v>714</v>
      </c>
      <c r="D67" s="783">
        <v>910.85392062840901</v>
      </c>
      <c r="E67" s="783">
        <v>1351.1377502652599</v>
      </c>
      <c r="F67" s="783">
        <v>1787.56743156265</v>
      </c>
      <c r="G67" s="783">
        <v>1559.16698159725</v>
      </c>
      <c r="H67" s="783">
        <v>1127.94653119639</v>
      </c>
      <c r="I67" s="783">
        <v>631.38502933643497</v>
      </c>
      <c r="J67" s="783">
        <v>615.42981799128597</v>
      </c>
      <c r="K67" s="783">
        <v>644.44670344863005</v>
      </c>
      <c r="L67" s="783">
        <v>664.26510813728896</v>
      </c>
      <c r="M67" s="783">
        <v>1106.49886784249</v>
      </c>
      <c r="N67" s="783">
        <v>968.74423281877603</v>
      </c>
      <c r="O67" s="783">
        <v>1781.3230954282899</v>
      </c>
      <c r="P67" s="783">
        <v>1017.76796053882</v>
      </c>
      <c r="Q67" s="783">
        <v>2199.5624167821002</v>
      </c>
      <c r="R67" s="783">
        <v>2545.2438498486599</v>
      </c>
      <c r="S67" s="783">
        <v>2039.17695546607</v>
      </c>
      <c r="T67" s="783">
        <v>1371.7250974252099</v>
      </c>
      <c r="U67" s="783">
        <v>803.10487429004297</v>
      </c>
      <c r="V67" s="783">
        <v>665.20470535203401</v>
      </c>
      <c r="W67" s="783">
        <v>683.60134915905803</v>
      </c>
      <c r="X67" s="783">
        <v>704.32835154339102</v>
      </c>
      <c r="Y67" s="783">
        <v>1205.0689413223799</v>
      </c>
      <c r="Z67" s="783">
        <v>1065.2396749940101</v>
      </c>
      <c r="AA67" s="783">
        <v>1948.7414269799499</v>
      </c>
      <c r="AB67" s="783">
        <v>4313.3434094529503</v>
      </c>
      <c r="AC67" s="783">
        <v>10242.170930865601</v>
      </c>
      <c r="AD67" s="783">
        <v>14834.906031959399</v>
      </c>
      <c r="AE67" s="783">
        <v>15741.247717634</v>
      </c>
      <c r="AF67" s="783">
        <v>16102.6585397415</v>
      </c>
      <c r="AG67" s="783">
        <v>10639.067534473301</v>
      </c>
      <c r="AH67" s="783">
        <v>8514.5671084133301</v>
      </c>
      <c r="AI67" s="783">
        <v>7397.7973485939901</v>
      </c>
      <c r="AJ67" s="783">
        <v>7080.7561892594103</v>
      </c>
      <c r="AK67" s="783">
        <v>7944.5095508915501</v>
      </c>
      <c r="AL67" s="783">
        <v>6325.7204281648801</v>
      </c>
      <c r="AM67" s="783">
        <v>8783.6185027502197</v>
      </c>
      <c r="AN67" s="783">
        <v>4323.7379978665604</v>
      </c>
      <c r="AO67" s="783">
        <v>10266.535170401199</v>
      </c>
      <c r="AP67" s="783">
        <v>14855.7312027879</v>
      </c>
      <c r="AQ67" s="783">
        <v>15763.0215450711</v>
      </c>
      <c r="AR67" s="783">
        <v>16120.5224871557</v>
      </c>
      <c r="AS67" s="783">
        <v>10650.216002875</v>
      </c>
      <c r="AT67" s="783">
        <v>8522.7118493598991</v>
      </c>
      <c r="AU67" s="783">
        <v>7403.4261827147502</v>
      </c>
      <c r="AV67" s="783">
        <v>7090.3734856170604</v>
      </c>
      <c r="AW67" s="783">
        <v>7954.7079113983</v>
      </c>
      <c r="AX67" s="783">
        <v>6333.5999190787898</v>
      </c>
      <c r="AY67" s="783">
        <v>8799.2444081394497</v>
      </c>
      <c r="AZ67" s="783">
        <v>4332.9597522847498</v>
      </c>
      <c r="BA67" s="783">
        <v>10291.324901788599</v>
      </c>
      <c r="BB67" s="783">
        <v>14877.3431575953</v>
      </c>
      <c r="BC67" s="783">
        <v>15788.615395848001</v>
      </c>
      <c r="BD67" s="783">
        <v>16197.4149123797</v>
      </c>
      <c r="BE67" s="783">
        <v>10699.8818327807</v>
      </c>
    </row>
    <row r="68" spans="1:59" s="880" customFormat="1" x14ac:dyDescent="0.25">
      <c r="A68" s="783" t="s">
        <v>445</v>
      </c>
      <c r="B68" s="783" t="s">
        <v>109</v>
      </c>
      <c r="C68" s="882" t="s">
        <v>715</v>
      </c>
      <c r="D68" s="783">
        <v>0</v>
      </c>
      <c r="E68" s="783">
        <v>0</v>
      </c>
      <c r="F68" s="783">
        <v>0</v>
      </c>
      <c r="G68" s="783">
        <v>0</v>
      </c>
      <c r="H68" s="783">
        <v>0</v>
      </c>
      <c r="I68" s="783">
        <v>0</v>
      </c>
      <c r="J68" s="783">
        <v>0</v>
      </c>
      <c r="K68" s="783">
        <v>0</v>
      </c>
      <c r="L68" s="783">
        <v>0</v>
      </c>
      <c r="M68" s="783">
        <v>0</v>
      </c>
      <c r="N68" s="783">
        <v>0</v>
      </c>
      <c r="O68" s="783">
        <v>0</v>
      </c>
      <c r="P68" s="783">
        <v>0</v>
      </c>
      <c r="Q68" s="783">
        <v>0</v>
      </c>
      <c r="R68" s="783">
        <v>0</v>
      </c>
      <c r="S68" s="783">
        <v>0</v>
      </c>
      <c r="T68" s="783">
        <v>0</v>
      </c>
      <c r="U68" s="783">
        <v>0</v>
      </c>
      <c r="V68" s="783">
        <v>0</v>
      </c>
      <c r="W68" s="783">
        <v>0</v>
      </c>
      <c r="X68" s="783">
        <v>0</v>
      </c>
      <c r="Y68" s="783">
        <v>0</v>
      </c>
      <c r="Z68" s="783">
        <v>0</v>
      </c>
      <c r="AA68" s="783">
        <v>0</v>
      </c>
    </row>
    <row r="69" spans="1:59" x14ac:dyDescent="0.25">
      <c r="A69" s="783" t="s">
        <v>445</v>
      </c>
      <c r="B69" s="786"/>
      <c r="C69" s="784" t="s">
        <v>716</v>
      </c>
      <c r="D69" s="783">
        <v>910.85392062840901</v>
      </c>
      <c r="E69" s="783">
        <v>1351.1377502652599</v>
      </c>
      <c r="F69" s="783">
        <v>1787.56743156265</v>
      </c>
      <c r="G69" s="783">
        <v>1559.16698159725</v>
      </c>
      <c r="H69" s="783">
        <v>1127.94653119639</v>
      </c>
      <c r="I69" s="783">
        <v>631.38502933643497</v>
      </c>
      <c r="J69" s="783">
        <v>615.42981799128597</v>
      </c>
      <c r="K69" s="783">
        <v>644.44670344863005</v>
      </c>
      <c r="L69" s="783">
        <v>664.26510813728896</v>
      </c>
      <c r="M69" s="783">
        <v>1106.49886784249</v>
      </c>
      <c r="N69" s="783">
        <v>968.74423281877603</v>
      </c>
      <c r="O69" s="783">
        <v>1781.3230954282899</v>
      </c>
      <c r="P69" s="783">
        <v>1017.76796053882</v>
      </c>
      <c r="Q69" s="783">
        <v>2199.5624167821002</v>
      </c>
      <c r="R69" s="783">
        <v>2545.2438498486599</v>
      </c>
      <c r="S69" s="783">
        <v>2039.17695546607</v>
      </c>
      <c r="T69" s="783">
        <v>1371.7250974252099</v>
      </c>
      <c r="U69" s="783">
        <v>803.10487429004297</v>
      </c>
      <c r="V69" s="783">
        <v>665.20470535203401</v>
      </c>
      <c r="W69" s="783">
        <v>683.60134915905803</v>
      </c>
      <c r="X69" s="783">
        <v>704.32835154339102</v>
      </c>
      <c r="Y69" s="783">
        <v>1205.0689413223799</v>
      </c>
      <c r="Z69" s="783">
        <v>1065.2396749940101</v>
      </c>
      <c r="AA69" s="783">
        <v>1948.7414269799499</v>
      </c>
      <c r="AB69" s="783">
        <v>24193</v>
      </c>
      <c r="AC69" s="783">
        <v>24079</v>
      </c>
      <c r="AD69" s="783">
        <v>24008</v>
      </c>
      <c r="AE69" s="783">
        <v>24130</v>
      </c>
      <c r="AF69" s="783">
        <v>24525</v>
      </c>
      <c r="AG69" s="783">
        <v>24836</v>
      </c>
      <c r="AH69" s="783">
        <v>24977</v>
      </c>
      <c r="AI69" s="783">
        <v>25003</v>
      </c>
      <c r="AJ69" s="783">
        <v>25001</v>
      </c>
      <c r="AK69" s="783">
        <v>24923</v>
      </c>
      <c r="AL69" s="783">
        <v>24685</v>
      </c>
      <c r="AM69" s="783">
        <v>24410</v>
      </c>
      <c r="AN69" s="783">
        <v>24223</v>
      </c>
      <c r="AO69" s="783">
        <v>24110</v>
      </c>
      <c r="AP69" s="783">
        <v>24039</v>
      </c>
      <c r="AQ69" s="783">
        <v>24162</v>
      </c>
      <c r="AR69" s="783">
        <v>24557</v>
      </c>
      <c r="AS69" s="783">
        <v>24868</v>
      </c>
      <c r="AT69" s="783">
        <v>25011</v>
      </c>
      <c r="AU69" s="783">
        <v>25036</v>
      </c>
      <c r="AV69" s="783">
        <v>25034</v>
      </c>
      <c r="AW69" s="783">
        <v>24956</v>
      </c>
      <c r="AX69" s="783">
        <v>24719</v>
      </c>
      <c r="AY69" s="783">
        <v>24444</v>
      </c>
      <c r="AZ69" s="783">
        <v>24257</v>
      </c>
      <c r="BA69" s="783">
        <v>24144</v>
      </c>
      <c r="BB69" s="783">
        <v>24072</v>
      </c>
      <c r="BC69" s="783">
        <v>24192</v>
      </c>
      <c r="BD69" s="783">
        <v>24588</v>
      </c>
      <c r="BE69" s="783">
        <v>24898</v>
      </c>
    </row>
    <row r="70" spans="1:59" x14ac:dyDescent="0.25">
      <c r="A70" s="783" t="s">
        <v>445</v>
      </c>
      <c r="B70" s="786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 s="783">
        <v>1203</v>
      </c>
      <c r="AC70" s="783">
        <v>1199</v>
      </c>
      <c r="AD70" s="783">
        <v>1196</v>
      </c>
      <c r="AE70" s="783">
        <v>1201</v>
      </c>
      <c r="AF70" s="783">
        <v>1217</v>
      </c>
      <c r="AG70" s="783">
        <v>1229</v>
      </c>
      <c r="AH70" s="783">
        <v>1235</v>
      </c>
      <c r="AI70" s="783">
        <v>1236</v>
      </c>
      <c r="AJ70" s="783">
        <v>1235</v>
      </c>
      <c r="AK70" s="783">
        <v>1232</v>
      </c>
      <c r="AL70" s="783">
        <v>1223</v>
      </c>
      <c r="AM70" s="783">
        <v>1212</v>
      </c>
      <c r="AN70" s="783">
        <v>1205</v>
      </c>
      <c r="AO70" s="783">
        <v>1200</v>
      </c>
      <c r="AP70" s="783">
        <v>1197</v>
      </c>
      <c r="AQ70" s="783">
        <v>1202</v>
      </c>
      <c r="AR70" s="783">
        <v>1218</v>
      </c>
      <c r="AS70" s="783">
        <v>1230</v>
      </c>
      <c r="AT70" s="783">
        <v>1236</v>
      </c>
      <c r="AU70" s="783">
        <v>1237</v>
      </c>
      <c r="AV70" s="783">
        <v>1237</v>
      </c>
      <c r="AW70" s="783">
        <v>1234</v>
      </c>
      <c r="AX70" s="783">
        <v>1224</v>
      </c>
      <c r="AY70" s="783">
        <v>1213</v>
      </c>
      <c r="AZ70" s="783">
        <v>1206</v>
      </c>
      <c r="BA70" s="783">
        <v>1201</v>
      </c>
      <c r="BB70" s="783">
        <v>1199</v>
      </c>
      <c r="BC70" s="783">
        <v>1203</v>
      </c>
      <c r="BD70" s="783">
        <v>1219</v>
      </c>
      <c r="BE70" s="783">
        <v>1231</v>
      </c>
    </row>
    <row r="71" spans="1:59" s="786" customFormat="1" x14ac:dyDescent="0.25">
      <c r="A71" s="783" t="s">
        <v>445</v>
      </c>
      <c r="B71" s="783"/>
      <c r="C71" s="785" t="s">
        <v>717</v>
      </c>
      <c r="D71" s="783">
        <v>5029.4659006284</v>
      </c>
      <c r="E71" s="783">
        <v>11151.330660265199</v>
      </c>
      <c r="F71" s="783">
        <v>16097.1707715626</v>
      </c>
      <c r="G71" s="783">
        <v>16842.057681597202</v>
      </c>
      <c r="H71" s="783">
        <v>16911.504381196399</v>
      </c>
      <c r="I71" s="783">
        <v>11085.891229336399</v>
      </c>
      <c r="J71" s="783">
        <v>8998.7466679912795</v>
      </c>
      <c r="K71" s="783">
        <v>7909.5581334486296</v>
      </c>
      <c r="L71" s="783">
        <v>7604.89419813729</v>
      </c>
      <c r="M71" s="783">
        <v>8823.5545378424904</v>
      </c>
      <c r="N71" s="783">
        <v>7095.3468128187696</v>
      </c>
      <c r="O71" s="783">
        <v>10198.8337954282</v>
      </c>
      <c r="P71" s="783">
        <v>5136.3799405388199</v>
      </c>
      <c r="Q71" s="783">
        <v>11999.7553267821</v>
      </c>
      <c r="R71" s="783">
        <v>16854.847189848599</v>
      </c>
      <c r="S71" s="783">
        <v>17322.067655465999</v>
      </c>
      <c r="T71" s="783">
        <v>17155.282947425199</v>
      </c>
      <c r="U71" s="783">
        <v>11257.61107429</v>
      </c>
      <c r="V71" s="783">
        <v>9048.5215553520302</v>
      </c>
      <c r="W71" s="783">
        <v>7948.7127791590501</v>
      </c>
      <c r="X71" s="783">
        <v>7644.9574415433899</v>
      </c>
      <c r="Y71" s="783">
        <v>8922.1246113223806</v>
      </c>
      <c r="Z71" s="783">
        <v>7191.8422549940096</v>
      </c>
      <c r="AA71" s="783">
        <v>10366.2521269799</v>
      </c>
      <c r="AB71" s="786">
        <v>61.07</v>
      </c>
      <c r="AC71" s="786">
        <v>61.07</v>
      </c>
      <c r="AD71" s="786">
        <v>59.1</v>
      </c>
      <c r="AE71" s="786">
        <v>61.07</v>
      </c>
      <c r="AF71" s="786">
        <v>59.1</v>
      </c>
      <c r="AG71" s="786">
        <v>61.07</v>
      </c>
      <c r="AH71" s="786">
        <v>61.07</v>
      </c>
      <c r="AI71" s="786">
        <v>55.16</v>
      </c>
      <c r="AJ71" s="786">
        <v>61.07</v>
      </c>
      <c r="AK71" s="786">
        <v>59.1</v>
      </c>
      <c r="AL71" s="786">
        <v>61.07</v>
      </c>
      <c r="AM71" s="786">
        <v>59.1</v>
      </c>
      <c r="AN71" s="786">
        <v>61.07</v>
      </c>
      <c r="AO71" s="786">
        <v>61.07</v>
      </c>
      <c r="AP71" s="786">
        <v>59.1</v>
      </c>
      <c r="AQ71" s="786">
        <v>61.07</v>
      </c>
      <c r="AR71" s="786">
        <v>59.1</v>
      </c>
      <c r="AS71" s="786">
        <v>61.07</v>
      </c>
      <c r="AT71" s="786">
        <v>61.07</v>
      </c>
      <c r="AU71" s="786">
        <v>57.13</v>
      </c>
      <c r="AV71" s="786">
        <v>61.07</v>
      </c>
      <c r="AW71" s="786">
        <v>59.1</v>
      </c>
      <c r="AX71" s="786">
        <v>61.07</v>
      </c>
      <c r="AY71" s="786">
        <v>59.1</v>
      </c>
      <c r="AZ71" s="786">
        <v>61.07</v>
      </c>
      <c r="BA71" s="786">
        <v>61.07</v>
      </c>
      <c r="BB71" s="786">
        <v>59.1</v>
      </c>
      <c r="BC71" s="786">
        <v>61.07</v>
      </c>
      <c r="BD71" s="786">
        <v>59.1</v>
      </c>
      <c r="BE71" s="786">
        <v>61.07</v>
      </c>
    </row>
    <row r="72" spans="1:59" s="883" customFormat="1" x14ac:dyDescent="0.25">
      <c r="A72" s="811"/>
      <c r="C72" s="884" t="s">
        <v>719</v>
      </c>
      <c r="D72" s="811"/>
      <c r="E72" s="811"/>
      <c r="F72" s="811"/>
      <c r="G72" s="811"/>
      <c r="H72" s="811"/>
      <c r="I72" s="811"/>
      <c r="J72" s="811"/>
      <c r="K72" s="811"/>
      <c r="L72" s="811"/>
      <c r="M72" s="811"/>
      <c r="N72" s="811"/>
      <c r="O72" s="811"/>
      <c r="P72" s="811"/>
      <c r="Q72" s="811"/>
      <c r="R72" s="811"/>
      <c r="S72" s="811"/>
      <c r="T72" s="811"/>
      <c r="U72" s="811"/>
      <c r="V72" s="811"/>
      <c r="W72" s="811"/>
      <c r="X72" s="811"/>
      <c r="Y72" s="811"/>
      <c r="Z72" s="811"/>
      <c r="AA72" s="811"/>
      <c r="AB72" s="883">
        <v>290.469999999999</v>
      </c>
      <c r="AC72" s="883">
        <v>290.469999999999</v>
      </c>
      <c r="AD72" s="883">
        <v>281.099999999999</v>
      </c>
      <c r="AE72" s="883">
        <v>290.469999999999</v>
      </c>
      <c r="AF72" s="883">
        <v>281.099999999999</v>
      </c>
      <c r="AG72" s="883">
        <v>290.469999999999</v>
      </c>
      <c r="AH72" s="883">
        <v>290.469999999999</v>
      </c>
      <c r="AI72" s="883">
        <v>262.35999999999899</v>
      </c>
      <c r="AJ72" s="883">
        <v>290.469999999999</v>
      </c>
      <c r="AK72" s="883">
        <v>281.099999999999</v>
      </c>
      <c r="AL72" s="883">
        <v>290.469999999999</v>
      </c>
      <c r="AM72" s="883">
        <v>281.099999999999</v>
      </c>
      <c r="AN72" s="883">
        <v>290.469999999999</v>
      </c>
      <c r="AO72" s="883">
        <v>290.469999999999</v>
      </c>
      <c r="AP72" s="883">
        <v>281.099999999999</v>
      </c>
      <c r="AQ72" s="883">
        <v>290.469999999999</v>
      </c>
      <c r="AR72" s="883">
        <v>281.099999999999</v>
      </c>
      <c r="AS72" s="883">
        <v>290.469999999999</v>
      </c>
      <c r="AT72" s="883">
        <v>290.469999999999</v>
      </c>
      <c r="AU72" s="883">
        <v>271.729999999999</v>
      </c>
      <c r="AV72" s="883">
        <v>290.469999999999</v>
      </c>
      <c r="AW72" s="883">
        <v>281.099999999999</v>
      </c>
      <c r="AX72" s="883">
        <v>290.469999999999</v>
      </c>
      <c r="AY72" s="883">
        <v>281.099999999999</v>
      </c>
      <c r="AZ72" s="883">
        <v>290.469999999999</v>
      </c>
      <c r="BA72" s="883">
        <v>290.469999999999</v>
      </c>
      <c r="BB72" s="883">
        <v>281.099999999999</v>
      </c>
      <c r="BC72" s="883">
        <v>290.469999999999</v>
      </c>
      <c r="BD72" s="883">
        <v>281.099999999999</v>
      </c>
      <c r="BE72" s="883">
        <v>290.469999999999</v>
      </c>
    </row>
    <row r="73" spans="1:59" x14ac:dyDescent="0.25">
      <c r="A73" s="783" t="s">
        <v>56</v>
      </c>
      <c r="C73" s="784" t="s">
        <v>693</v>
      </c>
      <c r="D73" s="783">
        <v>24084</v>
      </c>
      <c r="E73" s="783">
        <v>23970</v>
      </c>
      <c r="F73" s="783">
        <v>23899</v>
      </c>
      <c r="G73" s="783">
        <v>24036</v>
      </c>
      <c r="H73" s="783">
        <v>24431</v>
      </c>
      <c r="I73" s="783">
        <v>24742</v>
      </c>
      <c r="J73" s="783">
        <v>24885</v>
      </c>
      <c r="K73" s="783">
        <v>24911</v>
      </c>
      <c r="L73" s="783">
        <v>24908</v>
      </c>
      <c r="M73" s="783">
        <v>24840</v>
      </c>
      <c r="N73" s="783">
        <v>24601</v>
      </c>
      <c r="O73" s="783">
        <v>24326</v>
      </c>
      <c r="P73" s="783">
        <v>24144</v>
      </c>
      <c r="Q73" s="783">
        <v>24030</v>
      </c>
      <c r="R73" s="783">
        <v>23959</v>
      </c>
      <c r="S73" s="783">
        <v>24085</v>
      </c>
      <c r="T73" s="783">
        <v>24480</v>
      </c>
      <c r="U73" s="783">
        <v>24791</v>
      </c>
      <c r="V73" s="783">
        <v>24939</v>
      </c>
      <c r="W73" s="783">
        <v>24965</v>
      </c>
      <c r="X73" s="783">
        <v>24963</v>
      </c>
      <c r="Y73" s="783">
        <v>24889</v>
      </c>
      <c r="Z73" s="783">
        <v>24651</v>
      </c>
      <c r="AA73" s="783">
        <v>24376</v>
      </c>
      <c r="AB73" s="783">
        <v>1477466.51</v>
      </c>
      <c r="AC73" s="783">
        <v>1470504.53</v>
      </c>
      <c r="AD73" s="783">
        <v>1418872.8</v>
      </c>
      <c r="AE73" s="783">
        <v>1473619.1</v>
      </c>
      <c r="AF73" s="783">
        <v>1449427.5</v>
      </c>
      <c r="AG73" s="783">
        <v>1516734.52</v>
      </c>
      <c r="AH73" s="783">
        <v>1525345.39</v>
      </c>
      <c r="AI73" s="783">
        <v>1379165.48</v>
      </c>
      <c r="AJ73" s="783">
        <v>1526811.07</v>
      </c>
      <c r="AK73" s="783">
        <v>1472949.3</v>
      </c>
      <c r="AL73" s="783">
        <v>1507512.95</v>
      </c>
      <c r="AM73" s="783">
        <v>1442631</v>
      </c>
      <c r="AN73" s="783">
        <v>1479298.61</v>
      </c>
      <c r="AO73" s="783">
        <v>1472397.7</v>
      </c>
      <c r="AP73" s="783">
        <v>1420704.9</v>
      </c>
      <c r="AQ73" s="783">
        <v>1475573.34</v>
      </c>
      <c r="AR73" s="783">
        <v>1451318.7</v>
      </c>
      <c r="AS73" s="783">
        <v>1518688.76</v>
      </c>
      <c r="AT73" s="783">
        <v>1527421.77</v>
      </c>
      <c r="AU73" s="783">
        <v>1430306.68</v>
      </c>
      <c r="AV73" s="783">
        <v>1528826.38</v>
      </c>
      <c r="AW73" s="783">
        <v>1474899.6</v>
      </c>
      <c r="AX73" s="783">
        <v>1509589.33</v>
      </c>
      <c r="AY73" s="783">
        <v>1444640.4</v>
      </c>
      <c r="AZ73" s="783">
        <v>1481374.99</v>
      </c>
      <c r="BA73" s="783">
        <v>1474474.08</v>
      </c>
      <c r="BB73" s="783">
        <v>1422655.2</v>
      </c>
      <c r="BC73" s="783">
        <v>1477405.44</v>
      </c>
      <c r="BD73" s="783">
        <v>1453150.8</v>
      </c>
      <c r="BE73" s="783">
        <v>1520520.86</v>
      </c>
    </row>
    <row r="74" spans="1:59" x14ac:dyDescent="0.25">
      <c r="A74" s="783" t="s">
        <v>56</v>
      </c>
      <c r="C74" s="784" t="s">
        <v>694</v>
      </c>
      <c r="D74" s="783">
        <v>1199</v>
      </c>
      <c r="E74" s="783">
        <v>1194</v>
      </c>
      <c r="F74" s="783">
        <v>1192</v>
      </c>
      <c r="G74" s="783">
        <v>1197</v>
      </c>
      <c r="H74" s="783">
        <v>1213</v>
      </c>
      <c r="I74" s="783">
        <v>1225</v>
      </c>
      <c r="J74" s="783">
        <v>1231</v>
      </c>
      <c r="K74" s="783">
        <v>1232</v>
      </c>
      <c r="L74" s="783">
        <v>1232</v>
      </c>
      <c r="M74" s="783">
        <v>1229</v>
      </c>
      <c r="N74" s="783">
        <v>1220</v>
      </c>
      <c r="O74" s="783">
        <v>1209</v>
      </c>
      <c r="P74" s="783">
        <v>1201</v>
      </c>
      <c r="Q74" s="783">
        <v>1197</v>
      </c>
      <c r="R74" s="783">
        <v>1194</v>
      </c>
      <c r="S74" s="783">
        <v>1199</v>
      </c>
      <c r="T74" s="783">
        <v>1215</v>
      </c>
      <c r="U74" s="783">
        <v>1227</v>
      </c>
      <c r="V74" s="783">
        <v>1233</v>
      </c>
      <c r="W74" s="783">
        <v>1234</v>
      </c>
      <c r="X74" s="783">
        <v>1234</v>
      </c>
      <c r="Y74" s="783">
        <v>1231</v>
      </c>
      <c r="Z74" s="783">
        <v>1222</v>
      </c>
      <c r="AA74" s="783">
        <v>1211</v>
      </c>
      <c r="AB74" s="783">
        <v>349435.41</v>
      </c>
      <c r="AC74" s="783">
        <v>348273.52999999898</v>
      </c>
      <c r="AD74" s="783">
        <v>336195.6</v>
      </c>
      <c r="AE74" s="783">
        <v>348854.47</v>
      </c>
      <c r="AF74" s="783">
        <v>342098.69999999902</v>
      </c>
      <c r="AG74" s="783">
        <v>356987.62999999902</v>
      </c>
      <c r="AH74" s="783">
        <v>358730.44999999902</v>
      </c>
      <c r="AI74" s="783">
        <v>324276.95999999897</v>
      </c>
      <c r="AJ74" s="783">
        <v>358730.44999999902</v>
      </c>
      <c r="AK74" s="783">
        <v>346315.19999999902</v>
      </c>
      <c r="AL74" s="783">
        <v>355244.80999999901</v>
      </c>
      <c r="AM74" s="783">
        <v>340693.19999999902</v>
      </c>
      <c r="AN74" s="783">
        <v>350016.35</v>
      </c>
      <c r="AO74" s="783">
        <v>348563.99999999901</v>
      </c>
      <c r="AP74" s="783">
        <v>336476.69999999902</v>
      </c>
      <c r="AQ74" s="783">
        <v>349144.93999999901</v>
      </c>
      <c r="AR74" s="783">
        <v>342379.799999999</v>
      </c>
      <c r="AS74" s="783">
        <v>357278.1</v>
      </c>
      <c r="AT74" s="783">
        <v>359020.92</v>
      </c>
      <c r="AU74" s="783">
        <v>336130.00999999902</v>
      </c>
      <c r="AV74" s="783">
        <v>359311.38999999902</v>
      </c>
      <c r="AW74" s="783">
        <v>346877.39999999898</v>
      </c>
      <c r="AX74" s="783">
        <v>355535.27999999898</v>
      </c>
      <c r="AY74" s="783">
        <v>340974.299999999</v>
      </c>
      <c r="AZ74" s="783">
        <v>350306.81999999902</v>
      </c>
      <c r="BA74" s="783">
        <v>348854.47</v>
      </c>
      <c r="BB74" s="783">
        <v>337038.89999999898</v>
      </c>
      <c r="BC74" s="783">
        <v>349435.41</v>
      </c>
      <c r="BD74" s="783">
        <v>342660.89999999898</v>
      </c>
      <c r="BE74" s="783">
        <v>357568.56999999902</v>
      </c>
    </row>
    <row r="75" spans="1:59" x14ac:dyDescent="0.25">
      <c r="A75" s="783" t="s">
        <v>56</v>
      </c>
      <c r="C75" s="784" t="s">
        <v>695</v>
      </c>
      <c r="D75" s="786">
        <v>1.97</v>
      </c>
      <c r="E75" s="786">
        <v>1.97</v>
      </c>
      <c r="F75" s="786">
        <v>1.97</v>
      </c>
      <c r="G75" s="786">
        <v>1.97</v>
      </c>
      <c r="H75" s="786">
        <v>1.97</v>
      </c>
      <c r="I75" s="786">
        <v>1.97</v>
      </c>
      <c r="J75" s="786">
        <v>1.97</v>
      </c>
      <c r="K75" s="786">
        <v>1.97</v>
      </c>
      <c r="L75" s="786">
        <v>1.97</v>
      </c>
      <c r="M75" s="786">
        <v>1.97</v>
      </c>
      <c r="N75" s="786">
        <v>1.97</v>
      </c>
      <c r="O75" s="786">
        <v>1.97</v>
      </c>
      <c r="P75" s="786">
        <v>1.97</v>
      </c>
      <c r="Q75" s="786">
        <v>1.97</v>
      </c>
      <c r="R75" s="786">
        <v>1.97</v>
      </c>
      <c r="S75" s="786">
        <v>1.97</v>
      </c>
      <c r="T75" s="786">
        <v>1.97</v>
      </c>
      <c r="U75" s="786">
        <v>1.97</v>
      </c>
      <c r="V75" s="786">
        <v>1.97</v>
      </c>
      <c r="W75" s="786">
        <v>1.97</v>
      </c>
      <c r="X75" s="786">
        <v>1.97</v>
      </c>
      <c r="Y75" s="786">
        <v>1.97</v>
      </c>
      <c r="Z75" s="786">
        <v>1.97</v>
      </c>
      <c r="AA75" s="786">
        <v>1.97</v>
      </c>
      <c r="AB75" s="783">
        <v>1826901.92</v>
      </c>
      <c r="AC75" s="783">
        <v>1818778.06</v>
      </c>
      <c r="AD75" s="783">
        <v>1755068.4</v>
      </c>
      <c r="AE75" s="783">
        <v>1822473.57</v>
      </c>
      <c r="AF75" s="783">
        <v>1791526.2</v>
      </c>
      <c r="AG75" s="783">
        <v>1873722.15</v>
      </c>
      <c r="AH75" s="783">
        <v>1884075.8399999901</v>
      </c>
      <c r="AI75" s="783">
        <v>1703442.44</v>
      </c>
      <c r="AJ75" s="783">
        <v>1885541.52</v>
      </c>
      <c r="AK75" s="783">
        <v>1819264.5</v>
      </c>
      <c r="AL75" s="783">
        <v>1862757.75999999</v>
      </c>
      <c r="AM75" s="783">
        <v>1783324.2</v>
      </c>
      <c r="AN75" s="783">
        <v>1829314.96</v>
      </c>
      <c r="AO75" s="783">
        <v>1820961.7</v>
      </c>
      <c r="AP75" s="783">
        <v>1757181.6</v>
      </c>
      <c r="AQ75" s="783">
        <v>1824718.28</v>
      </c>
      <c r="AR75" s="783">
        <v>1793698.5</v>
      </c>
      <c r="AS75" s="783">
        <v>1875966.8599999901</v>
      </c>
      <c r="AT75" s="783">
        <v>1886442.69</v>
      </c>
      <c r="AU75" s="783">
        <v>1766436.69</v>
      </c>
      <c r="AV75" s="783">
        <v>1888137.77</v>
      </c>
      <c r="AW75" s="783">
        <v>1821777</v>
      </c>
      <c r="AX75" s="783">
        <v>1865124.61</v>
      </c>
      <c r="AY75" s="783">
        <v>1785614.7</v>
      </c>
      <c r="AZ75" s="783">
        <v>1831681.81</v>
      </c>
      <c r="BA75" s="783">
        <v>1823328.55</v>
      </c>
      <c r="BB75" s="783">
        <v>1759694.0999999901</v>
      </c>
      <c r="BC75" s="783">
        <v>1826840.8499999901</v>
      </c>
      <c r="BD75" s="783">
        <v>1795811.7</v>
      </c>
      <c r="BE75" s="783">
        <v>1878089.43</v>
      </c>
    </row>
    <row r="76" spans="1:59" x14ac:dyDescent="0.25">
      <c r="A76" s="783" t="s">
        <v>56</v>
      </c>
      <c r="C76" s="784" t="s">
        <v>696</v>
      </c>
      <c r="D76" s="786">
        <v>9.3699999999999992</v>
      </c>
      <c r="E76" s="786">
        <v>9.3699999999999992</v>
      </c>
      <c r="F76" s="786">
        <v>9.3699999999999992</v>
      </c>
      <c r="G76" s="786">
        <v>9.3699999999999992</v>
      </c>
      <c r="H76" s="786">
        <v>9.3699999999999992</v>
      </c>
      <c r="I76" s="786">
        <v>9.3699999999999992</v>
      </c>
      <c r="J76" s="786">
        <v>9.3699999999999992</v>
      </c>
      <c r="K76" s="786">
        <v>9.3699999999999992</v>
      </c>
      <c r="L76" s="786">
        <v>9.3699999999999992</v>
      </c>
      <c r="M76" s="786">
        <v>9.3699999999999992</v>
      </c>
      <c r="N76" s="786">
        <v>9.3699999999999992</v>
      </c>
      <c r="O76" s="786">
        <v>9.3699999999999992</v>
      </c>
      <c r="P76" s="786">
        <v>9.3699999999999992</v>
      </c>
      <c r="Q76" s="786">
        <v>9.3699999999999992</v>
      </c>
      <c r="R76" s="786">
        <v>9.3699999999999992</v>
      </c>
      <c r="S76" s="786">
        <v>9.3699999999999992</v>
      </c>
      <c r="T76" s="786">
        <v>9.3699999999999992</v>
      </c>
      <c r="U76" s="786">
        <v>9.3699999999999992</v>
      </c>
      <c r="V76" s="786">
        <v>9.3699999999999992</v>
      </c>
      <c r="W76" s="786">
        <v>9.3699999999999992</v>
      </c>
      <c r="X76" s="786">
        <v>9.3699999999999992</v>
      </c>
      <c r="Y76" s="786">
        <v>9.3699999999999992</v>
      </c>
      <c r="Z76" s="786">
        <v>9.3699999999999992</v>
      </c>
      <c r="AA76" s="786">
        <v>9.3699999999999992</v>
      </c>
    </row>
    <row r="77" spans="1:59" x14ac:dyDescent="0.25">
      <c r="A77" s="783" t="s">
        <v>56</v>
      </c>
      <c r="C77" s="784" t="s">
        <v>1062</v>
      </c>
      <c r="D77" s="783">
        <v>31</v>
      </c>
      <c r="E77" s="783">
        <v>31</v>
      </c>
      <c r="F77" s="783">
        <v>30</v>
      </c>
      <c r="G77" s="783">
        <v>31</v>
      </c>
      <c r="H77" s="783">
        <v>30</v>
      </c>
      <c r="I77" s="783">
        <v>31</v>
      </c>
      <c r="J77" s="783">
        <v>31</v>
      </c>
      <c r="K77" s="783">
        <v>28</v>
      </c>
      <c r="L77" s="783">
        <v>31</v>
      </c>
      <c r="M77" s="783">
        <v>30</v>
      </c>
      <c r="N77" s="783">
        <v>31</v>
      </c>
      <c r="O77" s="783">
        <v>30</v>
      </c>
      <c r="P77" s="783">
        <v>31</v>
      </c>
      <c r="Q77" s="783">
        <v>31</v>
      </c>
      <c r="R77" s="783">
        <v>30</v>
      </c>
      <c r="S77" s="783">
        <v>31</v>
      </c>
      <c r="T77" s="783">
        <v>30</v>
      </c>
      <c r="U77" s="783">
        <v>31</v>
      </c>
      <c r="V77" s="783">
        <v>31</v>
      </c>
      <c r="W77" s="783">
        <v>28</v>
      </c>
      <c r="X77" s="783">
        <v>31</v>
      </c>
      <c r="Y77" s="783">
        <v>30</v>
      </c>
      <c r="Z77" s="783">
        <v>31</v>
      </c>
      <c r="AA77" s="783">
        <v>30</v>
      </c>
      <c r="AB77" s="783">
        <v>133079.23816194799</v>
      </c>
      <c r="AC77" s="783">
        <v>137563.323781307</v>
      </c>
      <c r="AD77" s="783">
        <v>190417.71433184901</v>
      </c>
      <c r="AE77" s="783">
        <v>359996.78913156298</v>
      </c>
      <c r="AF77" s="783">
        <v>1134457.5444771701</v>
      </c>
      <c r="AG77" s="783">
        <v>1703095.3492548401</v>
      </c>
      <c r="AH77" s="783">
        <v>2180199.29759984</v>
      </c>
      <c r="AI77" s="783">
        <v>1714102.85485995</v>
      </c>
      <c r="AJ77" s="783">
        <v>1324382.74346016</v>
      </c>
      <c r="AK77" s="783">
        <v>420947.54398433701</v>
      </c>
      <c r="AL77" s="783">
        <v>226417.031842044</v>
      </c>
      <c r="AM77" s="783">
        <v>150543.93536216201</v>
      </c>
      <c r="AN77" s="783">
        <v>129962.08989929799</v>
      </c>
      <c r="AO77" s="783">
        <v>134267.734568863</v>
      </c>
      <c r="AP77" s="783">
        <v>191499.84310691699</v>
      </c>
      <c r="AQ77" s="783">
        <v>365327.964710637</v>
      </c>
      <c r="AR77" s="783">
        <v>1141383.6258356499</v>
      </c>
      <c r="AS77" s="783">
        <v>1709839.0243540399</v>
      </c>
      <c r="AT77" s="783">
        <v>2186143.3895817799</v>
      </c>
      <c r="AU77" s="783">
        <v>1721022.64851104</v>
      </c>
      <c r="AV77" s="783">
        <v>1331081.69955273</v>
      </c>
      <c r="AW77" s="783">
        <v>426362.95737418701</v>
      </c>
      <c r="AX77" s="783">
        <v>226804.26224397201</v>
      </c>
      <c r="AY77" s="783">
        <v>147522.19419515299</v>
      </c>
      <c r="AZ77" s="783">
        <v>126964.851067449</v>
      </c>
      <c r="BA77" s="783">
        <v>131139.98798698699</v>
      </c>
      <c r="BB77" s="783">
        <v>192283.32002862799</v>
      </c>
      <c r="BC77" s="783">
        <v>370085.83220459102</v>
      </c>
      <c r="BD77" s="783">
        <v>1147410.5207097901</v>
      </c>
      <c r="BE77" s="783">
        <v>1714946.1449897599</v>
      </c>
    </row>
    <row r="78" spans="1:59" x14ac:dyDescent="0.25">
      <c r="A78" s="783" t="s">
        <v>56</v>
      </c>
      <c r="C78" s="784" t="s">
        <v>1063</v>
      </c>
      <c r="D78" s="783">
        <v>31</v>
      </c>
      <c r="E78" s="783">
        <v>31</v>
      </c>
      <c r="F78" s="783">
        <v>30</v>
      </c>
      <c r="G78" s="783">
        <v>31</v>
      </c>
      <c r="H78" s="783">
        <v>30</v>
      </c>
      <c r="I78" s="783">
        <v>31</v>
      </c>
      <c r="J78" s="783">
        <v>31</v>
      </c>
      <c r="K78" s="783">
        <v>28</v>
      </c>
      <c r="L78" s="783">
        <v>31</v>
      </c>
      <c r="M78" s="783">
        <v>30</v>
      </c>
      <c r="N78" s="783">
        <v>31</v>
      </c>
      <c r="O78" s="783">
        <v>30</v>
      </c>
      <c r="P78" s="783">
        <v>31</v>
      </c>
      <c r="Q78" s="783">
        <v>31</v>
      </c>
      <c r="R78" s="783">
        <v>30</v>
      </c>
      <c r="S78" s="783">
        <v>31</v>
      </c>
      <c r="T78" s="783">
        <v>30</v>
      </c>
      <c r="U78" s="783">
        <v>31</v>
      </c>
      <c r="V78" s="783">
        <v>31</v>
      </c>
      <c r="W78" s="783">
        <v>28</v>
      </c>
      <c r="X78" s="783">
        <v>31</v>
      </c>
      <c r="Y78" s="783">
        <v>30</v>
      </c>
      <c r="Z78" s="783">
        <v>31</v>
      </c>
      <c r="AA78" s="783">
        <v>30</v>
      </c>
      <c r="AB78" s="783">
        <v>63963.601234338901</v>
      </c>
      <c r="AC78" s="783">
        <v>62745.2304111716</v>
      </c>
      <c r="AD78" s="783">
        <v>86400.024980016693</v>
      </c>
      <c r="AE78" s="783">
        <v>175860.91024620601</v>
      </c>
      <c r="AF78" s="783">
        <v>0</v>
      </c>
      <c r="AG78" s="783">
        <v>0</v>
      </c>
      <c r="AH78" s="783">
        <v>0</v>
      </c>
      <c r="AI78" s="783">
        <v>0</v>
      </c>
      <c r="AJ78" s="783">
        <v>0</v>
      </c>
      <c r="AK78" s="783">
        <v>225384.52523746199</v>
      </c>
      <c r="AL78" s="783">
        <v>116924.64359059199</v>
      </c>
      <c r="AM78" s="783">
        <v>74569.518923655705</v>
      </c>
      <c r="AN78" s="783">
        <v>62464.688888224802</v>
      </c>
      <c r="AO78" s="783">
        <v>61241.3929098468</v>
      </c>
      <c r="AP78" s="783">
        <v>86891.1844932604</v>
      </c>
      <c r="AQ78" s="783">
        <v>178465.66107691699</v>
      </c>
      <c r="AR78" s="783">
        <v>0</v>
      </c>
      <c r="AS78" s="783">
        <v>0</v>
      </c>
      <c r="AT78" s="783">
        <v>0</v>
      </c>
      <c r="AU78" s="783">
        <v>0</v>
      </c>
      <c r="AV78" s="783">
        <v>0</v>
      </c>
      <c r="AW78" s="783">
        <v>228284.47008799401</v>
      </c>
      <c r="AX78" s="783">
        <v>117124.66740415301</v>
      </c>
      <c r="AY78" s="783">
        <v>73072.150222270895</v>
      </c>
      <c r="AZ78" s="783">
        <v>61023.436207643703</v>
      </c>
      <c r="BA78" s="783">
        <v>59814.1450639373</v>
      </c>
      <c r="BB78" s="783">
        <v>87246.791101615498</v>
      </c>
      <c r="BC78" s="783">
        <v>180790.300197025</v>
      </c>
      <c r="BD78" s="783">
        <v>0</v>
      </c>
      <c r="BE78" s="783">
        <v>0</v>
      </c>
    </row>
    <row r="79" spans="1:59" s="788" customFormat="1" x14ac:dyDescent="0.25">
      <c r="A79" s="783" t="s">
        <v>56</v>
      </c>
      <c r="B79" s="783" t="s">
        <v>964</v>
      </c>
      <c r="C79" s="787" t="s">
        <v>697</v>
      </c>
      <c r="D79" s="783">
        <v>1470809.88</v>
      </c>
      <c r="E79" s="783">
        <v>1463847.9</v>
      </c>
      <c r="F79" s="783">
        <v>1412430.9</v>
      </c>
      <c r="G79" s="783">
        <v>1467878.52</v>
      </c>
      <c r="H79" s="783">
        <v>1443872.1</v>
      </c>
      <c r="I79" s="783">
        <v>1510993.94</v>
      </c>
      <c r="J79" s="783">
        <v>1519726.95</v>
      </c>
      <c r="K79" s="783">
        <v>1374090.76</v>
      </c>
      <c r="L79" s="783">
        <v>1521131.56</v>
      </c>
      <c r="M79" s="783">
        <v>1468044</v>
      </c>
      <c r="N79" s="783">
        <v>1502383.07</v>
      </c>
      <c r="O79" s="783">
        <v>1437666.6</v>
      </c>
      <c r="P79" s="783">
        <v>1474474.08</v>
      </c>
      <c r="Q79" s="783">
        <v>1467512.0999999901</v>
      </c>
      <c r="R79" s="783">
        <v>1415976.9</v>
      </c>
      <c r="S79" s="783">
        <v>1470870.95</v>
      </c>
      <c r="T79" s="783">
        <v>1446768</v>
      </c>
      <c r="U79" s="783">
        <v>1513986.3699999901</v>
      </c>
      <c r="V79" s="783">
        <v>1523024.73</v>
      </c>
      <c r="W79" s="783">
        <v>1377069.4</v>
      </c>
      <c r="X79" s="783">
        <v>1524490.41</v>
      </c>
      <c r="Y79" s="783">
        <v>1470939.9</v>
      </c>
      <c r="Z79" s="783">
        <v>1505436.57</v>
      </c>
      <c r="AA79" s="783">
        <v>1440621.6</v>
      </c>
      <c r="AB79" s="788">
        <v>3.0670000000000002</v>
      </c>
      <c r="AC79" s="788">
        <v>3.0670000000000002</v>
      </c>
      <c r="AD79" s="788">
        <v>3.0670000000000002</v>
      </c>
      <c r="AE79" s="788">
        <v>3.0670000000000002</v>
      </c>
      <c r="AF79" s="788">
        <v>3.0670000000000002</v>
      </c>
      <c r="AG79" s="788">
        <v>3.0670000000000002</v>
      </c>
      <c r="AH79" s="788">
        <v>3.0670000000000002</v>
      </c>
      <c r="AI79" s="788">
        <v>3.0670000000000002</v>
      </c>
      <c r="AJ79" s="788">
        <v>3.0670000000000002</v>
      </c>
      <c r="AK79" s="788">
        <v>3.0670000000000002</v>
      </c>
      <c r="AL79" s="788">
        <v>3.0670000000000002</v>
      </c>
      <c r="AM79" s="788">
        <v>3.0670000000000002</v>
      </c>
      <c r="AN79" s="788">
        <v>3.0670000000000002</v>
      </c>
      <c r="AO79" s="788">
        <v>3.0670000000000002</v>
      </c>
      <c r="AP79" s="788">
        <v>3.0670000000000002</v>
      </c>
      <c r="AQ79" s="788">
        <v>3.0670000000000002</v>
      </c>
      <c r="AR79" s="788">
        <v>3.0670000000000002</v>
      </c>
      <c r="AS79" s="788">
        <v>3.0670000000000002</v>
      </c>
      <c r="AT79" s="788">
        <v>3.0670000000000002</v>
      </c>
      <c r="AU79" s="788">
        <v>3.0670000000000002</v>
      </c>
      <c r="AV79" s="788">
        <v>3.0670000000000002</v>
      </c>
      <c r="AW79" s="788">
        <v>3.0670000000000002</v>
      </c>
      <c r="AX79" s="788">
        <v>3.0670000000000002</v>
      </c>
      <c r="AY79" s="788">
        <v>3.0670000000000002</v>
      </c>
      <c r="AZ79" s="788">
        <v>3.0670000000000002</v>
      </c>
      <c r="BA79" s="788">
        <v>3.0670000000000002</v>
      </c>
      <c r="BB79" s="788">
        <v>3.0670000000000002</v>
      </c>
      <c r="BC79" s="788">
        <v>3.0670000000000002</v>
      </c>
      <c r="BD79" s="788">
        <v>3.0670000000000002</v>
      </c>
      <c r="BE79" s="788">
        <v>3.0670000000000002</v>
      </c>
      <c r="BG79" s="783">
        <f>SUM(F79:K79)/1.97</f>
        <v>4430961</v>
      </c>
    </row>
    <row r="80" spans="1:59" s="788" customFormat="1" x14ac:dyDescent="0.25">
      <c r="A80" s="783" t="s">
        <v>56</v>
      </c>
      <c r="B80" s="783" t="s">
        <v>965</v>
      </c>
      <c r="C80" s="787" t="s">
        <v>698</v>
      </c>
      <c r="D80" s="783">
        <v>348273.52999999898</v>
      </c>
      <c r="E80" s="783">
        <v>346821.179999999</v>
      </c>
      <c r="F80" s="783">
        <v>335071.19999999902</v>
      </c>
      <c r="G80" s="783">
        <v>347692.58999999898</v>
      </c>
      <c r="H80" s="783">
        <v>340974.3</v>
      </c>
      <c r="I80" s="783">
        <v>355825.74999999901</v>
      </c>
      <c r="J80" s="783">
        <v>357568.57</v>
      </c>
      <c r="K80" s="783">
        <v>323227.51999999897</v>
      </c>
      <c r="L80" s="783">
        <v>357859.03999999899</v>
      </c>
      <c r="M80" s="783">
        <v>345471.89999999898</v>
      </c>
      <c r="N80" s="783">
        <v>354373.39999999898</v>
      </c>
      <c r="O80" s="783">
        <v>339849.9</v>
      </c>
      <c r="P80" s="783">
        <v>348854.47</v>
      </c>
      <c r="Q80" s="783">
        <v>347692.58999999898</v>
      </c>
      <c r="R80" s="783">
        <v>335633.39999999898</v>
      </c>
      <c r="S80" s="783">
        <v>348273.52999999898</v>
      </c>
      <c r="T80" s="783">
        <v>341536.5</v>
      </c>
      <c r="U80" s="783">
        <v>356406.69</v>
      </c>
      <c r="V80" s="783">
        <v>358149.50999999902</v>
      </c>
      <c r="W80" s="783">
        <v>323752.24</v>
      </c>
      <c r="X80" s="783">
        <v>358439.98</v>
      </c>
      <c r="Y80" s="783">
        <v>346034.1</v>
      </c>
      <c r="Z80" s="783">
        <v>354954.33999999898</v>
      </c>
      <c r="AA80" s="783">
        <v>340412.1</v>
      </c>
      <c r="AB80" s="788">
        <v>2.5670000000000002</v>
      </c>
      <c r="AC80" s="788">
        <v>2.5670000000000002</v>
      </c>
      <c r="AD80" s="788">
        <v>2.5670000000000002</v>
      </c>
      <c r="AE80" s="788">
        <v>2.5670000000000002</v>
      </c>
      <c r="AF80" s="788">
        <v>3.0670000000000002</v>
      </c>
      <c r="AG80" s="788">
        <v>3.0670000000000002</v>
      </c>
      <c r="AH80" s="788">
        <v>3.0670000000000002</v>
      </c>
      <c r="AI80" s="788">
        <v>3.0670000000000002</v>
      </c>
      <c r="AJ80" s="788">
        <v>3.0670000000000002</v>
      </c>
      <c r="AK80" s="788">
        <v>2.5670000000000002</v>
      </c>
      <c r="AL80" s="788">
        <v>2.5670000000000002</v>
      </c>
      <c r="AM80" s="788">
        <v>2.5670000000000002</v>
      </c>
      <c r="AN80" s="788">
        <v>2.5670000000000002</v>
      </c>
      <c r="AO80" s="788">
        <v>2.5670000000000002</v>
      </c>
      <c r="AP80" s="788">
        <v>2.5670000000000002</v>
      </c>
      <c r="AQ80" s="788">
        <v>2.5670000000000002</v>
      </c>
      <c r="AR80" s="788">
        <v>3.0670000000000002</v>
      </c>
      <c r="AS80" s="788">
        <v>3.0670000000000002</v>
      </c>
      <c r="AT80" s="788">
        <v>3.0670000000000002</v>
      </c>
      <c r="AU80" s="788">
        <v>3.0670000000000002</v>
      </c>
      <c r="AV80" s="788">
        <v>3.0670000000000002</v>
      </c>
      <c r="AW80" s="788">
        <v>2.5670000000000002</v>
      </c>
      <c r="AX80" s="788">
        <v>2.5670000000000002</v>
      </c>
      <c r="AY80" s="788">
        <v>2.5670000000000002</v>
      </c>
      <c r="AZ80" s="788">
        <v>2.5670000000000002</v>
      </c>
      <c r="BA80" s="788">
        <v>2.5670000000000002</v>
      </c>
      <c r="BB80" s="788">
        <v>2.5670000000000002</v>
      </c>
      <c r="BC80" s="788">
        <v>2.5670000000000002</v>
      </c>
      <c r="BD80" s="788">
        <v>3.0670000000000002</v>
      </c>
      <c r="BE80" s="788">
        <v>3.0670000000000002</v>
      </c>
      <c r="BG80" s="783">
        <f>SUM(F80:K80)/9.37</f>
        <v>219888.99999999959</v>
      </c>
    </row>
    <row r="81" spans="1:57" x14ac:dyDescent="0.25">
      <c r="A81" s="783" t="s">
        <v>56</v>
      </c>
      <c r="B81" s="783" t="s">
        <v>89</v>
      </c>
      <c r="C81" s="784" t="s">
        <v>699</v>
      </c>
      <c r="D81" s="783">
        <v>1819083.41</v>
      </c>
      <c r="E81" s="783">
        <v>1810669.08</v>
      </c>
      <c r="F81" s="783">
        <v>1747502.0999999901</v>
      </c>
      <c r="G81" s="783">
        <v>1815571.1099999901</v>
      </c>
      <c r="H81" s="783">
        <v>1784846.4</v>
      </c>
      <c r="I81" s="783">
        <v>1866819.69</v>
      </c>
      <c r="J81" s="783">
        <v>1877295.52</v>
      </c>
      <c r="K81" s="783">
        <v>1697318.28</v>
      </c>
      <c r="L81" s="783">
        <v>1878990.6</v>
      </c>
      <c r="M81" s="783">
        <v>1813515.9</v>
      </c>
      <c r="N81" s="783">
        <v>1856756.47</v>
      </c>
      <c r="O81" s="783">
        <v>1777516.5</v>
      </c>
      <c r="P81" s="783">
        <v>1823328.55</v>
      </c>
      <c r="Q81" s="783">
        <v>1815204.69</v>
      </c>
      <c r="R81" s="783">
        <v>1751610.29999999</v>
      </c>
      <c r="S81" s="783">
        <v>1819144.48</v>
      </c>
      <c r="T81" s="783">
        <v>1788304.5</v>
      </c>
      <c r="U81" s="783">
        <v>1870393.05999999</v>
      </c>
      <c r="V81" s="783">
        <v>1881174.24</v>
      </c>
      <c r="W81" s="783">
        <v>1700821.64</v>
      </c>
      <c r="X81" s="783">
        <v>1882930.39</v>
      </c>
      <c r="Y81" s="783">
        <v>1816974</v>
      </c>
      <c r="Z81" s="783">
        <v>1860390.91</v>
      </c>
      <c r="AA81" s="783">
        <v>1781033.7</v>
      </c>
      <c r="AB81" s="783">
        <v>408154.02344269602</v>
      </c>
      <c r="AC81" s="783">
        <v>421906.71403726802</v>
      </c>
      <c r="AD81" s="783">
        <v>584011.12985578098</v>
      </c>
      <c r="AE81" s="783">
        <v>1104110.1522665001</v>
      </c>
      <c r="AF81" s="783">
        <v>3479381.28891148</v>
      </c>
      <c r="AG81" s="783">
        <v>5223393.4361646101</v>
      </c>
      <c r="AH81" s="783">
        <v>6686671.2457387196</v>
      </c>
      <c r="AI81" s="783">
        <v>5257153.4558554702</v>
      </c>
      <c r="AJ81" s="783">
        <v>4061881.8741923198</v>
      </c>
      <c r="AK81" s="783">
        <v>1291046.1173999601</v>
      </c>
      <c r="AL81" s="783">
        <v>694421.03665954899</v>
      </c>
      <c r="AM81" s="783">
        <v>461718.24975575297</v>
      </c>
      <c r="AN81" s="783">
        <v>398593.72972114797</v>
      </c>
      <c r="AO81" s="783">
        <v>411799.14192270202</v>
      </c>
      <c r="AP81" s="783">
        <v>587330.01880891598</v>
      </c>
      <c r="AQ81" s="783">
        <v>1120460.86776752</v>
      </c>
      <c r="AR81" s="783">
        <v>3500623.5804379401</v>
      </c>
      <c r="AS81" s="783">
        <v>5244076.2876938405</v>
      </c>
      <c r="AT81" s="783">
        <v>6704901.7758473298</v>
      </c>
      <c r="AU81" s="783">
        <v>5278376.4629833801</v>
      </c>
      <c r="AV81" s="783">
        <v>4082427.57252825</v>
      </c>
      <c r="AW81" s="783">
        <v>1307655.1902666299</v>
      </c>
      <c r="AX81" s="783">
        <v>695608.67230226297</v>
      </c>
      <c r="AY81" s="783">
        <v>452450.56959653698</v>
      </c>
      <c r="AZ81" s="783">
        <v>389401.19822386699</v>
      </c>
      <c r="BA81" s="783">
        <v>402206.34315609001</v>
      </c>
      <c r="BB81" s="783">
        <v>589732.94252780301</v>
      </c>
      <c r="BC81" s="783">
        <v>1135053.2473714801</v>
      </c>
      <c r="BD81" s="783">
        <v>3519108.0670169299</v>
      </c>
      <c r="BE81" s="783">
        <v>5259739.8266836004</v>
      </c>
    </row>
    <row r="82" spans="1:57" x14ac:dyDescent="0.25">
      <c r="A82" s="783" t="s">
        <v>56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 s="783">
        <v>164194.56436854799</v>
      </c>
      <c r="AC82" s="783">
        <v>161067.006465477</v>
      </c>
      <c r="AD82" s="783">
        <v>221788.86412370199</v>
      </c>
      <c r="AE82" s="783">
        <v>451434.95660201297</v>
      </c>
      <c r="AF82" s="783">
        <v>0</v>
      </c>
      <c r="AG82" s="783">
        <v>0</v>
      </c>
      <c r="AH82" s="783">
        <v>0</v>
      </c>
      <c r="AI82" s="783">
        <v>0</v>
      </c>
      <c r="AJ82" s="783">
        <v>0</v>
      </c>
      <c r="AK82" s="783">
        <v>578562.07628456596</v>
      </c>
      <c r="AL82" s="783">
        <v>300145.56009705103</v>
      </c>
      <c r="AM82" s="783">
        <v>191419.955077024</v>
      </c>
      <c r="AN82" s="783">
        <v>160346.856376073</v>
      </c>
      <c r="AO82" s="783">
        <v>157206.65559957601</v>
      </c>
      <c r="AP82" s="783">
        <v>223049.67059419901</v>
      </c>
      <c r="AQ82" s="783">
        <v>458121.351984446</v>
      </c>
      <c r="AR82" s="783">
        <v>0</v>
      </c>
      <c r="AS82" s="783">
        <v>0</v>
      </c>
      <c r="AT82" s="783">
        <v>0</v>
      </c>
      <c r="AU82" s="783">
        <v>0</v>
      </c>
      <c r="AV82" s="783">
        <v>0</v>
      </c>
      <c r="AW82" s="783">
        <v>586006.23471588199</v>
      </c>
      <c r="AX82" s="783">
        <v>300659.02122646099</v>
      </c>
      <c r="AY82" s="783">
        <v>187576.20962056899</v>
      </c>
      <c r="AZ82" s="783">
        <v>156647.16074502101</v>
      </c>
      <c r="BA82" s="783">
        <v>153542.91037912699</v>
      </c>
      <c r="BB82" s="783">
        <v>223962.512757847</v>
      </c>
      <c r="BC82" s="783">
        <v>464088.70060576301</v>
      </c>
      <c r="BD82" s="783">
        <v>0</v>
      </c>
      <c r="BE82" s="783">
        <v>0</v>
      </c>
    </row>
    <row r="83" spans="1:57" x14ac:dyDescent="0.25">
      <c r="A83" s="783" t="s">
        <v>56</v>
      </c>
      <c r="C83" s="784" t="s">
        <v>700</v>
      </c>
      <c r="D83" s="783">
        <v>128643.50081634799</v>
      </c>
      <c r="E83" s="783">
        <v>133297.03275299</v>
      </c>
      <c r="F83" s="783">
        <v>178540.69699150301</v>
      </c>
      <c r="G83" s="783">
        <v>340803.64076474402</v>
      </c>
      <c r="H83" s="783">
        <v>1110215.2257026101</v>
      </c>
      <c r="I83" s="783">
        <v>1682770.24554972</v>
      </c>
      <c r="J83" s="783">
        <v>2164102.0622989298</v>
      </c>
      <c r="K83" s="783">
        <v>1694013.6430148601</v>
      </c>
      <c r="L83" s="783">
        <v>1308436.2409951801</v>
      </c>
      <c r="M83" s="783">
        <v>407572.72823170299</v>
      </c>
      <c r="N83" s="783">
        <v>222126.56804477301</v>
      </c>
      <c r="O83" s="783">
        <v>153275.794748026</v>
      </c>
      <c r="P83" s="783">
        <v>132771.28669886701</v>
      </c>
      <c r="Q83" s="783">
        <v>137403.42446227901</v>
      </c>
      <c r="R83" s="783">
        <v>186726.813105612</v>
      </c>
      <c r="S83" s="783">
        <v>352528.789319103</v>
      </c>
      <c r="T83" s="783">
        <v>1124409.7047655899</v>
      </c>
      <c r="U83" s="783">
        <v>1694041.75960874</v>
      </c>
      <c r="V83" s="783">
        <v>2170845.7400446599</v>
      </c>
      <c r="W83" s="783">
        <v>1703794.64903219</v>
      </c>
      <c r="X83" s="783">
        <v>1315453.45665972</v>
      </c>
      <c r="Y83" s="783">
        <v>414604.40561067098</v>
      </c>
      <c r="Z83" s="783">
        <v>225357.88495498101</v>
      </c>
      <c r="AA83" s="783">
        <v>153385.801497223</v>
      </c>
      <c r="AB83" s="783">
        <v>572348.58781124395</v>
      </c>
      <c r="AC83" s="783">
        <v>582973.72050274594</v>
      </c>
      <c r="AD83" s="783">
        <v>805799.99397948396</v>
      </c>
      <c r="AE83" s="783">
        <v>1555545.10886851</v>
      </c>
      <c r="AF83" s="783">
        <v>3479381.28891148</v>
      </c>
      <c r="AG83" s="783">
        <v>5223393.4361646101</v>
      </c>
      <c r="AH83" s="783">
        <v>6686671.2457387196</v>
      </c>
      <c r="AI83" s="783">
        <v>5257153.4558554702</v>
      </c>
      <c r="AJ83" s="783">
        <v>4061881.8741923198</v>
      </c>
      <c r="AK83" s="783">
        <v>1869608.19368453</v>
      </c>
      <c r="AL83" s="783">
        <v>994566.59675659996</v>
      </c>
      <c r="AM83" s="783">
        <v>653138.20483277703</v>
      </c>
      <c r="AN83" s="783">
        <v>558940.58609722205</v>
      </c>
      <c r="AO83" s="783">
        <v>569005.79752227897</v>
      </c>
      <c r="AP83" s="783">
        <v>810379.68940311496</v>
      </c>
      <c r="AQ83" s="783">
        <v>1578582.2197519699</v>
      </c>
      <c r="AR83" s="783">
        <v>3500623.5804379401</v>
      </c>
      <c r="AS83" s="783">
        <v>5244076.2876938405</v>
      </c>
      <c r="AT83" s="783">
        <v>6704901.7758473298</v>
      </c>
      <c r="AU83" s="783">
        <v>5278376.4629833801</v>
      </c>
      <c r="AV83" s="783">
        <v>4082427.57252825</v>
      </c>
      <c r="AW83" s="783">
        <v>1893661.42498251</v>
      </c>
      <c r="AX83" s="783">
        <v>996267.69352872402</v>
      </c>
      <c r="AY83" s="783">
        <v>640026.77921710606</v>
      </c>
      <c r="AZ83" s="783">
        <v>546048.35896888794</v>
      </c>
      <c r="BA83" s="783">
        <v>555749.25353521702</v>
      </c>
      <c r="BB83" s="783">
        <v>813695.45528565103</v>
      </c>
      <c r="BC83" s="783">
        <v>1599141.94797724</v>
      </c>
      <c r="BD83" s="783">
        <v>3519108.0670169299</v>
      </c>
      <c r="BE83" s="783">
        <v>5259739.8266836004</v>
      </c>
    </row>
    <row r="84" spans="1:57" x14ac:dyDescent="0.25">
      <c r="A84" s="783" t="s">
        <v>56</v>
      </c>
      <c r="C84" s="784" t="s">
        <v>701</v>
      </c>
      <c r="D84" s="783">
        <v>61830.631958829501</v>
      </c>
      <c r="E84" s="783">
        <v>60798.443956197203</v>
      </c>
      <c r="F84" s="783">
        <v>81009.252467470797</v>
      </c>
      <c r="G84" s="783">
        <v>166483.35957077201</v>
      </c>
      <c r="H84" s="783">
        <v>0</v>
      </c>
      <c r="I84" s="783">
        <v>0</v>
      </c>
      <c r="J84" s="783">
        <v>0</v>
      </c>
      <c r="K84" s="783">
        <v>0</v>
      </c>
      <c r="L84" s="783">
        <v>0</v>
      </c>
      <c r="M84" s="783">
        <v>218222.333678575</v>
      </c>
      <c r="N84" s="783">
        <v>114708.405076261</v>
      </c>
      <c r="O84" s="783">
        <v>75923.241997504199</v>
      </c>
      <c r="P84" s="783">
        <v>63815.519651070797</v>
      </c>
      <c r="Q84" s="783">
        <v>62672.265433776498</v>
      </c>
      <c r="R84" s="783">
        <v>84724.788823769893</v>
      </c>
      <c r="S84" s="783">
        <v>172212.13176822901</v>
      </c>
      <c r="T84" s="783">
        <v>0</v>
      </c>
      <c r="U84" s="783">
        <v>0</v>
      </c>
      <c r="V84" s="783">
        <v>0</v>
      </c>
      <c r="W84" s="783">
        <v>0</v>
      </c>
      <c r="X84" s="783">
        <v>0</v>
      </c>
      <c r="Y84" s="783">
        <v>221987.785203284</v>
      </c>
      <c r="Z84" s="783">
        <v>116377.54140436</v>
      </c>
      <c r="AA84" s="783">
        <v>75977.753834913296</v>
      </c>
    </row>
    <row r="85" spans="1:57" s="786" customFormat="1" x14ac:dyDescent="0.25">
      <c r="A85" s="783" t="s">
        <v>56</v>
      </c>
      <c r="C85" s="785" t="s">
        <v>702</v>
      </c>
      <c r="D85" s="788">
        <v>3.0670000000000002</v>
      </c>
      <c r="E85" s="788">
        <v>3.0670000000000002</v>
      </c>
      <c r="F85" s="788">
        <v>3.0670000000000002</v>
      </c>
      <c r="G85" s="788">
        <v>3.0670000000000002</v>
      </c>
      <c r="H85" s="788">
        <v>3.0670000000000002</v>
      </c>
      <c r="I85" s="788">
        <v>3.0670000000000002</v>
      </c>
      <c r="J85" s="788">
        <v>3.0670000000000002</v>
      </c>
      <c r="K85" s="788">
        <v>3.0670000000000002</v>
      </c>
      <c r="L85" s="788">
        <v>3.0670000000000002</v>
      </c>
      <c r="M85" s="788">
        <v>3.0670000000000002</v>
      </c>
      <c r="N85" s="788">
        <v>3.0670000000000002</v>
      </c>
      <c r="O85" s="788">
        <v>3.0670000000000002</v>
      </c>
      <c r="P85" s="788">
        <v>3.0670000000000002</v>
      </c>
      <c r="Q85" s="788">
        <v>3.0670000000000002</v>
      </c>
      <c r="R85" s="788">
        <v>3.0670000000000002</v>
      </c>
      <c r="S85" s="788">
        <v>3.0670000000000002</v>
      </c>
      <c r="T85" s="788">
        <v>3.0670000000000002</v>
      </c>
      <c r="U85" s="788">
        <v>3.0670000000000002</v>
      </c>
      <c r="V85" s="788">
        <v>3.0670000000000002</v>
      </c>
      <c r="W85" s="788">
        <v>3.0670000000000002</v>
      </c>
      <c r="X85" s="788">
        <v>3.0670000000000002</v>
      </c>
      <c r="Y85" s="788">
        <v>3.0670000000000002</v>
      </c>
      <c r="Z85" s="788">
        <v>3.0670000000000002</v>
      </c>
      <c r="AA85" s="788">
        <v>3.0670000000000002</v>
      </c>
      <c r="AB85" s="786">
        <v>0</v>
      </c>
      <c r="AC85" s="786">
        <v>0</v>
      </c>
      <c r="AD85" s="786">
        <v>0</v>
      </c>
      <c r="AE85" s="786">
        <v>0</v>
      </c>
      <c r="AF85" s="786">
        <v>0</v>
      </c>
      <c r="AG85" s="786">
        <v>0</v>
      </c>
      <c r="AH85" s="786">
        <v>0</v>
      </c>
      <c r="AI85" s="786">
        <v>0</v>
      </c>
      <c r="AJ85" s="786">
        <v>0</v>
      </c>
      <c r="AK85" s="786">
        <v>0</v>
      </c>
      <c r="AL85" s="786">
        <v>0</v>
      </c>
      <c r="AM85" s="786">
        <v>0</v>
      </c>
      <c r="AN85" s="786">
        <v>0</v>
      </c>
      <c r="AO85" s="786">
        <v>0</v>
      </c>
      <c r="AP85" s="786">
        <v>0</v>
      </c>
      <c r="AQ85" s="786">
        <v>0</v>
      </c>
      <c r="AR85" s="786">
        <v>0</v>
      </c>
      <c r="AS85" s="786">
        <v>0</v>
      </c>
      <c r="AT85" s="786">
        <v>0</v>
      </c>
      <c r="AU85" s="786">
        <v>0</v>
      </c>
      <c r="AV85" s="786">
        <v>0</v>
      </c>
      <c r="AW85" s="786">
        <v>0</v>
      </c>
      <c r="AX85" s="786">
        <v>0</v>
      </c>
      <c r="AY85" s="786">
        <v>0</v>
      </c>
      <c r="AZ85" s="786">
        <v>0</v>
      </c>
      <c r="BA85" s="786">
        <v>0</v>
      </c>
      <c r="BB85" s="786">
        <v>0</v>
      </c>
      <c r="BC85" s="786">
        <v>0</v>
      </c>
      <c r="BD85" s="786">
        <v>0</v>
      </c>
      <c r="BE85" s="786">
        <v>0</v>
      </c>
    </row>
    <row r="86" spans="1:57" x14ac:dyDescent="0.25">
      <c r="A86" s="783" t="s">
        <v>56</v>
      </c>
      <c r="C86" s="784" t="s">
        <v>703</v>
      </c>
      <c r="D86" s="788">
        <v>2.5670000000000002</v>
      </c>
      <c r="E86" s="788">
        <v>2.5670000000000002</v>
      </c>
      <c r="F86" s="788">
        <v>2.5670000000000002</v>
      </c>
      <c r="G86" s="788">
        <v>2.5670000000000002</v>
      </c>
      <c r="H86" s="788">
        <v>3.0670000000000002</v>
      </c>
      <c r="I86" s="788">
        <v>3.0670000000000002</v>
      </c>
      <c r="J86" s="788">
        <v>3.0670000000000002</v>
      </c>
      <c r="K86" s="788">
        <v>3.0670000000000002</v>
      </c>
      <c r="L86" s="788">
        <v>3.0670000000000002</v>
      </c>
      <c r="M86" s="788">
        <v>2.5670000000000002</v>
      </c>
      <c r="N86" s="788">
        <v>2.5670000000000002</v>
      </c>
      <c r="O86" s="788">
        <v>2.5670000000000002</v>
      </c>
      <c r="P86" s="788">
        <v>2.5670000000000002</v>
      </c>
      <c r="Q86" s="788">
        <v>2.5670000000000002</v>
      </c>
      <c r="R86" s="788">
        <v>2.5670000000000002</v>
      </c>
      <c r="S86" s="788">
        <v>2.5670000000000002</v>
      </c>
      <c r="T86" s="788">
        <v>3.0670000000000002</v>
      </c>
      <c r="U86" s="788">
        <v>3.0670000000000002</v>
      </c>
      <c r="V86" s="788">
        <v>3.0670000000000002</v>
      </c>
      <c r="W86" s="788">
        <v>3.0670000000000002</v>
      </c>
      <c r="X86" s="788">
        <v>3.0670000000000002</v>
      </c>
      <c r="Y86" s="788">
        <v>2.5670000000000002</v>
      </c>
      <c r="Z86" s="788">
        <v>2.5670000000000002</v>
      </c>
      <c r="AA86" s="788">
        <v>2.5670000000000002</v>
      </c>
      <c r="AB86" s="783">
        <v>0</v>
      </c>
      <c r="AC86" s="783">
        <v>0</v>
      </c>
      <c r="AD86" s="783">
        <v>0</v>
      </c>
      <c r="AE86" s="783">
        <v>0</v>
      </c>
      <c r="AF86" s="783">
        <v>0</v>
      </c>
      <c r="AG86" s="783">
        <v>0</v>
      </c>
      <c r="AH86" s="783">
        <v>0</v>
      </c>
      <c r="AI86" s="783">
        <v>0</v>
      </c>
      <c r="AJ86" s="783">
        <v>0</v>
      </c>
      <c r="AK86" s="783">
        <v>0</v>
      </c>
      <c r="AL86" s="783">
        <v>0</v>
      </c>
      <c r="AM86" s="783">
        <v>0</v>
      </c>
      <c r="AN86" s="783">
        <v>0</v>
      </c>
      <c r="AO86" s="783">
        <v>0</v>
      </c>
      <c r="AP86" s="783">
        <v>0</v>
      </c>
      <c r="AQ86" s="783">
        <v>0</v>
      </c>
      <c r="AR86" s="783">
        <v>0</v>
      </c>
      <c r="AS86" s="783">
        <v>0</v>
      </c>
      <c r="AT86" s="783">
        <v>0</v>
      </c>
      <c r="AU86" s="783">
        <v>0</v>
      </c>
      <c r="AV86" s="783">
        <v>0</v>
      </c>
      <c r="AW86" s="783">
        <v>0</v>
      </c>
      <c r="AX86" s="783">
        <v>0</v>
      </c>
      <c r="AY86" s="783">
        <v>0</v>
      </c>
      <c r="AZ86" s="783">
        <v>0</v>
      </c>
      <c r="BA86" s="783">
        <v>0</v>
      </c>
      <c r="BB86" s="783">
        <v>0</v>
      </c>
      <c r="BC86" s="783">
        <v>0</v>
      </c>
      <c r="BD86" s="783">
        <v>0</v>
      </c>
      <c r="BE86" s="783">
        <v>0</v>
      </c>
    </row>
    <row r="87" spans="1:57" x14ac:dyDescent="0.25">
      <c r="A87" s="783" t="s">
        <v>56</v>
      </c>
      <c r="C87" s="784" t="s">
        <v>704</v>
      </c>
      <c r="D87" s="783">
        <v>394549.61700373999</v>
      </c>
      <c r="E87" s="783">
        <v>408821.99945342302</v>
      </c>
      <c r="F87" s="783">
        <v>547584.31767294102</v>
      </c>
      <c r="G87" s="783">
        <v>1045244.76622547</v>
      </c>
      <c r="H87" s="783">
        <v>3405030.0972299199</v>
      </c>
      <c r="I87" s="783">
        <v>5161056.3431010004</v>
      </c>
      <c r="J87" s="783">
        <v>6637301.0250708098</v>
      </c>
      <c r="K87" s="783">
        <v>5195539.8431265904</v>
      </c>
      <c r="L87" s="783">
        <v>4012973.9511322202</v>
      </c>
      <c r="M87" s="783">
        <v>1250025.55748663</v>
      </c>
      <c r="N87" s="783">
        <v>681262.18419331894</v>
      </c>
      <c r="O87" s="783">
        <v>470096.86249219801</v>
      </c>
      <c r="P87" s="783">
        <v>407209.53630542703</v>
      </c>
      <c r="Q87" s="783">
        <v>421416.30282581202</v>
      </c>
      <c r="R87" s="783">
        <v>572691.135794912</v>
      </c>
      <c r="S87" s="783">
        <v>1081205.7968416901</v>
      </c>
      <c r="T87" s="783">
        <v>3448564.5645160801</v>
      </c>
      <c r="U87" s="783">
        <v>5195626.0767200096</v>
      </c>
      <c r="V87" s="783">
        <v>6657983.8847169904</v>
      </c>
      <c r="W87" s="783">
        <v>5225538.1885817498</v>
      </c>
      <c r="X87" s="783">
        <v>4034495.7515753801</v>
      </c>
      <c r="Y87" s="783">
        <v>1271591.71200792</v>
      </c>
      <c r="Z87" s="783">
        <v>691172.63315692905</v>
      </c>
      <c r="AA87" s="783">
        <v>470434.25319198403</v>
      </c>
    </row>
    <row r="88" spans="1:57" x14ac:dyDescent="0.25">
      <c r="A88" s="783" t="s">
        <v>56</v>
      </c>
      <c r="C88" s="784" t="s">
        <v>705</v>
      </c>
      <c r="D88" s="783">
        <v>158719.23223831499</v>
      </c>
      <c r="E88" s="783">
        <v>156069.60563555799</v>
      </c>
      <c r="F88" s="783">
        <v>207950.75108399699</v>
      </c>
      <c r="G88" s="783">
        <v>427362.784018173</v>
      </c>
      <c r="H88" s="783">
        <v>0</v>
      </c>
      <c r="I88" s="783">
        <v>0</v>
      </c>
      <c r="J88" s="783">
        <v>0</v>
      </c>
      <c r="K88" s="783">
        <v>0</v>
      </c>
      <c r="L88" s="783">
        <v>0</v>
      </c>
      <c r="M88" s="783">
        <v>560176.73055290303</v>
      </c>
      <c r="N88" s="783">
        <v>294456.475830763</v>
      </c>
      <c r="O88" s="783">
        <v>194894.96220759299</v>
      </c>
      <c r="P88" s="783">
        <v>163814.43894429799</v>
      </c>
      <c r="Q88" s="783">
        <v>160879.70536850399</v>
      </c>
      <c r="R88" s="783">
        <v>217488.53291061701</v>
      </c>
      <c r="S88" s="783">
        <v>442068.54224904499</v>
      </c>
      <c r="T88" s="783">
        <v>0</v>
      </c>
      <c r="U88" s="783">
        <v>0</v>
      </c>
      <c r="V88" s="783">
        <v>0</v>
      </c>
      <c r="W88" s="783">
        <v>0</v>
      </c>
      <c r="X88" s="783">
        <v>0</v>
      </c>
      <c r="Y88" s="783">
        <v>569842.64461683005</v>
      </c>
      <c r="Z88" s="783">
        <v>298741.14878499199</v>
      </c>
      <c r="AA88" s="783">
        <v>195034.89409422199</v>
      </c>
      <c r="AB88" s="783">
        <v>0</v>
      </c>
      <c r="AC88" s="783">
        <v>0</v>
      </c>
      <c r="AD88" s="783">
        <v>0</v>
      </c>
      <c r="AE88" s="783">
        <v>0</v>
      </c>
      <c r="AF88" s="783">
        <v>0</v>
      </c>
      <c r="AG88" s="783">
        <v>0</v>
      </c>
      <c r="AH88" s="783">
        <v>0</v>
      </c>
      <c r="AI88" s="783">
        <v>0</v>
      </c>
      <c r="AJ88" s="783">
        <v>0</v>
      </c>
      <c r="AK88" s="783">
        <v>0</v>
      </c>
      <c r="AL88" s="783">
        <v>0</v>
      </c>
      <c r="AM88" s="783">
        <v>0</v>
      </c>
      <c r="AN88" s="783">
        <v>0</v>
      </c>
      <c r="AO88" s="783">
        <v>0</v>
      </c>
      <c r="AP88" s="783">
        <v>0</v>
      </c>
      <c r="AQ88" s="783">
        <v>0</v>
      </c>
      <c r="AR88" s="783">
        <v>0</v>
      </c>
      <c r="AS88" s="783">
        <v>0</v>
      </c>
      <c r="AT88" s="783">
        <v>0</v>
      </c>
      <c r="AU88" s="783">
        <v>0</v>
      </c>
      <c r="AV88" s="783">
        <v>0</v>
      </c>
      <c r="AW88" s="783">
        <v>0</v>
      </c>
      <c r="AX88" s="783">
        <v>0</v>
      </c>
      <c r="AY88" s="783">
        <v>0</v>
      </c>
      <c r="AZ88" s="783">
        <v>0</v>
      </c>
      <c r="BA88" s="783">
        <v>0</v>
      </c>
      <c r="BB88" s="783">
        <v>0</v>
      </c>
      <c r="BC88" s="783">
        <v>0</v>
      </c>
      <c r="BD88" s="783">
        <v>0</v>
      </c>
      <c r="BE88" s="783">
        <v>0</v>
      </c>
    </row>
    <row r="89" spans="1:57" s="788" customFormat="1" x14ac:dyDescent="0.25">
      <c r="A89" s="783" t="s">
        <v>56</v>
      </c>
      <c r="B89" s="783" t="s">
        <v>374</v>
      </c>
      <c r="C89" s="787" t="s">
        <v>706</v>
      </c>
      <c r="D89" s="783">
        <v>553268.84924205602</v>
      </c>
      <c r="E89" s="783">
        <v>564891.60508898098</v>
      </c>
      <c r="F89" s="783">
        <v>755535.06875693798</v>
      </c>
      <c r="G89" s="783">
        <v>1472607.5502436401</v>
      </c>
      <c r="H89" s="783">
        <v>3405030.0972299199</v>
      </c>
      <c r="I89" s="783">
        <v>5161056.3431010004</v>
      </c>
      <c r="J89" s="783">
        <v>6637301.0250708098</v>
      </c>
      <c r="K89" s="783">
        <v>5195539.8431265904</v>
      </c>
      <c r="L89" s="783">
        <v>4012973.9511322202</v>
      </c>
      <c r="M89" s="783">
        <v>1810202.2880395299</v>
      </c>
      <c r="N89" s="783">
        <v>975718.66002408299</v>
      </c>
      <c r="O89" s="783">
        <v>664991.82469979103</v>
      </c>
      <c r="P89" s="783">
        <v>571023.97524972598</v>
      </c>
      <c r="Q89" s="783">
        <v>582296.00819431595</v>
      </c>
      <c r="R89" s="783">
        <v>790179.66870553</v>
      </c>
      <c r="S89" s="783">
        <v>1523274.3390907301</v>
      </c>
      <c r="T89" s="783">
        <v>3448564.5645160801</v>
      </c>
      <c r="U89" s="783">
        <v>5195626.0767200096</v>
      </c>
      <c r="V89" s="783">
        <v>6657983.8847169904</v>
      </c>
      <c r="W89" s="783">
        <v>5225538.1885817498</v>
      </c>
      <c r="X89" s="783">
        <v>4034495.7515753801</v>
      </c>
      <c r="Y89" s="783">
        <v>1841434.35662475</v>
      </c>
      <c r="Z89" s="783">
        <v>989913.78194192203</v>
      </c>
      <c r="AA89" s="783">
        <v>665469.14728620695</v>
      </c>
      <c r="AB89" s="788">
        <v>0</v>
      </c>
      <c r="AC89" s="788">
        <v>0</v>
      </c>
      <c r="AD89" s="788">
        <v>0</v>
      </c>
      <c r="AE89" s="788">
        <v>0</v>
      </c>
      <c r="AF89" s="788">
        <v>0</v>
      </c>
      <c r="AG89" s="788">
        <v>0</v>
      </c>
      <c r="AH89" s="788">
        <v>0</v>
      </c>
      <c r="AI89" s="788">
        <v>0</v>
      </c>
      <c r="AJ89" s="788">
        <v>0</v>
      </c>
      <c r="AK89" s="788">
        <v>0</v>
      </c>
      <c r="AL89" s="788">
        <v>0</v>
      </c>
      <c r="AM89" s="788">
        <v>0</v>
      </c>
      <c r="AN89" s="788">
        <v>0</v>
      </c>
      <c r="AO89" s="788">
        <v>0</v>
      </c>
      <c r="AP89" s="788">
        <v>0</v>
      </c>
      <c r="AQ89" s="788">
        <v>0</v>
      </c>
      <c r="AR89" s="788">
        <v>0</v>
      </c>
      <c r="AS89" s="788">
        <v>0</v>
      </c>
      <c r="AT89" s="788">
        <v>0</v>
      </c>
      <c r="AU89" s="788">
        <v>0</v>
      </c>
      <c r="AV89" s="788">
        <v>0</v>
      </c>
      <c r="AW89" s="788">
        <v>0</v>
      </c>
      <c r="AX89" s="788">
        <v>0</v>
      </c>
      <c r="AY89" s="788">
        <v>0</v>
      </c>
      <c r="AZ89" s="788">
        <v>0</v>
      </c>
      <c r="BA89" s="788">
        <v>0</v>
      </c>
      <c r="BB89" s="788">
        <v>0</v>
      </c>
      <c r="BC89" s="788">
        <v>0</v>
      </c>
      <c r="BD89" s="788">
        <v>0</v>
      </c>
      <c r="BE89" s="788">
        <v>0</v>
      </c>
    </row>
    <row r="90" spans="1:57" x14ac:dyDescent="0.25">
      <c r="A90" s="783" t="s">
        <v>56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 s="783">
        <v>0</v>
      </c>
      <c r="AC90" s="783">
        <v>0</v>
      </c>
      <c r="AD90" s="783">
        <v>0</v>
      </c>
      <c r="AE90" s="783">
        <v>0</v>
      </c>
      <c r="AF90" s="783">
        <v>0</v>
      </c>
      <c r="AG90" s="783">
        <v>0</v>
      </c>
      <c r="AH90" s="783">
        <v>0</v>
      </c>
      <c r="AI90" s="783">
        <v>0</v>
      </c>
      <c r="AJ90" s="783">
        <v>0</v>
      </c>
      <c r="AK90" s="783">
        <v>0</v>
      </c>
      <c r="AL90" s="783">
        <v>0</v>
      </c>
      <c r="AM90" s="783">
        <v>0</v>
      </c>
      <c r="AN90" s="783">
        <v>0</v>
      </c>
      <c r="AO90" s="783">
        <v>0</v>
      </c>
      <c r="AP90" s="783">
        <v>0</v>
      </c>
      <c r="AQ90" s="783">
        <v>0</v>
      </c>
      <c r="AR90" s="783">
        <v>0</v>
      </c>
      <c r="AS90" s="783">
        <v>0</v>
      </c>
      <c r="AT90" s="783">
        <v>0</v>
      </c>
      <c r="AU90" s="783">
        <v>0</v>
      </c>
      <c r="AV90" s="783">
        <v>0</v>
      </c>
      <c r="AW90" s="783">
        <v>0</v>
      </c>
      <c r="AX90" s="783">
        <v>0</v>
      </c>
      <c r="AY90" s="783">
        <v>0</v>
      </c>
      <c r="AZ90" s="783">
        <v>0</v>
      </c>
      <c r="BA90" s="783">
        <v>0</v>
      </c>
      <c r="BB90" s="783">
        <v>0</v>
      </c>
      <c r="BC90" s="783">
        <v>0</v>
      </c>
      <c r="BD90" s="783">
        <v>0</v>
      </c>
      <c r="BE90" s="783">
        <v>0</v>
      </c>
    </row>
    <row r="91" spans="1:57" x14ac:dyDescent="0.25">
      <c r="A91" s="783" t="s">
        <v>56</v>
      </c>
      <c r="C91" s="784" t="s">
        <v>707</v>
      </c>
      <c r="D91" s="786">
        <v>0</v>
      </c>
      <c r="E91" s="786">
        <v>0</v>
      </c>
      <c r="F91" s="786">
        <v>0</v>
      </c>
      <c r="G91" s="786">
        <v>0</v>
      </c>
      <c r="H91" s="786">
        <v>0</v>
      </c>
      <c r="I91" s="786">
        <v>0</v>
      </c>
      <c r="J91" s="786">
        <v>0</v>
      </c>
      <c r="K91" s="786">
        <v>0</v>
      </c>
      <c r="L91" s="786">
        <v>0</v>
      </c>
      <c r="M91" s="786">
        <v>0</v>
      </c>
      <c r="N91" s="786">
        <v>0</v>
      </c>
      <c r="O91" s="786">
        <v>0</v>
      </c>
      <c r="P91" s="786">
        <v>0</v>
      </c>
      <c r="Q91" s="786">
        <v>0</v>
      </c>
      <c r="R91" s="786">
        <v>0</v>
      </c>
      <c r="S91" s="786">
        <v>0</v>
      </c>
      <c r="T91" s="786">
        <v>0</v>
      </c>
      <c r="U91" s="786">
        <v>0</v>
      </c>
      <c r="V91" s="786">
        <v>0</v>
      </c>
      <c r="W91" s="786">
        <v>0</v>
      </c>
      <c r="X91" s="786">
        <v>0</v>
      </c>
      <c r="Y91" s="786">
        <v>0</v>
      </c>
      <c r="Z91" s="786">
        <v>0</v>
      </c>
      <c r="AA91" s="786">
        <v>0</v>
      </c>
    </row>
    <row r="92" spans="1:57" x14ac:dyDescent="0.25">
      <c r="A92" s="783" t="s">
        <v>56</v>
      </c>
      <c r="B92" s="783" t="s">
        <v>520</v>
      </c>
      <c r="C92" s="784" t="s">
        <v>708</v>
      </c>
      <c r="D92" s="783">
        <v>0</v>
      </c>
      <c r="E92" s="783">
        <v>0</v>
      </c>
      <c r="F92" s="783">
        <v>0</v>
      </c>
      <c r="G92" s="783">
        <v>0</v>
      </c>
      <c r="H92" s="783">
        <v>0</v>
      </c>
      <c r="I92" s="783">
        <v>0</v>
      </c>
      <c r="J92" s="783">
        <v>0</v>
      </c>
      <c r="K92" s="783">
        <v>0</v>
      </c>
      <c r="L92" s="783">
        <v>0</v>
      </c>
      <c r="M92" s="783">
        <v>0</v>
      </c>
      <c r="N92" s="783">
        <v>0</v>
      </c>
      <c r="O92" s="783">
        <v>0</v>
      </c>
      <c r="P92" s="783">
        <v>0</v>
      </c>
      <c r="Q92" s="783">
        <v>0</v>
      </c>
      <c r="R92" s="783">
        <v>0</v>
      </c>
      <c r="S92" s="783">
        <v>0</v>
      </c>
      <c r="T92" s="783">
        <v>0</v>
      </c>
      <c r="U92" s="783">
        <v>0</v>
      </c>
      <c r="V92" s="783">
        <v>0</v>
      </c>
      <c r="W92" s="783">
        <v>0</v>
      </c>
      <c r="X92" s="783">
        <v>0</v>
      </c>
      <c r="Y92" s="783">
        <v>0</v>
      </c>
      <c r="Z92" s="783">
        <v>0</v>
      </c>
      <c r="AA92" s="783">
        <v>0</v>
      </c>
      <c r="AB92" s="783">
        <v>0</v>
      </c>
      <c r="AC92" s="783">
        <v>0</v>
      </c>
      <c r="AD92" s="783">
        <v>0</v>
      </c>
      <c r="AE92" s="783">
        <v>0</v>
      </c>
      <c r="AF92" s="783">
        <v>0</v>
      </c>
      <c r="AG92" s="783">
        <v>0</v>
      </c>
      <c r="AH92" s="783">
        <v>0</v>
      </c>
      <c r="AI92" s="783">
        <v>0</v>
      </c>
      <c r="AJ92" s="783">
        <v>0</v>
      </c>
      <c r="AK92" s="783">
        <v>0</v>
      </c>
      <c r="AL92" s="783">
        <v>0</v>
      </c>
      <c r="AM92" s="783">
        <v>0</v>
      </c>
      <c r="AN92" s="783">
        <v>0</v>
      </c>
      <c r="AO92" s="783">
        <v>0</v>
      </c>
      <c r="AP92" s="783">
        <v>0</v>
      </c>
      <c r="AQ92" s="783">
        <v>0</v>
      </c>
      <c r="AR92" s="783">
        <v>0</v>
      </c>
      <c r="AS92" s="783">
        <v>0</v>
      </c>
      <c r="AT92" s="783">
        <v>0</v>
      </c>
      <c r="AU92" s="783">
        <v>0</v>
      </c>
      <c r="AV92" s="783">
        <v>0</v>
      </c>
      <c r="AW92" s="783">
        <v>0</v>
      </c>
      <c r="AX92" s="783">
        <v>0</v>
      </c>
      <c r="AY92" s="783">
        <v>0</v>
      </c>
      <c r="AZ92" s="783">
        <v>0</v>
      </c>
      <c r="BA92" s="783">
        <v>0</v>
      </c>
      <c r="BB92" s="783">
        <v>0</v>
      </c>
      <c r="BC92" s="783">
        <v>0</v>
      </c>
      <c r="BD92" s="783">
        <v>0</v>
      </c>
      <c r="BE92" s="783">
        <v>0</v>
      </c>
    </row>
    <row r="93" spans="1:57" x14ac:dyDescent="0.25">
      <c r="A93" s="783" t="s">
        <v>56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57" x14ac:dyDescent="0.25">
      <c r="A94" s="783" t="s">
        <v>56</v>
      </c>
      <c r="C94" s="784" t="s">
        <v>709</v>
      </c>
      <c r="D94" s="783">
        <v>0</v>
      </c>
      <c r="E94" s="783">
        <v>0</v>
      </c>
      <c r="F94" s="783">
        <v>0</v>
      </c>
      <c r="G94" s="783">
        <v>0</v>
      </c>
      <c r="H94" s="783">
        <v>0</v>
      </c>
      <c r="I94" s="783">
        <v>0</v>
      </c>
      <c r="J94" s="783">
        <v>0</v>
      </c>
      <c r="K94" s="783">
        <v>0</v>
      </c>
      <c r="L94" s="783">
        <v>0</v>
      </c>
      <c r="M94" s="783">
        <v>0</v>
      </c>
      <c r="N94" s="783">
        <v>0</v>
      </c>
      <c r="O94" s="783">
        <v>0</v>
      </c>
      <c r="P94" s="783">
        <v>0</v>
      </c>
      <c r="Q94" s="783">
        <v>0</v>
      </c>
      <c r="R94" s="783">
        <v>0</v>
      </c>
      <c r="S94" s="783">
        <v>0</v>
      </c>
      <c r="T94" s="783">
        <v>0</v>
      </c>
      <c r="U94" s="783">
        <v>0</v>
      </c>
      <c r="V94" s="783">
        <v>0</v>
      </c>
      <c r="W94" s="783">
        <v>0</v>
      </c>
      <c r="X94" s="783">
        <v>0</v>
      </c>
      <c r="Y94" s="783">
        <v>0</v>
      </c>
      <c r="Z94" s="783">
        <v>0</v>
      </c>
      <c r="AA94" s="783">
        <v>0</v>
      </c>
      <c r="AB94" s="783">
        <v>464219.930396132</v>
      </c>
      <c r="AC94" s="783">
        <v>457901.611191376</v>
      </c>
      <c r="AD94" s="783">
        <v>739318.63083928404</v>
      </c>
      <c r="AE94" s="783">
        <v>1571427.10568058</v>
      </c>
      <c r="AF94" s="783">
        <v>3918901.3326176601</v>
      </c>
      <c r="AG94" s="783">
        <v>6776196.1630557403</v>
      </c>
      <c r="AH94" s="783">
        <v>8819086.6369249206</v>
      </c>
      <c r="AI94" s="783">
        <v>7134850.2625008402</v>
      </c>
      <c r="AJ94" s="783">
        <v>5330086.4486952899</v>
      </c>
      <c r="AK94" s="783">
        <v>2555351.7612139899</v>
      </c>
      <c r="AL94" s="783">
        <v>1321820.0961701199</v>
      </c>
      <c r="AM94" s="783">
        <v>593646.40979135095</v>
      </c>
      <c r="AN94" s="783">
        <v>449826.09809133399</v>
      </c>
      <c r="AO94" s="783">
        <v>448270.20723671099</v>
      </c>
      <c r="AP94" s="783">
        <v>765631.32162080298</v>
      </c>
      <c r="AQ94" s="783">
        <v>1642302.04138091</v>
      </c>
      <c r="AR94" s="783">
        <v>4038062.5885143899</v>
      </c>
      <c r="AS94" s="783">
        <v>6957956.9448351199</v>
      </c>
      <c r="AT94" s="783">
        <v>9071661.2574855499</v>
      </c>
      <c r="AU94" s="783">
        <v>7526135.4507010896</v>
      </c>
      <c r="AV94" s="783">
        <v>5334774.2188173104</v>
      </c>
      <c r="AW94" s="783">
        <v>2642588.9311110601</v>
      </c>
      <c r="AX94" s="783">
        <v>1349231.6982825501</v>
      </c>
      <c r="AY94" s="783">
        <v>594126.54340420698</v>
      </c>
      <c r="AZ94" s="783">
        <v>440617.31323226501</v>
      </c>
      <c r="BA94" s="783">
        <v>429132.66762212798</v>
      </c>
      <c r="BB94" s="783">
        <v>778324.63288144197</v>
      </c>
      <c r="BC94" s="783">
        <v>1685562.25850719</v>
      </c>
      <c r="BD94" s="783">
        <v>2959619.1682814299</v>
      </c>
      <c r="BE94" s="783">
        <v>5208386.3541548997</v>
      </c>
    </row>
    <row r="95" spans="1:57" x14ac:dyDescent="0.25">
      <c r="A95" s="783" t="s">
        <v>56</v>
      </c>
      <c r="C95" s="784" t="s">
        <v>710</v>
      </c>
      <c r="D95" s="788">
        <v>0</v>
      </c>
      <c r="E95" s="788">
        <v>0</v>
      </c>
      <c r="F95" s="788">
        <v>0</v>
      </c>
      <c r="G95" s="788">
        <v>0</v>
      </c>
      <c r="H95" s="788">
        <v>0</v>
      </c>
      <c r="I95" s="788">
        <v>0</v>
      </c>
      <c r="J95" s="788">
        <v>0</v>
      </c>
      <c r="K95" s="788">
        <v>0</v>
      </c>
      <c r="L95" s="788">
        <v>0</v>
      </c>
      <c r="M95" s="788">
        <v>0</v>
      </c>
      <c r="N95" s="788">
        <v>0</v>
      </c>
      <c r="O95" s="788">
        <v>0</v>
      </c>
      <c r="P95" s="788">
        <v>0</v>
      </c>
      <c r="Q95" s="788">
        <v>0</v>
      </c>
      <c r="R95" s="788">
        <v>0</v>
      </c>
      <c r="S95" s="788">
        <v>0</v>
      </c>
      <c r="T95" s="788">
        <v>0</v>
      </c>
      <c r="U95" s="788">
        <v>0</v>
      </c>
      <c r="V95" s="788">
        <v>0</v>
      </c>
      <c r="W95" s="788">
        <v>0</v>
      </c>
      <c r="X95" s="788">
        <v>0</v>
      </c>
      <c r="Y95" s="788">
        <v>0</v>
      </c>
      <c r="Z95" s="788">
        <v>0</v>
      </c>
      <c r="AA95" s="788">
        <v>0</v>
      </c>
      <c r="AB95" s="783">
        <v>122819.480883508</v>
      </c>
      <c r="AC95" s="783">
        <v>125587.125401372</v>
      </c>
      <c r="AD95" s="783">
        <v>124851.784436799</v>
      </c>
      <c r="AE95" s="783">
        <v>128344.675801164</v>
      </c>
      <c r="AF95" s="783">
        <v>127645.19879015999</v>
      </c>
      <c r="AG95" s="783">
        <v>129421.68659355</v>
      </c>
      <c r="AH95" s="783">
        <v>132541.24123196999</v>
      </c>
      <c r="AI95" s="783">
        <v>132182.150578614</v>
      </c>
      <c r="AJ95" s="783">
        <v>135046.92007923601</v>
      </c>
      <c r="AK95" s="783">
        <v>134833.91248424599</v>
      </c>
      <c r="AL95" s="783">
        <v>133881.264848508</v>
      </c>
      <c r="AM95" s="783">
        <v>135290.590036359</v>
      </c>
      <c r="AN95" s="783">
        <v>137145.146739046</v>
      </c>
      <c r="AO95" s="783">
        <v>139987.74603955701</v>
      </c>
      <c r="AP95" s="783">
        <v>139233.73108991599</v>
      </c>
      <c r="AQ95" s="783">
        <v>142837.334047791</v>
      </c>
      <c r="AR95" s="783">
        <v>142065.21192561701</v>
      </c>
      <c r="AS95" s="783">
        <v>143911.04388717699</v>
      </c>
      <c r="AT95" s="783">
        <v>147698.51272013501</v>
      </c>
      <c r="AU95" s="783">
        <v>147518.430076933</v>
      </c>
      <c r="AV95" s="783">
        <v>150420.07167203401</v>
      </c>
      <c r="AW95" s="783">
        <v>150206.41273158899</v>
      </c>
      <c r="AX95" s="783">
        <v>149219.29854038899</v>
      </c>
      <c r="AY95" s="783">
        <v>150645.251882729</v>
      </c>
      <c r="AZ95" s="783">
        <v>152555.26052848599</v>
      </c>
      <c r="BA95" s="783">
        <v>155470.74766789001</v>
      </c>
      <c r="BB95" s="783">
        <v>154694.551742551</v>
      </c>
      <c r="BC95" s="783">
        <v>158416.16941224699</v>
      </c>
      <c r="BD95" s="783">
        <v>157585.12035165899</v>
      </c>
      <c r="BE95" s="783">
        <v>160073.75478376701</v>
      </c>
    </row>
    <row r="96" spans="1:57" x14ac:dyDescent="0.25">
      <c r="A96" s="783" t="s">
        <v>56</v>
      </c>
      <c r="B96" s="783" t="s">
        <v>154</v>
      </c>
      <c r="C96" s="784" t="s">
        <v>711</v>
      </c>
      <c r="D96" s="783">
        <v>0</v>
      </c>
      <c r="E96" s="783">
        <v>0</v>
      </c>
      <c r="F96" s="783">
        <v>0</v>
      </c>
      <c r="G96" s="783">
        <v>0</v>
      </c>
      <c r="H96" s="783">
        <v>0</v>
      </c>
      <c r="I96" s="783">
        <v>0</v>
      </c>
      <c r="J96" s="783">
        <v>0</v>
      </c>
      <c r="K96" s="783">
        <v>0</v>
      </c>
      <c r="L96" s="783">
        <v>0</v>
      </c>
      <c r="M96" s="783">
        <v>0</v>
      </c>
      <c r="N96" s="783">
        <v>0</v>
      </c>
      <c r="O96" s="783">
        <v>0</v>
      </c>
      <c r="P96" s="783">
        <v>0</v>
      </c>
      <c r="Q96" s="783">
        <v>0</v>
      </c>
      <c r="R96" s="783">
        <v>0</v>
      </c>
      <c r="S96" s="783">
        <v>0</v>
      </c>
      <c r="T96" s="783">
        <v>0</v>
      </c>
      <c r="U96" s="783">
        <v>0</v>
      </c>
      <c r="V96" s="783">
        <v>0</v>
      </c>
      <c r="W96" s="783">
        <v>0</v>
      </c>
      <c r="X96" s="783">
        <v>0</v>
      </c>
      <c r="Y96" s="783">
        <v>0</v>
      </c>
      <c r="Z96" s="783">
        <v>0</v>
      </c>
      <c r="AA96" s="783">
        <v>0</v>
      </c>
      <c r="AB96" s="783">
        <v>63489.506337014704</v>
      </c>
      <c r="AC96" s="783">
        <v>62985.515264174399</v>
      </c>
      <c r="AD96" s="783">
        <v>67634.232082711605</v>
      </c>
      <c r="AE96" s="783">
        <v>63393.117887453103</v>
      </c>
      <c r="AF96" s="783">
        <v>54872.456795017402</v>
      </c>
      <c r="AG96" s="783">
        <v>57629.321147964802</v>
      </c>
      <c r="AH96" s="783">
        <v>56660.411626938097</v>
      </c>
      <c r="AI96" s="783">
        <v>56833.505600031101</v>
      </c>
      <c r="AJ96" s="783">
        <v>58115.038582904497</v>
      </c>
      <c r="AK96" s="783">
        <v>60671.048200875201</v>
      </c>
      <c r="AL96" s="783">
        <v>61306.490287701999</v>
      </c>
      <c r="AM96" s="783">
        <v>62343.859305204998</v>
      </c>
      <c r="AN96" s="783">
        <v>61490.494695827801</v>
      </c>
      <c r="AO96" s="783">
        <v>60956.4252057419</v>
      </c>
      <c r="AP96" s="783">
        <v>66789.771847284996</v>
      </c>
      <c r="AQ96" s="783">
        <v>62985.495154160199</v>
      </c>
      <c r="AR96" s="783">
        <v>54168.850699732597</v>
      </c>
      <c r="AS96" s="783">
        <v>56819.902979489802</v>
      </c>
      <c r="AT96" s="783">
        <v>57839.359261032601</v>
      </c>
      <c r="AU96" s="783">
        <v>57409.757468982898</v>
      </c>
      <c r="AV96" s="783">
        <v>58773.538560704503</v>
      </c>
      <c r="AW96" s="783">
        <v>62315.712277201899</v>
      </c>
      <c r="AX96" s="783">
        <v>62542.952736776897</v>
      </c>
      <c r="AY96" s="783">
        <v>62714.092862757199</v>
      </c>
      <c r="AZ96" s="783">
        <v>61770.468241729497</v>
      </c>
      <c r="BA96" s="783">
        <v>61235.899928565399</v>
      </c>
      <c r="BB96" s="783">
        <v>68334.512886070195</v>
      </c>
      <c r="BC96" s="783">
        <v>64806.310292752198</v>
      </c>
      <c r="BD96" s="783">
        <v>55461.757634423499</v>
      </c>
      <c r="BE96" s="783">
        <v>58083.651549339404</v>
      </c>
    </row>
    <row r="97" spans="1:57" x14ac:dyDescent="0.25">
      <c r="A97" s="783" t="s">
        <v>56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 s="783">
        <v>650528.917616655</v>
      </c>
      <c r="AC97" s="783">
        <v>646474.25185692299</v>
      </c>
      <c r="AD97" s="783">
        <v>931804.64735879598</v>
      </c>
      <c r="AE97" s="783">
        <v>1763164.8993692</v>
      </c>
      <c r="AF97" s="783">
        <v>4101418.9882028401</v>
      </c>
      <c r="AG97" s="783">
        <v>6963247.1707972502</v>
      </c>
      <c r="AH97" s="783">
        <v>9008288.2897838298</v>
      </c>
      <c r="AI97" s="783">
        <v>7323865.9186794898</v>
      </c>
      <c r="AJ97" s="783">
        <v>5523248.4073574301</v>
      </c>
      <c r="AK97" s="783">
        <v>2750856.7218991099</v>
      </c>
      <c r="AL97" s="783">
        <v>1517007.8513063299</v>
      </c>
      <c r="AM97" s="783">
        <v>791280.85913291504</v>
      </c>
      <c r="AN97" s="783">
        <v>648461.73952620802</v>
      </c>
      <c r="AO97" s="783">
        <v>649214.37848200998</v>
      </c>
      <c r="AP97" s="783">
        <v>971654.82455800497</v>
      </c>
      <c r="AQ97" s="783">
        <v>1848124.87058286</v>
      </c>
      <c r="AR97" s="783">
        <v>4234296.6511397399</v>
      </c>
      <c r="AS97" s="783">
        <v>7158687.8917017896</v>
      </c>
      <c r="AT97" s="783">
        <v>9277199.1294667199</v>
      </c>
      <c r="AU97" s="783">
        <v>7731063.6382470001</v>
      </c>
      <c r="AV97" s="783">
        <v>5543967.8290500501</v>
      </c>
      <c r="AW97" s="783">
        <v>2855111.0561198499</v>
      </c>
      <c r="AX97" s="783">
        <v>1560993.94955971</v>
      </c>
      <c r="AY97" s="783">
        <v>807485.88814969396</v>
      </c>
      <c r="AZ97" s="783">
        <v>654943.04200248094</v>
      </c>
      <c r="BA97" s="783">
        <v>645839.31521858403</v>
      </c>
      <c r="BB97" s="783">
        <v>1001353.69751006</v>
      </c>
      <c r="BC97" s="783">
        <v>1908784.7382121801</v>
      </c>
      <c r="BD97" s="783">
        <v>3172666.0462675099</v>
      </c>
      <c r="BE97" s="783">
        <v>5426543.76048801</v>
      </c>
    </row>
    <row r="98" spans="1:57" x14ac:dyDescent="0.25">
      <c r="A98" s="783" t="s">
        <v>56</v>
      </c>
      <c r="B98" s="783" t="s">
        <v>521</v>
      </c>
      <c r="C98" s="784" t="s">
        <v>712</v>
      </c>
      <c r="D98" s="783">
        <v>0</v>
      </c>
      <c r="E98" s="783">
        <v>0</v>
      </c>
      <c r="F98" s="783">
        <v>0</v>
      </c>
      <c r="G98" s="783">
        <v>0</v>
      </c>
      <c r="H98" s="783">
        <v>0</v>
      </c>
      <c r="I98" s="783">
        <v>0</v>
      </c>
      <c r="J98" s="783">
        <v>0</v>
      </c>
      <c r="K98" s="783">
        <v>0</v>
      </c>
      <c r="L98" s="783">
        <v>0</v>
      </c>
      <c r="M98" s="783">
        <v>0</v>
      </c>
      <c r="N98" s="783">
        <v>0</v>
      </c>
      <c r="O98" s="783">
        <v>0</v>
      </c>
      <c r="P98" s="783">
        <v>0</v>
      </c>
      <c r="Q98" s="783">
        <v>0</v>
      </c>
      <c r="R98" s="783">
        <v>0</v>
      </c>
      <c r="S98" s="783">
        <v>0</v>
      </c>
      <c r="T98" s="783">
        <v>0</v>
      </c>
      <c r="U98" s="783">
        <v>0</v>
      </c>
      <c r="V98" s="783">
        <v>0</v>
      </c>
      <c r="W98" s="783">
        <v>0</v>
      </c>
      <c r="X98" s="783">
        <v>0</v>
      </c>
      <c r="Y98" s="783">
        <v>0</v>
      </c>
      <c r="Z98" s="783">
        <v>0</v>
      </c>
      <c r="AA98" s="783">
        <v>0</v>
      </c>
    </row>
    <row r="99" spans="1:57" x14ac:dyDescent="0.25">
      <c r="A99" s="783" t="s">
        <v>56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 s="783">
        <v>3049779.4254278899</v>
      </c>
      <c r="AC99" s="783">
        <v>3048226.0323596601</v>
      </c>
      <c r="AD99" s="783">
        <v>3492673.0413382798</v>
      </c>
      <c r="AE99" s="783">
        <v>5141183.5782377096</v>
      </c>
      <c r="AF99" s="783">
        <v>9372326.4771143291</v>
      </c>
      <c r="AG99" s="783">
        <v>14060362.7569618</v>
      </c>
      <c r="AH99" s="783">
        <v>17579035.375522502</v>
      </c>
      <c r="AI99" s="783">
        <v>14284461.814534901</v>
      </c>
      <c r="AJ99" s="783">
        <v>11470671.801549699</v>
      </c>
      <c r="AK99" s="783">
        <v>6439729.4155836403</v>
      </c>
      <c r="AL99" s="783">
        <v>4374332.20806293</v>
      </c>
      <c r="AM99" s="783">
        <v>3227743.26396569</v>
      </c>
      <c r="AN99" s="783">
        <v>3036717.2856234298</v>
      </c>
      <c r="AO99" s="783">
        <v>3039181.8760042898</v>
      </c>
      <c r="AP99" s="783">
        <v>3539216.1139611201</v>
      </c>
      <c r="AQ99" s="783">
        <v>5251425.3703348301</v>
      </c>
      <c r="AR99" s="783">
        <v>9528618.7315776795</v>
      </c>
      <c r="AS99" s="783">
        <v>14278731.039395601</v>
      </c>
      <c r="AT99" s="783">
        <v>17868543.595314</v>
      </c>
      <c r="AU99" s="783">
        <v>14775876.7912303</v>
      </c>
      <c r="AV99" s="783">
        <v>11514533.171578299</v>
      </c>
      <c r="AW99" s="783">
        <v>6570549.4811023697</v>
      </c>
      <c r="AX99" s="783">
        <v>4422386.2530884398</v>
      </c>
      <c r="AY99" s="783">
        <v>3233127.3673668001</v>
      </c>
      <c r="AZ99" s="783">
        <v>3032673.2109713699</v>
      </c>
      <c r="BA99" s="783">
        <v>3024917.1187538002</v>
      </c>
      <c r="BB99" s="783">
        <v>3574743.2527957102</v>
      </c>
      <c r="BC99" s="783">
        <v>5334767.5361894304</v>
      </c>
      <c r="BD99" s="783">
        <v>8487585.8132844493</v>
      </c>
      <c r="BE99" s="783">
        <v>12564373.017171601</v>
      </c>
    </row>
    <row r="100" spans="1:57" s="880" customFormat="1" x14ac:dyDescent="0.25">
      <c r="A100" s="783" t="s">
        <v>56</v>
      </c>
      <c r="B100" s="783" t="s">
        <v>107</v>
      </c>
      <c r="C100" s="882" t="s">
        <v>713</v>
      </c>
      <c r="D100" s="783">
        <v>135955.47286647299</v>
      </c>
      <c r="E100" s="783">
        <v>268117.21520173497</v>
      </c>
      <c r="F100" s="783">
        <v>749067.53637911496</v>
      </c>
      <c r="G100" s="783">
        <v>1531249.1260581999</v>
      </c>
      <c r="H100" s="783">
        <v>3810796.77350963</v>
      </c>
      <c r="I100" s="783">
        <v>6389284.02629817</v>
      </c>
      <c r="J100" s="783">
        <v>8513283.7996198405</v>
      </c>
      <c r="K100" s="783">
        <v>6669777.9250804503</v>
      </c>
      <c r="L100" s="783">
        <v>5096537.7126733698</v>
      </c>
      <c r="M100" s="783">
        <v>2314775.3677380602</v>
      </c>
      <c r="N100" s="783">
        <v>1267293.5443891699</v>
      </c>
      <c r="O100" s="783">
        <v>581014.87092662195</v>
      </c>
      <c r="P100" s="783">
        <v>412089.260065537</v>
      </c>
      <c r="Q100" s="783">
        <v>436014.42033817701</v>
      </c>
      <c r="R100" s="783">
        <v>705079.78799259302</v>
      </c>
      <c r="S100" s="783">
        <v>1534607.05942968</v>
      </c>
      <c r="T100" s="783">
        <v>4096241.87331009</v>
      </c>
      <c r="U100" s="783">
        <v>6644831.4440679401</v>
      </c>
      <c r="V100" s="783">
        <v>8655832.9860264603</v>
      </c>
      <c r="W100" s="783">
        <v>6882742.5751231397</v>
      </c>
      <c r="X100" s="783">
        <v>5303925.0977974301</v>
      </c>
      <c r="Y100" s="783">
        <v>2327562.37895652</v>
      </c>
      <c r="Z100" s="783">
        <v>1218747.81964265</v>
      </c>
      <c r="AA100" s="783">
        <v>525647.087664761</v>
      </c>
    </row>
    <row r="101" spans="1:57" x14ac:dyDescent="0.25">
      <c r="A101" s="783" t="s">
        <v>56</v>
      </c>
      <c r="B101" s="783" t="s">
        <v>614</v>
      </c>
      <c r="C101" s="784" t="s">
        <v>714</v>
      </c>
      <c r="D101" s="783">
        <v>380757.13044424402</v>
      </c>
      <c r="E101" s="783">
        <v>272194.708013286</v>
      </c>
      <c r="F101" s="783">
        <v>351497.39072097</v>
      </c>
      <c r="G101" s="783">
        <v>372475.925693709</v>
      </c>
      <c r="H101" s="783">
        <v>390193.53832059202</v>
      </c>
      <c r="I101" s="783">
        <v>396024.89756300498</v>
      </c>
      <c r="J101" s="783">
        <v>573734.36154709302</v>
      </c>
      <c r="K101" s="783">
        <v>575196.69794125296</v>
      </c>
      <c r="L101" s="783">
        <v>578973.31791343202</v>
      </c>
      <c r="M101" s="783">
        <v>578802.72743463202</v>
      </c>
      <c r="N101" s="783">
        <v>579051.40799882403</v>
      </c>
      <c r="O101" s="783">
        <v>588297.41544228501</v>
      </c>
      <c r="P101" s="783">
        <v>595432.25604649505</v>
      </c>
      <c r="Q101" s="783">
        <v>597059.99779150099</v>
      </c>
      <c r="R101" s="783">
        <v>598156.63487865496</v>
      </c>
      <c r="S101" s="783">
        <v>598752.35620675504</v>
      </c>
      <c r="T101" s="783">
        <v>599801.777550817</v>
      </c>
      <c r="U101" s="783">
        <v>601042.42733399803</v>
      </c>
      <c r="V101" s="783">
        <v>717469.89925750694</v>
      </c>
      <c r="W101" s="783">
        <v>717939.71409920906</v>
      </c>
      <c r="X101" s="783">
        <v>720909.30408596096</v>
      </c>
      <c r="Y101" s="783">
        <v>719443.99209385295</v>
      </c>
      <c r="Z101" s="783">
        <v>718513.17539473495</v>
      </c>
      <c r="AA101" s="783">
        <v>719976.33066476404</v>
      </c>
      <c r="AB101" s="783">
        <v>0</v>
      </c>
      <c r="AC101" s="783">
        <v>0</v>
      </c>
      <c r="AD101" s="783">
        <v>0</v>
      </c>
      <c r="AE101" s="783">
        <v>0</v>
      </c>
      <c r="AF101" s="783">
        <v>0</v>
      </c>
      <c r="AG101" s="783">
        <v>0</v>
      </c>
      <c r="AH101" s="783">
        <v>0</v>
      </c>
      <c r="AI101" s="783">
        <v>0</v>
      </c>
      <c r="AJ101" s="783">
        <v>0</v>
      </c>
      <c r="AK101" s="783">
        <v>0</v>
      </c>
      <c r="AL101" s="783">
        <v>0</v>
      </c>
      <c r="AM101" s="783">
        <v>0</v>
      </c>
      <c r="AN101" s="783">
        <v>0</v>
      </c>
      <c r="AO101" s="783">
        <v>0</v>
      </c>
      <c r="AP101" s="783">
        <v>0</v>
      </c>
      <c r="AQ101" s="783">
        <v>0</v>
      </c>
      <c r="AR101" s="783">
        <v>0</v>
      </c>
      <c r="AS101" s="783">
        <v>0</v>
      </c>
      <c r="AT101" s="783">
        <v>0</v>
      </c>
      <c r="AU101" s="783">
        <v>0</v>
      </c>
      <c r="AV101" s="783">
        <v>0</v>
      </c>
      <c r="AW101" s="783">
        <v>0</v>
      </c>
      <c r="AX101" s="783">
        <v>0</v>
      </c>
      <c r="AY101" s="783">
        <v>0</v>
      </c>
      <c r="AZ101" s="783">
        <v>0</v>
      </c>
      <c r="BA101" s="783">
        <v>0</v>
      </c>
      <c r="BB101" s="783">
        <v>0</v>
      </c>
      <c r="BC101" s="783">
        <v>0</v>
      </c>
      <c r="BD101" s="783">
        <v>0</v>
      </c>
      <c r="BE101" s="783">
        <v>0</v>
      </c>
    </row>
    <row r="102" spans="1:57" x14ac:dyDescent="0.25">
      <c r="A102" s="783" t="s">
        <v>56</v>
      </c>
      <c r="B102" s="783" t="s">
        <v>109</v>
      </c>
      <c r="C102" s="784" t="s">
        <v>715</v>
      </c>
      <c r="D102" s="783">
        <v>120763.571423021</v>
      </c>
      <c r="E102" s="783">
        <v>17138.981508521902</v>
      </c>
      <c r="F102" s="783">
        <v>84450.680991902394</v>
      </c>
      <c r="G102" s="783">
        <v>89837.818785001597</v>
      </c>
      <c r="H102" s="783">
        <v>63012.9825948824</v>
      </c>
      <c r="I102" s="783">
        <v>51688.861853498704</v>
      </c>
      <c r="J102" s="783">
        <v>11412.4250483673</v>
      </c>
      <c r="K102" s="783">
        <v>11445.2490569619</v>
      </c>
      <c r="L102" s="783">
        <v>11627.4485183949</v>
      </c>
      <c r="M102" s="783">
        <v>11994.404815328</v>
      </c>
      <c r="N102" s="783">
        <v>12316.185297562901</v>
      </c>
      <c r="O102" s="783">
        <v>12845.301269674001</v>
      </c>
      <c r="P102" s="783">
        <v>11132.983853792701</v>
      </c>
      <c r="Q102" s="783">
        <v>11099.6411736518</v>
      </c>
      <c r="R102" s="783">
        <v>11727.3156891247</v>
      </c>
      <c r="S102" s="783">
        <v>10980.094863845199</v>
      </c>
      <c r="T102" s="783">
        <v>9613.1484978917397</v>
      </c>
      <c r="U102" s="783">
        <v>10097.113941542601</v>
      </c>
      <c r="V102" s="783">
        <v>10913.8325386503</v>
      </c>
      <c r="W102" s="783">
        <v>10961.231164740801</v>
      </c>
      <c r="X102" s="783">
        <v>11138.2415882851</v>
      </c>
      <c r="Y102" s="783">
        <v>11578.0518921406</v>
      </c>
      <c r="Z102" s="783">
        <v>11865.5145416786</v>
      </c>
      <c r="AA102" s="783">
        <v>12279.9185974346</v>
      </c>
      <c r="AB102" s="783">
        <v>0</v>
      </c>
      <c r="AC102" s="783">
        <v>0</v>
      </c>
      <c r="AD102" s="783">
        <v>0</v>
      </c>
      <c r="AE102" s="783">
        <v>0</v>
      </c>
      <c r="AF102" s="783">
        <v>0</v>
      </c>
      <c r="AG102" s="783">
        <v>0</v>
      </c>
      <c r="AH102" s="783">
        <v>0</v>
      </c>
      <c r="AI102" s="783">
        <v>0</v>
      </c>
      <c r="AJ102" s="783">
        <v>0</v>
      </c>
      <c r="AK102" s="783">
        <v>0</v>
      </c>
      <c r="AL102" s="783">
        <v>0</v>
      </c>
      <c r="AM102" s="783">
        <v>0</v>
      </c>
      <c r="AN102" s="783">
        <v>0</v>
      </c>
      <c r="AO102" s="783">
        <v>0</v>
      </c>
      <c r="AP102" s="783">
        <v>0</v>
      </c>
      <c r="AQ102" s="783">
        <v>0</v>
      </c>
      <c r="AR102" s="783">
        <v>0</v>
      </c>
      <c r="AS102" s="783">
        <v>0</v>
      </c>
      <c r="AT102" s="783">
        <v>0</v>
      </c>
      <c r="AU102" s="783">
        <v>0</v>
      </c>
      <c r="AV102" s="783">
        <v>0</v>
      </c>
      <c r="AW102" s="783">
        <v>0</v>
      </c>
      <c r="AX102" s="783">
        <v>0</v>
      </c>
      <c r="AY102" s="783">
        <v>0</v>
      </c>
      <c r="AZ102" s="783">
        <v>0</v>
      </c>
      <c r="BA102" s="783">
        <v>0</v>
      </c>
      <c r="BB102" s="783">
        <v>0</v>
      </c>
      <c r="BC102" s="783">
        <v>0</v>
      </c>
      <c r="BD102" s="783">
        <v>0</v>
      </c>
      <c r="BE102" s="783">
        <v>0</v>
      </c>
    </row>
    <row r="103" spans="1:57" s="786" customFormat="1" x14ac:dyDescent="0.25">
      <c r="A103" s="783" t="s">
        <v>56</v>
      </c>
      <c r="C103" s="785" t="s">
        <v>716</v>
      </c>
      <c r="D103" s="783">
        <v>637476.17473374004</v>
      </c>
      <c r="E103" s="783">
        <v>557450.90472354298</v>
      </c>
      <c r="F103" s="783">
        <v>1185015.60809198</v>
      </c>
      <c r="G103" s="783">
        <v>1993562.8705369099</v>
      </c>
      <c r="H103" s="783">
        <v>4264003.2944251103</v>
      </c>
      <c r="I103" s="783">
        <v>6836997.7857146803</v>
      </c>
      <c r="J103" s="783">
        <v>9098430.5862153005</v>
      </c>
      <c r="K103" s="783">
        <v>7256419.8720786599</v>
      </c>
      <c r="L103" s="783">
        <v>5687138.4791051997</v>
      </c>
      <c r="M103" s="783">
        <v>2905572.4999880199</v>
      </c>
      <c r="N103" s="783">
        <v>1858661.1376855599</v>
      </c>
      <c r="O103" s="783">
        <v>1182157.58763858</v>
      </c>
      <c r="P103" s="783">
        <v>1018654.49996582</v>
      </c>
      <c r="Q103" s="783">
        <v>1044174.05930333</v>
      </c>
      <c r="R103" s="783">
        <v>1314963.7385603699</v>
      </c>
      <c r="S103" s="783">
        <v>2144339.5105002802</v>
      </c>
      <c r="T103" s="783">
        <v>4705656.7993587898</v>
      </c>
      <c r="U103" s="783">
        <v>7255970.9853434898</v>
      </c>
      <c r="V103" s="783">
        <v>9384216.7178226206</v>
      </c>
      <c r="W103" s="783">
        <v>7611643.5203870898</v>
      </c>
      <c r="X103" s="783">
        <v>6035972.6434716797</v>
      </c>
      <c r="Y103" s="783">
        <v>3058584.4229425099</v>
      </c>
      <c r="Z103" s="783">
        <v>1949126.5095790599</v>
      </c>
      <c r="AA103" s="783">
        <v>1257903.3369269599</v>
      </c>
      <c r="AB103" s="786">
        <v>61.07</v>
      </c>
      <c r="AC103" s="786">
        <v>61.07</v>
      </c>
      <c r="AD103" s="786">
        <v>59.1</v>
      </c>
      <c r="AE103" s="786">
        <v>61.07</v>
      </c>
      <c r="AF103" s="786">
        <v>59.1</v>
      </c>
      <c r="AG103" s="786">
        <v>61.07</v>
      </c>
      <c r="AH103" s="786">
        <v>61.07</v>
      </c>
      <c r="AI103" s="786">
        <v>55.16</v>
      </c>
      <c r="AJ103" s="786">
        <v>61.07</v>
      </c>
      <c r="AK103" s="786">
        <v>59.1</v>
      </c>
      <c r="AL103" s="786">
        <v>61.07</v>
      </c>
      <c r="AM103" s="786">
        <v>59.1</v>
      </c>
      <c r="AN103" s="786">
        <v>61.07</v>
      </c>
      <c r="AO103" s="786">
        <v>61.07</v>
      </c>
      <c r="AP103" s="786">
        <v>59.1</v>
      </c>
      <c r="AQ103" s="786">
        <v>61.07</v>
      </c>
      <c r="AR103" s="786">
        <v>59.1</v>
      </c>
      <c r="AS103" s="786">
        <v>61.07</v>
      </c>
      <c r="AT103" s="786">
        <v>61.07</v>
      </c>
      <c r="AU103" s="786">
        <v>57.13</v>
      </c>
      <c r="AV103" s="786">
        <v>61.07</v>
      </c>
      <c r="AW103" s="786">
        <v>59.1</v>
      </c>
      <c r="AX103" s="786">
        <v>61.07</v>
      </c>
      <c r="AY103" s="786">
        <v>59.1</v>
      </c>
      <c r="AZ103" s="786">
        <v>61.07</v>
      </c>
      <c r="BA103" s="786">
        <v>61.07</v>
      </c>
      <c r="BB103" s="786">
        <v>59.1</v>
      </c>
      <c r="BC103" s="786">
        <v>61.07</v>
      </c>
      <c r="BD103" s="786">
        <v>59.1</v>
      </c>
      <c r="BE103" s="786">
        <v>61.07</v>
      </c>
    </row>
    <row r="104" spans="1:57" s="786" customFormat="1" x14ac:dyDescent="0.25">
      <c r="A104" s="783" t="s">
        <v>56</v>
      </c>
      <c r="C104" s="785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 s="786">
        <v>290.469999999999</v>
      </c>
      <c r="AC104" s="786">
        <v>290.469999999999</v>
      </c>
      <c r="AD104" s="786">
        <v>281.099999999999</v>
      </c>
      <c r="AE104" s="786">
        <v>290.469999999999</v>
      </c>
      <c r="AF104" s="786">
        <v>281.099999999999</v>
      </c>
      <c r="AG104" s="786">
        <v>290.469999999999</v>
      </c>
      <c r="AH104" s="786">
        <v>290.469999999999</v>
      </c>
      <c r="AI104" s="786">
        <v>262.35999999999899</v>
      </c>
      <c r="AJ104" s="786">
        <v>290.469999999999</v>
      </c>
      <c r="AK104" s="786">
        <v>281.099999999999</v>
      </c>
      <c r="AL104" s="786">
        <v>290.469999999999</v>
      </c>
      <c r="AM104" s="786">
        <v>281.099999999999</v>
      </c>
      <c r="AN104" s="786">
        <v>290.469999999999</v>
      </c>
      <c r="AO104" s="786">
        <v>290.469999999999</v>
      </c>
      <c r="AP104" s="786">
        <v>281.099999999999</v>
      </c>
      <c r="AQ104" s="786">
        <v>290.469999999999</v>
      </c>
      <c r="AR104" s="786">
        <v>281.099999999999</v>
      </c>
      <c r="AS104" s="786">
        <v>290.469999999999</v>
      </c>
      <c r="AT104" s="786">
        <v>290.469999999999</v>
      </c>
      <c r="AU104" s="786">
        <v>271.729999999999</v>
      </c>
      <c r="AV104" s="786">
        <v>290.469999999999</v>
      </c>
      <c r="AW104" s="786">
        <v>281.099999999999</v>
      </c>
      <c r="AX104" s="786">
        <v>290.469999999999</v>
      </c>
      <c r="AY104" s="786">
        <v>281.099999999999</v>
      </c>
      <c r="AZ104" s="786">
        <v>290.469999999999</v>
      </c>
      <c r="BA104" s="786">
        <v>290.469999999999</v>
      </c>
      <c r="BB104" s="786">
        <v>281.099999999999</v>
      </c>
      <c r="BC104" s="786">
        <v>290.469999999999</v>
      </c>
      <c r="BD104" s="786">
        <v>281.099999999999</v>
      </c>
      <c r="BE104" s="786">
        <v>290.469999999999</v>
      </c>
    </row>
    <row r="105" spans="1:57" x14ac:dyDescent="0.25">
      <c r="A105" s="783" t="s">
        <v>56</v>
      </c>
      <c r="C105" s="784" t="s">
        <v>717</v>
      </c>
      <c r="D105" s="783">
        <v>3009828.4339757902</v>
      </c>
      <c r="E105" s="783">
        <v>2933011.58981252</v>
      </c>
      <c r="F105" s="783">
        <v>3688052.7768489202</v>
      </c>
      <c r="G105" s="783">
        <v>5281741.5307805603</v>
      </c>
      <c r="H105" s="783">
        <v>9453879.7916550301</v>
      </c>
      <c r="I105" s="783">
        <v>13864873.8188156</v>
      </c>
      <c r="J105" s="783">
        <v>17613027.1312861</v>
      </c>
      <c r="K105" s="783">
        <v>14149277.995205199</v>
      </c>
      <c r="L105" s="783">
        <v>11579103.030237401</v>
      </c>
      <c r="M105" s="783">
        <v>6529290.6880275598</v>
      </c>
      <c r="N105" s="783">
        <v>4691136.2677096399</v>
      </c>
      <c r="O105" s="783">
        <v>3624665.91233837</v>
      </c>
      <c r="P105" s="783">
        <v>3413007.0252155499</v>
      </c>
      <c r="Q105" s="783">
        <v>3441674.7574976399</v>
      </c>
      <c r="R105" s="783">
        <v>3856753.7072659</v>
      </c>
      <c r="S105" s="783">
        <v>5486758.32959102</v>
      </c>
      <c r="T105" s="783">
        <v>9942525.8638748694</v>
      </c>
      <c r="U105" s="783">
        <v>14321990.122063501</v>
      </c>
      <c r="V105" s="783">
        <v>17923374.842539601</v>
      </c>
      <c r="W105" s="783">
        <v>14538003.3489688</v>
      </c>
      <c r="X105" s="783">
        <v>11953398.785047</v>
      </c>
      <c r="Y105" s="783">
        <v>6716992.7795672696</v>
      </c>
      <c r="Z105" s="783">
        <v>4799431.2015209896</v>
      </c>
      <c r="AA105" s="783">
        <v>3704406.1842131601</v>
      </c>
      <c r="AB105" s="783">
        <v>0</v>
      </c>
      <c r="AC105" s="783">
        <v>0</v>
      </c>
      <c r="AD105" s="783">
        <v>0</v>
      </c>
      <c r="AE105" s="783">
        <v>0</v>
      </c>
      <c r="AF105" s="783">
        <v>0</v>
      </c>
      <c r="AG105" s="783">
        <v>0</v>
      </c>
      <c r="AH105" s="783">
        <v>0</v>
      </c>
      <c r="AI105" s="783">
        <v>0</v>
      </c>
      <c r="AJ105" s="783">
        <v>0</v>
      </c>
      <c r="AK105" s="783">
        <v>0</v>
      </c>
      <c r="AL105" s="783">
        <v>0</v>
      </c>
      <c r="AM105" s="783">
        <v>0</v>
      </c>
      <c r="AN105" s="783">
        <v>0</v>
      </c>
      <c r="AO105" s="783">
        <v>0</v>
      </c>
      <c r="AP105" s="783">
        <v>0</v>
      </c>
      <c r="AQ105" s="783">
        <v>0</v>
      </c>
      <c r="AR105" s="783">
        <v>0</v>
      </c>
      <c r="AS105" s="783">
        <v>0</v>
      </c>
      <c r="AT105" s="783">
        <v>0</v>
      </c>
      <c r="AU105" s="783">
        <v>0</v>
      </c>
      <c r="AV105" s="783">
        <v>0</v>
      </c>
      <c r="AW105" s="783">
        <v>0</v>
      </c>
      <c r="AX105" s="783">
        <v>0</v>
      </c>
      <c r="AY105" s="783">
        <v>0</v>
      </c>
      <c r="AZ105" s="783">
        <v>0</v>
      </c>
      <c r="BA105" s="783">
        <v>0</v>
      </c>
      <c r="BB105" s="783">
        <v>0</v>
      </c>
      <c r="BC105" s="783">
        <v>0</v>
      </c>
      <c r="BD105" s="783">
        <v>0</v>
      </c>
      <c r="BE105" s="783">
        <v>0</v>
      </c>
    </row>
    <row r="106" spans="1:57" s="811" customFormat="1" x14ac:dyDescent="0.25">
      <c r="C106" s="812" t="s">
        <v>720</v>
      </c>
      <c r="AB106" s="811">
        <v>0</v>
      </c>
      <c r="AC106" s="811">
        <v>0</v>
      </c>
      <c r="AD106" s="811">
        <v>0</v>
      </c>
      <c r="AE106" s="811">
        <v>0</v>
      </c>
      <c r="AF106" s="811">
        <v>0</v>
      </c>
      <c r="AG106" s="811">
        <v>0</v>
      </c>
      <c r="AH106" s="811">
        <v>0</v>
      </c>
      <c r="AI106" s="811">
        <v>0</v>
      </c>
      <c r="AJ106" s="811">
        <v>0</v>
      </c>
      <c r="AK106" s="811">
        <v>0</v>
      </c>
      <c r="AL106" s="811">
        <v>0</v>
      </c>
      <c r="AM106" s="811">
        <v>0</v>
      </c>
      <c r="AN106" s="811">
        <v>0</v>
      </c>
      <c r="AO106" s="811">
        <v>0</v>
      </c>
      <c r="AP106" s="811">
        <v>0</v>
      </c>
      <c r="AQ106" s="811">
        <v>0</v>
      </c>
      <c r="AR106" s="811">
        <v>0</v>
      </c>
      <c r="AS106" s="811">
        <v>0</v>
      </c>
      <c r="AT106" s="811">
        <v>0</v>
      </c>
      <c r="AU106" s="811">
        <v>0</v>
      </c>
      <c r="AV106" s="811">
        <v>0</v>
      </c>
      <c r="AW106" s="811">
        <v>0</v>
      </c>
      <c r="AX106" s="811">
        <v>0</v>
      </c>
      <c r="AY106" s="811">
        <v>0</v>
      </c>
      <c r="AZ106" s="811">
        <v>0</v>
      </c>
      <c r="BA106" s="811">
        <v>0</v>
      </c>
      <c r="BB106" s="811">
        <v>0</v>
      </c>
      <c r="BC106" s="811">
        <v>0</v>
      </c>
      <c r="BD106" s="811">
        <v>0</v>
      </c>
      <c r="BE106" s="811">
        <v>0</v>
      </c>
    </row>
    <row r="107" spans="1:57" x14ac:dyDescent="0.25">
      <c r="A107" s="783" t="s">
        <v>546</v>
      </c>
      <c r="C107" s="784" t="s">
        <v>693</v>
      </c>
      <c r="D107" s="783">
        <v>0</v>
      </c>
      <c r="E107" s="783">
        <v>0</v>
      </c>
      <c r="F107" s="783">
        <v>0</v>
      </c>
      <c r="G107" s="783">
        <v>0</v>
      </c>
      <c r="H107" s="783">
        <v>0</v>
      </c>
      <c r="I107" s="783">
        <v>0</v>
      </c>
      <c r="J107" s="783">
        <v>0</v>
      </c>
      <c r="K107" s="783">
        <v>0</v>
      </c>
      <c r="L107" s="783">
        <v>0</v>
      </c>
      <c r="M107" s="783">
        <v>0</v>
      </c>
      <c r="N107" s="783">
        <v>0</v>
      </c>
      <c r="O107" s="783">
        <v>0</v>
      </c>
      <c r="P107" s="783">
        <v>0</v>
      </c>
      <c r="Q107" s="783">
        <v>0</v>
      </c>
      <c r="R107" s="783">
        <v>0</v>
      </c>
      <c r="S107" s="783">
        <v>0</v>
      </c>
      <c r="T107" s="783">
        <v>0</v>
      </c>
      <c r="U107" s="783">
        <v>0</v>
      </c>
      <c r="V107" s="783">
        <v>0</v>
      </c>
      <c r="W107" s="783">
        <v>0</v>
      </c>
      <c r="X107" s="783">
        <v>0</v>
      </c>
      <c r="Y107" s="783">
        <v>0</v>
      </c>
      <c r="Z107" s="783">
        <v>0</v>
      </c>
      <c r="AA107" s="783">
        <v>0</v>
      </c>
      <c r="AB107" s="783">
        <v>0</v>
      </c>
      <c r="AC107" s="783">
        <v>0</v>
      </c>
      <c r="AD107" s="783">
        <v>0</v>
      </c>
      <c r="AE107" s="783">
        <v>0</v>
      </c>
      <c r="AF107" s="783">
        <v>0</v>
      </c>
      <c r="AG107" s="783">
        <v>0</v>
      </c>
      <c r="AH107" s="783">
        <v>0</v>
      </c>
      <c r="AI107" s="783">
        <v>0</v>
      </c>
      <c r="AJ107" s="783">
        <v>0</v>
      </c>
      <c r="AK107" s="783">
        <v>0</v>
      </c>
      <c r="AL107" s="783">
        <v>0</v>
      </c>
      <c r="AM107" s="783">
        <v>0</v>
      </c>
      <c r="AN107" s="783">
        <v>0</v>
      </c>
      <c r="AO107" s="783">
        <v>0</v>
      </c>
      <c r="AP107" s="783">
        <v>0</v>
      </c>
      <c r="AQ107" s="783">
        <v>0</v>
      </c>
      <c r="AR107" s="783">
        <v>0</v>
      </c>
      <c r="AS107" s="783">
        <v>0</v>
      </c>
      <c r="AT107" s="783">
        <v>0</v>
      </c>
      <c r="AU107" s="783">
        <v>0</v>
      </c>
      <c r="AV107" s="783">
        <v>0</v>
      </c>
      <c r="AW107" s="783">
        <v>0</v>
      </c>
      <c r="AX107" s="783">
        <v>0</v>
      </c>
      <c r="AY107" s="783">
        <v>0</v>
      </c>
      <c r="AZ107" s="783">
        <v>0</v>
      </c>
      <c r="BA107" s="783">
        <v>0</v>
      </c>
      <c r="BB107" s="783">
        <v>0</v>
      </c>
      <c r="BC107" s="783">
        <v>0</v>
      </c>
      <c r="BD107" s="783">
        <v>0</v>
      </c>
      <c r="BE107" s="783">
        <v>0</v>
      </c>
    </row>
    <row r="108" spans="1:57" x14ac:dyDescent="0.25">
      <c r="A108" s="783" t="s">
        <v>546</v>
      </c>
      <c r="C108" s="784" t="s">
        <v>694</v>
      </c>
      <c r="D108" s="783">
        <v>0</v>
      </c>
      <c r="E108" s="783">
        <v>0</v>
      </c>
      <c r="F108" s="783">
        <v>0</v>
      </c>
      <c r="G108" s="783">
        <v>0</v>
      </c>
      <c r="H108" s="783">
        <v>0</v>
      </c>
      <c r="I108" s="783">
        <v>0</v>
      </c>
      <c r="J108" s="783">
        <v>0</v>
      </c>
      <c r="K108" s="783">
        <v>0</v>
      </c>
      <c r="L108" s="783">
        <v>0</v>
      </c>
      <c r="M108" s="783">
        <v>0</v>
      </c>
      <c r="N108" s="783">
        <v>0</v>
      </c>
      <c r="O108" s="783">
        <v>0</v>
      </c>
      <c r="P108" s="783">
        <v>0</v>
      </c>
      <c r="Q108" s="783">
        <v>0</v>
      </c>
      <c r="R108" s="783">
        <v>0</v>
      </c>
      <c r="S108" s="783">
        <v>0</v>
      </c>
      <c r="T108" s="783">
        <v>0</v>
      </c>
      <c r="U108" s="783">
        <v>0</v>
      </c>
      <c r="V108" s="783">
        <v>0</v>
      </c>
      <c r="W108" s="783">
        <v>0</v>
      </c>
      <c r="X108" s="783">
        <v>0</v>
      </c>
      <c r="Y108" s="783">
        <v>0</v>
      </c>
      <c r="Z108" s="783">
        <v>0</v>
      </c>
      <c r="AA108" s="783">
        <v>0</v>
      </c>
    </row>
    <row r="109" spans="1:57" x14ac:dyDescent="0.25">
      <c r="A109" s="783" t="s">
        <v>546</v>
      </c>
      <c r="C109" s="784" t="s">
        <v>695</v>
      </c>
      <c r="D109" s="786">
        <v>1.97</v>
      </c>
      <c r="E109" s="786">
        <v>1.97</v>
      </c>
      <c r="F109" s="786">
        <v>1.97</v>
      </c>
      <c r="G109" s="786">
        <v>1.97</v>
      </c>
      <c r="H109" s="786">
        <v>1.97</v>
      </c>
      <c r="I109" s="786">
        <v>1.97</v>
      </c>
      <c r="J109" s="786">
        <v>1.97</v>
      </c>
      <c r="K109" s="786">
        <v>1.97</v>
      </c>
      <c r="L109" s="786">
        <v>1.97</v>
      </c>
      <c r="M109" s="786">
        <v>1.97</v>
      </c>
      <c r="N109" s="786">
        <v>1.97</v>
      </c>
      <c r="O109" s="786">
        <v>1.97</v>
      </c>
      <c r="P109" s="786">
        <v>1.97</v>
      </c>
      <c r="Q109" s="786">
        <v>1.97</v>
      </c>
      <c r="R109" s="786">
        <v>1.97</v>
      </c>
      <c r="S109" s="786">
        <v>1.97</v>
      </c>
      <c r="T109" s="786">
        <v>1.97</v>
      </c>
      <c r="U109" s="786">
        <v>1.97</v>
      </c>
      <c r="V109" s="786">
        <v>1.97</v>
      </c>
      <c r="W109" s="786">
        <v>1.97</v>
      </c>
      <c r="X109" s="786">
        <v>1.97</v>
      </c>
      <c r="Y109" s="786">
        <v>1.97</v>
      </c>
      <c r="Z109" s="786">
        <v>1.97</v>
      </c>
      <c r="AA109" s="786">
        <v>1.97</v>
      </c>
      <c r="AB109" s="783">
        <v>0</v>
      </c>
      <c r="AC109" s="783">
        <v>0</v>
      </c>
      <c r="AD109" s="783">
        <v>0</v>
      </c>
      <c r="AE109" s="783">
        <v>0</v>
      </c>
      <c r="AF109" s="783">
        <v>0</v>
      </c>
      <c r="AG109" s="783">
        <v>0</v>
      </c>
      <c r="AH109" s="783">
        <v>0</v>
      </c>
      <c r="AI109" s="783">
        <v>0</v>
      </c>
      <c r="AJ109" s="783">
        <v>0</v>
      </c>
      <c r="AK109" s="783">
        <v>0</v>
      </c>
      <c r="AL109" s="783">
        <v>0</v>
      </c>
      <c r="AM109" s="783">
        <v>0</v>
      </c>
      <c r="AN109" s="783">
        <v>0</v>
      </c>
      <c r="AO109" s="783">
        <v>0</v>
      </c>
      <c r="AP109" s="783">
        <v>0</v>
      </c>
      <c r="AQ109" s="783">
        <v>0</v>
      </c>
      <c r="AR109" s="783">
        <v>0</v>
      </c>
      <c r="AS109" s="783">
        <v>0</v>
      </c>
      <c r="AT109" s="783">
        <v>0</v>
      </c>
      <c r="AU109" s="783">
        <v>0</v>
      </c>
      <c r="AV109" s="783">
        <v>0</v>
      </c>
      <c r="AW109" s="783">
        <v>0</v>
      </c>
      <c r="AX109" s="783">
        <v>0</v>
      </c>
      <c r="AY109" s="783">
        <v>0</v>
      </c>
      <c r="AZ109" s="783">
        <v>0</v>
      </c>
      <c r="BA109" s="783">
        <v>0</v>
      </c>
      <c r="BB109" s="783">
        <v>0</v>
      </c>
      <c r="BC109" s="783">
        <v>0</v>
      </c>
      <c r="BD109" s="783">
        <v>0</v>
      </c>
      <c r="BE109" s="783">
        <v>0</v>
      </c>
    </row>
    <row r="110" spans="1:57" x14ac:dyDescent="0.25">
      <c r="A110" s="783" t="s">
        <v>546</v>
      </c>
      <c r="C110" s="784" t="s">
        <v>696</v>
      </c>
      <c r="D110" s="786">
        <v>9.3699999999999992</v>
      </c>
      <c r="E110" s="786">
        <v>9.3699999999999992</v>
      </c>
      <c r="F110" s="786">
        <v>9.3699999999999992</v>
      </c>
      <c r="G110" s="786">
        <v>9.3699999999999992</v>
      </c>
      <c r="H110" s="786">
        <v>9.3699999999999992</v>
      </c>
      <c r="I110" s="786">
        <v>9.3699999999999992</v>
      </c>
      <c r="J110" s="786">
        <v>9.3699999999999992</v>
      </c>
      <c r="K110" s="786">
        <v>9.3699999999999992</v>
      </c>
      <c r="L110" s="786">
        <v>9.3699999999999992</v>
      </c>
      <c r="M110" s="786">
        <v>9.3699999999999992</v>
      </c>
      <c r="N110" s="786">
        <v>9.3699999999999992</v>
      </c>
      <c r="O110" s="786">
        <v>9.3699999999999992</v>
      </c>
      <c r="P110" s="786">
        <v>9.3699999999999992</v>
      </c>
      <c r="Q110" s="786">
        <v>9.3699999999999992</v>
      </c>
      <c r="R110" s="786">
        <v>9.3699999999999992</v>
      </c>
      <c r="S110" s="786">
        <v>9.3699999999999992</v>
      </c>
      <c r="T110" s="786">
        <v>9.3699999999999992</v>
      </c>
      <c r="U110" s="786">
        <v>9.3699999999999992</v>
      </c>
      <c r="V110" s="786">
        <v>9.3699999999999992</v>
      </c>
      <c r="W110" s="786">
        <v>9.3699999999999992</v>
      </c>
      <c r="X110" s="786">
        <v>9.3699999999999992</v>
      </c>
      <c r="Y110" s="786">
        <v>9.3699999999999992</v>
      </c>
      <c r="Z110" s="786">
        <v>9.3699999999999992</v>
      </c>
      <c r="AA110" s="786">
        <v>9.3699999999999992</v>
      </c>
      <c r="AB110" s="783">
        <v>0</v>
      </c>
      <c r="AC110" s="783">
        <v>0</v>
      </c>
      <c r="AD110" s="783">
        <v>0</v>
      </c>
      <c r="AE110" s="783">
        <v>0</v>
      </c>
      <c r="AF110" s="783">
        <v>0</v>
      </c>
      <c r="AG110" s="783">
        <v>0</v>
      </c>
      <c r="AH110" s="783">
        <v>0</v>
      </c>
      <c r="AI110" s="783">
        <v>0</v>
      </c>
      <c r="AJ110" s="783">
        <v>0</v>
      </c>
      <c r="AK110" s="783">
        <v>0</v>
      </c>
      <c r="AL110" s="783">
        <v>0</v>
      </c>
      <c r="AM110" s="783">
        <v>0</v>
      </c>
      <c r="AN110" s="783">
        <v>0</v>
      </c>
      <c r="AO110" s="783">
        <v>0</v>
      </c>
      <c r="AP110" s="783">
        <v>0</v>
      </c>
      <c r="AQ110" s="783">
        <v>0</v>
      </c>
      <c r="AR110" s="783">
        <v>0</v>
      </c>
      <c r="AS110" s="783">
        <v>0</v>
      </c>
      <c r="AT110" s="783">
        <v>0</v>
      </c>
      <c r="AU110" s="783">
        <v>0</v>
      </c>
      <c r="AV110" s="783">
        <v>0</v>
      </c>
      <c r="AW110" s="783">
        <v>0</v>
      </c>
      <c r="AX110" s="783">
        <v>0</v>
      </c>
      <c r="AY110" s="783">
        <v>0</v>
      </c>
      <c r="AZ110" s="783">
        <v>0</v>
      </c>
      <c r="BA110" s="783">
        <v>0</v>
      </c>
      <c r="BB110" s="783">
        <v>0</v>
      </c>
      <c r="BC110" s="783">
        <v>0</v>
      </c>
      <c r="BD110" s="783">
        <v>0</v>
      </c>
      <c r="BE110" s="783">
        <v>0</v>
      </c>
    </row>
    <row r="111" spans="1:57" s="788" customFormat="1" x14ac:dyDescent="0.25">
      <c r="A111" s="783" t="s">
        <v>546</v>
      </c>
      <c r="B111" s="783"/>
      <c r="C111" s="787" t="s">
        <v>1062</v>
      </c>
      <c r="D111" s="783">
        <v>31</v>
      </c>
      <c r="E111" s="783">
        <v>31</v>
      </c>
      <c r="F111" s="783">
        <v>30</v>
      </c>
      <c r="G111" s="783">
        <v>31</v>
      </c>
      <c r="H111" s="783">
        <v>30</v>
      </c>
      <c r="I111" s="783">
        <v>31</v>
      </c>
      <c r="J111" s="783">
        <v>31</v>
      </c>
      <c r="K111" s="783">
        <v>28</v>
      </c>
      <c r="L111" s="783">
        <v>31</v>
      </c>
      <c r="M111" s="783">
        <v>30</v>
      </c>
      <c r="N111" s="783">
        <v>31</v>
      </c>
      <c r="O111" s="783">
        <v>30</v>
      </c>
      <c r="P111" s="783">
        <v>31</v>
      </c>
      <c r="Q111" s="783">
        <v>31</v>
      </c>
      <c r="R111" s="783">
        <v>30</v>
      </c>
      <c r="S111" s="783">
        <v>31</v>
      </c>
      <c r="T111" s="783">
        <v>30</v>
      </c>
      <c r="U111" s="783">
        <v>31</v>
      </c>
      <c r="V111" s="783">
        <v>31</v>
      </c>
      <c r="W111" s="783">
        <v>28</v>
      </c>
      <c r="X111" s="783">
        <v>31</v>
      </c>
      <c r="Y111" s="783">
        <v>30</v>
      </c>
      <c r="Z111" s="783">
        <v>31</v>
      </c>
      <c r="AA111" s="783">
        <v>30</v>
      </c>
      <c r="AB111" s="788">
        <v>3.0670000000000002</v>
      </c>
      <c r="AC111" s="788">
        <v>3.0670000000000002</v>
      </c>
      <c r="AD111" s="788">
        <v>3.0670000000000002</v>
      </c>
      <c r="AE111" s="788">
        <v>3.0670000000000002</v>
      </c>
      <c r="AF111" s="788">
        <v>3.0670000000000002</v>
      </c>
      <c r="AG111" s="788">
        <v>3.0670000000000002</v>
      </c>
      <c r="AH111" s="788">
        <v>3.0670000000000002</v>
      </c>
      <c r="AI111" s="788">
        <v>3.0670000000000002</v>
      </c>
      <c r="AJ111" s="788">
        <v>3.0670000000000002</v>
      </c>
      <c r="AK111" s="788">
        <v>3.0670000000000002</v>
      </c>
      <c r="AL111" s="788">
        <v>3.0670000000000002</v>
      </c>
      <c r="AM111" s="788">
        <v>3.0670000000000002</v>
      </c>
      <c r="AN111" s="788">
        <v>3.0670000000000002</v>
      </c>
      <c r="AO111" s="788">
        <v>3.0670000000000002</v>
      </c>
      <c r="AP111" s="788">
        <v>3.0670000000000002</v>
      </c>
      <c r="AQ111" s="788">
        <v>3.0670000000000002</v>
      </c>
      <c r="AR111" s="788">
        <v>3.0670000000000002</v>
      </c>
      <c r="AS111" s="788">
        <v>3.0670000000000002</v>
      </c>
      <c r="AT111" s="788">
        <v>3.0670000000000002</v>
      </c>
      <c r="AU111" s="788">
        <v>3.0670000000000002</v>
      </c>
      <c r="AV111" s="788">
        <v>3.0670000000000002</v>
      </c>
      <c r="AW111" s="788">
        <v>3.0670000000000002</v>
      </c>
      <c r="AX111" s="788">
        <v>3.0670000000000002</v>
      </c>
      <c r="AY111" s="788">
        <v>3.0670000000000002</v>
      </c>
      <c r="AZ111" s="788">
        <v>3.0670000000000002</v>
      </c>
      <c r="BA111" s="788">
        <v>3.0670000000000002</v>
      </c>
      <c r="BB111" s="788">
        <v>3.0670000000000002</v>
      </c>
      <c r="BC111" s="788">
        <v>3.0670000000000002</v>
      </c>
      <c r="BD111" s="788">
        <v>3.0670000000000002</v>
      </c>
      <c r="BE111" s="788">
        <v>3.0670000000000002</v>
      </c>
    </row>
    <row r="112" spans="1:57" s="788" customFormat="1" x14ac:dyDescent="0.25">
      <c r="A112" s="783" t="s">
        <v>546</v>
      </c>
      <c r="B112" s="783"/>
      <c r="C112" s="787" t="s">
        <v>1063</v>
      </c>
      <c r="D112" s="783">
        <v>31</v>
      </c>
      <c r="E112" s="783">
        <v>31</v>
      </c>
      <c r="F112" s="783">
        <v>30</v>
      </c>
      <c r="G112" s="783">
        <v>31</v>
      </c>
      <c r="H112" s="783">
        <v>30</v>
      </c>
      <c r="I112" s="783">
        <v>31</v>
      </c>
      <c r="J112" s="783">
        <v>31</v>
      </c>
      <c r="K112" s="783">
        <v>28</v>
      </c>
      <c r="L112" s="783">
        <v>31</v>
      </c>
      <c r="M112" s="783">
        <v>30</v>
      </c>
      <c r="N112" s="783">
        <v>31</v>
      </c>
      <c r="O112" s="783">
        <v>30</v>
      </c>
      <c r="P112" s="783">
        <v>31</v>
      </c>
      <c r="Q112" s="783">
        <v>31</v>
      </c>
      <c r="R112" s="783">
        <v>30</v>
      </c>
      <c r="S112" s="783">
        <v>31</v>
      </c>
      <c r="T112" s="783">
        <v>30</v>
      </c>
      <c r="U112" s="783">
        <v>31</v>
      </c>
      <c r="V112" s="783">
        <v>31</v>
      </c>
      <c r="W112" s="783">
        <v>28</v>
      </c>
      <c r="X112" s="783">
        <v>31</v>
      </c>
      <c r="Y112" s="783">
        <v>30</v>
      </c>
      <c r="Z112" s="783">
        <v>31</v>
      </c>
      <c r="AA112" s="783">
        <v>30</v>
      </c>
      <c r="AB112" s="788">
        <v>2.5670000000000002</v>
      </c>
      <c r="AC112" s="788">
        <v>2.5670000000000002</v>
      </c>
      <c r="AD112" s="788">
        <v>2.5670000000000002</v>
      </c>
      <c r="AE112" s="788">
        <v>2.5670000000000002</v>
      </c>
      <c r="AF112" s="788">
        <v>3.0670000000000002</v>
      </c>
      <c r="AG112" s="788">
        <v>3.0670000000000002</v>
      </c>
      <c r="AH112" s="788">
        <v>3.0670000000000002</v>
      </c>
      <c r="AI112" s="788">
        <v>3.0670000000000002</v>
      </c>
      <c r="AJ112" s="788">
        <v>3.0670000000000002</v>
      </c>
      <c r="AK112" s="788">
        <v>2.5670000000000002</v>
      </c>
      <c r="AL112" s="788">
        <v>2.5670000000000002</v>
      </c>
      <c r="AM112" s="788">
        <v>2.5670000000000002</v>
      </c>
      <c r="AN112" s="788">
        <v>2.5670000000000002</v>
      </c>
      <c r="AO112" s="788">
        <v>2.5670000000000002</v>
      </c>
      <c r="AP112" s="788">
        <v>2.5670000000000002</v>
      </c>
      <c r="AQ112" s="788">
        <v>2.5670000000000002</v>
      </c>
      <c r="AR112" s="788">
        <v>3.0670000000000002</v>
      </c>
      <c r="AS112" s="788">
        <v>3.0670000000000002</v>
      </c>
      <c r="AT112" s="788">
        <v>3.0670000000000002</v>
      </c>
      <c r="AU112" s="788">
        <v>3.0670000000000002</v>
      </c>
      <c r="AV112" s="788">
        <v>3.0670000000000002</v>
      </c>
      <c r="AW112" s="788">
        <v>2.5670000000000002</v>
      </c>
      <c r="AX112" s="788">
        <v>2.5670000000000002</v>
      </c>
      <c r="AY112" s="788">
        <v>2.5670000000000002</v>
      </c>
      <c r="AZ112" s="788">
        <v>2.5670000000000002</v>
      </c>
      <c r="BA112" s="788">
        <v>2.5670000000000002</v>
      </c>
      <c r="BB112" s="788">
        <v>2.5670000000000002</v>
      </c>
      <c r="BC112" s="788">
        <v>2.5670000000000002</v>
      </c>
      <c r="BD112" s="788">
        <v>3.0670000000000002</v>
      </c>
      <c r="BE112" s="788">
        <v>3.0670000000000002</v>
      </c>
    </row>
    <row r="113" spans="1:57" x14ac:dyDescent="0.25">
      <c r="A113" s="783" t="s">
        <v>546</v>
      </c>
      <c r="B113" s="783" t="s">
        <v>964</v>
      </c>
      <c r="C113" s="784" t="s">
        <v>697</v>
      </c>
      <c r="D113" s="783">
        <v>0</v>
      </c>
      <c r="E113" s="783">
        <v>0</v>
      </c>
      <c r="F113" s="783">
        <v>0</v>
      </c>
      <c r="G113" s="783">
        <v>0</v>
      </c>
      <c r="H113" s="783">
        <v>0</v>
      </c>
      <c r="I113" s="783">
        <v>0</v>
      </c>
      <c r="J113" s="783">
        <v>0</v>
      </c>
      <c r="K113" s="783">
        <v>0</v>
      </c>
      <c r="L113" s="783">
        <v>0</v>
      </c>
      <c r="M113" s="783">
        <v>0</v>
      </c>
      <c r="N113" s="783">
        <v>0</v>
      </c>
      <c r="O113" s="783">
        <v>0</v>
      </c>
      <c r="P113" s="783">
        <v>0</v>
      </c>
      <c r="Q113" s="783">
        <v>0</v>
      </c>
      <c r="R113" s="783">
        <v>0</v>
      </c>
      <c r="S113" s="783">
        <v>0</v>
      </c>
      <c r="T113" s="783">
        <v>0</v>
      </c>
      <c r="U113" s="783">
        <v>0</v>
      </c>
      <c r="V113" s="783">
        <v>0</v>
      </c>
      <c r="W113" s="783">
        <v>0</v>
      </c>
      <c r="X113" s="783">
        <v>0</v>
      </c>
      <c r="Y113" s="783">
        <v>0</v>
      </c>
      <c r="Z113" s="783">
        <v>0</v>
      </c>
      <c r="AA113" s="783">
        <v>0</v>
      </c>
      <c r="AB113" s="783">
        <v>0</v>
      </c>
      <c r="AC113" s="783">
        <v>0</v>
      </c>
      <c r="AD113" s="783">
        <v>0</v>
      </c>
      <c r="AE113" s="783">
        <v>0</v>
      </c>
      <c r="AF113" s="783">
        <v>0</v>
      </c>
      <c r="AG113" s="783">
        <v>0</v>
      </c>
      <c r="AH113" s="783">
        <v>0</v>
      </c>
      <c r="AI113" s="783">
        <v>0</v>
      </c>
      <c r="AJ113" s="783">
        <v>0</v>
      </c>
      <c r="AK113" s="783">
        <v>0</v>
      </c>
      <c r="AL113" s="783">
        <v>0</v>
      </c>
      <c r="AM113" s="783">
        <v>0</v>
      </c>
      <c r="AN113" s="783">
        <v>0</v>
      </c>
      <c r="AO113" s="783">
        <v>0</v>
      </c>
      <c r="AP113" s="783">
        <v>0</v>
      </c>
      <c r="AQ113" s="783">
        <v>0</v>
      </c>
      <c r="AR113" s="783">
        <v>0</v>
      </c>
      <c r="AS113" s="783">
        <v>0</v>
      </c>
      <c r="AT113" s="783">
        <v>0</v>
      </c>
      <c r="AU113" s="783">
        <v>0</v>
      </c>
      <c r="AV113" s="783">
        <v>0</v>
      </c>
      <c r="AW113" s="783">
        <v>0</v>
      </c>
      <c r="AX113" s="783">
        <v>0</v>
      </c>
      <c r="AY113" s="783">
        <v>0</v>
      </c>
      <c r="AZ113" s="783">
        <v>0</v>
      </c>
      <c r="BA113" s="783">
        <v>0</v>
      </c>
      <c r="BB113" s="783">
        <v>0</v>
      </c>
      <c r="BC113" s="783">
        <v>0</v>
      </c>
      <c r="BD113" s="783">
        <v>0</v>
      </c>
      <c r="BE113" s="783">
        <v>0</v>
      </c>
    </row>
    <row r="114" spans="1:57" x14ac:dyDescent="0.25">
      <c r="A114" s="783" t="s">
        <v>546</v>
      </c>
      <c r="B114" s="783" t="s">
        <v>965</v>
      </c>
      <c r="C114" s="784" t="s">
        <v>698</v>
      </c>
      <c r="D114" s="783">
        <v>0</v>
      </c>
      <c r="E114" s="783">
        <v>0</v>
      </c>
      <c r="F114" s="783">
        <v>0</v>
      </c>
      <c r="G114" s="783">
        <v>0</v>
      </c>
      <c r="H114" s="783">
        <v>0</v>
      </c>
      <c r="I114" s="783">
        <v>0</v>
      </c>
      <c r="J114" s="783">
        <v>0</v>
      </c>
      <c r="K114" s="783">
        <v>0</v>
      </c>
      <c r="L114" s="783">
        <v>0</v>
      </c>
      <c r="M114" s="783">
        <v>0</v>
      </c>
      <c r="N114" s="783">
        <v>0</v>
      </c>
      <c r="O114" s="783">
        <v>0</v>
      </c>
      <c r="P114" s="783">
        <v>0</v>
      </c>
      <c r="Q114" s="783">
        <v>0</v>
      </c>
      <c r="R114" s="783">
        <v>0</v>
      </c>
      <c r="S114" s="783">
        <v>0</v>
      </c>
      <c r="T114" s="783">
        <v>0</v>
      </c>
      <c r="U114" s="783">
        <v>0</v>
      </c>
      <c r="V114" s="783">
        <v>0</v>
      </c>
      <c r="W114" s="783">
        <v>0</v>
      </c>
      <c r="X114" s="783">
        <v>0</v>
      </c>
      <c r="Y114" s="783">
        <v>0</v>
      </c>
      <c r="Z114" s="783">
        <v>0</v>
      </c>
      <c r="AA114" s="783">
        <v>0</v>
      </c>
      <c r="AB114" s="783">
        <v>0</v>
      </c>
      <c r="AC114" s="783">
        <v>0</v>
      </c>
      <c r="AD114" s="783">
        <v>0</v>
      </c>
      <c r="AE114" s="783">
        <v>0</v>
      </c>
      <c r="AF114" s="783">
        <v>0</v>
      </c>
      <c r="AG114" s="783">
        <v>0</v>
      </c>
      <c r="AH114" s="783">
        <v>0</v>
      </c>
      <c r="AI114" s="783">
        <v>0</v>
      </c>
      <c r="AJ114" s="783">
        <v>0</v>
      </c>
      <c r="AK114" s="783">
        <v>0</v>
      </c>
      <c r="AL114" s="783">
        <v>0</v>
      </c>
      <c r="AM114" s="783">
        <v>0</v>
      </c>
      <c r="AN114" s="783">
        <v>0</v>
      </c>
      <c r="AO114" s="783">
        <v>0</v>
      </c>
      <c r="AP114" s="783">
        <v>0</v>
      </c>
      <c r="AQ114" s="783">
        <v>0</v>
      </c>
      <c r="AR114" s="783">
        <v>0</v>
      </c>
      <c r="AS114" s="783">
        <v>0</v>
      </c>
      <c r="AT114" s="783">
        <v>0</v>
      </c>
      <c r="AU114" s="783">
        <v>0</v>
      </c>
      <c r="AV114" s="783">
        <v>0</v>
      </c>
      <c r="AW114" s="783">
        <v>0</v>
      </c>
      <c r="AX114" s="783">
        <v>0</v>
      </c>
      <c r="AY114" s="783">
        <v>0</v>
      </c>
      <c r="AZ114" s="783">
        <v>0</v>
      </c>
      <c r="BA114" s="783">
        <v>0</v>
      </c>
      <c r="BB114" s="783">
        <v>0</v>
      </c>
      <c r="BC114" s="783">
        <v>0</v>
      </c>
      <c r="BD114" s="783">
        <v>0</v>
      </c>
      <c r="BE114" s="783">
        <v>0</v>
      </c>
    </row>
    <row r="115" spans="1:57" x14ac:dyDescent="0.25">
      <c r="A115" s="783" t="s">
        <v>546</v>
      </c>
      <c r="B115" s="783" t="s">
        <v>89</v>
      </c>
      <c r="C115" s="784" t="s">
        <v>699</v>
      </c>
      <c r="D115" s="783">
        <v>0</v>
      </c>
      <c r="E115" s="783">
        <v>0</v>
      </c>
      <c r="F115" s="783">
        <v>0</v>
      </c>
      <c r="G115" s="783">
        <v>0</v>
      </c>
      <c r="H115" s="783">
        <v>0</v>
      </c>
      <c r="I115" s="783">
        <v>0</v>
      </c>
      <c r="J115" s="783">
        <v>0</v>
      </c>
      <c r="K115" s="783">
        <v>0</v>
      </c>
      <c r="L115" s="783">
        <v>0</v>
      </c>
      <c r="M115" s="783">
        <v>0</v>
      </c>
      <c r="N115" s="783">
        <v>0</v>
      </c>
      <c r="O115" s="783">
        <v>0</v>
      </c>
      <c r="P115" s="783">
        <v>0</v>
      </c>
      <c r="Q115" s="783">
        <v>0</v>
      </c>
      <c r="R115" s="783">
        <v>0</v>
      </c>
      <c r="S115" s="783">
        <v>0</v>
      </c>
      <c r="T115" s="783">
        <v>0</v>
      </c>
      <c r="U115" s="783">
        <v>0</v>
      </c>
      <c r="V115" s="783">
        <v>0</v>
      </c>
      <c r="W115" s="783">
        <v>0</v>
      </c>
      <c r="X115" s="783">
        <v>0</v>
      </c>
      <c r="Y115" s="783">
        <v>0</v>
      </c>
      <c r="Z115" s="783">
        <v>0</v>
      </c>
      <c r="AA115" s="783">
        <v>0</v>
      </c>
      <c r="AB115" s="783">
        <v>0</v>
      </c>
      <c r="AC115" s="783">
        <v>0</v>
      </c>
      <c r="AD115" s="783">
        <v>0</v>
      </c>
      <c r="AE115" s="783">
        <v>0</v>
      </c>
      <c r="AF115" s="783">
        <v>0</v>
      </c>
      <c r="AG115" s="783">
        <v>0</v>
      </c>
      <c r="AH115" s="783">
        <v>0</v>
      </c>
      <c r="AI115" s="783">
        <v>0</v>
      </c>
      <c r="AJ115" s="783">
        <v>0</v>
      </c>
      <c r="AK115" s="783">
        <v>0</v>
      </c>
      <c r="AL115" s="783">
        <v>0</v>
      </c>
      <c r="AM115" s="783">
        <v>0</v>
      </c>
      <c r="AN115" s="783">
        <v>0</v>
      </c>
      <c r="AO115" s="783">
        <v>0</v>
      </c>
      <c r="AP115" s="783">
        <v>0</v>
      </c>
      <c r="AQ115" s="783">
        <v>0</v>
      </c>
      <c r="AR115" s="783">
        <v>0</v>
      </c>
      <c r="AS115" s="783">
        <v>0</v>
      </c>
      <c r="AT115" s="783">
        <v>0</v>
      </c>
      <c r="AU115" s="783">
        <v>0</v>
      </c>
      <c r="AV115" s="783">
        <v>0</v>
      </c>
      <c r="AW115" s="783">
        <v>0</v>
      </c>
      <c r="AX115" s="783">
        <v>0</v>
      </c>
      <c r="AY115" s="783">
        <v>0</v>
      </c>
      <c r="AZ115" s="783">
        <v>0</v>
      </c>
      <c r="BA115" s="783">
        <v>0</v>
      </c>
      <c r="BB115" s="783">
        <v>0</v>
      </c>
      <c r="BC115" s="783">
        <v>0</v>
      </c>
      <c r="BD115" s="783">
        <v>0</v>
      </c>
      <c r="BE115" s="783">
        <v>0</v>
      </c>
    </row>
    <row r="116" spans="1:57" x14ac:dyDescent="0.25">
      <c r="A116" s="783" t="s">
        <v>546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57" s="786" customFormat="1" x14ac:dyDescent="0.25">
      <c r="A117" s="783" t="s">
        <v>546</v>
      </c>
      <c r="B117" s="783"/>
      <c r="C117" s="785" t="s">
        <v>700</v>
      </c>
      <c r="D117" s="783">
        <v>0</v>
      </c>
      <c r="E117" s="783">
        <v>0</v>
      </c>
      <c r="F117" s="783">
        <v>0</v>
      </c>
      <c r="G117" s="783">
        <v>0</v>
      </c>
      <c r="H117" s="783">
        <v>0</v>
      </c>
      <c r="I117" s="783">
        <v>0</v>
      </c>
      <c r="J117" s="783">
        <v>0</v>
      </c>
      <c r="K117" s="783">
        <v>0</v>
      </c>
      <c r="L117" s="783">
        <v>0</v>
      </c>
      <c r="M117" s="783">
        <v>0</v>
      </c>
      <c r="N117" s="783">
        <v>0</v>
      </c>
      <c r="O117" s="783">
        <v>0</v>
      </c>
      <c r="P117" s="783">
        <v>0</v>
      </c>
      <c r="Q117" s="783">
        <v>0</v>
      </c>
      <c r="R117" s="783">
        <v>0</v>
      </c>
      <c r="S117" s="783">
        <v>0</v>
      </c>
      <c r="T117" s="783">
        <v>0</v>
      </c>
      <c r="U117" s="783">
        <v>0</v>
      </c>
      <c r="V117" s="783">
        <v>0</v>
      </c>
      <c r="W117" s="783">
        <v>0</v>
      </c>
      <c r="X117" s="783">
        <v>0</v>
      </c>
      <c r="Y117" s="783">
        <v>0</v>
      </c>
      <c r="Z117" s="783">
        <v>0</v>
      </c>
      <c r="AA117" s="783">
        <v>0</v>
      </c>
      <c r="AB117" s="786">
        <v>550</v>
      </c>
      <c r="AC117" s="786">
        <v>550</v>
      </c>
      <c r="AD117" s="786">
        <v>550</v>
      </c>
      <c r="AE117" s="786">
        <v>550</v>
      </c>
      <c r="AF117" s="786">
        <v>550</v>
      </c>
      <c r="AG117" s="786">
        <v>550</v>
      </c>
      <c r="AH117" s="786">
        <v>550</v>
      </c>
      <c r="AI117" s="786">
        <v>550</v>
      </c>
      <c r="AJ117" s="786">
        <v>550</v>
      </c>
      <c r="AK117" s="786">
        <v>550</v>
      </c>
      <c r="AL117" s="786">
        <v>550</v>
      </c>
      <c r="AM117" s="786">
        <v>550</v>
      </c>
      <c r="AN117" s="786">
        <v>550</v>
      </c>
      <c r="AO117" s="786">
        <v>550</v>
      </c>
      <c r="AP117" s="786">
        <v>550</v>
      </c>
      <c r="AQ117" s="786">
        <v>550</v>
      </c>
      <c r="AR117" s="786">
        <v>550</v>
      </c>
      <c r="AS117" s="786">
        <v>550</v>
      </c>
      <c r="AT117" s="786">
        <v>550</v>
      </c>
      <c r="AU117" s="786">
        <v>550</v>
      </c>
      <c r="AV117" s="786">
        <v>550</v>
      </c>
      <c r="AW117" s="786">
        <v>550</v>
      </c>
      <c r="AX117" s="786">
        <v>550</v>
      </c>
      <c r="AY117" s="786">
        <v>550</v>
      </c>
      <c r="AZ117" s="786">
        <v>550</v>
      </c>
      <c r="BA117" s="786">
        <v>550</v>
      </c>
      <c r="BB117" s="786">
        <v>550</v>
      </c>
      <c r="BC117" s="786">
        <v>550</v>
      </c>
      <c r="BD117" s="786">
        <v>550</v>
      </c>
      <c r="BE117" s="786">
        <v>550</v>
      </c>
    </row>
    <row r="118" spans="1:57" x14ac:dyDescent="0.25">
      <c r="A118" s="783" t="s">
        <v>546</v>
      </c>
      <c r="C118" s="784" t="s">
        <v>701</v>
      </c>
      <c r="D118" s="783">
        <v>0</v>
      </c>
      <c r="E118" s="783">
        <v>0</v>
      </c>
      <c r="F118" s="783">
        <v>0</v>
      </c>
      <c r="G118" s="783">
        <v>0</v>
      </c>
      <c r="H118" s="783">
        <v>0</v>
      </c>
      <c r="I118" s="783">
        <v>0</v>
      </c>
      <c r="J118" s="783">
        <v>0</v>
      </c>
      <c r="K118" s="783">
        <v>0</v>
      </c>
      <c r="L118" s="783">
        <v>0</v>
      </c>
      <c r="M118" s="783">
        <v>0</v>
      </c>
      <c r="N118" s="783">
        <v>0</v>
      </c>
      <c r="O118" s="783">
        <v>0</v>
      </c>
      <c r="P118" s="783">
        <v>0</v>
      </c>
      <c r="Q118" s="783">
        <v>0</v>
      </c>
      <c r="R118" s="783">
        <v>0</v>
      </c>
      <c r="S118" s="783">
        <v>0</v>
      </c>
      <c r="T118" s="783">
        <v>0</v>
      </c>
      <c r="U118" s="783">
        <v>0</v>
      </c>
      <c r="V118" s="783">
        <v>0</v>
      </c>
      <c r="W118" s="783">
        <v>0</v>
      </c>
      <c r="X118" s="783">
        <v>0</v>
      </c>
      <c r="Y118" s="783">
        <v>0</v>
      </c>
      <c r="Z118" s="783">
        <v>0</v>
      </c>
      <c r="AA118" s="783">
        <v>0</v>
      </c>
      <c r="AB118" s="783">
        <v>0</v>
      </c>
      <c r="AC118" s="783">
        <v>0</v>
      </c>
      <c r="AD118" s="783">
        <v>0</v>
      </c>
      <c r="AE118" s="783">
        <v>0</v>
      </c>
      <c r="AF118" s="783">
        <v>0</v>
      </c>
      <c r="AG118" s="783">
        <v>0</v>
      </c>
      <c r="AH118" s="783">
        <v>0</v>
      </c>
      <c r="AI118" s="783">
        <v>0</v>
      </c>
      <c r="AJ118" s="783">
        <v>0</v>
      </c>
      <c r="AK118" s="783">
        <v>0</v>
      </c>
      <c r="AL118" s="783">
        <v>0</v>
      </c>
      <c r="AM118" s="783">
        <v>0</v>
      </c>
      <c r="AN118" s="783">
        <v>0</v>
      </c>
      <c r="AO118" s="783">
        <v>0</v>
      </c>
      <c r="AP118" s="783">
        <v>0</v>
      </c>
      <c r="AQ118" s="783">
        <v>0</v>
      </c>
      <c r="AR118" s="783">
        <v>0</v>
      </c>
      <c r="AS118" s="783">
        <v>0</v>
      </c>
      <c r="AT118" s="783">
        <v>0</v>
      </c>
      <c r="AU118" s="783">
        <v>0</v>
      </c>
      <c r="AV118" s="783">
        <v>0</v>
      </c>
      <c r="AW118" s="783">
        <v>0</v>
      </c>
      <c r="AX118" s="783">
        <v>0</v>
      </c>
      <c r="AY118" s="783">
        <v>0</v>
      </c>
      <c r="AZ118" s="783">
        <v>0</v>
      </c>
      <c r="BA118" s="783">
        <v>0</v>
      </c>
      <c r="BB118" s="783">
        <v>0</v>
      </c>
      <c r="BC118" s="783">
        <v>0</v>
      </c>
      <c r="BD118" s="783">
        <v>0</v>
      </c>
      <c r="BE118" s="783">
        <v>0</v>
      </c>
    </row>
    <row r="119" spans="1:57" x14ac:dyDescent="0.25">
      <c r="A119" s="783" t="s">
        <v>546</v>
      </c>
      <c r="B119" s="786"/>
      <c r="C119" s="784" t="s">
        <v>702</v>
      </c>
      <c r="D119" s="788">
        <v>3.0670000000000002</v>
      </c>
      <c r="E119" s="788">
        <v>3.0670000000000002</v>
      </c>
      <c r="F119" s="788">
        <v>3.0670000000000002</v>
      </c>
      <c r="G119" s="788">
        <v>3.0670000000000002</v>
      </c>
      <c r="H119" s="788">
        <v>3.0670000000000002</v>
      </c>
      <c r="I119" s="788">
        <v>3.0670000000000002</v>
      </c>
      <c r="J119" s="788">
        <v>3.0670000000000002</v>
      </c>
      <c r="K119" s="788">
        <v>3.0670000000000002</v>
      </c>
      <c r="L119" s="788">
        <v>3.0670000000000002</v>
      </c>
      <c r="M119" s="788">
        <v>3.0670000000000002</v>
      </c>
      <c r="N119" s="788">
        <v>3.0670000000000002</v>
      </c>
      <c r="O119" s="788">
        <v>3.0670000000000002</v>
      </c>
      <c r="P119" s="788">
        <v>3.0670000000000002</v>
      </c>
      <c r="Q119" s="788">
        <v>3.0670000000000002</v>
      </c>
      <c r="R119" s="788">
        <v>3.0670000000000002</v>
      </c>
      <c r="S119" s="788">
        <v>3.0670000000000002</v>
      </c>
      <c r="T119" s="788">
        <v>3.0670000000000002</v>
      </c>
      <c r="U119" s="788">
        <v>3.0670000000000002</v>
      </c>
      <c r="V119" s="788">
        <v>3.0670000000000002</v>
      </c>
      <c r="W119" s="788">
        <v>3.0670000000000002</v>
      </c>
      <c r="X119" s="788">
        <v>3.0670000000000002</v>
      </c>
      <c r="Y119" s="788">
        <v>3.0670000000000002</v>
      </c>
      <c r="Z119" s="788">
        <v>3.0670000000000002</v>
      </c>
      <c r="AA119" s="788">
        <v>3.0670000000000002</v>
      </c>
    </row>
    <row r="120" spans="1:57" x14ac:dyDescent="0.25">
      <c r="A120" s="783" t="s">
        <v>546</v>
      </c>
      <c r="C120" s="784" t="s">
        <v>703</v>
      </c>
      <c r="D120" s="788">
        <v>2.5670000000000002</v>
      </c>
      <c r="E120" s="788">
        <v>2.5670000000000002</v>
      </c>
      <c r="F120" s="788">
        <v>2.5670000000000002</v>
      </c>
      <c r="G120" s="788">
        <v>2.5670000000000002</v>
      </c>
      <c r="H120" s="788">
        <v>3.0670000000000002</v>
      </c>
      <c r="I120" s="788">
        <v>3.0670000000000002</v>
      </c>
      <c r="J120" s="788">
        <v>3.0670000000000002</v>
      </c>
      <c r="K120" s="788">
        <v>3.0670000000000002</v>
      </c>
      <c r="L120" s="788">
        <v>3.0670000000000002</v>
      </c>
      <c r="M120" s="788">
        <v>2.5670000000000002</v>
      </c>
      <c r="N120" s="788">
        <v>2.5670000000000002</v>
      </c>
      <c r="O120" s="788">
        <v>2.5670000000000002</v>
      </c>
      <c r="P120" s="788">
        <v>2.5670000000000002</v>
      </c>
      <c r="Q120" s="788">
        <v>2.5670000000000002</v>
      </c>
      <c r="R120" s="788">
        <v>2.5670000000000002</v>
      </c>
      <c r="S120" s="788">
        <v>2.5670000000000002</v>
      </c>
      <c r="T120" s="788">
        <v>3.0670000000000002</v>
      </c>
      <c r="U120" s="788">
        <v>3.0670000000000002</v>
      </c>
      <c r="V120" s="788">
        <v>3.0670000000000002</v>
      </c>
      <c r="W120" s="788">
        <v>3.0670000000000002</v>
      </c>
      <c r="X120" s="788">
        <v>3.0670000000000002</v>
      </c>
      <c r="Y120" s="788">
        <v>2.5670000000000002</v>
      </c>
      <c r="Z120" s="788">
        <v>2.5670000000000002</v>
      </c>
      <c r="AA120" s="788">
        <v>2.5670000000000002</v>
      </c>
      <c r="AB120" s="783">
        <v>0</v>
      </c>
      <c r="AC120" s="783">
        <v>0</v>
      </c>
      <c r="AD120" s="783">
        <v>0</v>
      </c>
      <c r="AE120" s="783">
        <v>0</v>
      </c>
      <c r="AF120" s="783">
        <v>0</v>
      </c>
      <c r="AG120" s="783">
        <v>0</v>
      </c>
      <c r="AH120" s="783">
        <v>0</v>
      </c>
      <c r="AI120" s="783">
        <v>0</v>
      </c>
      <c r="AJ120" s="783">
        <v>0</v>
      </c>
      <c r="AK120" s="783">
        <v>0</v>
      </c>
      <c r="AL120" s="783">
        <v>0</v>
      </c>
      <c r="AM120" s="783">
        <v>0</v>
      </c>
      <c r="AN120" s="783">
        <v>0</v>
      </c>
      <c r="AO120" s="783">
        <v>0</v>
      </c>
      <c r="AP120" s="783">
        <v>0</v>
      </c>
      <c r="AQ120" s="783">
        <v>0</v>
      </c>
      <c r="AR120" s="783">
        <v>0</v>
      </c>
      <c r="AS120" s="783">
        <v>0</v>
      </c>
      <c r="AT120" s="783">
        <v>0</v>
      </c>
      <c r="AU120" s="783">
        <v>0</v>
      </c>
      <c r="AV120" s="783">
        <v>0</v>
      </c>
      <c r="AW120" s="783">
        <v>0</v>
      </c>
      <c r="AX120" s="783">
        <v>0</v>
      </c>
      <c r="AY120" s="783">
        <v>0</v>
      </c>
      <c r="AZ120" s="783">
        <v>0</v>
      </c>
      <c r="BA120" s="783">
        <v>0</v>
      </c>
      <c r="BB120" s="783">
        <v>0</v>
      </c>
      <c r="BC120" s="783">
        <v>0</v>
      </c>
      <c r="BD120" s="783">
        <v>0</v>
      </c>
      <c r="BE120" s="783">
        <v>0</v>
      </c>
    </row>
    <row r="121" spans="1:57" s="788" customFormat="1" x14ac:dyDescent="0.25">
      <c r="A121" s="783" t="s">
        <v>546</v>
      </c>
      <c r="B121" s="783"/>
      <c r="C121" s="787" t="s">
        <v>704</v>
      </c>
      <c r="D121" s="783">
        <v>0</v>
      </c>
      <c r="E121" s="783">
        <v>0</v>
      </c>
      <c r="F121" s="783">
        <v>0</v>
      </c>
      <c r="G121" s="783">
        <v>0</v>
      </c>
      <c r="H121" s="783">
        <v>0</v>
      </c>
      <c r="I121" s="783">
        <v>0</v>
      </c>
      <c r="J121" s="783">
        <v>0</v>
      </c>
      <c r="K121" s="783">
        <v>0</v>
      </c>
      <c r="L121" s="783">
        <v>0</v>
      </c>
      <c r="M121" s="783">
        <v>0</v>
      </c>
      <c r="N121" s="783">
        <v>0</v>
      </c>
      <c r="O121" s="783">
        <v>0</v>
      </c>
      <c r="P121" s="783">
        <v>0</v>
      </c>
      <c r="Q121" s="783">
        <v>0</v>
      </c>
      <c r="R121" s="783">
        <v>0</v>
      </c>
      <c r="S121" s="783">
        <v>0</v>
      </c>
      <c r="T121" s="783">
        <v>0</v>
      </c>
      <c r="U121" s="783">
        <v>0</v>
      </c>
      <c r="V121" s="783">
        <v>0</v>
      </c>
      <c r="W121" s="783">
        <v>0</v>
      </c>
      <c r="X121" s="783">
        <v>0</v>
      </c>
      <c r="Y121" s="783">
        <v>0</v>
      </c>
      <c r="Z121" s="783">
        <v>0</v>
      </c>
      <c r="AA121" s="783">
        <v>0</v>
      </c>
      <c r="AB121" s="788">
        <v>0</v>
      </c>
      <c r="AC121" s="788">
        <v>0</v>
      </c>
      <c r="AD121" s="788">
        <v>0</v>
      </c>
      <c r="AE121" s="788">
        <v>0</v>
      </c>
      <c r="AF121" s="788">
        <v>0</v>
      </c>
      <c r="AG121" s="788">
        <v>0</v>
      </c>
      <c r="AH121" s="788">
        <v>0</v>
      </c>
      <c r="AI121" s="788">
        <v>0</v>
      </c>
      <c r="AJ121" s="788">
        <v>0</v>
      </c>
      <c r="AK121" s="788">
        <v>0</v>
      </c>
      <c r="AL121" s="788">
        <v>0</v>
      </c>
      <c r="AM121" s="788">
        <v>0</v>
      </c>
      <c r="AN121" s="788">
        <v>0</v>
      </c>
      <c r="AO121" s="788">
        <v>0</v>
      </c>
      <c r="AP121" s="788">
        <v>0</v>
      </c>
      <c r="AQ121" s="788">
        <v>0</v>
      </c>
      <c r="AR121" s="788">
        <v>0</v>
      </c>
      <c r="AS121" s="788">
        <v>0</v>
      </c>
      <c r="AT121" s="788">
        <v>0</v>
      </c>
      <c r="AU121" s="788">
        <v>0</v>
      </c>
      <c r="AV121" s="788">
        <v>0</v>
      </c>
      <c r="AW121" s="788">
        <v>0</v>
      </c>
      <c r="AX121" s="788">
        <v>0</v>
      </c>
      <c r="AY121" s="788">
        <v>0</v>
      </c>
      <c r="AZ121" s="788">
        <v>0</v>
      </c>
      <c r="BA121" s="788">
        <v>0</v>
      </c>
      <c r="BB121" s="788">
        <v>0</v>
      </c>
      <c r="BC121" s="788">
        <v>0</v>
      </c>
      <c r="BD121" s="788">
        <v>0</v>
      </c>
      <c r="BE121" s="788">
        <v>0</v>
      </c>
    </row>
    <row r="122" spans="1:57" x14ac:dyDescent="0.25">
      <c r="A122" s="783" t="s">
        <v>546</v>
      </c>
      <c r="C122" s="784" t="s">
        <v>705</v>
      </c>
      <c r="D122" s="783">
        <v>0</v>
      </c>
      <c r="E122" s="783">
        <v>0</v>
      </c>
      <c r="F122" s="783">
        <v>0</v>
      </c>
      <c r="G122" s="783">
        <v>0</v>
      </c>
      <c r="H122" s="783">
        <v>0</v>
      </c>
      <c r="I122" s="783">
        <v>0</v>
      </c>
      <c r="J122" s="783">
        <v>0</v>
      </c>
      <c r="K122" s="783">
        <v>0</v>
      </c>
      <c r="L122" s="783">
        <v>0</v>
      </c>
      <c r="M122" s="783">
        <v>0</v>
      </c>
      <c r="N122" s="783">
        <v>0</v>
      </c>
      <c r="O122" s="783">
        <v>0</v>
      </c>
      <c r="P122" s="783">
        <v>0</v>
      </c>
      <c r="Q122" s="783">
        <v>0</v>
      </c>
      <c r="R122" s="783">
        <v>0</v>
      </c>
      <c r="S122" s="783">
        <v>0</v>
      </c>
      <c r="T122" s="783">
        <v>0</v>
      </c>
      <c r="U122" s="783">
        <v>0</v>
      </c>
      <c r="V122" s="783">
        <v>0</v>
      </c>
      <c r="W122" s="783">
        <v>0</v>
      </c>
      <c r="X122" s="783">
        <v>0</v>
      </c>
      <c r="Y122" s="783">
        <v>0</v>
      </c>
      <c r="Z122" s="783">
        <v>0</v>
      </c>
      <c r="AA122" s="783">
        <v>0</v>
      </c>
      <c r="AB122" s="783">
        <v>0</v>
      </c>
      <c r="AC122" s="783">
        <v>0</v>
      </c>
      <c r="AD122" s="783">
        <v>0</v>
      </c>
      <c r="AE122" s="783">
        <v>0</v>
      </c>
      <c r="AF122" s="783">
        <v>0</v>
      </c>
      <c r="AG122" s="783">
        <v>0</v>
      </c>
      <c r="AH122" s="783">
        <v>0</v>
      </c>
      <c r="AI122" s="783">
        <v>0</v>
      </c>
      <c r="AJ122" s="783">
        <v>0</v>
      </c>
      <c r="AK122" s="783">
        <v>0</v>
      </c>
      <c r="AL122" s="783">
        <v>0</v>
      </c>
      <c r="AM122" s="783">
        <v>0</v>
      </c>
      <c r="AN122" s="783">
        <v>0</v>
      </c>
      <c r="AO122" s="783">
        <v>0</v>
      </c>
      <c r="AP122" s="783">
        <v>0</v>
      </c>
      <c r="AQ122" s="783">
        <v>0</v>
      </c>
      <c r="AR122" s="783">
        <v>0</v>
      </c>
      <c r="AS122" s="783">
        <v>0</v>
      </c>
      <c r="AT122" s="783">
        <v>0</v>
      </c>
      <c r="AU122" s="783">
        <v>0</v>
      </c>
      <c r="AV122" s="783">
        <v>0</v>
      </c>
      <c r="AW122" s="783">
        <v>0</v>
      </c>
      <c r="AX122" s="783">
        <v>0</v>
      </c>
      <c r="AY122" s="783">
        <v>0</v>
      </c>
      <c r="AZ122" s="783">
        <v>0</v>
      </c>
      <c r="BA122" s="783">
        <v>0</v>
      </c>
      <c r="BB122" s="783">
        <v>0</v>
      </c>
      <c r="BC122" s="783">
        <v>0</v>
      </c>
      <c r="BD122" s="783">
        <v>0</v>
      </c>
      <c r="BE122" s="783">
        <v>0</v>
      </c>
    </row>
    <row r="123" spans="1:57" x14ac:dyDescent="0.25">
      <c r="A123" s="783" t="s">
        <v>546</v>
      </c>
      <c r="B123" s="783" t="s">
        <v>374</v>
      </c>
      <c r="C123" s="784" t="s">
        <v>706</v>
      </c>
      <c r="D123" s="783">
        <v>0</v>
      </c>
      <c r="E123" s="783">
        <v>0</v>
      </c>
      <c r="F123" s="783">
        <v>0</v>
      </c>
      <c r="G123" s="783">
        <v>0</v>
      </c>
      <c r="H123" s="783">
        <v>0</v>
      </c>
      <c r="I123" s="783">
        <v>0</v>
      </c>
      <c r="J123" s="783">
        <v>0</v>
      </c>
      <c r="K123" s="783">
        <v>0</v>
      </c>
      <c r="L123" s="783">
        <v>0</v>
      </c>
      <c r="M123" s="783">
        <v>0</v>
      </c>
      <c r="N123" s="783">
        <v>0</v>
      </c>
      <c r="O123" s="783">
        <v>0</v>
      </c>
      <c r="P123" s="783">
        <v>0</v>
      </c>
      <c r="Q123" s="783">
        <v>0</v>
      </c>
      <c r="R123" s="783">
        <v>0</v>
      </c>
      <c r="S123" s="783">
        <v>0</v>
      </c>
      <c r="T123" s="783">
        <v>0</v>
      </c>
      <c r="U123" s="783">
        <v>0</v>
      </c>
      <c r="V123" s="783">
        <v>0</v>
      </c>
      <c r="W123" s="783">
        <v>0</v>
      </c>
      <c r="X123" s="783">
        <v>0</v>
      </c>
      <c r="Y123" s="783">
        <v>0</v>
      </c>
      <c r="Z123" s="783">
        <v>0</v>
      </c>
      <c r="AA123" s="783">
        <v>0</v>
      </c>
    </row>
    <row r="124" spans="1:57" x14ac:dyDescent="0.25">
      <c r="A124" s="783" t="s">
        <v>546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 s="783">
        <v>0</v>
      </c>
      <c r="AC124" s="783">
        <v>0</v>
      </c>
      <c r="AD124" s="783">
        <v>0</v>
      </c>
      <c r="AE124" s="783">
        <v>0</v>
      </c>
      <c r="AF124" s="783">
        <v>0</v>
      </c>
      <c r="AG124" s="783">
        <v>0</v>
      </c>
      <c r="AH124" s="783">
        <v>0</v>
      </c>
      <c r="AI124" s="783">
        <v>0</v>
      </c>
      <c r="AJ124" s="783">
        <v>0</v>
      </c>
      <c r="AK124" s="783">
        <v>0</v>
      </c>
      <c r="AL124" s="783">
        <v>0</v>
      </c>
      <c r="AM124" s="783">
        <v>0</v>
      </c>
      <c r="AN124" s="783">
        <v>0</v>
      </c>
      <c r="AO124" s="783">
        <v>0</v>
      </c>
      <c r="AP124" s="783">
        <v>0</v>
      </c>
      <c r="AQ124" s="783">
        <v>0</v>
      </c>
      <c r="AR124" s="783">
        <v>0</v>
      </c>
      <c r="AS124" s="783">
        <v>0</v>
      </c>
      <c r="AT124" s="783">
        <v>0</v>
      </c>
      <c r="AU124" s="783">
        <v>0</v>
      </c>
      <c r="AV124" s="783">
        <v>0</v>
      </c>
      <c r="AW124" s="783">
        <v>0</v>
      </c>
      <c r="AX124" s="783">
        <v>0</v>
      </c>
      <c r="AY124" s="783">
        <v>0</v>
      </c>
      <c r="AZ124" s="783">
        <v>0</v>
      </c>
      <c r="BA124" s="783">
        <v>0</v>
      </c>
      <c r="BB124" s="783">
        <v>0</v>
      </c>
      <c r="BC124" s="783">
        <v>0</v>
      </c>
      <c r="BD124" s="783">
        <v>0</v>
      </c>
      <c r="BE124" s="783">
        <v>0</v>
      </c>
    </row>
    <row r="125" spans="1:57" x14ac:dyDescent="0.25">
      <c r="A125" s="783" t="s">
        <v>546</v>
      </c>
      <c r="C125" s="784" t="s">
        <v>707</v>
      </c>
      <c r="D125" s="786">
        <v>550</v>
      </c>
      <c r="E125" s="786">
        <v>550</v>
      </c>
      <c r="F125" s="786">
        <v>550</v>
      </c>
      <c r="G125" s="786">
        <v>550</v>
      </c>
      <c r="H125" s="786">
        <v>550</v>
      </c>
      <c r="I125" s="786">
        <v>550</v>
      </c>
      <c r="J125" s="786">
        <v>550</v>
      </c>
      <c r="K125" s="786">
        <v>550</v>
      </c>
      <c r="L125" s="786">
        <v>550</v>
      </c>
      <c r="M125" s="786">
        <v>550</v>
      </c>
      <c r="N125" s="786">
        <v>550</v>
      </c>
      <c r="O125" s="786">
        <v>550</v>
      </c>
      <c r="P125" s="786">
        <v>550</v>
      </c>
      <c r="Q125" s="786">
        <v>550</v>
      </c>
      <c r="R125" s="786">
        <v>550</v>
      </c>
      <c r="S125" s="786">
        <v>550</v>
      </c>
      <c r="T125" s="786">
        <v>550</v>
      </c>
      <c r="U125" s="786">
        <v>550</v>
      </c>
      <c r="V125" s="786">
        <v>550</v>
      </c>
      <c r="W125" s="786">
        <v>550</v>
      </c>
      <c r="X125" s="786">
        <v>550</v>
      </c>
      <c r="Y125" s="786">
        <v>550</v>
      </c>
      <c r="Z125" s="786">
        <v>550</v>
      </c>
      <c r="AA125" s="786">
        <v>550</v>
      </c>
    </row>
    <row r="126" spans="1:57" x14ac:dyDescent="0.25">
      <c r="A126" s="783" t="s">
        <v>546</v>
      </c>
      <c r="B126" s="783" t="s">
        <v>520</v>
      </c>
      <c r="C126" s="784" t="s">
        <v>708</v>
      </c>
      <c r="D126" s="783">
        <v>0</v>
      </c>
      <c r="E126" s="783">
        <v>0</v>
      </c>
      <c r="F126" s="783">
        <v>0</v>
      </c>
      <c r="G126" s="783">
        <v>0</v>
      </c>
      <c r="H126" s="783">
        <v>0</v>
      </c>
      <c r="I126" s="783">
        <v>0</v>
      </c>
      <c r="J126" s="783">
        <v>0</v>
      </c>
      <c r="K126" s="783">
        <v>0</v>
      </c>
      <c r="L126" s="783">
        <v>0</v>
      </c>
      <c r="M126" s="783">
        <v>0</v>
      </c>
      <c r="N126" s="783">
        <v>0</v>
      </c>
      <c r="O126" s="783">
        <v>0</v>
      </c>
      <c r="P126" s="783">
        <v>0</v>
      </c>
      <c r="Q126" s="783">
        <v>0</v>
      </c>
      <c r="R126" s="783">
        <v>0</v>
      </c>
      <c r="S126" s="783">
        <v>0</v>
      </c>
      <c r="T126" s="783">
        <v>0</v>
      </c>
      <c r="U126" s="783">
        <v>0</v>
      </c>
      <c r="V126" s="783">
        <v>0</v>
      </c>
      <c r="W126" s="783">
        <v>0</v>
      </c>
      <c r="X126" s="783">
        <v>0</v>
      </c>
      <c r="Y126" s="783">
        <v>0</v>
      </c>
      <c r="Z126" s="783">
        <v>0</v>
      </c>
      <c r="AA126" s="783">
        <v>0</v>
      </c>
      <c r="AB126" s="783">
        <v>0</v>
      </c>
      <c r="AC126" s="783">
        <v>0</v>
      </c>
      <c r="AD126" s="783">
        <v>0</v>
      </c>
      <c r="AE126" s="783">
        <v>0</v>
      </c>
      <c r="AF126" s="783">
        <v>0</v>
      </c>
      <c r="AG126" s="783">
        <v>0</v>
      </c>
      <c r="AH126" s="783">
        <v>0</v>
      </c>
      <c r="AI126" s="783">
        <v>0</v>
      </c>
      <c r="AJ126" s="783">
        <v>0</v>
      </c>
      <c r="AK126" s="783">
        <v>0</v>
      </c>
      <c r="AL126" s="783">
        <v>0</v>
      </c>
      <c r="AM126" s="783">
        <v>0</v>
      </c>
      <c r="AN126" s="783">
        <v>0</v>
      </c>
      <c r="AO126" s="783">
        <v>0</v>
      </c>
      <c r="AP126" s="783">
        <v>0</v>
      </c>
      <c r="AQ126" s="783">
        <v>0</v>
      </c>
      <c r="AR126" s="783">
        <v>0</v>
      </c>
      <c r="AS126" s="783">
        <v>0</v>
      </c>
      <c r="AT126" s="783">
        <v>0</v>
      </c>
      <c r="AU126" s="783">
        <v>0</v>
      </c>
      <c r="AV126" s="783">
        <v>0</v>
      </c>
      <c r="AW126" s="783">
        <v>0</v>
      </c>
      <c r="AX126" s="783">
        <v>0</v>
      </c>
      <c r="AY126" s="783">
        <v>0</v>
      </c>
      <c r="AZ126" s="783">
        <v>0</v>
      </c>
      <c r="BA126" s="783">
        <v>0</v>
      </c>
      <c r="BB126" s="783">
        <v>0</v>
      </c>
      <c r="BC126" s="783">
        <v>0</v>
      </c>
      <c r="BD126" s="783">
        <v>0</v>
      </c>
      <c r="BE126" s="783">
        <v>0</v>
      </c>
    </row>
    <row r="127" spans="1:57" x14ac:dyDescent="0.25">
      <c r="A127" s="783" t="s">
        <v>546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 s="783">
        <v>0</v>
      </c>
      <c r="AC127" s="783">
        <v>0</v>
      </c>
      <c r="AD127" s="783">
        <v>0</v>
      </c>
      <c r="AE127" s="783">
        <v>0</v>
      </c>
      <c r="AF127" s="783">
        <v>0</v>
      </c>
      <c r="AG127" s="783">
        <v>0</v>
      </c>
      <c r="AH127" s="783">
        <v>0</v>
      </c>
      <c r="AI127" s="783">
        <v>0</v>
      </c>
      <c r="AJ127" s="783">
        <v>0</v>
      </c>
      <c r="AK127" s="783">
        <v>0</v>
      </c>
      <c r="AL127" s="783">
        <v>0</v>
      </c>
      <c r="AM127" s="783">
        <v>0</v>
      </c>
      <c r="AN127" s="783">
        <v>0</v>
      </c>
      <c r="AO127" s="783">
        <v>0</v>
      </c>
      <c r="AP127" s="783">
        <v>0</v>
      </c>
      <c r="AQ127" s="783">
        <v>0</v>
      </c>
      <c r="AR127" s="783">
        <v>0</v>
      </c>
      <c r="AS127" s="783">
        <v>0</v>
      </c>
      <c r="AT127" s="783">
        <v>0</v>
      </c>
      <c r="AU127" s="783">
        <v>0</v>
      </c>
      <c r="AV127" s="783">
        <v>0</v>
      </c>
      <c r="AW127" s="783">
        <v>0</v>
      </c>
      <c r="AX127" s="783">
        <v>0</v>
      </c>
      <c r="AY127" s="783">
        <v>0</v>
      </c>
      <c r="AZ127" s="783">
        <v>0</v>
      </c>
      <c r="BA127" s="783">
        <v>0</v>
      </c>
      <c r="BB127" s="783">
        <v>0</v>
      </c>
      <c r="BC127" s="783">
        <v>0</v>
      </c>
      <c r="BD127" s="783">
        <v>0</v>
      </c>
      <c r="BE127" s="783">
        <v>0</v>
      </c>
    </row>
    <row r="128" spans="1:57" x14ac:dyDescent="0.25">
      <c r="A128" s="783" t="s">
        <v>546</v>
      </c>
      <c r="C128" s="784" t="s">
        <v>709</v>
      </c>
      <c r="D128" s="783">
        <v>0</v>
      </c>
      <c r="E128" s="783">
        <v>0</v>
      </c>
      <c r="F128" s="783">
        <v>0</v>
      </c>
      <c r="G128" s="783">
        <v>0</v>
      </c>
      <c r="H128" s="783">
        <v>0</v>
      </c>
      <c r="I128" s="783">
        <v>0</v>
      </c>
      <c r="J128" s="783">
        <v>0</v>
      </c>
      <c r="K128" s="783">
        <v>0</v>
      </c>
      <c r="L128" s="783">
        <v>0</v>
      </c>
      <c r="M128" s="783">
        <v>0</v>
      </c>
      <c r="N128" s="783">
        <v>0</v>
      </c>
      <c r="O128" s="783">
        <v>0</v>
      </c>
      <c r="P128" s="783">
        <v>0</v>
      </c>
      <c r="Q128" s="783">
        <v>0</v>
      </c>
      <c r="R128" s="783">
        <v>0</v>
      </c>
      <c r="S128" s="783">
        <v>0</v>
      </c>
      <c r="T128" s="783">
        <v>0</v>
      </c>
      <c r="U128" s="783">
        <v>0</v>
      </c>
      <c r="V128" s="783">
        <v>0</v>
      </c>
      <c r="W128" s="783">
        <v>0</v>
      </c>
      <c r="X128" s="783">
        <v>0</v>
      </c>
      <c r="Y128" s="783">
        <v>0</v>
      </c>
      <c r="Z128" s="783">
        <v>0</v>
      </c>
      <c r="AA128" s="783">
        <v>0</v>
      </c>
      <c r="AB128" s="783">
        <v>0</v>
      </c>
      <c r="AC128" s="783">
        <v>0</v>
      </c>
      <c r="AD128" s="783">
        <v>0</v>
      </c>
      <c r="AE128" s="783">
        <v>0</v>
      </c>
      <c r="AF128" s="783">
        <v>0</v>
      </c>
      <c r="AG128" s="783">
        <v>0</v>
      </c>
      <c r="AH128" s="783">
        <v>0</v>
      </c>
      <c r="AI128" s="783">
        <v>0</v>
      </c>
      <c r="AJ128" s="783">
        <v>0</v>
      </c>
      <c r="AK128" s="783">
        <v>0</v>
      </c>
      <c r="AL128" s="783">
        <v>0</v>
      </c>
      <c r="AM128" s="783">
        <v>0</v>
      </c>
      <c r="AN128" s="783">
        <v>0</v>
      </c>
      <c r="AO128" s="783">
        <v>0</v>
      </c>
      <c r="AP128" s="783">
        <v>0</v>
      </c>
      <c r="AQ128" s="783">
        <v>0</v>
      </c>
      <c r="AR128" s="783">
        <v>0</v>
      </c>
      <c r="AS128" s="783">
        <v>0</v>
      </c>
      <c r="AT128" s="783">
        <v>0</v>
      </c>
      <c r="AU128" s="783">
        <v>0</v>
      </c>
      <c r="AV128" s="783">
        <v>0</v>
      </c>
      <c r="AW128" s="783">
        <v>0</v>
      </c>
      <c r="AX128" s="783">
        <v>0</v>
      </c>
      <c r="AY128" s="783">
        <v>0</v>
      </c>
      <c r="AZ128" s="783">
        <v>0</v>
      </c>
      <c r="BA128" s="783">
        <v>0</v>
      </c>
      <c r="BB128" s="783">
        <v>0</v>
      </c>
      <c r="BC128" s="783">
        <v>0</v>
      </c>
      <c r="BD128" s="783">
        <v>0</v>
      </c>
      <c r="BE128" s="783">
        <v>0</v>
      </c>
    </row>
    <row r="129" spans="1:57" x14ac:dyDescent="0.25">
      <c r="A129" s="783" t="s">
        <v>546</v>
      </c>
      <c r="C129" s="784" t="s">
        <v>710</v>
      </c>
      <c r="D129" s="788">
        <v>0</v>
      </c>
      <c r="E129" s="788">
        <v>0</v>
      </c>
      <c r="F129" s="788">
        <v>0</v>
      </c>
      <c r="G129" s="788">
        <v>0</v>
      </c>
      <c r="H129" s="788">
        <v>0</v>
      </c>
      <c r="I129" s="788">
        <v>0</v>
      </c>
      <c r="J129" s="788">
        <v>0</v>
      </c>
      <c r="K129" s="788">
        <v>0</v>
      </c>
      <c r="L129" s="788">
        <v>0</v>
      </c>
      <c r="M129" s="788">
        <v>0</v>
      </c>
      <c r="N129" s="788">
        <v>0</v>
      </c>
      <c r="O129" s="788">
        <v>0</v>
      </c>
      <c r="P129" s="788">
        <v>0</v>
      </c>
      <c r="Q129" s="788">
        <v>0</v>
      </c>
      <c r="R129" s="788">
        <v>0</v>
      </c>
      <c r="S129" s="788">
        <v>0</v>
      </c>
      <c r="T129" s="788">
        <v>0</v>
      </c>
      <c r="U129" s="788">
        <v>0</v>
      </c>
      <c r="V129" s="788">
        <v>0</v>
      </c>
      <c r="W129" s="788">
        <v>0</v>
      </c>
      <c r="X129" s="788">
        <v>0</v>
      </c>
      <c r="Y129" s="788">
        <v>0</v>
      </c>
      <c r="Z129" s="788">
        <v>0</v>
      </c>
      <c r="AA129" s="788">
        <v>0</v>
      </c>
      <c r="AB129" s="783">
        <v>0</v>
      </c>
      <c r="AC129" s="783">
        <v>0</v>
      </c>
      <c r="AD129" s="783">
        <v>0</v>
      </c>
      <c r="AE129" s="783">
        <v>0</v>
      </c>
      <c r="AF129" s="783">
        <v>0</v>
      </c>
      <c r="AG129" s="783">
        <v>0</v>
      </c>
      <c r="AH129" s="783">
        <v>0</v>
      </c>
      <c r="AI129" s="783">
        <v>0</v>
      </c>
      <c r="AJ129" s="783">
        <v>0</v>
      </c>
      <c r="AK129" s="783">
        <v>0</v>
      </c>
      <c r="AL129" s="783">
        <v>0</v>
      </c>
      <c r="AM129" s="783">
        <v>0</v>
      </c>
      <c r="AN129" s="783">
        <v>0</v>
      </c>
      <c r="AO129" s="783">
        <v>0</v>
      </c>
      <c r="AP129" s="783">
        <v>0</v>
      </c>
      <c r="AQ129" s="783">
        <v>0</v>
      </c>
      <c r="AR129" s="783">
        <v>0</v>
      </c>
      <c r="AS129" s="783">
        <v>0</v>
      </c>
      <c r="AT129" s="783">
        <v>0</v>
      </c>
      <c r="AU129" s="783">
        <v>0</v>
      </c>
      <c r="AV129" s="783">
        <v>0</v>
      </c>
      <c r="AW129" s="783">
        <v>0</v>
      </c>
      <c r="AX129" s="783">
        <v>0</v>
      </c>
      <c r="AY129" s="783">
        <v>0</v>
      </c>
      <c r="AZ129" s="783">
        <v>0</v>
      </c>
      <c r="BA129" s="783">
        <v>0</v>
      </c>
      <c r="BB129" s="783">
        <v>0</v>
      </c>
      <c r="BC129" s="783">
        <v>0</v>
      </c>
      <c r="BD129" s="783">
        <v>0</v>
      </c>
      <c r="BE129" s="783">
        <v>0</v>
      </c>
    </row>
    <row r="130" spans="1:57" x14ac:dyDescent="0.25">
      <c r="A130" s="783" t="s">
        <v>546</v>
      </c>
      <c r="B130" s="783" t="s">
        <v>154</v>
      </c>
      <c r="C130" s="784" t="s">
        <v>711</v>
      </c>
      <c r="D130" s="783">
        <v>0</v>
      </c>
      <c r="E130" s="783">
        <v>0</v>
      </c>
      <c r="F130" s="783">
        <v>0</v>
      </c>
      <c r="G130" s="783">
        <v>0</v>
      </c>
      <c r="H130" s="783">
        <v>0</v>
      </c>
      <c r="I130" s="783">
        <v>0</v>
      </c>
      <c r="J130" s="783">
        <v>0</v>
      </c>
      <c r="K130" s="783">
        <v>0</v>
      </c>
      <c r="L130" s="783">
        <v>0</v>
      </c>
      <c r="M130" s="783">
        <v>0</v>
      </c>
      <c r="N130" s="783">
        <v>0</v>
      </c>
      <c r="O130" s="783">
        <v>0</v>
      </c>
      <c r="P130" s="783">
        <v>0</v>
      </c>
      <c r="Q130" s="783">
        <v>0</v>
      </c>
      <c r="R130" s="783">
        <v>0</v>
      </c>
      <c r="S130" s="783">
        <v>0</v>
      </c>
      <c r="T130" s="783">
        <v>0</v>
      </c>
      <c r="U130" s="783">
        <v>0</v>
      </c>
      <c r="V130" s="783">
        <v>0</v>
      </c>
      <c r="W130" s="783">
        <v>0</v>
      </c>
      <c r="X130" s="783">
        <v>0</v>
      </c>
      <c r="Y130" s="783">
        <v>0</v>
      </c>
      <c r="Z130" s="783">
        <v>0</v>
      </c>
      <c r="AA130" s="783">
        <v>0</v>
      </c>
    </row>
    <row r="131" spans="1:57" x14ac:dyDescent="0.25">
      <c r="A131" s="783" t="s">
        <v>546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 s="783">
        <v>0</v>
      </c>
      <c r="AC131" s="783">
        <v>0</v>
      </c>
      <c r="AD131" s="783">
        <v>0</v>
      </c>
      <c r="AE131" s="783">
        <v>0</v>
      </c>
      <c r="AF131" s="783">
        <v>0</v>
      </c>
      <c r="AG131" s="783">
        <v>0</v>
      </c>
      <c r="AH131" s="783">
        <v>0</v>
      </c>
      <c r="AI131" s="783">
        <v>0</v>
      </c>
      <c r="AJ131" s="783">
        <v>0</v>
      </c>
      <c r="AK131" s="783">
        <v>0</v>
      </c>
      <c r="AL131" s="783">
        <v>0</v>
      </c>
      <c r="AM131" s="783">
        <v>0</v>
      </c>
      <c r="AN131" s="783">
        <v>0</v>
      </c>
      <c r="AO131" s="783">
        <v>0</v>
      </c>
      <c r="AP131" s="783">
        <v>0</v>
      </c>
      <c r="AQ131" s="783">
        <v>0</v>
      </c>
      <c r="AR131" s="783">
        <v>0</v>
      </c>
      <c r="AS131" s="783">
        <v>0</v>
      </c>
      <c r="AT131" s="783">
        <v>0</v>
      </c>
      <c r="AU131" s="783">
        <v>0</v>
      </c>
      <c r="AV131" s="783">
        <v>0</v>
      </c>
      <c r="AW131" s="783">
        <v>0</v>
      </c>
      <c r="AX131" s="783">
        <v>0</v>
      </c>
      <c r="AY131" s="783">
        <v>0</v>
      </c>
      <c r="AZ131" s="783">
        <v>0</v>
      </c>
      <c r="BA131" s="783">
        <v>0</v>
      </c>
      <c r="BB131" s="783">
        <v>0</v>
      </c>
      <c r="BC131" s="783">
        <v>0</v>
      </c>
      <c r="BD131" s="783">
        <v>0</v>
      </c>
      <c r="BE131" s="783">
        <v>0</v>
      </c>
    </row>
    <row r="132" spans="1:57" s="880" customFormat="1" x14ac:dyDescent="0.25">
      <c r="A132" s="783" t="s">
        <v>546</v>
      </c>
      <c r="B132" s="783" t="s">
        <v>521</v>
      </c>
      <c r="C132" s="882" t="s">
        <v>712</v>
      </c>
      <c r="D132" s="783">
        <v>0</v>
      </c>
      <c r="E132" s="783">
        <v>0</v>
      </c>
      <c r="F132" s="783">
        <v>0</v>
      </c>
      <c r="G132" s="783">
        <v>0</v>
      </c>
      <c r="H132" s="783">
        <v>0</v>
      </c>
      <c r="I132" s="783">
        <v>0</v>
      </c>
      <c r="J132" s="783">
        <v>0</v>
      </c>
      <c r="K132" s="783">
        <v>0</v>
      </c>
      <c r="L132" s="783">
        <v>0</v>
      </c>
      <c r="M132" s="783">
        <v>0</v>
      </c>
      <c r="N132" s="783">
        <v>0</v>
      </c>
      <c r="O132" s="783">
        <v>0</v>
      </c>
      <c r="P132" s="783">
        <v>0</v>
      </c>
      <c r="Q132" s="783">
        <v>0</v>
      </c>
      <c r="R132" s="783">
        <v>0</v>
      </c>
      <c r="S132" s="783">
        <v>0</v>
      </c>
      <c r="T132" s="783">
        <v>0</v>
      </c>
      <c r="U132" s="783">
        <v>0</v>
      </c>
      <c r="V132" s="783">
        <v>0</v>
      </c>
      <c r="W132" s="783">
        <v>0</v>
      </c>
      <c r="X132" s="783">
        <v>0</v>
      </c>
      <c r="Y132" s="783">
        <v>0</v>
      </c>
      <c r="Z132" s="783">
        <v>0</v>
      </c>
      <c r="AA132" s="783">
        <v>0</v>
      </c>
    </row>
    <row r="133" spans="1:57" x14ac:dyDescent="0.25">
      <c r="A133" s="783" t="s">
        <v>546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 s="783">
        <v>2</v>
      </c>
      <c r="AC133" s="783">
        <v>2</v>
      </c>
      <c r="AD133" s="783">
        <v>2</v>
      </c>
      <c r="AE133" s="783">
        <v>2</v>
      </c>
      <c r="AF133" s="783">
        <v>2</v>
      </c>
      <c r="AG133" s="783">
        <v>2</v>
      </c>
      <c r="AH133" s="783">
        <v>2</v>
      </c>
      <c r="AI133" s="783">
        <v>2</v>
      </c>
      <c r="AJ133" s="783">
        <v>2</v>
      </c>
      <c r="AK133" s="783">
        <v>2</v>
      </c>
      <c r="AL133" s="783">
        <v>2</v>
      </c>
      <c r="AM133" s="783">
        <v>2</v>
      </c>
      <c r="AN133" s="783">
        <v>2</v>
      </c>
      <c r="AO133" s="783">
        <v>2</v>
      </c>
      <c r="AP133" s="783">
        <v>2</v>
      </c>
      <c r="AQ133" s="783">
        <v>2</v>
      </c>
      <c r="AR133" s="783">
        <v>2</v>
      </c>
      <c r="AS133" s="783">
        <v>2</v>
      </c>
      <c r="AT133" s="783">
        <v>2</v>
      </c>
      <c r="AU133" s="783">
        <v>2</v>
      </c>
      <c r="AV133" s="783">
        <v>2</v>
      </c>
      <c r="AW133" s="783">
        <v>2</v>
      </c>
      <c r="AX133" s="783">
        <v>2</v>
      </c>
      <c r="AY133" s="783">
        <v>2</v>
      </c>
      <c r="AZ133" s="783">
        <v>2</v>
      </c>
      <c r="BA133" s="783">
        <v>2</v>
      </c>
      <c r="BB133" s="783">
        <v>2</v>
      </c>
      <c r="BC133" s="783">
        <v>2</v>
      </c>
      <c r="BD133" s="783">
        <v>2</v>
      </c>
      <c r="BE133" s="783">
        <v>2</v>
      </c>
    </row>
    <row r="134" spans="1:57" x14ac:dyDescent="0.25">
      <c r="A134" s="783" t="s">
        <v>546</v>
      </c>
      <c r="B134" s="783" t="s">
        <v>107</v>
      </c>
      <c r="C134" s="784" t="s">
        <v>713</v>
      </c>
      <c r="D134" s="783">
        <v>0</v>
      </c>
      <c r="E134" s="783">
        <v>0</v>
      </c>
      <c r="F134" s="783">
        <v>0</v>
      </c>
      <c r="G134" s="783">
        <v>0</v>
      </c>
      <c r="H134" s="783">
        <v>0</v>
      </c>
      <c r="I134" s="783">
        <v>0</v>
      </c>
      <c r="J134" s="783">
        <v>0</v>
      </c>
      <c r="K134" s="783">
        <v>0</v>
      </c>
      <c r="L134" s="783">
        <v>0</v>
      </c>
      <c r="M134" s="783">
        <v>0</v>
      </c>
      <c r="N134" s="783">
        <v>0</v>
      </c>
      <c r="O134" s="783">
        <v>0</v>
      </c>
      <c r="P134" s="783">
        <v>0</v>
      </c>
      <c r="Q134" s="783">
        <v>0</v>
      </c>
      <c r="R134" s="783">
        <v>0</v>
      </c>
      <c r="S134" s="783">
        <v>0</v>
      </c>
      <c r="T134" s="783">
        <v>0</v>
      </c>
      <c r="U134" s="783">
        <v>0</v>
      </c>
      <c r="V134" s="783">
        <v>0</v>
      </c>
      <c r="W134" s="783">
        <v>0</v>
      </c>
      <c r="X134" s="783">
        <v>0</v>
      </c>
      <c r="Y134" s="783">
        <v>0</v>
      </c>
      <c r="Z134" s="783">
        <v>0</v>
      </c>
      <c r="AA134" s="783">
        <v>0</v>
      </c>
      <c r="AB134" s="783">
        <v>0</v>
      </c>
      <c r="AC134" s="783">
        <v>0</v>
      </c>
      <c r="AD134" s="783">
        <v>0</v>
      </c>
      <c r="AE134" s="783">
        <v>0</v>
      </c>
      <c r="AF134" s="783">
        <v>0</v>
      </c>
      <c r="AG134" s="783">
        <v>0</v>
      </c>
      <c r="AH134" s="783">
        <v>0</v>
      </c>
      <c r="AI134" s="783">
        <v>0</v>
      </c>
      <c r="AJ134" s="783">
        <v>0</v>
      </c>
      <c r="AK134" s="783">
        <v>0</v>
      </c>
      <c r="AL134" s="783">
        <v>0</v>
      </c>
      <c r="AM134" s="783">
        <v>0</v>
      </c>
      <c r="AN134" s="783">
        <v>0</v>
      </c>
      <c r="AO134" s="783">
        <v>0</v>
      </c>
      <c r="AP134" s="783">
        <v>0</v>
      </c>
      <c r="AQ134" s="783">
        <v>0</v>
      </c>
      <c r="AR134" s="783">
        <v>0</v>
      </c>
      <c r="AS134" s="783">
        <v>0</v>
      </c>
      <c r="AT134" s="783">
        <v>0</v>
      </c>
      <c r="AU134" s="783">
        <v>0</v>
      </c>
      <c r="AV134" s="783">
        <v>0</v>
      </c>
      <c r="AW134" s="783">
        <v>0</v>
      </c>
      <c r="AX134" s="783">
        <v>0</v>
      </c>
      <c r="AY134" s="783">
        <v>0</v>
      </c>
      <c r="AZ134" s="783">
        <v>0</v>
      </c>
      <c r="BA134" s="783">
        <v>0</v>
      </c>
      <c r="BB134" s="783">
        <v>0</v>
      </c>
      <c r="BC134" s="783">
        <v>0</v>
      </c>
      <c r="BD134" s="783">
        <v>0</v>
      </c>
      <c r="BE134" s="783">
        <v>0</v>
      </c>
    </row>
    <row r="135" spans="1:57" s="786" customFormat="1" x14ac:dyDescent="0.25">
      <c r="A135" s="783" t="s">
        <v>546</v>
      </c>
      <c r="B135" s="783" t="s">
        <v>614</v>
      </c>
      <c r="C135" s="785" t="s">
        <v>714</v>
      </c>
      <c r="D135" s="783">
        <v>0</v>
      </c>
      <c r="E135" s="783">
        <v>0</v>
      </c>
      <c r="F135" s="783">
        <v>0</v>
      </c>
      <c r="G135" s="783">
        <v>0</v>
      </c>
      <c r="H135" s="783">
        <v>0</v>
      </c>
      <c r="I135" s="783">
        <v>0</v>
      </c>
      <c r="J135" s="783">
        <v>0</v>
      </c>
      <c r="K135" s="783">
        <v>0</v>
      </c>
      <c r="L135" s="783">
        <v>0</v>
      </c>
      <c r="M135" s="783">
        <v>0</v>
      </c>
      <c r="N135" s="783">
        <v>0</v>
      </c>
      <c r="O135" s="783">
        <v>0</v>
      </c>
      <c r="P135" s="783">
        <v>0</v>
      </c>
      <c r="Q135" s="783">
        <v>0</v>
      </c>
      <c r="R135" s="783">
        <v>0</v>
      </c>
      <c r="S135" s="783">
        <v>0</v>
      </c>
      <c r="T135" s="783">
        <v>0</v>
      </c>
      <c r="U135" s="783">
        <v>0</v>
      </c>
      <c r="V135" s="783">
        <v>0</v>
      </c>
      <c r="W135" s="783">
        <v>0</v>
      </c>
      <c r="X135" s="783">
        <v>0</v>
      </c>
      <c r="Y135" s="783">
        <v>0</v>
      </c>
      <c r="Z135" s="783">
        <v>0</v>
      </c>
      <c r="AA135" s="783">
        <v>0</v>
      </c>
      <c r="AB135" s="786">
        <v>165</v>
      </c>
      <c r="AC135" s="786">
        <v>165</v>
      </c>
      <c r="AD135" s="786">
        <v>165</v>
      </c>
      <c r="AE135" s="786">
        <v>165</v>
      </c>
      <c r="AF135" s="786">
        <v>165</v>
      </c>
      <c r="AG135" s="786">
        <v>165</v>
      </c>
      <c r="AH135" s="786">
        <v>165</v>
      </c>
      <c r="AI135" s="786">
        <v>165</v>
      </c>
      <c r="AJ135" s="786">
        <v>165</v>
      </c>
      <c r="AK135" s="786">
        <v>165</v>
      </c>
      <c r="AL135" s="786">
        <v>165</v>
      </c>
      <c r="AM135" s="786">
        <v>165</v>
      </c>
      <c r="AN135" s="786">
        <v>165</v>
      </c>
      <c r="AO135" s="786">
        <v>165</v>
      </c>
      <c r="AP135" s="786">
        <v>165</v>
      </c>
      <c r="AQ135" s="786">
        <v>165</v>
      </c>
      <c r="AR135" s="786">
        <v>165</v>
      </c>
      <c r="AS135" s="786">
        <v>165</v>
      </c>
      <c r="AT135" s="786">
        <v>165</v>
      </c>
      <c r="AU135" s="786">
        <v>165</v>
      </c>
      <c r="AV135" s="786">
        <v>165</v>
      </c>
      <c r="AW135" s="786">
        <v>165</v>
      </c>
      <c r="AX135" s="786">
        <v>165</v>
      </c>
      <c r="AY135" s="786">
        <v>165</v>
      </c>
      <c r="AZ135" s="786">
        <v>165</v>
      </c>
      <c r="BA135" s="786">
        <v>165</v>
      </c>
      <c r="BB135" s="786">
        <v>165</v>
      </c>
      <c r="BC135" s="786">
        <v>165</v>
      </c>
      <c r="BD135" s="786">
        <v>165</v>
      </c>
      <c r="BE135" s="786">
        <v>165</v>
      </c>
    </row>
    <row r="136" spans="1:57" s="786" customFormat="1" x14ac:dyDescent="0.25">
      <c r="A136" s="783" t="s">
        <v>546</v>
      </c>
      <c r="B136" s="783" t="s">
        <v>109</v>
      </c>
      <c r="C136" s="785" t="s">
        <v>715</v>
      </c>
      <c r="D136" s="783">
        <v>0</v>
      </c>
      <c r="E136" s="783">
        <v>0</v>
      </c>
      <c r="F136" s="783">
        <v>0</v>
      </c>
      <c r="G136" s="783">
        <v>0</v>
      </c>
      <c r="H136" s="783">
        <v>0</v>
      </c>
      <c r="I136" s="783">
        <v>0</v>
      </c>
      <c r="J136" s="783">
        <v>0</v>
      </c>
      <c r="K136" s="783">
        <v>0</v>
      </c>
      <c r="L136" s="783">
        <v>0</v>
      </c>
      <c r="M136" s="783">
        <v>0</v>
      </c>
      <c r="N136" s="783">
        <v>0</v>
      </c>
      <c r="O136" s="783">
        <v>0</v>
      </c>
      <c r="P136" s="783">
        <v>0</v>
      </c>
      <c r="Q136" s="783">
        <v>0</v>
      </c>
      <c r="R136" s="783">
        <v>0</v>
      </c>
      <c r="S136" s="783">
        <v>0</v>
      </c>
      <c r="T136" s="783">
        <v>0</v>
      </c>
      <c r="U136" s="783">
        <v>0</v>
      </c>
      <c r="V136" s="783">
        <v>0</v>
      </c>
      <c r="W136" s="783">
        <v>0</v>
      </c>
      <c r="X136" s="783">
        <v>0</v>
      </c>
      <c r="Y136" s="783">
        <v>0</v>
      </c>
      <c r="Z136" s="783">
        <v>0</v>
      </c>
      <c r="AA136" s="783">
        <v>0</v>
      </c>
      <c r="AB136" s="786">
        <v>750</v>
      </c>
      <c r="AC136" s="786">
        <v>750</v>
      </c>
      <c r="AD136" s="786">
        <v>750</v>
      </c>
      <c r="AE136" s="786">
        <v>750</v>
      </c>
      <c r="AF136" s="786">
        <v>750</v>
      </c>
      <c r="AG136" s="786">
        <v>750</v>
      </c>
      <c r="AH136" s="786">
        <v>750</v>
      </c>
      <c r="AI136" s="786">
        <v>750</v>
      </c>
      <c r="AJ136" s="786">
        <v>750</v>
      </c>
      <c r="AK136" s="786">
        <v>750</v>
      </c>
      <c r="AL136" s="786">
        <v>750</v>
      </c>
      <c r="AM136" s="786">
        <v>750</v>
      </c>
      <c r="AN136" s="786">
        <v>750</v>
      </c>
      <c r="AO136" s="786">
        <v>750</v>
      </c>
      <c r="AP136" s="786">
        <v>750</v>
      </c>
      <c r="AQ136" s="786">
        <v>750</v>
      </c>
      <c r="AR136" s="786">
        <v>750</v>
      </c>
      <c r="AS136" s="786">
        <v>750</v>
      </c>
      <c r="AT136" s="786">
        <v>750</v>
      </c>
      <c r="AU136" s="786">
        <v>750</v>
      </c>
      <c r="AV136" s="786">
        <v>750</v>
      </c>
      <c r="AW136" s="786">
        <v>750</v>
      </c>
      <c r="AX136" s="786">
        <v>750</v>
      </c>
      <c r="AY136" s="786">
        <v>750</v>
      </c>
      <c r="AZ136" s="786">
        <v>750</v>
      </c>
      <c r="BA136" s="786">
        <v>750</v>
      </c>
      <c r="BB136" s="786">
        <v>750</v>
      </c>
      <c r="BC136" s="786">
        <v>750</v>
      </c>
      <c r="BD136" s="786">
        <v>750</v>
      </c>
      <c r="BE136" s="786">
        <v>750</v>
      </c>
    </row>
    <row r="137" spans="1:57" x14ac:dyDescent="0.25">
      <c r="A137" s="783" t="s">
        <v>546</v>
      </c>
      <c r="B137" s="786"/>
      <c r="C137" s="784" t="s">
        <v>716</v>
      </c>
      <c r="D137" s="783">
        <v>0</v>
      </c>
      <c r="E137" s="783">
        <v>0</v>
      </c>
      <c r="F137" s="783">
        <v>0</v>
      </c>
      <c r="G137" s="783">
        <v>0</v>
      </c>
      <c r="H137" s="783">
        <v>0</v>
      </c>
      <c r="I137" s="783">
        <v>0</v>
      </c>
      <c r="J137" s="783">
        <v>0</v>
      </c>
      <c r="K137" s="783">
        <v>0</v>
      </c>
      <c r="L137" s="783">
        <v>0</v>
      </c>
      <c r="M137" s="783">
        <v>0</v>
      </c>
      <c r="N137" s="783">
        <v>0</v>
      </c>
      <c r="O137" s="783">
        <v>0</v>
      </c>
      <c r="P137" s="783">
        <v>0</v>
      </c>
      <c r="Q137" s="783">
        <v>0</v>
      </c>
      <c r="R137" s="783">
        <v>0</v>
      </c>
      <c r="S137" s="783">
        <v>0</v>
      </c>
      <c r="T137" s="783">
        <v>0</v>
      </c>
      <c r="U137" s="783">
        <v>0</v>
      </c>
      <c r="V137" s="783">
        <v>0</v>
      </c>
      <c r="W137" s="783">
        <v>0</v>
      </c>
      <c r="X137" s="783">
        <v>0</v>
      </c>
      <c r="Y137" s="783">
        <v>0</v>
      </c>
      <c r="Z137" s="783">
        <v>0</v>
      </c>
      <c r="AA137" s="783">
        <v>0</v>
      </c>
      <c r="AB137" s="783">
        <v>330</v>
      </c>
      <c r="AC137" s="783">
        <v>330</v>
      </c>
      <c r="AD137" s="783">
        <v>330</v>
      </c>
      <c r="AE137" s="783">
        <v>330</v>
      </c>
      <c r="AF137" s="783">
        <v>330</v>
      </c>
      <c r="AG137" s="783">
        <v>330</v>
      </c>
      <c r="AH137" s="783">
        <v>330</v>
      </c>
      <c r="AI137" s="783">
        <v>330</v>
      </c>
      <c r="AJ137" s="783">
        <v>330</v>
      </c>
      <c r="AK137" s="783">
        <v>330</v>
      </c>
      <c r="AL137" s="783">
        <v>330</v>
      </c>
      <c r="AM137" s="783">
        <v>330</v>
      </c>
      <c r="AN137" s="783">
        <v>330</v>
      </c>
      <c r="AO137" s="783">
        <v>330</v>
      </c>
      <c r="AP137" s="783">
        <v>330</v>
      </c>
      <c r="AQ137" s="783">
        <v>330</v>
      </c>
      <c r="AR137" s="783">
        <v>330</v>
      </c>
      <c r="AS137" s="783">
        <v>330</v>
      </c>
      <c r="AT137" s="783">
        <v>330</v>
      </c>
      <c r="AU137" s="783">
        <v>330</v>
      </c>
      <c r="AV137" s="783">
        <v>330</v>
      </c>
      <c r="AW137" s="783">
        <v>330</v>
      </c>
      <c r="AX137" s="783">
        <v>330</v>
      </c>
      <c r="AY137" s="783">
        <v>330</v>
      </c>
      <c r="AZ137" s="783">
        <v>330</v>
      </c>
      <c r="BA137" s="783">
        <v>330</v>
      </c>
      <c r="BB137" s="783">
        <v>330</v>
      </c>
      <c r="BC137" s="783">
        <v>330</v>
      </c>
      <c r="BD137" s="783">
        <v>330</v>
      </c>
      <c r="BE137" s="783">
        <v>330</v>
      </c>
    </row>
    <row r="138" spans="1:57" x14ac:dyDescent="0.25">
      <c r="A138" s="783" t="s">
        <v>546</v>
      </c>
      <c r="B138" s="786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 s="783">
        <v>0</v>
      </c>
      <c r="AC138" s="783">
        <v>0</v>
      </c>
      <c r="AD138" s="783">
        <v>0</v>
      </c>
      <c r="AE138" s="783">
        <v>0</v>
      </c>
      <c r="AF138" s="783">
        <v>0</v>
      </c>
      <c r="AG138" s="783">
        <v>0</v>
      </c>
      <c r="AH138" s="783">
        <v>0</v>
      </c>
      <c r="AI138" s="783">
        <v>0</v>
      </c>
      <c r="AJ138" s="783">
        <v>0</v>
      </c>
      <c r="AK138" s="783">
        <v>0</v>
      </c>
      <c r="AL138" s="783">
        <v>0</v>
      </c>
      <c r="AM138" s="783">
        <v>0</v>
      </c>
      <c r="AN138" s="783">
        <v>0</v>
      </c>
      <c r="AO138" s="783">
        <v>0</v>
      </c>
      <c r="AP138" s="783">
        <v>0</v>
      </c>
      <c r="AQ138" s="783">
        <v>0</v>
      </c>
      <c r="AR138" s="783">
        <v>0</v>
      </c>
      <c r="AS138" s="783">
        <v>0</v>
      </c>
      <c r="AT138" s="783">
        <v>0</v>
      </c>
      <c r="AU138" s="783">
        <v>0</v>
      </c>
      <c r="AV138" s="783">
        <v>0</v>
      </c>
      <c r="AW138" s="783">
        <v>0</v>
      </c>
      <c r="AX138" s="783">
        <v>0</v>
      </c>
      <c r="AY138" s="783">
        <v>0</v>
      </c>
      <c r="AZ138" s="783">
        <v>0</v>
      </c>
      <c r="BA138" s="783">
        <v>0</v>
      </c>
      <c r="BB138" s="783">
        <v>0</v>
      </c>
      <c r="BC138" s="783">
        <v>0</v>
      </c>
      <c r="BD138" s="783">
        <v>0</v>
      </c>
      <c r="BE138" s="783">
        <v>0</v>
      </c>
    </row>
    <row r="139" spans="1:57" x14ac:dyDescent="0.25">
      <c r="A139" s="783" t="s">
        <v>546</v>
      </c>
      <c r="C139" s="784" t="s">
        <v>717</v>
      </c>
      <c r="D139" s="783">
        <v>0</v>
      </c>
      <c r="E139" s="783">
        <v>0</v>
      </c>
      <c r="F139" s="783">
        <v>0</v>
      </c>
      <c r="G139" s="783">
        <v>0</v>
      </c>
      <c r="H139" s="783">
        <v>0</v>
      </c>
      <c r="I139" s="783">
        <v>0</v>
      </c>
      <c r="J139" s="783">
        <v>0</v>
      </c>
      <c r="K139" s="783">
        <v>0</v>
      </c>
      <c r="L139" s="783">
        <v>0</v>
      </c>
      <c r="M139" s="783">
        <v>0</v>
      </c>
      <c r="N139" s="783">
        <v>0</v>
      </c>
      <c r="O139" s="783">
        <v>0</v>
      </c>
      <c r="P139" s="783">
        <v>0</v>
      </c>
      <c r="Q139" s="783">
        <v>0</v>
      </c>
      <c r="R139" s="783">
        <v>0</v>
      </c>
      <c r="S139" s="783">
        <v>0</v>
      </c>
      <c r="T139" s="783">
        <v>0</v>
      </c>
      <c r="U139" s="783">
        <v>0</v>
      </c>
      <c r="V139" s="783">
        <v>0</v>
      </c>
      <c r="W139" s="783">
        <v>0</v>
      </c>
      <c r="X139" s="783">
        <v>0</v>
      </c>
      <c r="Y139" s="783">
        <v>0</v>
      </c>
      <c r="Z139" s="783">
        <v>0</v>
      </c>
      <c r="AA139" s="783">
        <v>0</v>
      </c>
      <c r="AB139" s="783">
        <v>330</v>
      </c>
      <c r="AC139" s="783">
        <v>330</v>
      </c>
      <c r="AD139" s="783">
        <v>330</v>
      </c>
      <c r="AE139" s="783">
        <v>330</v>
      </c>
      <c r="AF139" s="783">
        <v>330</v>
      </c>
      <c r="AG139" s="783">
        <v>330</v>
      </c>
      <c r="AH139" s="783">
        <v>330</v>
      </c>
      <c r="AI139" s="783">
        <v>330</v>
      </c>
      <c r="AJ139" s="783">
        <v>330</v>
      </c>
      <c r="AK139" s="783">
        <v>330</v>
      </c>
      <c r="AL139" s="783">
        <v>330</v>
      </c>
      <c r="AM139" s="783">
        <v>330</v>
      </c>
      <c r="AN139" s="783">
        <v>330</v>
      </c>
      <c r="AO139" s="783">
        <v>330</v>
      </c>
      <c r="AP139" s="783">
        <v>330</v>
      </c>
      <c r="AQ139" s="783">
        <v>330</v>
      </c>
      <c r="AR139" s="783">
        <v>330</v>
      </c>
      <c r="AS139" s="783">
        <v>330</v>
      </c>
      <c r="AT139" s="783">
        <v>330</v>
      </c>
      <c r="AU139" s="783">
        <v>330</v>
      </c>
      <c r="AV139" s="783">
        <v>330</v>
      </c>
      <c r="AW139" s="783">
        <v>330</v>
      </c>
      <c r="AX139" s="783">
        <v>330</v>
      </c>
      <c r="AY139" s="783">
        <v>330</v>
      </c>
      <c r="AZ139" s="783">
        <v>330</v>
      </c>
      <c r="BA139" s="783">
        <v>330</v>
      </c>
      <c r="BB139" s="783">
        <v>330</v>
      </c>
      <c r="BC139" s="783">
        <v>330</v>
      </c>
      <c r="BD139" s="783">
        <v>330</v>
      </c>
      <c r="BE139" s="783">
        <v>330</v>
      </c>
    </row>
    <row r="140" spans="1:57" s="811" customFormat="1" x14ac:dyDescent="0.25">
      <c r="C140" s="812" t="s">
        <v>721</v>
      </c>
    </row>
    <row r="141" spans="1:57" x14ac:dyDescent="0.25">
      <c r="A141" s="783" t="s">
        <v>428</v>
      </c>
      <c r="C141" s="784" t="s">
        <v>693</v>
      </c>
      <c r="D141" s="783">
        <v>2</v>
      </c>
      <c r="E141" s="783">
        <v>2</v>
      </c>
      <c r="F141" s="783">
        <v>2</v>
      </c>
      <c r="G141" s="783">
        <v>2</v>
      </c>
      <c r="H141" s="783">
        <v>2</v>
      </c>
      <c r="I141" s="783">
        <v>2</v>
      </c>
      <c r="J141" s="783">
        <v>2</v>
      </c>
      <c r="K141" s="783">
        <v>2</v>
      </c>
      <c r="L141" s="783">
        <v>2</v>
      </c>
      <c r="M141" s="783">
        <v>2</v>
      </c>
      <c r="N141" s="783">
        <v>2</v>
      </c>
      <c r="O141" s="783">
        <v>2</v>
      </c>
      <c r="P141" s="783">
        <v>2</v>
      </c>
      <c r="Q141" s="783">
        <v>2</v>
      </c>
      <c r="R141" s="783">
        <v>2</v>
      </c>
      <c r="S141" s="783">
        <v>2</v>
      </c>
      <c r="T141" s="783">
        <v>2</v>
      </c>
      <c r="U141" s="783">
        <v>2</v>
      </c>
      <c r="V141" s="783">
        <v>2</v>
      </c>
      <c r="W141" s="783">
        <v>2</v>
      </c>
      <c r="X141" s="783">
        <v>2</v>
      </c>
      <c r="Y141" s="783">
        <v>2</v>
      </c>
      <c r="Z141" s="783">
        <v>2</v>
      </c>
      <c r="AA141" s="783">
        <v>2</v>
      </c>
      <c r="AB141" s="783">
        <v>0.7</v>
      </c>
      <c r="AC141" s="783">
        <v>0.7</v>
      </c>
      <c r="AD141" s="783">
        <v>0.7</v>
      </c>
      <c r="AE141" s="783">
        <v>0.7</v>
      </c>
      <c r="AF141" s="783">
        <v>0.7</v>
      </c>
      <c r="AG141" s="783">
        <v>0.7</v>
      </c>
      <c r="AH141" s="783">
        <v>0.7</v>
      </c>
      <c r="AI141" s="783">
        <v>0.7</v>
      </c>
      <c r="AJ141" s="783">
        <v>0.7</v>
      </c>
      <c r="AK141" s="783">
        <v>0.7</v>
      </c>
      <c r="AL141" s="783">
        <v>0.7</v>
      </c>
      <c r="AM141" s="783">
        <v>0.7</v>
      </c>
      <c r="AN141" s="783">
        <v>0.7</v>
      </c>
      <c r="AO141" s="783">
        <v>0.7</v>
      </c>
      <c r="AP141" s="783">
        <v>0.7</v>
      </c>
      <c r="AQ141" s="783">
        <v>0.7</v>
      </c>
      <c r="AR141" s="783">
        <v>0.7</v>
      </c>
      <c r="AS141" s="783">
        <v>0.7</v>
      </c>
      <c r="AT141" s="783">
        <v>0.7</v>
      </c>
      <c r="AU141" s="783">
        <v>0.7</v>
      </c>
      <c r="AV141" s="783">
        <v>0.7</v>
      </c>
      <c r="AW141" s="783">
        <v>0.7</v>
      </c>
      <c r="AX141" s="783">
        <v>0.7</v>
      </c>
      <c r="AY141" s="783">
        <v>0.7</v>
      </c>
      <c r="AZ141" s="783">
        <v>0.7</v>
      </c>
      <c r="BA141" s="783">
        <v>0.7</v>
      </c>
      <c r="BB141" s="783">
        <v>0.7</v>
      </c>
      <c r="BC141" s="783">
        <v>0.7</v>
      </c>
      <c r="BD141" s="783">
        <v>0.7</v>
      </c>
      <c r="BE141" s="783">
        <v>0.7</v>
      </c>
    </row>
    <row r="142" spans="1:57" x14ac:dyDescent="0.25">
      <c r="A142" s="783" t="s">
        <v>428</v>
      </c>
      <c r="C142" s="784" t="s">
        <v>694</v>
      </c>
      <c r="D142" s="783">
        <v>0</v>
      </c>
      <c r="E142" s="783">
        <v>0</v>
      </c>
      <c r="F142" s="783">
        <v>0</v>
      </c>
      <c r="G142" s="783">
        <v>0</v>
      </c>
      <c r="H142" s="783">
        <v>0</v>
      </c>
      <c r="I142" s="783">
        <v>0</v>
      </c>
      <c r="J142" s="783">
        <v>0</v>
      </c>
      <c r="K142" s="783">
        <v>0</v>
      </c>
      <c r="L142" s="783">
        <v>0</v>
      </c>
      <c r="M142" s="783">
        <v>0</v>
      </c>
      <c r="N142" s="783">
        <v>0</v>
      </c>
      <c r="O142" s="783">
        <v>0</v>
      </c>
      <c r="P142" s="783">
        <v>0</v>
      </c>
      <c r="Q142" s="783">
        <v>0</v>
      </c>
      <c r="R142" s="783">
        <v>0</v>
      </c>
      <c r="S142" s="783">
        <v>0</v>
      </c>
      <c r="T142" s="783">
        <v>0</v>
      </c>
      <c r="U142" s="783">
        <v>0</v>
      </c>
      <c r="V142" s="783">
        <v>0</v>
      </c>
      <c r="W142" s="783">
        <v>0</v>
      </c>
      <c r="X142" s="783">
        <v>0</v>
      </c>
      <c r="Y142" s="783">
        <v>0</v>
      </c>
      <c r="Z142" s="783">
        <v>0</v>
      </c>
      <c r="AA142" s="783">
        <v>0</v>
      </c>
      <c r="AB142" s="783">
        <v>0</v>
      </c>
      <c r="AC142" s="783">
        <v>0</v>
      </c>
      <c r="AD142" s="783">
        <v>0</v>
      </c>
      <c r="AE142" s="783">
        <v>0</v>
      </c>
      <c r="AF142" s="783">
        <v>0</v>
      </c>
      <c r="AG142" s="783">
        <v>0</v>
      </c>
      <c r="AH142" s="783">
        <v>0</v>
      </c>
      <c r="AI142" s="783">
        <v>0</v>
      </c>
      <c r="AJ142" s="783">
        <v>0</v>
      </c>
      <c r="AK142" s="783">
        <v>0</v>
      </c>
      <c r="AL142" s="783">
        <v>0</v>
      </c>
      <c r="AM142" s="783">
        <v>0</v>
      </c>
      <c r="AN142" s="783">
        <v>0</v>
      </c>
      <c r="AO142" s="783">
        <v>0</v>
      </c>
      <c r="AP142" s="783">
        <v>0</v>
      </c>
      <c r="AQ142" s="783">
        <v>0</v>
      </c>
      <c r="AR142" s="783">
        <v>0</v>
      </c>
      <c r="AS142" s="783">
        <v>0</v>
      </c>
      <c r="AT142" s="783">
        <v>0</v>
      </c>
      <c r="AU142" s="783">
        <v>0</v>
      </c>
      <c r="AV142" s="783">
        <v>0</v>
      </c>
      <c r="AW142" s="783">
        <v>0</v>
      </c>
      <c r="AX142" s="783">
        <v>0</v>
      </c>
      <c r="AY142" s="783">
        <v>0</v>
      </c>
      <c r="AZ142" s="783">
        <v>0</v>
      </c>
      <c r="BA142" s="783">
        <v>0</v>
      </c>
      <c r="BB142" s="783">
        <v>0</v>
      </c>
      <c r="BC142" s="783">
        <v>0</v>
      </c>
      <c r="BD142" s="783">
        <v>0</v>
      </c>
      <c r="BE142" s="783">
        <v>0</v>
      </c>
    </row>
    <row r="143" spans="1:57" s="788" customFormat="1" x14ac:dyDescent="0.25">
      <c r="A143" s="783" t="s">
        <v>428</v>
      </c>
      <c r="B143" s="783"/>
      <c r="C143" s="787" t="s">
        <v>695</v>
      </c>
      <c r="D143" s="786">
        <v>165</v>
      </c>
      <c r="E143" s="786">
        <v>165</v>
      </c>
      <c r="F143" s="786">
        <v>165</v>
      </c>
      <c r="G143" s="786">
        <v>165</v>
      </c>
      <c r="H143" s="786">
        <v>165</v>
      </c>
      <c r="I143" s="786">
        <v>165</v>
      </c>
      <c r="J143" s="786">
        <v>165</v>
      </c>
      <c r="K143" s="786">
        <v>165</v>
      </c>
      <c r="L143" s="786">
        <v>165</v>
      </c>
      <c r="M143" s="786">
        <v>165</v>
      </c>
      <c r="N143" s="786">
        <v>165</v>
      </c>
      <c r="O143" s="786">
        <v>165</v>
      </c>
      <c r="P143" s="786">
        <v>165</v>
      </c>
      <c r="Q143" s="786">
        <v>165</v>
      </c>
      <c r="R143" s="786">
        <v>165</v>
      </c>
      <c r="S143" s="786">
        <v>165</v>
      </c>
      <c r="T143" s="786">
        <v>165</v>
      </c>
      <c r="U143" s="786">
        <v>165</v>
      </c>
      <c r="V143" s="786">
        <v>165</v>
      </c>
      <c r="W143" s="786">
        <v>165</v>
      </c>
      <c r="X143" s="786">
        <v>165</v>
      </c>
      <c r="Y143" s="786">
        <v>165</v>
      </c>
      <c r="Z143" s="786">
        <v>165</v>
      </c>
      <c r="AA143" s="786">
        <v>165</v>
      </c>
      <c r="AB143" s="788">
        <v>0.29920000000000002</v>
      </c>
      <c r="AC143" s="788">
        <v>0.29920000000000002</v>
      </c>
      <c r="AD143" s="788">
        <v>0.29920000000000002</v>
      </c>
      <c r="AE143" s="788">
        <v>0.29920000000000002</v>
      </c>
      <c r="AF143" s="788">
        <v>0.29920000000000002</v>
      </c>
      <c r="AG143" s="788">
        <v>0.29920000000000002</v>
      </c>
      <c r="AH143" s="788">
        <v>0.29920000000000002</v>
      </c>
      <c r="AI143" s="788">
        <v>0.29920000000000002</v>
      </c>
      <c r="AJ143" s="788">
        <v>0.29920000000000002</v>
      </c>
      <c r="AK143" s="788">
        <v>0.29920000000000002</v>
      </c>
      <c r="AL143" s="788">
        <v>0.29920000000000002</v>
      </c>
      <c r="AM143" s="788">
        <v>0.29920000000000002</v>
      </c>
      <c r="AN143" s="788">
        <v>0.29920000000000002</v>
      </c>
      <c r="AO143" s="788">
        <v>0.29920000000000002</v>
      </c>
      <c r="AP143" s="788">
        <v>0.29920000000000002</v>
      </c>
      <c r="AQ143" s="788">
        <v>0.29920000000000002</v>
      </c>
      <c r="AR143" s="788">
        <v>0.29920000000000002</v>
      </c>
      <c r="AS143" s="788">
        <v>0.29920000000000002</v>
      </c>
      <c r="AT143" s="788">
        <v>0.29920000000000002</v>
      </c>
      <c r="AU143" s="788">
        <v>0.29920000000000002</v>
      </c>
      <c r="AV143" s="788">
        <v>0.29920000000000002</v>
      </c>
      <c r="AW143" s="788">
        <v>0.29920000000000002</v>
      </c>
      <c r="AX143" s="788">
        <v>0.29920000000000002</v>
      </c>
      <c r="AY143" s="788">
        <v>0.29920000000000002</v>
      </c>
      <c r="AZ143" s="788">
        <v>0.29920000000000002</v>
      </c>
      <c r="BA143" s="788">
        <v>0.29920000000000002</v>
      </c>
      <c r="BB143" s="788">
        <v>0.29920000000000002</v>
      </c>
      <c r="BC143" s="788">
        <v>0.29920000000000002</v>
      </c>
      <c r="BD143" s="788">
        <v>0.29920000000000002</v>
      </c>
      <c r="BE143" s="788">
        <v>0.29920000000000002</v>
      </c>
    </row>
    <row r="144" spans="1:57" s="788" customFormat="1" x14ac:dyDescent="0.25">
      <c r="A144" s="783" t="s">
        <v>428</v>
      </c>
      <c r="B144" s="783"/>
      <c r="C144" s="787" t="s">
        <v>696</v>
      </c>
      <c r="D144" s="786">
        <v>750</v>
      </c>
      <c r="E144" s="786">
        <v>750</v>
      </c>
      <c r="F144" s="786">
        <v>750</v>
      </c>
      <c r="G144" s="786">
        <v>750</v>
      </c>
      <c r="H144" s="786">
        <v>750</v>
      </c>
      <c r="I144" s="786">
        <v>750</v>
      </c>
      <c r="J144" s="786">
        <v>750</v>
      </c>
      <c r="K144" s="786">
        <v>750</v>
      </c>
      <c r="L144" s="786">
        <v>750</v>
      </c>
      <c r="M144" s="786">
        <v>750</v>
      </c>
      <c r="N144" s="786">
        <v>750</v>
      </c>
      <c r="O144" s="786">
        <v>750</v>
      </c>
      <c r="P144" s="786">
        <v>750</v>
      </c>
      <c r="Q144" s="786">
        <v>750</v>
      </c>
      <c r="R144" s="786">
        <v>750</v>
      </c>
      <c r="S144" s="786">
        <v>750</v>
      </c>
      <c r="T144" s="786">
        <v>750</v>
      </c>
      <c r="U144" s="786">
        <v>750</v>
      </c>
      <c r="V144" s="786">
        <v>750</v>
      </c>
      <c r="W144" s="786">
        <v>750</v>
      </c>
      <c r="X144" s="786">
        <v>750</v>
      </c>
      <c r="Y144" s="786">
        <v>750</v>
      </c>
      <c r="Z144" s="786">
        <v>750</v>
      </c>
      <c r="AA144" s="786">
        <v>750</v>
      </c>
      <c r="AB144" s="788">
        <v>0</v>
      </c>
      <c r="AC144" s="788">
        <v>0</v>
      </c>
      <c r="AD144" s="788">
        <v>0</v>
      </c>
      <c r="AE144" s="788">
        <v>0</v>
      </c>
      <c r="AF144" s="788">
        <v>0</v>
      </c>
      <c r="AG144" s="788">
        <v>0</v>
      </c>
      <c r="AH144" s="788">
        <v>0</v>
      </c>
      <c r="AI144" s="788">
        <v>0</v>
      </c>
      <c r="AJ144" s="788">
        <v>0</v>
      </c>
      <c r="AK144" s="788">
        <v>0</v>
      </c>
      <c r="AL144" s="788">
        <v>0</v>
      </c>
      <c r="AM144" s="788">
        <v>0</v>
      </c>
      <c r="AN144" s="788">
        <v>0</v>
      </c>
      <c r="AO144" s="788">
        <v>0</v>
      </c>
      <c r="AP144" s="788">
        <v>0</v>
      </c>
      <c r="AQ144" s="788">
        <v>0</v>
      </c>
      <c r="AR144" s="788">
        <v>0</v>
      </c>
      <c r="AS144" s="788">
        <v>0</v>
      </c>
      <c r="AT144" s="788">
        <v>0</v>
      </c>
      <c r="AU144" s="788">
        <v>0</v>
      </c>
      <c r="AV144" s="788">
        <v>0</v>
      </c>
      <c r="AW144" s="788">
        <v>0</v>
      </c>
      <c r="AX144" s="788">
        <v>0</v>
      </c>
      <c r="AY144" s="788">
        <v>0</v>
      </c>
      <c r="AZ144" s="788">
        <v>0</v>
      </c>
      <c r="BA144" s="788">
        <v>0</v>
      </c>
      <c r="BB144" s="788">
        <v>0</v>
      </c>
      <c r="BC144" s="788">
        <v>0</v>
      </c>
      <c r="BD144" s="788">
        <v>0</v>
      </c>
      <c r="BE144" s="788">
        <v>0</v>
      </c>
    </row>
    <row r="145" spans="1:57" x14ac:dyDescent="0.25">
      <c r="A145" s="783" t="s">
        <v>428</v>
      </c>
      <c r="C145" s="784" t="s">
        <v>1062</v>
      </c>
      <c r="D145" s="783">
        <v>1</v>
      </c>
      <c r="E145" s="783">
        <v>1</v>
      </c>
      <c r="F145" s="783">
        <v>1</v>
      </c>
      <c r="G145" s="783">
        <v>1</v>
      </c>
      <c r="H145" s="783">
        <v>1</v>
      </c>
      <c r="I145" s="783">
        <v>1</v>
      </c>
      <c r="J145" s="783">
        <v>1</v>
      </c>
      <c r="K145" s="783">
        <v>1</v>
      </c>
      <c r="L145" s="783">
        <v>1</v>
      </c>
      <c r="M145" s="783">
        <v>1</v>
      </c>
      <c r="N145" s="783">
        <v>1</v>
      </c>
      <c r="O145" s="783">
        <v>1</v>
      </c>
      <c r="P145" s="783">
        <v>1</v>
      </c>
      <c r="Q145" s="783">
        <v>1</v>
      </c>
      <c r="R145" s="783">
        <v>1</v>
      </c>
      <c r="S145" s="783">
        <v>1</v>
      </c>
      <c r="T145" s="783">
        <v>1</v>
      </c>
      <c r="U145" s="783">
        <v>1</v>
      </c>
      <c r="V145" s="783">
        <v>1</v>
      </c>
      <c r="W145" s="783">
        <v>1</v>
      </c>
      <c r="X145" s="783">
        <v>1</v>
      </c>
      <c r="Y145" s="783">
        <v>1</v>
      </c>
      <c r="Z145" s="783">
        <v>1</v>
      </c>
      <c r="AA145" s="783">
        <v>1</v>
      </c>
      <c r="AB145" s="783">
        <v>0.20943999999999999</v>
      </c>
      <c r="AC145" s="783">
        <v>0.20943999999999999</v>
      </c>
      <c r="AD145" s="783">
        <v>0.20943999999999999</v>
      </c>
      <c r="AE145" s="783">
        <v>0.20943999999999999</v>
      </c>
      <c r="AF145" s="783">
        <v>0.20943999999999999</v>
      </c>
      <c r="AG145" s="783">
        <v>0.20943999999999999</v>
      </c>
      <c r="AH145" s="783">
        <v>0.20943999999999999</v>
      </c>
      <c r="AI145" s="783">
        <v>0.20943999999999999</v>
      </c>
      <c r="AJ145" s="783">
        <v>0.20943999999999999</v>
      </c>
      <c r="AK145" s="783">
        <v>0.20943999999999999</v>
      </c>
      <c r="AL145" s="783">
        <v>0.20943999999999999</v>
      </c>
      <c r="AM145" s="783">
        <v>0.20943999999999999</v>
      </c>
      <c r="AN145" s="783">
        <v>0.20943999999999999</v>
      </c>
      <c r="AO145" s="783">
        <v>0.20943999999999999</v>
      </c>
      <c r="AP145" s="783">
        <v>0.20943999999999999</v>
      </c>
      <c r="AQ145" s="783">
        <v>0.20943999999999999</v>
      </c>
      <c r="AR145" s="783">
        <v>0.20943999999999999</v>
      </c>
      <c r="AS145" s="783">
        <v>0.20943999999999999</v>
      </c>
      <c r="AT145" s="783">
        <v>0.20943999999999999</v>
      </c>
      <c r="AU145" s="783">
        <v>0.20943999999999999</v>
      </c>
      <c r="AV145" s="783">
        <v>0.20943999999999999</v>
      </c>
      <c r="AW145" s="783">
        <v>0.20943999999999999</v>
      </c>
      <c r="AX145" s="783">
        <v>0.20943999999999999</v>
      </c>
      <c r="AY145" s="783">
        <v>0.20943999999999999</v>
      </c>
      <c r="AZ145" s="783">
        <v>0.20943999999999999</v>
      </c>
      <c r="BA145" s="783">
        <v>0.20943999999999999</v>
      </c>
      <c r="BB145" s="783">
        <v>0.20943999999999999</v>
      </c>
      <c r="BC145" s="783">
        <v>0.20943999999999999</v>
      </c>
      <c r="BD145" s="783">
        <v>0.20943999999999999</v>
      </c>
      <c r="BE145" s="783">
        <v>0.20943999999999999</v>
      </c>
    </row>
    <row r="146" spans="1:57" x14ac:dyDescent="0.25">
      <c r="A146" s="783" t="s">
        <v>428</v>
      </c>
      <c r="C146" s="784" t="s">
        <v>1063</v>
      </c>
      <c r="D146" s="783">
        <v>1</v>
      </c>
      <c r="E146" s="783">
        <v>1</v>
      </c>
      <c r="F146" s="783">
        <v>1</v>
      </c>
      <c r="G146" s="783">
        <v>1</v>
      </c>
      <c r="H146" s="783">
        <v>1</v>
      </c>
      <c r="I146" s="783">
        <v>1</v>
      </c>
      <c r="J146" s="783">
        <v>1</v>
      </c>
      <c r="K146" s="783">
        <v>1</v>
      </c>
      <c r="L146" s="783">
        <v>1</v>
      </c>
      <c r="M146" s="783">
        <v>1</v>
      </c>
      <c r="N146" s="783">
        <v>1</v>
      </c>
      <c r="O146" s="783">
        <v>1</v>
      </c>
      <c r="P146" s="783">
        <v>1</v>
      </c>
      <c r="Q146" s="783">
        <v>1</v>
      </c>
      <c r="R146" s="783">
        <v>1</v>
      </c>
      <c r="S146" s="783">
        <v>1</v>
      </c>
      <c r="T146" s="783">
        <v>1</v>
      </c>
      <c r="U146" s="783">
        <v>1</v>
      </c>
      <c r="V146" s="783">
        <v>1</v>
      </c>
      <c r="W146" s="783">
        <v>1</v>
      </c>
      <c r="X146" s="783">
        <v>1</v>
      </c>
      <c r="Y146" s="783">
        <v>1</v>
      </c>
      <c r="Z146" s="783">
        <v>1</v>
      </c>
      <c r="AA146" s="783">
        <v>1</v>
      </c>
      <c r="AB146" s="783">
        <v>0</v>
      </c>
      <c r="AC146" s="783">
        <v>0</v>
      </c>
      <c r="AD146" s="783">
        <v>0</v>
      </c>
      <c r="AE146" s="783">
        <v>0</v>
      </c>
      <c r="AF146" s="783">
        <v>0</v>
      </c>
      <c r="AG146" s="783">
        <v>0</v>
      </c>
      <c r="AH146" s="783">
        <v>0</v>
      </c>
      <c r="AI146" s="783">
        <v>0</v>
      </c>
      <c r="AJ146" s="783">
        <v>0</v>
      </c>
      <c r="AK146" s="783">
        <v>0</v>
      </c>
      <c r="AL146" s="783">
        <v>0</v>
      </c>
      <c r="AM146" s="783">
        <v>0</v>
      </c>
      <c r="AN146" s="783">
        <v>0</v>
      </c>
      <c r="AO146" s="783">
        <v>0</v>
      </c>
      <c r="AP146" s="783">
        <v>0</v>
      </c>
      <c r="AQ146" s="783">
        <v>0</v>
      </c>
      <c r="AR146" s="783">
        <v>0</v>
      </c>
      <c r="AS146" s="783">
        <v>0</v>
      </c>
      <c r="AT146" s="783">
        <v>0</v>
      </c>
      <c r="AU146" s="783">
        <v>0</v>
      </c>
      <c r="AV146" s="783">
        <v>0</v>
      </c>
      <c r="AW146" s="783">
        <v>0</v>
      </c>
      <c r="AX146" s="783">
        <v>0</v>
      </c>
      <c r="AY146" s="783">
        <v>0</v>
      </c>
      <c r="AZ146" s="783">
        <v>0</v>
      </c>
      <c r="BA146" s="783">
        <v>0</v>
      </c>
      <c r="BB146" s="783">
        <v>0</v>
      </c>
      <c r="BC146" s="783">
        <v>0</v>
      </c>
      <c r="BD146" s="783">
        <v>0</v>
      </c>
      <c r="BE146" s="783">
        <v>0</v>
      </c>
    </row>
    <row r="147" spans="1:57" x14ac:dyDescent="0.25">
      <c r="A147" s="783" t="s">
        <v>428</v>
      </c>
      <c r="B147" s="783" t="s">
        <v>964</v>
      </c>
      <c r="C147" s="784" t="s">
        <v>697</v>
      </c>
      <c r="D147" s="783">
        <v>330</v>
      </c>
      <c r="E147" s="783">
        <v>330</v>
      </c>
      <c r="F147" s="783">
        <v>330</v>
      </c>
      <c r="G147" s="783">
        <v>330</v>
      </c>
      <c r="H147" s="783">
        <v>330</v>
      </c>
      <c r="I147" s="783">
        <v>330</v>
      </c>
      <c r="J147" s="783">
        <v>330</v>
      </c>
      <c r="K147" s="783">
        <v>330</v>
      </c>
      <c r="L147" s="783">
        <v>330</v>
      </c>
      <c r="M147" s="783">
        <v>330</v>
      </c>
      <c r="N147" s="783">
        <v>330</v>
      </c>
      <c r="O147" s="783">
        <v>330</v>
      </c>
      <c r="P147" s="783">
        <v>330</v>
      </c>
      <c r="Q147" s="783">
        <v>330</v>
      </c>
      <c r="R147" s="783">
        <v>330</v>
      </c>
      <c r="S147" s="783">
        <v>330</v>
      </c>
      <c r="T147" s="783">
        <v>330</v>
      </c>
      <c r="U147" s="783">
        <v>330</v>
      </c>
      <c r="V147" s="783">
        <v>330</v>
      </c>
      <c r="W147" s="783">
        <v>330</v>
      </c>
      <c r="X147" s="783">
        <v>330</v>
      </c>
      <c r="Y147" s="783">
        <v>330</v>
      </c>
      <c r="Z147" s="783">
        <v>330</v>
      </c>
      <c r="AA147" s="783">
        <v>330</v>
      </c>
      <c r="AB147" s="783">
        <v>0.20943999999999999</v>
      </c>
      <c r="AC147" s="783">
        <v>0.20943999999999999</v>
      </c>
      <c r="AD147" s="783">
        <v>0.20943999999999999</v>
      </c>
      <c r="AE147" s="783">
        <v>0.20943999999999999</v>
      </c>
      <c r="AF147" s="783">
        <v>0.20943999999999999</v>
      </c>
      <c r="AG147" s="783">
        <v>0.20943999999999999</v>
      </c>
      <c r="AH147" s="783">
        <v>0.20943999999999999</v>
      </c>
      <c r="AI147" s="783">
        <v>0.20943999999999999</v>
      </c>
      <c r="AJ147" s="783">
        <v>0.20943999999999999</v>
      </c>
      <c r="AK147" s="783">
        <v>0.20943999999999999</v>
      </c>
      <c r="AL147" s="783">
        <v>0.20943999999999999</v>
      </c>
      <c r="AM147" s="783">
        <v>0.20943999999999999</v>
      </c>
      <c r="AN147" s="783">
        <v>0.20943999999999999</v>
      </c>
      <c r="AO147" s="783">
        <v>0.20943999999999999</v>
      </c>
      <c r="AP147" s="783">
        <v>0.20943999999999999</v>
      </c>
      <c r="AQ147" s="783">
        <v>0.20943999999999999</v>
      </c>
      <c r="AR147" s="783">
        <v>0.20943999999999999</v>
      </c>
      <c r="AS147" s="783">
        <v>0.20943999999999999</v>
      </c>
      <c r="AT147" s="783">
        <v>0.20943999999999999</v>
      </c>
      <c r="AU147" s="783">
        <v>0.20943999999999999</v>
      </c>
      <c r="AV147" s="783">
        <v>0.20943999999999999</v>
      </c>
      <c r="AW147" s="783">
        <v>0.20943999999999999</v>
      </c>
      <c r="AX147" s="783">
        <v>0.20943999999999999</v>
      </c>
      <c r="AY147" s="783">
        <v>0.20943999999999999</v>
      </c>
      <c r="AZ147" s="783">
        <v>0.20943999999999999</v>
      </c>
      <c r="BA147" s="783">
        <v>0.20943999999999999</v>
      </c>
      <c r="BB147" s="783">
        <v>0.20943999999999999</v>
      </c>
      <c r="BC147" s="783">
        <v>0.20943999999999999</v>
      </c>
      <c r="BD147" s="783">
        <v>0.20943999999999999</v>
      </c>
      <c r="BE147" s="783">
        <v>0.20943999999999999</v>
      </c>
    </row>
    <row r="148" spans="1:57" x14ac:dyDescent="0.25">
      <c r="A148" s="783" t="s">
        <v>428</v>
      </c>
      <c r="B148" s="783" t="s">
        <v>965</v>
      </c>
      <c r="C148" s="784" t="s">
        <v>698</v>
      </c>
      <c r="D148" s="783">
        <v>0</v>
      </c>
      <c r="E148" s="783">
        <v>0</v>
      </c>
      <c r="F148" s="783">
        <v>0</v>
      </c>
      <c r="G148" s="783">
        <v>0</v>
      </c>
      <c r="H148" s="783">
        <v>0</v>
      </c>
      <c r="I148" s="783">
        <v>0</v>
      </c>
      <c r="J148" s="783">
        <v>0</v>
      </c>
      <c r="K148" s="783">
        <v>0</v>
      </c>
      <c r="L148" s="783">
        <v>0</v>
      </c>
      <c r="M148" s="783">
        <v>0</v>
      </c>
      <c r="N148" s="783">
        <v>0</v>
      </c>
      <c r="O148" s="783">
        <v>0</v>
      </c>
      <c r="P148" s="783">
        <v>0</v>
      </c>
      <c r="Q148" s="783">
        <v>0</v>
      </c>
      <c r="R148" s="783">
        <v>0</v>
      </c>
      <c r="S148" s="783">
        <v>0</v>
      </c>
      <c r="T148" s="783">
        <v>0</v>
      </c>
      <c r="U148" s="783">
        <v>0</v>
      </c>
      <c r="V148" s="783">
        <v>0</v>
      </c>
      <c r="W148" s="783">
        <v>0</v>
      </c>
      <c r="X148" s="783">
        <v>0</v>
      </c>
      <c r="Y148" s="783">
        <v>0</v>
      </c>
      <c r="Z148" s="783">
        <v>0</v>
      </c>
      <c r="AA148" s="783">
        <v>0</v>
      </c>
    </row>
    <row r="149" spans="1:57" s="786" customFormat="1" x14ac:dyDescent="0.25">
      <c r="A149" s="783" t="s">
        <v>428</v>
      </c>
      <c r="B149" s="783" t="s">
        <v>89</v>
      </c>
      <c r="C149" s="785" t="s">
        <v>699</v>
      </c>
      <c r="D149" s="783">
        <v>330</v>
      </c>
      <c r="E149" s="783">
        <v>330</v>
      </c>
      <c r="F149" s="783">
        <v>330</v>
      </c>
      <c r="G149" s="783">
        <v>330</v>
      </c>
      <c r="H149" s="783">
        <v>330</v>
      </c>
      <c r="I149" s="783">
        <v>330</v>
      </c>
      <c r="J149" s="783">
        <v>330</v>
      </c>
      <c r="K149" s="783">
        <v>330</v>
      </c>
      <c r="L149" s="783">
        <v>330</v>
      </c>
      <c r="M149" s="783">
        <v>330</v>
      </c>
      <c r="N149" s="783">
        <v>330</v>
      </c>
      <c r="O149" s="783">
        <v>330</v>
      </c>
      <c r="P149" s="783">
        <v>330</v>
      </c>
      <c r="Q149" s="783">
        <v>330</v>
      </c>
      <c r="R149" s="783">
        <v>330</v>
      </c>
      <c r="S149" s="783">
        <v>330</v>
      </c>
      <c r="T149" s="783">
        <v>330</v>
      </c>
      <c r="U149" s="783">
        <v>330</v>
      </c>
      <c r="V149" s="783">
        <v>330</v>
      </c>
      <c r="W149" s="783">
        <v>330</v>
      </c>
      <c r="X149" s="783">
        <v>330</v>
      </c>
      <c r="Y149" s="783">
        <v>330</v>
      </c>
      <c r="Z149" s="783">
        <v>330</v>
      </c>
      <c r="AA149" s="783">
        <v>330</v>
      </c>
      <c r="AB149" s="786">
        <v>0</v>
      </c>
      <c r="AC149" s="786">
        <v>0</v>
      </c>
      <c r="AD149" s="786">
        <v>0</v>
      </c>
      <c r="AE149" s="786">
        <v>0</v>
      </c>
      <c r="AF149" s="786">
        <v>0</v>
      </c>
      <c r="AG149" s="786">
        <v>0</v>
      </c>
      <c r="AH149" s="786">
        <v>0</v>
      </c>
      <c r="AI149" s="786">
        <v>0</v>
      </c>
      <c r="AJ149" s="786">
        <v>0</v>
      </c>
      <c r="AK149" s="786">
        <v>0</v>
      </c>
      <c r="AL149" s="786">
        <v>0</v>
      </c>
      <c r="AM149" s="786">
        <v>0</v>
      </c>
      <c r="AN149" s="786">
        <v>0</v>
      </c>
      <c r="AO149" s="786">
        <v>0</v>
      </c>
      <c r="AP149" s="786">
        <v>0</v>
      </c>
      <c r="AQ149" s="786">
        <v>0</v>
      </c>
      <c r="AR149" s="786">
        <v>0</v>
      </c>
      <c r="AS149" s="786">
        <v>0</v>
      </c>
      <c r="AT149" s="786">
        <v>0</v>
      </c>
      <c r="AU149" s="786">
        <v>0</v>
      </c>
      <c r="AV149" s="786">
        <v>0</v>
      </c>
      <c r="AW149" s="786">
        <v>0</v>
      </c>
      <c r="AX149" s="786">
        <v>0</v>
      </c>
      <c r="AY149" s="786">
        <v>0</v>
      </c>
      <c r="AZ149" s="786">
        <v>0</v>
      </c>
      <c r="BA149" s="786">
        <v>0</v>
      </c>
      <c r="BB149" s="786">
        <v>0</v>
      </c>
      <c r="BC149" s="786">
        <v>0</v>
      </c>
      <c r="BD149" s="786">
        <v>0</v>
      </c>
      <c r="BE149" s="786">
        <v>0</v>
      </c>
    </row>
    <row r="150" spans="1:57" x14ac:dyDescent="0.25">
      <c r="A150" s="783" t="s">
        <v>428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 s="783">
        <v>0</v>
      </c>
      <c r="AC150" s="783">
        <v>0</v>
      </c>
      <c r="AD150" s="783">
        <v>0</v>
      </c>
      <c r="AE150" s="783">
        <v>0</v>
      </c>
      <c r="AF150" s="783">
        <v>0</v>
      </c>
      <c r="AG150" s="783">
        <v>0</v>
      </c>
      <c r="AH150" s="783">
        <v>0</v>
      </c>
      <c r="AI150" s="783">
        <v>0</v>
      </c>
      <c r="AJ150" s="783">
        <v>0</v>
      </c>
      <c r="AK150" s="783">
        <v>0</v>
      </c>
      <c r="AL150" s="783">
        <v>0</v>
      </c>
      <c r="AM150" s="783">
        <v>0</v>
      </c>
      <c r="AN150" s="783">
        <v>0</v>
      </c>
      <c r="AO150" s="783">
        <v>0</v>
      </c>
      <c r="AP150" s="783">
        <v>0</v>
      </c>
      <c r="AQ150" s="783">
        <v>0</v>
      </c>
      <c r="AR150" s="783">
        <v>0</v>
      </c>
      <c r="AS150" s="783">
        <v>0</v>
      </c>
      <c r="AT150" s="783">
        <v>0</v>
      </c>
      <c r="AU150" s="783">
        <v>0</v>
      </c>
      <c r="AV150" s="783">
        <v>0</v>
      </c>
      <c r="AW150" s="783">
        <v>0</v>
      </c>
      <c r="AX150" s="783">
        <v>0</v>
      </c>
      <c r="AY150" s="783">
        <v>0</v>
      </c>
      <c r="AZ150" s="783">
        <v>0</v>
      </c>
      <c r="BA150" s="783">
        <v>0</v>
      </c>
      <c r="BB150" s="783">
        <v>0</v>
      </c>
      <c r="BC150" s="783">
        <v>0</v>
      </c>
      <c r="BD150" s="783">
        <v>0</v>
      </c>
      <c r="BE150" s="783">
        <v>0</v>
      </c>
    </row>
    <row r="151" spans="1:57" x14ac:dyDescent="0.25">
      <c r="A151" s="783" t="s">
        <v>428</v>
      </c>
      <c r="C151" s="784" t="s">
        <v>700</v>
      </c>
      <c r="D151" s="783">
        <v>0.7</v>
      </c>
      <c r="E151" s="783">
        <v>0.7</v>
      </c>
      <c r="F151" s="783">
        <v>0.7</v>
      </c>
      <c r="G151" s="783">
        <v>0.7</v>
      </c>
      <c r="H151" s="783">
        <v>0.7</v>
      </c>
      <c r="I151" s="783">
        <v>0.7</v>
      </c>
      <c r="J151" s="783">
        <v>0.7</v>
      </c>
      <c r="K151" s="783">
        <v>0.7</v>
      </c>
      <c r="L151" s="783">
        <v>0.7</v>
      </c>
      <c r="M151" s="783">
        <v>0.7</v>
      </c>
      <c r="N151" s="783">
        <v>0.7</v>
      </c>
      <c r="O151" s="783">
        <v>0.7</v>
      </c>
      <c r="P151" s="783">
        <v>0.7</v>
      </c>
      <c r="Q151" s="783">
        <v>0.7</v>
      </c>
      <c r="R151" s="783">
        <v>0.7</v>
      </c>
      <c r="S151" s="783">
        <v>0.7</v>
      </c>
      <c r="T151" s="783">
        <v>0.7</v>
      </c>
      <c r="U151" s="783">
        <v>0.7</v>
      </c>
      <c r="V151" s="783">
        <v>0.7</v>
      </c>
      <c r="W151" s="783">
        <v>0.7</v>
      </c>
      <c r="X151" s="783">
        <v>0.7</v>
      </c>
      <c r="Y151" s="783">
        <v>0.7</v>
      </c>
      <c r="Z151" s="783">
        <v>0.7</v>
      </c>
      <c r="AA151" s="783">
        <v>0.7</v>
      </c>
    </row>
    <row r="152" spans="1:57" x14ac:dyDescent="0.25">
      <c r="A152" s="783" t="s">
        <v>428</v>
      </c>
      <c r="C152" s="784" t="s">
        <v>701</v>
      </c>
      <c r="D152" s="783">
        <v>0</v>
      </c>
      <c r="E152" s="783">
        <v>0</v>
      </c>
      <c r="F152" s="783">
        <v>0</v>
      </c>
      <c r="G152" s="783">
        <v>0</v>
      </c>
      <c r="H152" s="783">
        <v>0</v>
      </c>
      <c r="I152" s="783">
        <v>0</v>
      </c>
      <c r="J152" s="783">
        <v>0</v>
      </c>
      <c r="K152" s="783">
        <v>0</v>
      </c>
      <c r="L152" s="783">
        <v>0</v>
      </c>
      <c r="M152" s="783">
        <v>0</v>
      </c>
      <c r="N152" s="783">
        <v>0</v>
      </c>
      <c r="O152" s="783">
        <v>0</v>
      </c>
      <c r="P152" s="783">
        <v>0</v>
      </c>
      <c r="Q152" s="783">
        <v>0</v>
      </c>
      <c r="R152" s="783">
        <v>0</v>
      </c>
      <c r="S152" s="783">
        <v>0</v>
      </c>
      <c r="T152" s="783">
        <v>0</v>
      </c>
      <c r="U152" s="783">
        <v>0</v>
      </c>
      <c r="V152" s="783">
        <v>0</v>
      </c>
      <c r="W152" s="783">
        <v>0</v>
      </c>
      <c r="X152" s="783">
        <v>0</v>
      </c>
      <c r="Y152" s="783">
        <v>0</v>
      </c>
      <c r="Z152" s="783">
        <v>0</v>
      </c>
      <c r="AA152" s="783">
        <v>0</v>
      </c>
      <c r="AB152" s="783">
        <v>100</v>
      </c>
      <c r="AC152" s="783">
        <v>100</v>
      </c>
      <c r="AD152" s="783">
        <v>100</v>
      </c>
      <c r="AE152" s="783">
        <v>100</v>
      </c>
      <c r="AF152" s="783">
        <v>100</v>
      </c>
      <c r="AG152" s="783">
        <v>100</v>
      </c>
      <c r="AH152" s="783">
        <v>100</v>
      </c>
      <c r="AI152" s="783">
        <v>100</v>
      </c>
      <c r="AJ152" s="783">
        <v>100</v>
      </c>
      <c r="AK152" s="783">
        <v>100</v>
      </c>
      <c r="AL152" s="783">
        <v>100</v>
      </c>
      <c r="AM152" s="783">
        <v>100</v>
      </c>
      <c r="AN152" s="783">
        <v>100</v>
      </c>
      <c r="AO152" s="783">
        <v>100</v>
      </c>
      <c r="AP152" s="783">
        <v>100</v>
      </c>
      <c r="AQ152" s="783">
        <v>100</v>
      </c>
      <c r="AR152" s="783">
        <v>100</v>
      </c>
      <c r="AS152" s="783">
        <v>100</v>
      </c>
      <c r="AT152" s="783">
        <v>100</v>
      </c>
      <c r="AU152" s="783">
        <v>100</v>
      </c>
      <c r="AV152" s="783">
        <v>100</v>
      </c>
      <c r="AW152" s="783">
        <v>100</v>
      </c>
      <c r="AX152" s="783">
        <v>100</v>
      </c>
      <c r="AY152" s="783">
        <v>100</v>
      </c>
      <c r="AZ152" s="783">
        <v>100</v>
      </c>
      <c r="BA152" s="783">
        <v>100</v>
      </c>
      <c r="BB152" s="783">
        <v>100</v>
      </c>
      <c r="BC152" s="783">
        <v>100</v>
      </c>
      <c r="BD152" s="783">
        <v>100</v>
      </c>
      <c r="BE152" s="783">
        <v>100</v>
      </c>
    </row>
    <row r="153" spans="1:57" s="788" customFormat="1" x14ac:dyDescent="0.25">
      <c r="A153" s="783" t="s">
        <v>428</v>
      </c>
      <c r="B153" s="786"/>
      <c r="C153" s="787" t="s">
        <v>702</v>
      </c>
      <c r="D153" s="788">
        <v>0.29920000000000002</v>
      </c>
      <c r="E153" s="788">
        <v>0.29920000000000002</v>
      </c>
      <c r="F153" s="788">
        <v>0.29920000000000002</v>
      </c>
      <c r="G153" s="788">
        <v>0.29920000000000002</v>
      </c>
      <c r="H153" s="788">
        <v>0.29920000000000002</v>
      </c>
      <c r="I153" s="788">
        <v>0.29920000000000002</v>
      </c>
      <c r="J153" s="788">
        <v>0.29920000000000002</v>
      </c>
      <c r="K153" s="788">
        <v>0.29920000000000002</v>
      </c>
      <c r="L153" s="788">
        <v>0.29920000000000002</v>
      </c>
      <c r="M153" s="788">
        <v>0.29920000000000002</v>
      </c>
      <c r="N153" s="788">
        <v>0.29920000000000002</v>
      </c>
      <c r="O153" s="788">
        <v>0.29920000000000002</v>
      </c>
      <c r="P153" s="788">
        <v>0.29920000000000002</v>
      </c>
      <c r="Q153" s="788">
        <v>0.29920000000000002</v>
      </c>
      <c r="R153" s="788">
        <v>0.29920000000000002</v>
      </c>
      <c r="S153" s="788">
        <v>0.29920000000000002</v>
      </c>
      <c r="T153" s="788">
        <v>0.29920000000000002</v>
      </c>
      <c r="U153" s="788">
        <v>0.29920000000000002</v>
      </c>
      <c r="V153" s="788">
        <v>0.29920000000000002</v>
      </c>
      <c r="W153" s="788">
        <v>0.29920000000000002</v>
      </c>
      <c r="X153" s="788">
        <v>0.29920000000000002</v>
      </c>
      <c r="Y153" s="788">
        <v>0.29920000000000002</v>
      </c>
      <c r="Z153" s="788">
        <v>0.29920000000000002</v>
      </c>
      <c r="AA153" s="788">
        <v>0.29920000000000002</v>
      </c>
      <c r="AB153" s="788">
        <v>10.8978</v>
      </c>
      <c r="AC153" s="788">
        <v>10.8978</v>
      </c>
      <c r="AD153" s="788">
        <v>10.8978</v>
      </c>
      <c r="AE153" s="788">
        <v>10.8978</v>
      </c>
      <c r="AF153" s="788">
        <v>10.8978</v>
      </c>
      <c r="AG153" s="788">
        <v>10.8978</v>
      </c>
      <c r="AH153" s="788">
        <v>10.8978</v>
      </c>
      <c r="AI153" s="788">
        <v>10.8978</v>
      </c>
      <c r="AJ153" s="788">
        <v>10.8978</v>
      </c>
      <c r="AK153" s="788">
        <v>10.8978</v>
      </c>
      <c r="AL153" s="788">
        <v>10.8978</v>
      </c>
      <c r="AM153" s="788">
        <v>10.8978</v>
      </c>
      <c r="AN153" s="788">
        <v>10.8978</v>
      </c>
      <c r="AO153" s="788">
        <v>10.8978</v>
      </c>
      <c r="AP153" s="788">
        <v>10.8978</v>
      </c>
      <c r="AQ153" s="788">
        <v>10.8978</v>
      </c>
      <c r="AR153" s="788">
        <v>10.8978</v>
      </c>
      <c r="AS153" s="788">
        <v>10.8978</v>
      </c>
      <c r="AT153" s="788">
        <v>10.8978</v>
      </c>
      <c r="AU153" s="788">
        <v>10.8978</v>
      </c>
      <c r="AV153" s="788">
        <v>10.8978</v>
      </c>
      <c r="AW153" s="788">
        <v>10.8978</v>
      </c>
      <c r="AX153" s="788">
        <v>10.8978</v>
      </c>
      <c r="AY153" s="788">
        <v>10.8978</v>
      </c>
      <c r="AZ153" s="788">
        <v>10.8978</v>
      </c>
      <c r="BA153" s="788">
        <v>10.8978</v>
      </c>
      <c r="BB153" s="788">
        <v>10.8978</v>
      </c>
      <c r="BC153" s="788">
        <v>10.8978</v>
      </c>
      <c r="BD153" s="788">
        <v>10.8978</v>
      </c>
      <c r="BE153" s="788">
        <v>10.8978</v>
      </c>
    </row>
    <row r="154" spans="1:57" x14ac:dyDescent="0.25">
      <c r="A154" s="783" t="s">
        <v>428</v>
      </c>
      <c r="C154" s="784" t="s">
        <v>703</v>
      </c>
      <c r="D154" s="788">
        <v>0</v>
      </c>
      <c r="E154" s="788">
        <v>0</v>
      </c>
      <c r="F154" s="788">
        <v>0</v>
      </c>
      <c r="G154" s="788">
        <v>0</v>
      </c>
      <c r="H154" s="788">
        <v>0</v>
      </c>
      <c r="I154" s="788">
        <v>0</v>
      </c>
      <c r="J154" s="788">
        <v>0</v>
      </c>
      <c r="K154" s="788">
        <v>0</v>
      </c>
      <c r="L154" s="788">
        <v>0</v>
      </c>
      <c r="M154" s="788">
        <v>0</v>
      </c>
      <c r="N154" s="788">
        <v>0</v>
      </c>
      <c r="O154" s="788">
        <v>0</v>
      </c>
      <c r="P154" s="788">
        <v>0</v>
      </c>
      <c r="Q154" s="788">
        <v>0</v>
      </c>
      <c r="R154" s="788">
        <v>0</v>
      </c>
      <c r="S154" s="788">
        <v>0</v>
      </c>
      <c r="T154" s="788">
        <v>0</v>
      </c>
      <c r="U154" s="788">
        <v>0</v>
      </c>
      <c r="V154" s="788">
        <v>0</v>
      </c>
      <c r="W154" s="788">
        <v>0</v>
      </c>
      <c r="X154" s="788">
        <v>0</v>
      </c>
      <c r="Y154" s="788">
        <v>0</v>
      </c>
      <c r="Z154" s="788">
        <v>0</v>
      </c>
      <c r="AA154" s="788">
        <v>0</v>
      </c>
      <c r="AB154" s="783">
        <v>1089.78</v>
      </c>
      <c r="AC154" s="783">
        <v>1089.78</v>
      </c>
      <c r="AD154" s="783">
        <v>1089.78</v>
      </c>
      <c r="AE154" s="783">
        <v>1089.78</v>
      </c>
      <c r="AF154" s="783">
        <v>1089.78</v>
      </c>
      <c r="AG154" s="783">
        <v>1089.78</v>
      </c>
      <c r="AH154" s="783">
        <v>1089.78</v>
      </c>
      <c r="AI154" s="783">
        <v>1089.78</v>
      </c>
      <c r="AJ154" s="783">
        <v>1089.78</v>
      </c>
      <c r="AK154" s="783">
        <v>1089.78</v>
      </c>
      <c r="AL154" s="783">
        <v>1089.78</v>
      </c>
      <c r="AM154" s="783">
        <v>1089.78</v>
      </c>
      <c r="AN154" s="783">
        <v>1089.78</v>
      </c>
      <c r="AO154" s="783">
        <v>1089.78</v>
      </c>
      <c r="AP154" s="783">
        <v>1089.78</v>
      </c>
      <c r="AQ154" s="783">
        <v>1089.78</v>
      </c>
      <c r="AR154" s="783">
        <v>1089.78</v>
      </c>
      <c r="AS154" s="783">
        <v>1089.78</v>
      </c>
      <c r="AT154" s="783">
        <v>1089.78</v>
      </c>
      <c r="AU154" s="783">
        <v>1089.78</v>
      </c>
      <c r="AV154" s="783">
        <v>1089.78</v>
      </c>
      <c r="AW154" s="783">
        <v>1089.78</v>
      </c>
      <c r="AX154" s="783">
        <v>1089.78</v>
      </c>
      <c r="AY154" s="783">
        <v>1089.78</v>
      </c>
      <c r="AZ154" s="783">
        <v>1089.78</v>
      </c>
      <c r="BA154" s="783">
        <v>1089.78</v>
      </c>
      <c r="BB154" s="783">
        <v>1089.78</v>
      </c>
      <c r="BC154" s="783">
        <v>1089.78</v>
      </c>
      <c r="BD154" s="783">
        <v>1089.78</v>
      </c>
      <c r="BE154" s="783">
        <v>1089.78</v>
      </c>
    </row>
    <row r="155" spans="1:57" x14ac:dyDescent="0.25">
      <c r="A155" s="783" t="s">
        <v>428</v>
      </c>
      <c r="C155" s="784" t="s">
        <v>704</v>
      </c>
      <c r="D155" s="783">
        <v>0.20943999999999999</v>
      </c>
      <c r="E155" s="783">
        <v>0.20943999999999999</v>
      </c>
      <c r="F155" s="783">
        <v>0.20943999999999999</v>
      </c>
      <c r="G155" s="783">
        <v>0.20943999999999999</v>
      </c>
      <c r="H155" s="783">
        <v>0.20943999999999999</v>
      </c>
      <c r="I155" s="783">
        <v>0.20943999999999999</v>
      </c>
      <c r="J155" s="783">
        <v>0.20943999999999999</v>
      </c>
      <c r="K155" s="783">
        <v>0.20943999999999999</v>
      </c>
      <c r="L155" s="783">
        <v>0.20943999999999999</v>
      </c>
      <c r="M155" s="783">
        <v>0.20943999999999999</v>
      </c>
      <c r="N155" s="783">
        <v>0.20943999999999999</v>
      </c>
      <c r="O155" s="783">
        <v>0.20943999999999999</v>
      </c>
      <c r="P155" s="783">
        <v>0.20943999999999999</v>
      </c>
      <c r="Q155" s="783">
        <v>0.20943999999999999</v>
      </c>
      <c r="R155" s="783">
        <v>0.20943999999999999</v>
      </c>
      <c r="S155" s="783">
        <v>0.20943999999999999</v>
      </c>
      <c r="T155" s="783">
        <v>0.20943999999999999</v>
      </c>
      <c r="U155" s="783">
        <v>0.20943999999999999</v>
      </c>
      <c r="V155" s="783">
        <v>0.20943999999999999</v>
      </c>
      <c r="W155" s="783">
        <v>0.20943999999999999</v>
      </c>
      <c r="X155" s="783">
        <v>0.20943999999999999</v>
      </c>
      <c r="Y155" s="783">
        <v>0.20943999999999999</v>
      </c>
      <c r="Z155" s="783">
        <v>0.20943999999999999</v>
      </c>
      <c r="AA155" s="783">
        <v>0.20943999999999999</v>
      </c>
    </row>
    <row r="156" spans="1:57" x14ac:dyDescent="0.25">
      <c r="A156" s="783" t="s">
        <v>428</v>
      </c>
      <c r="C156" s="784" t="s">
        <v>705</v>
      </c>
      <c r="D156" s="783">
        <v>0</v>
      </c>
      <c r="E156" s="783">
        <v>0</v>
      </c>
      <c r="F156" s="783">
        <v>0</v>
      </c>
      <c r="G156" s="783">
        <v>0</v>
      </c>
      <c r="H156" s="783">
        <v>0</v>
      </c>
      <c r="I156" s="783">
        <v>0</v>
      </c>
      <c r="J156" s="783">
        <v>0</v>
      </c>
      <c r="K156" s="783">
        <v>0</v>
      </c>
      <c r="L156" s="783">
        <v>0</v>
      </c>
      <c r="M156" s="783">
        <v>0</v>
      </c>
      <c r="N156" s="783">
        <v>0</v>
      </c>
      <c r="O156" s="783">
        <v>0</v>
      </c>
      <c r="P156" s="783">
        <v>0</v>
      </c>
      <c r="Q156" s="783">
        <v>0</v>
      </c>
      <c r="R156" s="783">
        <v>0</v>
      </c>
      <c r="S156" s="783">
        <v>0</v>
      </c>
      <c r="T156" s="783">
        <v>0</v>
      </c>
      <c r="U156" s="783">
        <v>0</v>
      </c>
      <c r="V156" s="783">
        <v>0</v>
      </c>
      <c r="W156" s="783">
        <v>0</v>
      </c>
      <c r="X156" s="783">
        <v>0</v>
      </c>
      <c r="Y156" s="783">
        <v>0</v>
      </c>
      <c r="Z156" s="783">
        <v>0</v>
      </c>
      <c r="AA156" s="783">
        <v>0</v>
      </c>
      <c r="AB156" s="783">
        <v>0</v>
      </c>
      <c r="AC156" s="783">
        <v>0</v>
      </c>
      <c r="AD156" s="783">
        <v>0</v>
      </c>
      <c r="AE156" s="783">
        <v>0</v>
      </c>
      <c r="AF156" s="783">
        <v>0</v>
      </c>
      <c r="AG156" s="783">
        <v>0</v>
      </c>
      <c r="AH156" s="783">
        <v>0</v>
      </c>
      <c r="AI156" s="783">
        <v>0</v>
      </c>
      <c r="AJ156" s="783">
        <v>0</v>
      </c>
      <c r="AK156" s="783">
        <v>0</v>
      </c>
      <c r="AL156" s="783">
        <v>0</v>
      </c>
      <c r="AM156" s="783">
        <v>0</v>
      </c>
      <c r="AN156" s="783">
        <v>0</v>
      </c>
      <c r="AO156" s="783">
        <v>0</v>
      </c>
      <c r="AP156" s="783">
        <v>0</v>
      </c>
      <c r="AQ156" s="783">
        <v>0</v>
      </c>
      <c r="AR156" s="783">
        <v>0</v>
      </c>
      <c r="AS156" s="783">
        <v>0</v>
      </c>
      <c r="AT156" s="783">
        <v>0</v>
      </c>
      <c r="AU156" s="783">
        <v>0</v>
      </c>
      <c r="AV156" s="783">
        <v>0</v>
      </c>
      <c r="AW156" s="783">
        <v>0</v>
      </c>
      <c r="AX156" s="783">
        <v>0</v>
      </c>
      <c r="AY156" s="783">
        <v>0</v>
      </c>
      <c r="AZ156" s="783">
        <v>0</v>
      </c>
      <c r="BA156" s="783">
        <v>0</v>
      </c>
      <c r="BB156" s="783">
        <v>0</v>
      </c>
      <c r="BC156" s="783">
        <v>0</v>
      </c>
      <c r="BD156" s="783">
        <v>0</v>
      </c>
      <c r="BE156" s="783">
        <v>0</v>
      </c>
    </row>
    <row r="157" spans="1:57" x14ac:dyDescent="0.25">
      <c r="A157" s="783" t="s">
        <v>428</v>
      </c>
      <c r="B157" s="783" t="s">
        <v>374</v>
      </c>
      <c r="C157" s="784" t="s">
        <v>706</v>
      </c>
      <c r="D157" s="783">
        <v>0.20943999999999999</v>
      </c>
      <c r="E157" s="783">
        <v>0.20943999999999999</v>
      </c>
      <c r="F157" s="783">
        <v>0.20943999999999999</v>
      </c>
      <c r="G157" s="783">
        <v>0.20943999999999999</v>
      </c>
      <c r="H157" s="783">
        <v>0.20943999999999999</v>
      </c>
      <c r="I157" s="783">
        <v>0.20943999999999999</v>
      </c>
      <c r="J157" s="783">
        <v>0.20943999999999999</v>
      </c>
      <c r="K157" s="783">
        <v>0.20943999999999999</v>
      </c>
      <c r="L157" s="783">
        <v>0.20943999999999999</v>
      </c>
      <c r="M157" s="783">
        <v>0.20943999999999999</v>
      </c>
      <c r="N157" s="783">
        <v>0.20943999999999999</v>
      </c>
      <c r="O157" s="783">
        <v>0.20943999999999999</v>
      </c>
      <c r="P157" s="783">
        <v>0.20943999999999999</v>
      </c>
      <c r="Q157" s="783">
        <v>0.20943999999999999</v>
      </c>
      <c r="R157" s="783">
        <v>0.20943999999999999</v>
      </c>
      <c r="S157" s="783">
        <v>0.20943999999999999</v>
      </c>
      <c r="T157" s="783">
        <v>0.20943999999999999</v>
      </c>
      <c r="U157" s="783">
        <v>0.20943999999999999</v>
      </c>
      <c r="V157" s="783">
        <v>0.20943999999999999</v>
      </c>
      <c r="W157" s="783">
        <v>0.20943999999999999</v>
      </c>
      <c r="X157" s="783">
        <v>0.20943999999999999</v>
      </c>
      <c r="Y157" s="783">
        <v>0.20943999999999999</v>
      </c>
      <c r="Z157" s="783">
        <v>0.20943999999999999</v>
      </c>
      <c r="AA157" s="783">
        <v>0.20943999999999999</v>
      </c>
    </row>
    <row r="158" spans="1:57" x14ac:dyDescent="0.25">
      <c r="A158" s="783" t="s">
        <v>428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 s="783">
        <v>1.64915381991503</v>
      </c>
      <c r="AC158" s="783">
        <v>1.6001869172594601</v>
      </c>
      <c r="AD158" s="783">
        <v>1.86954435389146</v>
      </c>
      <c r="AE158" s="783">
        <v>2.0527818770798798</v>
      </c>
      <c r="AF158" s="783">
        <v>2.4180992459234001</v>
      </c>
      <c r="AG158" s="783">
        <v>2.7851272779379999</v>
      </c>
      <c r="AH158" s="783">
        <v>2.8315579463967402</v>
      </c>
      <c r="AI158" s="783">
        <v>2.9137079899202698</v>
      </c>
      <c r="AJ158" s="783">
        <v>2.8172071348035699</v>
      </c>
      <c r="AK158" s="783">
        <v>2.7675343960628198</v>
      </c>
      <c r="AL158" s="783">
        <v>2.6949075324257299</v>
      </c>
      <c r="AM158" s="783">
        <v>1.84596912775517</v>
      </c>
      <c r="AN158" s="783">
        <v>1.6363536855315699</v>
      </c>
      <c r="AO158" s="783">
        <v>1.6049846322385499</v>
      </c>
      <c r="AP158" s="783">
        <v>1.92514079837471</v>
      </c>
      <c r="AQ158" s="783">
        <v>2.1140583016244499</v>
      </c>
      <c r="AR158" s="783">
        <v>2.4765063629597601</v>
      </c>
      <c r="AS158" s="783">
        <v>2.84855462532482</v>
      </c>
      <c r="AT158" s="783">
        <v>2.90473301545636</v>
      </c>
      <c r="AU158" s="783">
        <v>3.0611420599540899</v>
      </c>
      <c r="AV158" s="783">
        <v>2.8054941739691102</v>
      </c>
      <c r="AW158" s="783">
        <v>2.8256618359423702</v>
      </c>
      <c r="AX158" s="783">
        <v>2.7460969618463502</v>
      </c>
      <c r="AY158" s="783">
        <v>1.8853093513402599</v>
      </c>
      <c r="AZ158" s="783">
        <v>1.6406985974144199</v>
      </c>
      <c r="BA158" s="783">
        <v>1.57311529494561</v>
      </c>
      <c r="BB158" s="783">
        <v>1.9490824827925299</v>
      </c>
      <c r="BC158" s="783">
        <v>2.1418491591043001</v>
      </c>
      <c r="BD158" s="783">
        <v>1.8055729666095599</v>
      </c>
      <c r="BE158" s="783">
        <v>2.1259387407353199</v>
      </c>
    </row>
    <row r="159" spans="1:57" x14ac:dyDescent="0.25">
      <c r="A159" s="783" t="s">
        <v>428</v>
      </c>
      <c r="C159" s="784" t="s">
        <v>707</v>
      </c>
      <c r="D159" s="786">
        <v>0</v>
      </c>
      <c r="E159" s="786">
        <v>0</v>
      </c>
      <c r="F159" s="786">
        <v>0</v>
      </c>
      <c r="G159" s="786">
        <v>0</v>
      </c>
      <c r="H159" s="786">
        <v>0</v>
      </c>
      <c r="I159" s="786">
        <v>0</v>
      </c>
      <c r="J159" s="786">
        <v>0</v>
      </c>
      <c r="K159" s="786">
        <v>0</v>
      </c>
      <c r="L159" s="786">
        <v>0</v>
      </c>
      <c r="M159" s="786">
        <v>0</v>
      </c>
      <c r="N159" s="786">
        <v>0</v>
      </c>
      <c r="O159" s="786">
        <v>0</v>
      </c>
      <c r="P159" s="786">
        <v>0</v>
      </c>
      <c r="Q159" s="786">
        <v>0</v>
      </c>
      <c r="R159" s="786">
        <v>0</v>
      </c>
      <c r="S159" s="786">
        <v>0</v>
      </c>
      <c r="T159" s="786">
        <v>0</v>
      </c>
      <c r="U159" s="786">
        <v>0</v>
      </c>
      <c r="V159" s="786">
        <v>0</v>
      </c>
      <c r="W159" s="786">
        <v>0</v>
      </c>
      <c r="X159" s="786">
        <v>0</v>
      </c>
      <c r="Y159" s="786">
        <v>0</v>
      </c>
      <c r="Z159" s="786">
        <v>0</v>
      </c>
      <c r="AA159" s="786">
        <v>0</v>
      </c>
      <c r="AB159" s="783">
        <v>67.2162653059722</v>
      </c>
      <c r="AC159" s="783">
        <v>64.112143052500002</v>
      </c>
      <c r="AD159" s="783">
        <v>52.196160460994697</v>
      </c>
      <c r="AE159" s="783">
        <v>42.649198019149999</v>
      </c>
      <c r="AF159" s="783">
        <v>28.757218821034598</v>
      </c>
      <c r="AG159" s="783">
        <v>25.1173195336217</v>
      </c>
      <c r="AH159" s="783">
        <v>22.275863718116199</v>
      </c>
      <c r="AI159" s="783">
        <v>25.9871046824844</v>
      </c>
      <c r="AJ159" s="783">
        <v>28.7256047952872</v>
      </c>
      <c r="AK159" s="783">
        <v>41.934593869776798</v>
      </c>
      <c r="AL159" s="783">
        <v>46.237999315195403</v>
      </c>
      <c r="AM159" s="783">
        <v>61.840733687243997</v>
      </c>
      <c r="AN159" s="783">
        <v>70.803571536038206</v>
      </c>
      <c r="AO159" s="783">
        <v>67.646582413731693</v>
      </c>
      <c r="AP159" s="783">
        <v>54.267553937548399</v>
      </c>
      <c r="AQ159" s="783">
        <v>44.677133915387301</v>
      </c>
      <c r="AR159" s="783">
        <v>30.368357124406799</v>
      </c>
      <c r="AS159" s="783">
        <v>26.6357241675667</v>
      </c>
      <c r="AT159" s="783">
        <v>23.6594102174124</v>
      </c>
      <c r="AU159" s="783">
        <v>27.0923428022652</v>
      </c>
      <c r="AV159" s="783">
        <v>30.6968669182843</v>
      </c>
      <c r="AW159" s="783">
        <v>43.816607331364096</v>
      </c>
      <c r="AX159" s="783">
        <v>48.069458809901199</v>
      </c>
      <c r="AY159" s="783">
        <v>64.481951959948304</v>
      </c>
      <c r="AZ159" s="783">
        <v>73.986880701790994</v>
      </c>
      <c r="BA159" s="783">
        <v>71.240929198629402</v>
      </c>
      <c r="BB159" s="783">
        <v>56.4160374124085</v>
      </c>
      <c r="BC159" s="783">
        <v>47.059612463625399</v>
      </c>
      <c r="BD159" s="783">
        <v>37.280562023129399</v>
      </c>
      <c r="BE159" s="783">
        <v>33.378186809599399</v>
      </c>
    </row>
    <row r="160" spans="1:57" x14ac:dyDescent="0.25">
      <c r="A160" s="783" t="s">
        <v>428</v>
      </c>
      <c r="B160" s="783" t="s">
        <v>520</v>
      </c>
      <c r="C160" s="784" t="s">
        <v>708</v>
      </c>
      <c r="D160" s="783">
        <v>0</v>
      </c>
      <c r="E160" s="783">
        <v>0</v>
      </c>
      <c r="F160" s="783">
        <v>0</v>
      </c>
      <c r="G160" s="783">
        <v>0</v>
      </c>
      <c r="H160" s="783">
        <v>0</v>
      </c>
      <c r="I160" s="783">
        <v>0</v>
      </c>
      <c r="J160" s="783">
        <v>0</v>
      </c>
      <c r="K160" s="783">
        <v>0</v>
      </c>
      <c r="L160" s="783">
        <v>0</v>
      </c>
      <c r="M160" s="783">
        <v>0</v>
      </c>
      <c r="N160" s="783">
        <v>0</v>
      </c>
      <c r="O160" s="783">
        <v>0</v>
      </c>
      <c r="P160" s="783">
        <v>0</v>
      </c>
      <c r="Q160" s="783">
        <v>0</v>
      </c>
      <c r="R160" s="783">
        <v>0</v>
      </c>
      <c r="S160" s="783">
        <v>0</v>
      </c>
      <c r="T160" s="783">
        <v>0</v>
      </c>
      <c r="U160" s="783">
        <v>0</v>
      </c>
      <c r="V160" s="783">
        <v>0</v>
      </c>
      <c r="W160" s="783">
        <v>0</v>
      </c>
      <c r="X160" s="783">
        <v>0</v>
      </c>
      <c r="Y160" s="783">
        <v>0</v>
      </c>
      <c r="Z160" s="783">
        <v>0</v>
      </c>
      <c r="AA160" s="783">
        <v>0</v>
      </c>
      <c r="AB160" s="783">
        <v>0</v>
      </c>
      <c r="AC160" s="783">
        <v>0</v>
      </c>
      <c r="AD160" s="783">
        <v>0</v>
      </c>
      <c r="AE160" s="783">
        <v>0</v>
      </c>
      <c r="AF160" s="783">
        <v>0</v>
      </c>
      <c r="AG160" s="783">
        <v>0</v>
      </c>
      <c r="AH160" s="783">
        <v>0</v>
      </c>
      <c r="AI160" s="783">
        <v>0</v>
      </c>
      <c r="AJ160" s="783">
        <v>0</v>
      </c>
      <c r="AK160" s="783">
        <v>0</v>
      </c>
      <c r="AL160" s="783">
        <v>0</v>
      </c>
      <c r="AM160" s="783">
        <v>0</v>
      </c>
      <c r="AN160" s="783">
        <v>0</v>
      </c>
      <c r="AO160" s="783">
        <v>0</v>
      </c>
      <c r="AP160" s="783">
        <v>0</v>
      </c>
      <c r="AQ160" s="783">
        <v>0</v>
      </c>
      <c r="AR160" s="783">
        <v>0</v>
      </c>
      <c r="AS160" s="783">
        <v>0</v>
      </c>
      <c r="AT160" s="783">
        <v>0</v>
      </c>
      <c r="AU160" s="783">
        <v>0</v>
      </c>
      <c r="AV160" s="783">
        <v>0</v>
      </c>
      <c r="AW160" s="783">
        <v>0</v>
      </c>
      <c r="AX160" s="783">
        <v>0</v>
      </c>
      <c r="AY160" s="783">
        <v>0</v>
      </c>
      <c r="AZ160" s="783">
        <v>0</v>
      </c>
      <c r="BA160" s="783">
        <v>0</v>
      </c>
      <c r="BB160" s="783">
        <v>0</v>
      </c>
      <c r="BC160" s="783">
        <v>0</v>
      </c>
      <c r="BD160" s="783">
        <v>0</v>
      </c>
      <c r="BE160" s="783">
        <v>0</v>
      </c>
    </row>
    <row r="161" spans="1:57" x14ac:dyDescent="0.25">
      <c r="A161" s="783" t="s">
        <v>428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 s="783">
        <v>68.8654191258872</v>
      </c>
      <c r="AC161" s="783">
        <v>65.712329969759494</v>
      </c>
      <c r="AD161" s="783">
        <v>54.065704814886203</v>
      </c>
      <c r="AE161" s="783">
        <v>44.701979896229901</v>
      </c>
      <c r="AF161" s="783">
        <v>31.175318066957999</v>
      </c>
      <c r="AG161" s="783">
        <v>27.902446811559699</v>
      </c>
      <c r="AH161" s="783">
        <v>25.107421664512898</v>
      </c>
      <c r="AI161" s="783">
        <v>28.900812672404701</v>
      </c>
      <c r="AJ161" s="783">
        <v>31.5428119300907</v>
      </c>
      <c r="AK161" s="783">
        <v>44.702128265839598</v>
      </c>
      <c r="AL161" s="783">
        <v>48.932906847621098</v>
      </c>
      <c r="AM161" s="783">
        <v>63.686702814999101</v>
      </c>
      <c r="AN161" s="783">
        <v>72.439925221569794</v>
      </c>
      <c r="AO161" s="783">
        <v>69.251567045970205</v>
      </c>
      <c r="AP161" s="783">
        <v>56.192694735923098</v>
      </c>
      <c r="AQ161" s="783">
        <v>46.791192217011798</v>
      </c>
      <c r="AR161" s="783">
        <v>32.844863487366602</v>
      </c>
      <c r="AS161" s="783">
        <v>29.484278792891502</v>
      </c>
      <c r="AT161" s="783">
        <v>26.564143232868801</v>
      </c>
      <c r="AU161" s="783">
        <v>30.153484862219301</v>
      </c>
      <c r="AV161" s="783">
        <v>33.502361092253402</v>
      </c>
      <c r="AW161" s="783">
        <v>46.642269167306502</v>
      </c>
      <c r="AX161" s="783">
        <v>50.815555771747498</v>
      </c>
      <c r="AY161" s="783">
        <v>66.367261311288601</v>
      </c>
      <c r="AZ161" s="783">
        <v>75.627579299205394</v>
      </c>
      <c r="BA161" s="783">
        <v>72.814044493574997</v>
      </c>
      <c r="BB161" s="783">
        <v>58.365119895201097</v>
      </c>
      <c r="BC161" s="783">
        <v>49.201461622729703</v>
      </c>
      <c r="BD161" s="783">
        <v>39.086134989738902</v>
      </c>
      <c r="BE161" s="783">
        <v>35.504125550334699</v>
      </c>
    </row>
    <row r="162" spans="1:57" x14ac:dyDescent="0.25">
      <c r="A162" s="783" t="s">
        <v>428</v>
      </c>
      <c r="B162" s="783" t="s">
        <v>1075</v>
      </c>
      <c r="C162" s="784" t="s">
        <v>709</v>
      </c>
      <c r="D162" s="783">
        <v>100</v>
      </c>
      <c r="E162" s="783">
        <v>100</v>
      </c>
      <c r="F162" s="783">
        <v>100</v>
      </c>
      <c r="G162" s="783">
        <v>100</v>
      </c>
      <c r="H162" s="783">
        <v>100</v>
      </c>
      <c r="I162" s="783">
        <v>100</v>
      </c>
      <c r="J162" s="783">
        <v>100</v>
      </c>
      <c r="K162" s="783">
        <v>100</v>
      </c>
      <c r="L162" s="783">
        <v>100</v>
      </c>
      <c r="M162" s="783">
        <v>100</v>
      </c>
      <c r="N162" s="783">
        <v>100</v>
      </c>
      <c r="O162" s="783">
        <v>100</v>
      </c>
      <c r="P162" s="783">
        <v>100</v>
      </c>
      <c r="Q162" s="783">
        <v>100</v>
      </c>
      <c r="R162" s="783">
        <v>100</v>
      </c>
      <c r="S162" s="783">
        <v>100</v>
      </c>
      <c r="T162" s="783">
        <v>100</v>
      </c>
      <c r="U162" s="783">
        <v>100</v>
      </c>
      <c r="V162" s="783">
        <v>100</v>
      </c>
      <c r="W162" s="783">
        <v>100</v>
      </c>
      <c r="X162" s="783">
        <v>100</v>
      </c>
      <c r="Y162" s="783">
        <v>100</v>
      </c>
      <c r="Z162" s="783">
        <v>100</v>
      </c>
      <c r="AA162" s="783">
        <v>100</v>
      </c>
    </row>
    <row r="163" spans="1:57" x14ac:dyDescent="0.25">
      <c r="A163" s="783" t="s">
        <v>428</v>
      </c>
      <c r="C163" s="784" t="s">
        <v>710</v>
      </c>
      <c r="D163" s="788">
        <v>10.8978</v>
      </c>
      <c r="E163" s="788">
        <v>10.8978</v>
      </c>
      <c r="F163" s="788">
        <v>10.8978</v>
      </c>
      <c r="G163" s="788">
        <v>10.8978</v>
      </c>
      <c r="H163" s="788">
        <v>10.8978</v>
      </c>
      <c r="I163" s="788">
        <v>10.8978</v>
      </c>
      <c r="J163" s="788">
        <v>10.8978</v>
      </c>
      <c r="K163" s="788">
        <v>10.8978</v>
      </c>
      <c r="L163" s="788">
        <v>10.8978</v>
      </c>
      <c r="M163" s="788">
        <v>10.8978</v>
      </c>
      <c r="N163" s="788">
        <v>10.8978</v>
      </c>
      <c r="O163" s="788">
        <v>10.8978</v>
      </c>
      <c r="P163" s="788">
        <v>10.8978</v>
      </c>
      <c r="Q163" s="788">
        <v>10.8978</v>
      </c>
      <c r="R163" s="788">
        <v>10.8978</v>
      </c>
      <c r="S163" s="788">
        <v>10.8978</v>
      </c>
      <c r="T163" s="788">
        <v>10.8978</v>
      </c>
      <c r="U163" s="788">
        <v>10.8978</v>
      </c>
      <c r="V163" s="788">
        <v>10.8978</v>
      </c>
      <c r="W163" s="788">
        <v>10.8978</v>
      </c>
      <c r="X163" s="788">
        <v>10.8978</v>
      </c>
      <c r="Y163" s="788">
        <v>10.8978</v>
      </c>
      <c r="Z163" s="788">
        <v>10.8978</v>
      </c>
      <c r="AA163" s="788">
        <v>10.8978</v>
      </c>
      <c r="AB163" s="783">
        <v>1488.85485912588</v>
      </c>
      <c r="AC163" s="783">
        <v>1485.7017699697501</v>
      </c>
      <c r="AD163" s="783">
        <v>1474.0551448148799</v>
      </c>
      <c r="AE163" s="783">
        <v>1464.6914198962199</v>
      </c>
      <c r="AF163" s="783">
        <v>1451.1647580669501</v>
      </c>
      <c r="AG163" s="783">
        <v>1447.89188681155</v>
      </c>
      <c r="AH163" s="783">
        <v>1445.09686166451</v>
      </c>
      <c r="AI163" s="783">
        <v>1448.8902526724</v>
      </c>
      <c r="AJ163" s="783">
        <v>1451.5322519300901</v>
      </c>
      <c r="AK163" s="783">
        <v>1464.69156826583</v>
      </c>
      <c r="AL163" s="783">
        <v>1468.92234684762</v>
      </c>
      <c r="AM163" s="783">
        <v>1483.67614281499</v>
      </c>
      <c r="AN163" s="783">
        <v>1492.4293652215599</v>
      </c>
      <c r="AO163" s="783">
        <v>1489.24100704597</v>
      </c>
      <c r="AP163" s="783">
        <v>1476.18213473592</v>
      </c>
      <c r="AQ163" s="783">
        <v>1466.78063221701</v>
      </c>
      <c r="AR163" s="783">
        <v>1452.8343034873601</v>
      </c>
      <c r="AS163" s="783">
        <v>1449.4737187928899</v>
      </c>
      <c r="AT163" s="783">
        <v>1446.5535832328601</v>
      </c>
      <c r="AU163" s="783">
        <v>1450.1429248622101</v>
      </c>
      <c r="AV163" s="783">
        <v>1453.4918010922499</v>
      </c>
      <c r="AW163" s="783">
        <v>1466.6317091673</v>
      </c>
      <c r="AX163" s="783">
        <v>1470.8049957717401</v>
      </c>
      <c r="AY163" s="783">
        <v>1486.3567013112799</v>
      </c>
      <c r="AZ163" s="783">
        <v>1495.6170192991999</v>
      </c>
      <c r="BA163" s="783">
        <v>1492.8034844935701</v>
      </c>
      <c r="BB163" s="783">
        <v>1478.3545598952001</v>
      </c>
      <c r="BC163" s="783">
        <v>1469.19090162272</v>
      </c>
      <c r="BD163" s="783">
        <v>1459.0755749897301</v>
      </c>
      <c r="BE163" s="783">
        <v>1455.49356555033</v>
      </c>
    </row>
    <row r="164" spans="1:57" s="880" customFormat="1" x14ac:dyDescent="0.25">
      <c r="A164" s="783" t="s">
        <v>428</v>
      </c>
      <c r="B164" s="783"/>
      <c r="C164" s="882" t="s">
        <v>1086</v>
      </c>
      <c r="D164" s="783">
        <v>1089.78</v>
      </c>
      <c r="E164" s="783">
        <v>1089.78</v>
      </c>
      <c r="F164" s="783">
        <v>1089.78</v>
      </c>
      <c r="G164" s="783">
        <v>1089.78</v>
      </c>
      <c r="H164" s="783">
        <v>1089.78</v>
      </c>
      <c r="I164" s="783">
        <v>1089.78</v>
      </c>
      <c r="J164" s="783">
        <v>1089.78</v>
      </c>
      <c r="K164" s="783">
        <v>1089.78</v>
      </c>
      <c r="L164" s="783">
        <v>1089.78</v>
      </c>
      <c r="M164" s="783">
        <v>1089.78</v>
      </c>
      <c r="N164" s="783">
        <v>1089.78</v>
      </c>
      <c r="O164" s="783">
        <v>1089.78</v>
      </c>
      <c r="P164" s="783">
        <v>1089.78</v>
      </c>
      <c r="Q164" s="783">
        <v>1089.78</v>
      </c>
      <c r="R164" s="783">
        <v>1089.78</v>
      </c>
      <c r="S164" s="783">
        <v>1089.78</v>
      </c>
      <c r="T164" s="783">
        <v>1089.78</v>
      </c>
      <c r="U164" s="783">
        <v>1089.78</v>
      </c>
      <c r="V164" s="783">
        <v>1089.78</v>
      </c>
      <c r="W164" s="783">
        <v>1089.78</v>
      </c>
      <c r="X164" s="783">
        <v>1089.78</v>
      </c>
      <c r="Y164" s="783">
        <v>1089.78</v>
      </c>
      <c r="Z164" s="783">
        <v>1089.78</v>
      </c>
      <c r="AA164" s="783">
        <v>1089.78</v>
      </c>
    </row>
    <row r="165" spans="1:57" x14ac:dyDescent="0.25">
      <c r="A165" s="783" t="s">
        <v>428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 s="783">
        <v>100</v>
      </c>
      <c r="AC165" s="783">
        <v>98</v>
      </c>
      <c r="AD165" s="783">
        <v>101</v>
      </c>
      <c r="AE165" s="783">
        <v>109</v>
      </c>
      <c r="AF165" s="783">
        <v>118</v>
      </c>
      <c r="AG165" s="783">
        <v>120</v>
      </c>
      <c r="AH165" s="783">
        <v>122</v>
      </c>
      <c r="AI165" s="783">
        <v>120</v>
      </c>
      <c r="AJ165" s="783">
        <v>120</v>
      </c>
      <c r="AK165" s="783">
        <v>119</v>
      </c>
      <c r="AL165" s="783">
        <v>116</v>
      </c>
      <c r="AM165" s="783">
        <v>107</v>
      </c>
      <c r="AN165" s="783">
        <v>99</v>
      </c>
      <c r="AO165" s="783">
        <v>97</v>
      </c>
      <c r="AP165" s="783">
        <v>100</v>
      </c>
      <c r="AQ165" s="783">
        <v>108</v>
      </c>
      <c r="AR165" s="783">
        <v>117</v>
      </c>
      <c r="AS165" s="783">
        <v>119</v>
      </c>
      <c r="AT165" s="783">
        <v>122</v>
      </c>
      <c r="AU165" s="783">
        <v>120</v>
      </c>
      <c r="AV165" s="783">
        <v>120</v>
      </c>
      <c r="AW165" s="783">
        <v>119</v>
      </c>
      <c r="AX165" s="783">
        <v>115</v>
      </c>
      <c r="AY165" s="783">
        <v>106</v>
      </c>
      <c r="AZ165" s="783">
        <v>99</v>
      </c>
      <c r="BA165" s="783">
        <v>97</v>
      </c>
      <c r="BB165" s="783">
        <v>100</v>
      </c>
      <c r="BC165" s="783">
        <v>109</v>
      </c>
      <c r="BD165" s="783">
        <v>118</v>
      </c>
      <c r="BE165" s="783">
        <v>120</v>
      </c>
    </row>
    <row r="166" spans="1:57" x14ac:dyDescent="0.25">
      <c r="A166" s="783" t="s">
        <v>428</v>
      </c>
      <c r="B166" s="783" t="s">
        <v>521</v>
      </c>
      <c r="C166" s="784" t="s">
        <v>712</v>
      </c>
      <c r="D166" s="783">
        <v>0</v>
      </c>
      <c r="E166" s="783">
        <v>0</v>
      </c>
      <c r="F166" s="783">
        <v>0</v>
      </c>
      <c r="G166" s="783">
        <v>0</v>
      </c>
      <c r="H166" s="783">
        <v>0</v>
      </c>
      <c r="I166" s="783">
        <v>0</v>
      </c>
      <c r="J166" s="783">
        <v>0</v>
      </c>
      <c r="K166" s="783">
        <v>0</v>
      </c>
      <c r="L166" s="783">
        <v>0</v>
      </c>
      <c r="M166" s="783">
        <v>0</v>
      </c>
      <c r="N166" s="783">
        <v>0</v>
      </c>
      <c r="O166" s="783">
        <v>0</v>
      </c>
      <c r="P166" s="783">
        <v>0</v>
      </c>
      <c r="Q166" s="783">
        <v>0</v>
      </c>
      <c r="R166" s="783">
        <v>0</v>
      </c>
      <c r="S166" s="783">
        <v>0</v>
      </c>
      <c r="T166" s="783">
        <v>0</v>
      </c>
      <c r="U166" s="783">
        <v>0</v>
      </c>
      <c r="V166" s="783">
        <v>0</v>
      </c>
      <c r="W166" s="783">
        <v>0</v>
      </c>
      <c r="X166" s="783">
        <v>0</v>
      </c>
      <c r="Y166" s="783">
        <v>0</v>
      </c>
      <c r="Z166" s="783">
        <v>0</v>
      </c>
      <c r="AA166" s="783">
        <v>0</v>
      </c>
      <c r="AB166" s="783">
        <v>75</v>
      </c>
      <c r="AC166" s="783">
        <v>73</v>
      </c>
      <c r="AD166" s="783">
        <v>76</v>
      </c>
      <c r="AE166" s="783">
        <v>84</v>
      </c>
      <c r="AF166" s="783">
        <v>93</v>
      </c>
      <c r="AG166" s="783">
        <v>95</v>
      </c>
      <c r="AH166" s="783">
        <v>97</v>
      </c>
      <c r="AI166" s="783">
        <v>95</v>
      </c>
      <c r="AJ166" s="783">
        <v>95</v>
      </c>
      <c r="AK166" s="783">
        <v>94</v>
      </c>
      <c r="AL166" s="783">
        <v>90</v>
      </c>
      <c r="AM166" s="783">
        <v>81</v>
      </c>
      <c r="AN166" s="783">
        <v>75</v>
      </c>
      <c r="AO166" s="783">
        <v>72</v>
      </c>
      <c r="AP166" s="783">
        <v>75</v>
      </c>
      <c r="AQ166" s="783">
        <v>83</v>
      </c>
      <c r="AR166" s="783">
        <v>92</v>
      </c>
      <c r="AS166" s="783">
        <v>94</v>
      </c>
      <c r="AT166" s="783">
        <v>96</v>
      </c>
      <c r="AU166" s="783">
        <v>94</v>
      </c>
      <c r="AV166" s="783">
        <v>94</v>
      </c>
      <c r="AW166" s="783">
        <v>93</v>
      </c>
      <c r="AX166" s="783">
        <v>90</v>
      </c>
      <c r="AY166" s="783">
        <v>81</v>
      </c>
      <c r="AZ166" s="783">
        <v>75</v>
      </c>
      <c r="BA166" s="783">
        <v>73</v>
      </c>
      <c r="BB166" s="783">
        <v>76</v>
      </c>
      <c r="BC166" s="783">
        <v>83</v>
      </c>
      <c r="BD166" s="783">
        <v>92</v>
      </c>
      <c r="BE166" s="783">
        <v>94</v>
      </c>
    </row>
    <row r="167" spans="1:57" s="786" customFormat="1" x14ac:dyDescent="0.25">
      <c r="A167" s="783" t="s">
        <v>428</v>
      </c>
      <c r="B167" s="783"/>
      <c r="C167" s="785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 s="786">
        <v>168.02</v>
      </c>
      <c r="AC167" s="786">
        <v>168.02</v>
      </c>
      <c r="AD167" s="786">
        <v>162.6</v>
      </c>
      <c r="AE167" s="786">
        <v>168.02</v>
      </c>
      <c r="AF167" s="786">
        <v>162.6</v>
      </c>
      <c r="AG167" s="786">
        <v>168.02</v>
      </c>
      <c r="AH167" s="786">
        <v>168.02</v>
      </c>
      <c r="AI167" s="786">
        <v>151.76</v>
      </c>
      <c r="AJ167" s="786">
        <v>168.02</v>
      </c>
      <c r="AK167" s="786">
        <v>162.6</v>
      </c>
      <c r="AL167" s="786">
        <v>168.02</v>
      </c>
      <c r="AM167" s="786">
        <v>162.6</v>
      </c>
      <c r="AN167" s="786">
        <v>168.02</v>
      </c>
      <c r="AO167" s="786">
        <v>168.02</v>
      </c>
      <c r="AP167" s="786">
        <v>162.6</v>
      </c>
      <c r="AQ167" s="786">
        <v>168.02</v>
      </c>
      <c r="AR167" s="786">
        <v>162.6</v>
      </c>
      <c r="AS167" s="786">
        <v>168.02</v>
      </c>
      <c r="AT167" s="786">
        <v>168.02</v>
      </c>
      <c r="AU167" s="786">
        <v>157.18</v>
      </c>
      <c r="AV167" s="786">
        <v>168.02</v>
      </c>
      <c r="AW167" s="786">
        <v>162.6</v>
      </c>
      <c r="AX167" s="786">
        <v>168.02</v>
      </c>
      <c r="AY167" s="786">
        <v>162.6</v>
      </c>
      <c r="AZ167" s="786">
        <v>168.02</v>
      </c>
      <c r="BA167" s="786">
        <v>168.02</v>
      </c>
      <c r="BB167" s="786">
        <v>162.6</v>
      </c>
      <c r="BC167" s="786">
        <v>168.02</v>
      </c>
      <c r="BD167" s="786">
        <v>162.6</v>
      </c>
      <c r="BE167" s="786">
        <v>168.02</v>
      </c>
    </row>
    <row r="168" spans="1:57" s="786" customFormat="1" x14ac:dyDescent="0.25">
      <c r="A168" s="783" t="s">
        <v>428</v>
      </c>
      <c r="B168" s="783" t="s">
        <v>107</v>
      </c>
      <c r="C168" s="785" t="s">
        <v>713</v>
      </c>
      <c r="D168" s="783">
        <v>0.49964176037941099</v>
      </c>
      <c r="E168" s="783">
        <v>0.96695736460884796</v>
      </c>
      <c r="F168" s="783">
        <v>2.0202172127498699</v>
      </c>
      <c r="G168" s="783">
        <v>2.1129545750863099</v>
      </c>
      <c r="H168" s="783">
        <v>2.4027392884731298</v>
      </c>
      <c r="I168" s="783">
        <v>2.65781905179078</v>
      </c>
      <c r="J168" s="783">
        <v>2.75370499550437</v>
      </c>
      <c r="K168" s="783">
        <v>2.75608438385837</v>
      </c>
      <c r="L168" s="783">
        <v>2.7265955245613598</v>
      </c>
      <c r="M168" s="783">
        <v>2.5892546235031699</v>
      </c>
      <c r="N168" s="783">
        <v>2.6336501606490201</v>
      </c>
      <c r="O168" s="783">
        <v>1.77448568468543</v>
      </c>
      <c r="P168" s="783">
        <v>1.4673542309466701</v>
      </c>
      <c r="Q168" s="783">
        <v>1.5254731566602899</v>
      </c>
      <c r="R168" s="783">
        <v>1.81820939013361</v>
      </c>
      <c r="S168" s="783">
        <v>2.04715298241815</v>
      </c>
      <c r="T168" s="783">
        <v>2.5501107818300199</v>
      </c>
      <c r="U168" s="783">
        <v>2.7457304310620101</v>
      </c>
      <c r="V168" s="783">
        <v>2.79111637388562</v>
      </c>
      <c r="W168" s="783">
        <v>2.82775850089851</v>
      </c>
      <c r="X168" s="783">
        <v>2.8224089188877999</v>
      </c>
      <c r="Y168" s="783">
        <v>2.5593993906622199</v>
      </c>
      <c r="Z168" s="783">
        <v>2.49644434830347</v>
      </c>
      <c r="AA168" s="783">
        <v>1.6042346432610299</v>
      </c>
      <c r="AB168" s="786">
        <v>763.84</v>
      </c>
      <c r="AC168" s="786">
        <v>763.84</v>
      </c>
      <c r="AD168" s="786">
        <v>739.2</v>
      </c>
      <c r="AE168" s="786">
        <v>763.84</v>
      </c>
      <c r="AF168" s="786">
        <v>739.2</v>
      </c>
      <c r="AG168" s="786">
        <v>763.84</v>
      </c>
      <c r="AH168" s="786">
        <v>763.84</v>
      </c>
      <c r="AI168" s="786">
        <v>689.92</v>
      </c>
      <c r="AJ168" s="786">
        <v>763.84</v>
      </c>
      <c r="AK168" s="786">
        <v>739.2</v>
      </c>
      <c r="AL168" s="786">
        <v>763.84</v>
      </c>
      <c r="AM168" s="786">
        <v>739.2</v>
      </c>
      <c r="AN168" s="786">
        <v>763.84</v>
      </c>
      <c r="AO168" s="786">
        <v>763.84</v>
      </c>
      <c r="AP168" s="786">
        <v>739.2</v>
      </c>
      <c r="AQ168" s="786">
        <v>763.84</v>
      </c>
      <c r="AR168" s="786">
        <v>739.2</v>
      </c>
      <c r="AS168" s="786">
        <v>763.84</v>
      </c>
      <c r="AT168" s="786">
        <v>763.84</v>
      </c>
      <c r="AU168" s="786">
        <v>714.56</v>
      </c>
      <c r="AV168" s="786">
        <v>763.84</v>
      </c>
      <c r="AW168" s="786">
        <v>739.2</v>
      </c>
      <c r="AX168" s="786">
        <v>763.84</v>
      </c>
      <c r="AY168" s="786">
        <v>739.2</v>
      </c>
      <c r="AZ168" s="786">
        <v>763.84</v>
      </c>
      <c r="BA168" s="786">
        <v>763.84</v>
      </c>
      <c r="BB168" s="786">
        <v>739.2</v>
      </c>
      <c r="BC168" s="786">
        <v>763.84</v>
      </c>
      <c r="BD168" s="786">
        <v>739.2</v>
      </c>
      <c r="BE168" s="786">
        <v>763.84</v>
      </c>
    </row>
    <row r="169" spans="1:57" x14ac:dyDescent="0.25">
      <c r="A169" s="783" t="s">
        <v>428</v>
      </c>
      <c r="B169" s="783" t="s">
        <v>614</v>
      </c>
      <c r="C169" s="784" t="s">
        <v>714</v>
      </c>
      <c r="D169" s="783">
        <v>314.14905206275103</v>
      </c>
      <c r="E169" s="783">
        <v>195.90510590880299</v>
      </c>
      <c r="F169" s="783">
        <v>177.638617242138</v>
      </c>
      <c r="G169" s="783">
        <v>145.083488562269</v>
      </c>
      <c r="H169" s="783">
        <v>101.64896532687099</v>
      </c>
      <c r="I169" s="783">
        <v>85.918757348081499</v>
      </c>
      <c r="J169" s="783">
        <v>104.445360999678</v>
      </c>
      <c r="K169" s="783">
        <v>126.203661412454</v>
      </c>
      <c r="L169" s="783">
        <v>136.16353920252101</v>
      </c>
      <c r="M169" s="783">
        <v>203.97438898063001</v>
      </c>
      <c r="N169" s="783">
        <v>224.94651743315001</v>
      </c>
      <c r="O169" s="783">
        <v>300.875283362446</v>
      </c>
      <c r="P169" s="783">
        <v>351.26231591704601</v>
      </c>
      <c r="Q169" s="783">
        <v>319.045839871601</v>
      </c>
      <c r="R169" s="783">
        <v>252.896400360879</v>
      </c>
      <c r="S169" s="783">
        <v>189.740560680659</v>
      </c>
      <c r="T169" s="783">
        <v>123.630756920083</v>
      </c>
      <c r="U169" s="783">
        <v>109.293115173346</v>
      </c>
      <c r="V169" s="783">
        <v>112.895687675611</v>
      </c>
      <c r="W169" s="783">
        <v>133.878160833924</v>
      </c>
      <c r="X169" s="783">
        <v>144.38557530027001</v>
      </c>
      <c r="Y169" s="783">
        <v>222.14034693673401</v>
      </c>
      <c r="Z169" s="783">
        <v>247.32931201924899</v>
      </c>
      <c r="AA169" s="783">
        <v>329.11374690738199</v>
      </c>
      <c r="AB169" s="783">
        <v>16802</v>
      </c>
      <c r="AC169" s="783">
        <v>16465.96</v>
      </c>
      <c r="AD169" s="783">
        <v>16422.599999999999</v>
      </c>
      <c r="AE169" s="783">
        <v>18314.18</v>
      </c>
      <c r="AF169" s="783">
        <v>19186.8</v>
      </c>
      <c r="AG169" s="783">
        <v>20162.400000000001</v>
      </c>
      <c r="AH169" s="783">
        <v>20498.439999999999</v>
      </c>
      <c r="AI169" s="783">
        <v>18211.199999999899</v>
      </c>
      <c r="AJ169" s="783">
        <v>20162.400000000001</v>
      </c>
      <c r="AK169" s="783">
        <v>19349.3999999999</v>
      </c>
      <c r="AL169" s="783">
        <v>19490.32</v>
      </c>
      <c r="AM169" s="783">
        <v>17398.2</v>
      </c>
      <c r="AN169" s="783">
        <v>16633.98</v>
      </c>
      <c r="AO169" s="783">
        <v>16297.94</v>
      </c>
      <c r="AP169" s="783">
        <v>16260</v>
      </c>
      <c r="AQ169" s="783">
        <v>18146.16</v>
      </c>
      <c r="AR169" s="783">
        <v>19024.2</v>
      </c>
      <c r="AS169" s="783">
        <v>19994.38</v>
      </c>
      <c r="AT169" s="783">
        <v>20498.439999999999</v>
      </c>
      <c r="AU169" s="783">
        <v>18861.599999999999</v>
      </c>
      <c r="AV169" s="783">
        <v>20162.400000000001</v>
      </c>
      <c r="AW169" s="783">
        <v>19349.3999999999</v>
      </c>
      <c r="AX169" s="783">
        <v>19322.3</v>
      </c>
      <c r="AY169" s="783">
        <v>17235.599999999999</v>
      </c>
      <c r="AZ169" s="783">
        <v>16633.98</v>
      </c>
      <c r="BA169" s="783">
        <v>16297.94</v>
      </c>
      <c r="BB169" s="783">
        <v>16260</v>
      </c>
      <c r="BC169" s="783">
        <v>18314.18</v>
      </c>
      <c r="BD169" s="783">
        <v>19186.8</v>
      </c>
      <c r="BE169" s="783">
        <v>20162.400000000001</v>
      </c>
    </row>
    <row r="170" spans="1:57" x14ac:dyDescent="0.25">
      <c r="A170" s="783" t="s">
        <v>428</v>
      </c>
      <c r="B170" s="783" t="s">
        <v>109</v>
      </c>
      <c r="C170" s="784" t="s">
        <v>715</v>
      </c>
      <c r="D170" s="783">
        <v>0</v>
      </c>
      <c r="E170" s="783">
        <v>0</v>
      </c>
      <c r="F170" s="783">
        <v>0</v>
      </c>
      <c r="G170" s="783">
        <v>0</v>
      </c>
      <c r="H170" s="783">
        <v>0</v>
      </c>
      <c r="I170" s="783">
        <v>0</v>
      </c>
      <c r="J170" s="783">
        <v>0</v>
      </c>
      <c r="K170" s="783">
        <v>0</v>
      </c>
      <c r="L170" s="783">
        <v>0</v>
      </c>
      <c r="M170" s="783">
        <v>0</v>
      </c>
      <c r="N170" s="783">
        <v>0</v>
      </c>
      <c r="O170" s="783">
        <v>0</v>
      </c>
      <c r="P170" s="783">
        <v>0</v>
      </c>
      <c r="Q170" s="783">
        <v>0</v>
      </c>
      <c r="R170" s="783">
        <v>0</v>
      </c>
      <c r="S170" s="783">
        <v>0</v>
      </c>
      <c r="T170" s="783">
        <v>0</v>
      </c>
      <c r="U170" s="783">
        <v>0</v>
      </c>
      <c r="V170" s="783">
        <v>0</v>
      </c>
      <c r="W170" s="783">
        <v>0</v>
      </c>
      <c r="X170" s="783">
        <v>0</v>
      </c>
      <c r="Y170" s="783">
        <v>0</v>
      </c>
      <c r="Z170" s="783">
        <v>0</v>
      </c>
      <c r="AA170" s="783">
        <v>0</v>
      </c>
      <c r="AB170" s="783">
        <v>57288</v>
      </c>
      <c r="AC170" s="783">
        <v>55760.32</v>
      </c>
      <c r="AD170" s="783">
        <v>56179.199999999997</v>
      </c>
      <c r="AE170" s="783">
        <v>64162.559999999998</v>
      </c>
      <c r="AF170" s="783">
        <v>68745.600000000006</v>
      </c>
      <c r="AG170" s="783">
        <v>72564.800000000003</v>
      </c>
      <c r="AH170" s="783">
        <v>74092.479999999996</v>
      </c>
      <c r="AI170" s="783">
        <v>65542.399999999994</v>
      </c>
      <c r="AJ170" s="783">
        <v>72564.800000000003</v>
      </c>
      <c r="AK170" s="783">
        <v>69484.800000000003</v>
      </c>
      <c r="AL170" s="783">
        <v>68745.600000000006</v>
      </c>
      <c r="AM170" s="783">
        <v>59875.199999999997</v>
      </c>
      <c r="AN170" s="783">
        <v>57288</v>
      </c>
      <c r="AO170" s="783">
        <v>54996.480000000003</v>
      </c>
      <c r="AP170" s="783">
        <v>55440</v>
      </c>
      <c r="AQ170" s="783">
        <v>63398.720000000001</v>
      </c>
      <c r="AR170" s="783">
        <v>68006.399999999994</v>
      </c>
      <c r="AS170" s="783">
        <v>71800.960000000006</v>
      </c>
      <c r="AT170" s="783">
        <v>73328.639999999999</v>
      </c>
      <c r="AU170" s="783">
        <v>67168.639999999999</v>
      </c>
      <c r="AV170" s="783">
        <v>71800.960000000006</v>
      </c>
      <c r="AW170" s="783">
        <v>68745.600000000006</v>
      </c>
      <c r="AX170" s="783">
        <v>68745.600000000006</v>
      </c>
      <c r="AY170" s="783">
        <v>59875.199999999997</v>
      </c>
      <c r="AZ170" s="783">
        <v>57288</v>
      </c>
      <c r="BA170" s="783">
        <v>55760.32</v>
      </c>
      <c r="BB170" s="783">
        <v>56179.199999999997</v>
      </c>
      <c r="BC170" s="783">
        <v>63398.720000000001</v>
      </c>
      <c r="BD170" s="783">
        <v>68006.399999999994</v>
      </c>
      <c r="BE170" s="783">
        <v>71800.960000000006</v>
      </c>
    </row>
    <row r="171" spans="1:57" x14ac:dyDescent="0.25">
      <c r="A171" s="783" t="s">
        <v>428</v>
      </c>
      <c r="B171" s="786"/>
      <c r="C171" s="784" t="s">
        <v>716</v>
      </c>
      <c r="D171" s="783">
        <v>314.64869382312997</v>
      </c>
      <c r="E171" s="783">
        <v>196.87206327341201</v>
      </c>
      <c r="F171" s="783">
        <v>179.65883445488799</v>
      </c>
      <c r="G171" s="783">
        <v>147.196443137355</v>
      </c>
      <c r="H171" s="783">
        <v>104.05170461534399</v>
      </c>
      <c r="I171" s="783">
        <v>88.576576399872295</v>
      </c>
      <c r="J171" s="783">
        <v>107.199065995182</v>
      </c>
      <c r="K171" s="783">
        <v>128.95974579631201</v>
      </c>
      <c r="L171" s="783">
        <v>138.89013472708299</v>
      </c>
      <c r="M171" s="783">
        <v>206.56364360413301</v>
      </c>
      <c r="N171" s="783">
        <v>227.58016759379899</v>
      </c>
      <c r="O171" s="783">
        <v>302.64976904713097</v>
      </c>
      <c r="P171" s="783">
        <v>352.72967014799298</v>
      </c>
      <c r="Q171" s="783">
        <v>320.57131302826201</v>
      </c>
      <c r="R171" s="783">
        <v>254.714609751013</v>
      </c>
      <c r="S171" s="783">
        <v>191.787713663077</v>
      </c>
      <c r="T171" s="783">
        <v>126.180867701913</v>
      </c>
      <c r="U171" s="783">
        <v>112.038845604408</v>
      </c>
      <c r="V171" s="783">
        <v>115.686804049497</v>
      </c>
      <c r="W171" s="783">
        <v>136.70591933482299</v>
      </c>
      <c r="X171" s="783">
        <v>147.20798421915799</v>
      </c>
      <c r="Y171" s="783">
        <v>224.69974632739601</v>
      </c>
      <c r="Z171" s="783">
        <v>249.825756367552</v>
      </c>
      <c r="AA171" s="783">
        <v>330.717981550643</v>
      </c>
      <c r="AB171" s="783">
        <v>74090</v>
      </c>
      <c r="AC171" s="783">
        <v>72226.28</v>
      </c>
      <c r="AD171" s="783">
        <v>72601.8</v>
      </c>
      <c r="AE171" s="783">
        <v>82476.740000000005</v>
      </c>
      <c r="AF171" s="783">
        <v>87932.4</v>
      </c>
      <c r="AG171" s="783">
        <v>92727.2</v>
      </c>
      <c r="AH171" s="783">
        <v>94590.92</v>
      </c>
      <c r="AI171" s="783">
        <v>83753.600000000006</v>
      </c>
      <c r="AJ171" s="783">
        <v>92727.2</v>
      </c>
      <c r="AK171" s="783">
        <v>88834.2</v>
      </c>
      <c r="AL171" s="783">
        <v>88235.92</v>
      </c>
      <c r="AM171" s="783">
        <v>77273.399999999994</v>
      </c>
      <c r="AN171" s="783">
        <v>73921.98</v>
      </c>
      <c r="AO171" s="783">
        <v>71294.42</v>
      </c>
      <c r="AP171" s="783">
        <v>71700</v>
      </c>
      <c r="AQ171" s="783">
        <v>81544.88</v>
      </c>
      <c r="AR171" s="783">
        <v>87030.6</v>
      </c>
      <c r="AS171" s="783">
        <v>91795.34</v>
      </c>
      <c r="AT171" s="783">
        <v>93827.08</v>
      </c>
      <c r="AU171" s="783">
        <v>86030.24</v>
      </c>
      <c r="AV171" s="783">
        <v>91963.36</v>
      </c>
      <c r="AW171" s="783">
        <v>88095</v>
      </c>
      <c r="AX171" s="783">
        <v>88067.9</v>
      </c>
      <c r="AY171" s="783">
        <v>77110.8</v>
      </c>
      <c r="AZ171" s="783">
        <v>73921.98</v>
      </c>
      <c r="BA171" s="783">
        <v>72058.259999999995</v>
      </c>
      <c r="BB171" s="783">
        <v>72439.199999999997</v>
      </c>
      <c r="BC171" s="783">
        <v>81712.899999999994</v>
      </c>
      <c r="BD171" s="783">
        <v>87193.2</v>
      </c>
      <c r="BE171" s="783">
        <v>91963.36</v>
      </c>
    </row>
    <row r="172" spans="1:57" x14ac:dyDescent="0.25">
      <c r="A172" s="783" t="s">
        <v>428</v>
      </c>
      <c r="B172" s="786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57" x14ac:dyDescent="0.25">
      <c r="A173" s="783" t="s">
        <v>428</v>
      </c>
      <c r="C173" s="784" t="s">
        <v>717</v>
      </c>
      <c r="D173" s="783">
        <v>1734.6381338231299</v>
      </c>
      <c r="E173" s="783">
        <v>1616.8615032734101</v>
      </c>
      <c r="F173" s="783">
        <v>1599.64827445488</v>
      </c>
      <c r="G173" s="783">
        <v>1567.1858831373499</v>
      </c>
      <c r="H173" s="783">
        <v>1524.04114461534</v>
      </c>
      <c r="I173" s="783">
        <v>1508.56601639987</v>
      </c>
      <c r="J173" s="783">
        <v>1527.1885059951801</v>
      </c>
      <c r="K173" s="783">
        <v>1548.9491857963101</v>
      </c>
      <c r="L173" s="783">
        <v>1558.8795747270799</v>
      </c>
      <c r="M173" s="783">
        <v>1626.5530836041301</v>
      </c>
      <c r="N173" s="783">
        <v>1647.5696075937899</v>
      </c>
      <c r="O173" s="783">
        <v>1722.63920904713</v>
      </c>
      <c r="P173" s="783">
        <v>1772.71911014799</v>
      </c>
      <c r="Q173" s="783">
        <v>1740.56075302826</v>
      </c>
      <c r="R173" s="783">
        <v>1674.70404975101</v>
      </c>
      <c r="S173" s="783">
        <v>1611.7771536630701</v>
      </c>
      <c r="T173" s="783">
        <v>1546.1703077019099</v>
      </c>
      <c r="U173" s="783">
        <v>1532.0282856044</v>
      </c>
      <c r="V173" s="783">
        <v>1535.6762440494899</v>
      </c>
      <c r="W173" s="783">
        <v>1556.6953593348201</v>
      </c>
      <c r="X173" s="783">
        <v>1567.19742421915</v>
      </c>
      <c r="Y173" s="783">
        <v>1644.68918632739</v>
      </c>
      <c r="Z173" s="783">
        <v>1669.81519636755</v>
      </c>
      <c r="AA173" s="783">
        <v>1750.70742155064</v>
      </c>
      <c r="AB173" s="783">
        <v>11329.3513970125</v>
      </c>
      <c r="AC173" s="783">
        <v>12128.554014218</v>
      </c>
      <c r="AD173" s="783">
        <v>14497.7335599792</v>
      </c>
      <c r="AE173" s="783">
        <v>18057.3231368534</v>
      </c>
      <c r="AF173" s="783">
        <v>112599.38453950299</v>
      </c>
      <c r="AG173" s="783">
        <v>131871.71054540999</v>
      </c>
      <c r="AH173" s="783">
        <v>159877.33439137999</v>
      </c>
      <c r="AI173" s="783">
        <v>131334.73903877399</v>
      </c>
      <c r="AJ173" s="783">
        <v>114502.35857133599</v>
      </c>
      <c r="AK173" s="783">
        <v>20074.719466873499</v>
      </c>
      <c r="AL173" s="783">
        <v>15989.3396604399</v>
      </c>
      <c r="AM173" s="783">
        <v>13931.8647047126</v>
      </c>
      <c r="AN173" s="783">
        <v>12635.301123445501</v>
      </c>
      <c r="AO173" s="783">
        <v>13386.8083739591</v>
      </c>
      <c r="AP173" s="783">
        <v>15966.509364920201</v>
      </c>
      <c r="AQ173" s="783">
        <v>19457.677459160801</v>
      </c>
      <c r="AR173" s="783">
        <v>119313.336026829</v>
      </c>
      <c r="AS173" s="783">
        <v>137928.11725009899</v>
      </c>
      <c r="AT173" s="783">
        <v>166386.41019266701</v>
      </c>
      <c r="AU173" s="783">
        <v>137368.438238031</v>
      </c>
      <c r="AV173" s="783">
        <v>121296.442909554</v>
      </c>
      <c r="AW173" s="783">
        <v>21695.146458689898</v>
      </c>
      <c r="AX173" s="783">
        <v>17494.408285417601</v>
      </c>
      <c r="AY173" s="783">
        <v>15332.007999084801</v>
      </c>
      <c r="AZ173" s="783">
        <v>14022.707320097599</v>
      </c>
      <c r="BA173" s="783">
        <v>14766.8637662203</v>
      </c>
      <c r="BB173" s="783">
        <v>17510.873680176901</v>
      </c>
      <c r="BC173" s="783">
        <v>20803.906182311399</v>
      </c>
      <c r="BD173" s="783">
        <v>125636.266304581</v>
      </c>
      <c r="BE173" s="783">
        <v>143321.07567848399</v>
      </c>
    </row>
    <row r="174" spans="1:57" s="811" customFormat="1" x14ac:dyDescent="0.25">
      <c r="C174" s="812" t="s">
        <v>722</v>
      </c>
      <c r="AB174" s="811">
        <v>36405.1397216716</v>
      </c>
      <c r="AC174" s="811">
        <v>40612.147644712</v>
      </c>
      <c r="AD174" s="811">
        <v>48423.319127315597</v>
      </c>
      <c r="AE174" s="811">
        <v>63214.522055508802</v>
      </c>
      <c r="AF174" s="811">
        <v>0</v>
      </c>
      <c r="AG174" s="811">
        <v>0</v>
      </c>
      <c r="AH174" s="811">
        <v>0</v>
      </c>
      <c r="AI174" s="811">
        <v>0</v>
      </c>
      <c r="AJ174" s="811">
        <v>0</v>
      </c>
      <c r="AK174" s="811">
        <v>55724.271982226899</v>
      </c>
      <c r="AL174" s="811">
        <v>50186.4268546233</v>
      </c>
      <c r="AM174" s="811">
        <v>43524.438805079502</v>
      </c>
      <c r="AN174" s="811">
        <v>40601.6096336923</v>
      </c>
      <c r="AO174" s="811">
        <v>44825.379640257197</v>
      </c>
      <c r="AP174" s="811">
        <v>53329.120384794602</v>
      </c>
      <c r="AQ174" s="811">
        <v>68116.839443425502</v>
      </c>
      <c r="AR174" s="811">
        <v>0</v>
      </c>
      <c r="AS174" s="811">
        <v>0</v>
      </c>
      <c r="AT174" s="811">
        <v>0</v>
      </c>
      <c r="AU174" s="811">
        <v>0</v>
      </c>
      <c r="AV174" s="811">
        <v>0</v>
      </c>
      <c r="AW174" s="811">
        <v>60222.323104103103</v>
      </c>
      <c r="AX174" s="811">
        <v>54910.450364206597</v>
      </c>
      <c r="AY174" s="811">
        <v>47898.616449342</v>
      </c>
      <c r="AZ174" s="811">
        <v>45059.827467163901</v>
      </c>
      <c r="BA174" s="811">
        <v>49446.459225069302</v>
      </c>
      <c r="BB174" s="811">
        <v>58487.3919020022</v>
      </c>
      <c r="BC174" s="811">
        <v>72829.675596735498</v>
      </c>
      <c r="BD174" s="811">
        <v>0</v>
      </c>
      <c r="BE174" s="811">
        <v>0</v>
      </c>
    </row>
    <row r="175" spans="1:57" s="788" customFormat="1" x14ac:dyDescent="0.25">
      <c r="A175" s="783" t="s">
        <v>59</v>
      </c>
      <c r="B175" s="783"/>
      <c r="C175" s="787" t="s">
        <v>693</v>
      </c>
      <c r="D175" s="783">
        <v>104</v>
      </c>
      <c r="E175" s="783">
        <v>101</v>
      </c>
      <c r="F175" s="783">
        <v>105</v>
      </c>
      <c r="G175" s="783">
        <v>110</v>
      </c>
      <c r="H175" s="783">
        <v>119</v>
      </c>
      <c r="I175" s="783">
        <v>121</v>
      </c>
      <c r="J175" s="783">
        <v>121</v>
      </c>
      <c r="K175" s="783">
        <v>119</v>
      </c>
      <c r="L175" s="783">
        <v>119</v>
      </c>
      <c r="M175" s="783">
        <v>117</v>
      </c>
      <c r="N175" s="783">
        <v>114</v>
      </c>
      <c r="O175" s="783">
        <v>105</v>
      </c>
      <c r="P175" s="783">
        <v>99</v>
      </c>
      <c r="Q175" s="783">
        <v>96</v>
      </c>
      <c r="R175" s="783">
        <v>100</v>
      </c>
      <c r="S175" s="783">
        <v>109</v>
      </c>
      <c r="T175" s="783">
        <v>118</v>
      </c>
      <c r="U175" s="783">
        <v>120</v>
      </c>
      <c r="V175" s="783">
        <v>123</v>
      </c>
      <c r="W175" s="783">
        <v>121</v>
      </c>
      <c r="X175" s="783">
        <v>121</v>
      </c>
      <c r="Y175" s="783">
        <v>120</v>
      </c>
      <c r="Z175" s="783">
        <v>116</v>
      </c>
      <c r="AA175" s="783">
        <v>107</v>
      </c>
      <c r="AB175" s="788">
        <v>2.1928999999999998</v>
      </c>
      <c r="AC175" s="788">
        <v>2.1928999999999998</v>
      </c>
      <c r="AD175" s="788">
        <v>2.1928999999999998</v>
      </c>
      <c r="AE175" s="788">
        <v>2.1928999999999998</v>
      </c>
      <c r="AF175" s="788">
        <v>2.1928999999999998</v>
      </c>
      <c r="AG175" s="788">
        <v>2.1928999999999998</v>
      </c>
      <c r="AH175" s="788">
        <v>2.1928999999999998</v>
      </c>
      <c r="AI175" s="788">
        <v>2.1928999999999998</v>
      </c>
      <c r="AJ175" s="788">
        <v>2.1928999999999998</v>
      </c>
      <c r="AK175" s="788">
        <v>2.1928999999999998</v>
      </c>
      <c r="AL175" s="788">
        <v>2.1928999999999998</v>
      </c>
      <c r="AM175" s="788">
        <v>2.1928999999999998</v>
      </c>
      <c r="AN175" s="788">
        <v>2.1928999999999998</v>
      </c>
      <c r="AO175" s="788">
        <v>2.1928999999999998</v>
      </c>
      <c r="AP175" s="788">
        <v>2.1928999999999998</v>
      </c>
      <c r="AQ175" s="788">
        <v>2.1928999999999998</v>
      </c>
      <c r="AR175" s="788">
        <v>2.1928999999999998</v>
      </c>
      <c r="AS175" s="788">
        <v>2.1928999999999998</v>
      </c>
      <c r="AT175" s="788">
        <v>2.1928999999999998</v>
      </c>
      <c r="AU175" s="788">
        <v>2.1928999999999998</v>
      </c>
      <c r="AV175" s="788">
        <v>2.1928999999999998</v>
      </c>
      <c r="AW175" s="788">
        <v>2.1928999999999998</v>
      </c>
      <c r="AX175" s="788">
        <v>2.1928999999999998</v>
      </c>
      <c r="AY175" s="788">
        <v>2.1928999999999998</v>
      </c>
      <c r="AZ175" s="788">
        <v>2.1928999999999998</v>
      </c>
      <c r="BA175" s="788">
        <v>2.1928999999999998</v>
      </c>
      <c r="BB175" s="788">
        <v>2.1928999999999998</v>
      </c>
      <c r="BC175" s="788">
        <v>2.1928999999999998</v>
      </c>
      <c r="BD175" s="788">
        <v>2.1928999999999998</v>
      </c>
      <c r="BE175" s="788">
        <v>2.1928999999999998</v>
      </c>
    </row>
    <row r="176" spans="1:57" s="788" customFormat="1" x14ac:dyDescent="0.25">
      <c r="A176" s="783" t="s">
        <v>59</v>
      </c>
      <c r="B176" s="783"/>
      <c r="C176" s="787" t="s">
        <v>694</v>
      </c>
      <c r="D176" s="783">
        <v>78</v>
      </c>
      <c r="E176" s="783">
        <v>76</v>
      </c>
      <c r="F176" s="783">
        <v>79</v>
      </c>
      <c r="G176" s="783">
        <v>84</v>
      </c>
      <c r="H176" s="783">
        <v>93</v>
      </c>
      <c r="I176" s="783">
        <v>95</v>
      </c>
      <c r="J176" s="783">
        <v>95</v>
      </c>
      <c r="K176" s="783">
        <v>93</v>
      </c>
      <c r="L176" s="783">
        <v>93</v>
      </c>
      <c r="M176" s="783">
        <v>91</v>
      </c>
      <c r="N176" s="783">
        <v>88</v>
      </c>
      <c r="O176" s="783">
        <v>79</v>
      </c>
      <c r="P176" s="783">
        <v>74</v>
      </c>
      <c r="Q176" s="783">
        <v>72</v>
      </c>
      <c r="R176" s="783">
        <v>75</v>
      </c>
      <c r="S176" s="783">
        <v>84</v>
      </c>
      <c r="T176" s="783">
        <v>93</v>
      </c>
      <c r="U176" s="783">
        <v>95</v>
      </c>
      <c r="V176" s="783">
        <v>97</v>
      </c>
      <c r="W176" s="783">
        <v>95</v>
      </c>
      <c r="X176" s="783">
        <v>95</v>
      </c>
      <c r="Y176" s="783">
        <v>94</v>
      </c>
      <c r="Z176" s="783">
        <v>91</v>
      </c>
      <c r="AA176" s="783">
        <v>82</v>
      </c>
      <c r="AB176" s="788">
        <v>1.6929000000000001</v>
      </c>
      <c r="AC176" s="788">
        <v>1.6929000000000001</v>
      </c>
      <c r="AD176" s="788">
        <v>1.6929000000000001</v>
      </c>
      <c r="AE176" s="788">
        <v>1.6929000000000001</v>
      </c>
      <c r="AF176" s="788">
        <v>2.1928999999999998</v>
      </c>
      <c r="AG176" s="788">
        <v>2.1928999999999998</v>
      </c>
      <c r="AH176" s="788">
        <v>2.1928999999999998</v>
      </c>
      <c r="AI176" s="788">
        <v>2.1928999999999998</v>
      </c>
      <c r="AJ176" s="788">
        <v>2.1928999999999998</v>
      </c>
      <c r="AK176" s="788">
        <v>1.6929000000000001</v>
      </c>
      <c r="AL176" s="788">
        <v>1.6929000000000001</v>
      </c>
      <c r="AM176" s="788">
        <v>1.6929000000000001</v>
      </c>
      <c r="AN176" s="788">
        <v>1.6929000000000001</v>
      </c>
      <c r="AO176" s="788">
        <v>1.6929000000000001</v>
      </c>
      <c r="AP176" s="788">
        <v>1.6929000000000001</v>
      </c>
      <c r="AQ176" s="788">
        <v>1.6929000000000001</v>
      </c>
      <c r="AR176" s="788">
        <v>2.1928999999999998</v>
      </c>
      <c r="AS176" s="788">
        <v>2.1928999999999998</v>
      </c>
      <c r="AT176" s="788">
        <v>2.1928999999999998</v>
      </c>
      <c r="AU176" s="788">
        <v>2.1928999999999998</v>
      </c>
      <c r="AV176" s="788">
        <v>2.1928999999999998</v>
      </c>
      <c r="AW176" s="788">
        <v>1.6929000000000001</v>
      </c>
      <c r="AX176" s="788">
        <v>1.6929000000000001</v>
      </c>
      <c r="AY176" s="788">
        <v>1.6929000000000001</v>
      </c>
      <c r="AZ176" s="788">
        <v>1.6929000000000001</v>
      </c>
      <c r="BA176" s="788">
        <v>1.6929000000000001</v>
      </c>
      <c r="BB176" s="788">
        <v>1.6929000000000001</v>
      </c>
      <c r="BC176" s="788">
        <v>1.6929000000000001</v>
      </c>
      <c r="BD176" s="788">
        <v>2.1928999999999998</v>
      </c>
      <c r="BE176" s="788">
        <v>2.1928999999999998</v>
      </c>
    </row>
    <row r="177" spans="1:59" x14ac:dyDescent="0.25">
      <c r="A177" s="783" t="s">
        <v>59</v>
      </c>
      <c r="C177" s="784" t="s">
        <v>695</v>
      </c>
      <c r="D177" s="786">
        <v>5.42</v>
      </c>
      <c r="E177" s="786">
        <v>5.42</v>
      </c>
      <c r="F177" s="786">
        <v>5.42</v>
      </c>
      <c r="G177" s="786">
        <v>5.42</v>
      </c>
      <c r="H177" s="786">
        <v>5.42</v>
      </c>
      <c r="I177" s="786">
        <v>5.42</v>
      </c>
      <c r="J177" s="786">
        <v>5.42</v>
      </c>
      <c r="K177" s="786">
        <v>5.42</v>
      </c>
      <c r="L177" s="786">
        <v>5.42</v>
      </c>
      <c r="M177" s="786">
        <v>5.42</v>
      </c>
      <c r="N177" s="786">
        <v>5.42</v>
      </c>
      <c r="O177" s="786">
        <v>5.42</v>
      </c>
      <c r="P177" s="786">
        <v>5.42</v>
      </c>
      <c r="Q177" s="786">
        <v>5.42</v>
      </c>
      <c r="R177" s="786">
        <v>5.42</v>
      </c>
      <c r="S177" s="786">
        <v>5.42</v>
      </c>
      <c r="T177" s="786">
        <v>5.42</v>
      </c>
      <c r="U177" s="786">
        <v>5.42</v>
      </c>
      <c r="V177" s="786">
        <v>5.42</v>
      </c>
      <c r="W177" s="786">
        <v>5.42</v>
      </c>
      <c r="X177" s="786">
        <v>5.42</v>
      </c>
      <c r="Y177" s="786">
        <v>5.42</v>
      </c>
      <c r="Z177" s="786">
        <v>5.42</v>
      </c>
      <c r="AA177" s="786">
        <v>5.42</v>
      </c>
      <c r="AB177" s="783">
        <v>24844.134678508701</v>
      </c>
      <c r="AC177" s="783">
        <v>26596.706097778799</v>
      </c>
      <c r="AD177" s="783">
        <v>31792.079923678499</v>
      </c>
      <c r="AE177" s="783">
        <v>39597.903906805899</v>
      </c>
      <c r="AF177" s="783">
        <v>246919.19035667699</v>
      </c>
      <c r="AG177" s="783">
        <v>289181.47405503102</v>
      </c>
      <c r="AH177" s="783">
        <v>350595.006586859</v>
      </c>
      <c r="AI177" s="783">
        <v>288003.94923812698</v>
      </c>
      <c r="AJ177" s="783">
        <v>251092.222111082</v>
      </c>
      <c r="AK177" s="783">
        <v>44021.852318906902</v>
      </c>
      <c r="AL177" s="783">
        <v>35063.022941378702</v>
      </c>
      <c r="AM177" s="783">
        <v>30551.186110964401</v>
      </c>
      <c r="AN177" s="783">
        <v>27707.9518336037</v>
      </c>
      <c r="AO177" s="783">
        <v>29355.932083254898</v>
      </c>
      <c r="AP177" s="783">
        <v>35012.958386333601</v>
      </c>
      <c r="AQ177" s="783">
        <v>42668.740900193698</v>
      </c>
      <c r="AR177" s="783">
        <v>261642.21457323301</v>
      </c>
      <c r="AS177" s="783">
        <v>302462.56831774302</v>
      </c>
      <c r="AT177" s="783">
        <v>364868.75891149999</v>
      </c>
      <c r="AU177" s="783">
        <v>301235.248212178</v>
      </c>
      <c r="AV177" s="783">
        <v>265990.96965636098</v>
      </c>
      <c r="AW177" s="783">
        <v>47575.286669261099</v>
      </c>
      <c r="AX177" s="783">
        <v>38363.487929092298</v>
      </c>
      <c r="AY177" s="783">
        <v>33621.560341193202</v>
      </c>
      <c r="AZ177" s="783">
        <v>30750.394882241999</v>
      </c>
      <c r="BA177" s="783">
        <v>32382.255552944502</v>
      </c>
      <c r="BB177" s="783">
        <v>38399.594893259899</v>
      </c>
      <c r="BC177" s="783">
        <v>45620.885867190598</v>
      </c>
      <c r="BD177" s="783">
        <v>275507.76837931701</v>
      </c>
      <c r="BE177" s="783">
        <v>314288.78685534699</v>
      </c>
    </row>
    <row r="178" spans="1:59" x14ac:dyDescent="0.25">
      <c r="A178" s="783" t="s">
        <v>59</v>
      </c>
      <c r="C178" s="784" t="s">
        <v>696</v>
      </c>
      <c r="D178" s="786">
        <v>24.64</v>
      </c>
      <c r="E178" s="786">
        <v>24.64</v>
      </c>
      <c r="F178" s="786">
        <v>24.64</v>
      </c>
      <c r="G178" s="786">
        <v>24.64</v>
      </c>
      <c r="H178" s="786">
        <v>24.64</v>
      </c>
      <c r="I178" s="786">
        <v>24.64</v>
      </c>
      <c r="J178" s="786">
        <v>24.64</v>
      </c>
      <c r="K178" s="786">
        <v>24.64</v>
      </c>
      <c r="L178" s="786">
        <v>24.64</v>
      </c>
      <c r="M178" s="786">
        <v>24.64</v>
      </c>
      <c r="N178" s="786">
        <v>24.64</v>
      </c>
      <c r="O178" s="786">
        <v>24.64</v>
      </c>
      <c r="P178" s="786">
        <v>24.64</v>
      </c>
      <c r="Q178" s="786">
        <v>24.64</v>
      </c>
      <c r="R178" s="786">
        <v>24.64</v>
      </c>
      <c r="S178" s="786">
        <v>24.64</v>
      </c>
      <c r="T178" s="786">
        <v>24.64</v>
      </c>
      <c r="U178" s="786">
        <v>24.64</v>
      </c>
      <c r="V178" s="786">
        <v>24.64</v>
      </c>
      <c r="W178" s="786">
        <v>24.64</v>
      </c>
      <c r="X178" s="786">
        <v>24.64</v>
      </c>
      <c r="Y178" s="786">
        <v>24.64</v>
      </c>
      <c r="Z178" s="786">
        <v>24.64</v>
      </c>
      <c r="AA178" s="786">
        <v>24.64</v>
      </c>
      <c r="AB178" s="783">
        <v>61630.261034817901</v>
      </c>
      <c r="AC178" s="783">
        <v>68752.304747732996</v>
      </c>
      <c r="AD178" s="783">
        <v>81975.836950632598</v>
      </c>
      <c r="AE178" s="783">
        <v>107015.86438776999</v>
      </c>
      <c r="AF178" s="783">
        <v>0</v>
      </c>
      <c r="AG178" s="783">
        <v>0</v>
      </c>
      <c r="AH178" s="783">
        <v>0</v>
      </c>
      <c r="AI178" s="783">
        <v>0</v>
      </c>
      <c r="AJ178" s="783">
        <v>0</v>
      </c>
      <c r="AK178" s="783">
        <v>94335.620038711902</v>
      </c>
      <c r="AL178" s="783">
        <v>84960.602022191903</v>
      </c>
      <c r="AM178" s="783">
        <v>73682.522453119105</v>
      </c>
      <c r="AN178" s="783">
        <v>68734.464948877707</v>
      </c>
      <c r="AO178" s="783">
        <v>75884.885192991394</v>
      </c>
      <c r="AP178" s="783">
        <v>90280.867899418794</v>
      </c>
      <c r="AQ178" s="783">
        <v>115314.99749377499</v>
      </c>
      <c r="AR178" s="783">
        <v>0</v>
      </c>
      <c r="AS178" s="783">
        <v>0</v>
      </c>
      <c r="AT178" s="783">
        <v>0</v>
      </c>
      <c r="AU178" s="783">
        <v>0</v>
      </c>
      <c r="AV178" s="783">
        <v>0</v>
      </c>
      <c r="AW178" s="783">
        <v>101950.37078293601</v>
      </c>
      <c r="AX178" s="783">
        <v>92957.901421565402</v>
      </c>
      <c r="AY178" s="783">
        <v>81087.567787091204</v>
      </c>
      <c r="AZ178" s="783">
        <v>76281.781919161804</v>
      </c>
      <c r="BA178" s="783">
        <v>83707.910822119899</v>
      </c>
      <c r="BB178" s="783">
        <v>99013.305750899599</v>
      </c>
      <c r="BC178" s="783">
        <v>123293.357817713</v>
      </c>
      <c r="BD178" s="783">
        <v>0</v>
      </c>
      <c r="BE178" s="783">
        <v>0</v>
      </c>
    </row>
    <row r="179" spans="1:59" x14ac:dyDescent="0.25">
      <c r="A179" s="783" t="s">
        <v>59</v>
      </c>
      <c r="C179" s="784" t="s">
        <v>1062</v>
      </c>
      <c r="D179" s="783">
        <v>31</v>
      </c>
      <c r="E179" s="783">
        <v>31</v>
      </c>
      <c r="F179" s="783">
        <v>30</v>
      </c>
      <c r="G179" s="783">
        <v>31</v>
      </c>
      <c r="H179" s="783">
        <v>30</v>
      </c>
      <c r="I179" s="783">
        <v>31</v>
      </c>
      <c r="J179" s="783">
        <v>31</v>
      </c>
      <c r="K179" s="783">
        <v>28</v>
      </c>
      <c r="L179" s="783">
        <v>31</v>
      </c>
      <c r="M179" s="783">
        <v>30</v>
      </c>
      <c r="N179" s="783">
        <v>31</v>
      </c>
      <c r="O179" s="783">
        <v>30</v>
      </c>
      <c r="P179" s="783">
        <v>31</v>
      </c>
      <c r="Q179" s="783">
        <v>31</v>
      </c>
      <c r="R179" s="783">
        <v>30</v>
      </c>
      <c r="S179" s="783">
        <v>31</v>
      </c>
      <c r="T179" s="783">
        <v>30</v>
      </c>
      <c r="U179" s="783">
        <v>31</v>
      </c>
      <c r="V179" s="783">
        <v>31</v>
      </c>
      <c r="W179" s="783">
        <v>28</v>
      </c>
      <c r="X179" s="783">
        <v>31</v>
      </c>
      <c r="Y179" s="783">
        <v>30</v>
      </c>
      <c r="Z179" s="783">
        <v>31</v>
      </c>
      <c r="AA179" s="783">
        <v>30</v>
      </c>
      <c r="AB179" s="783">
        <v>86474.395713326594</v>
      </c>
      <c r="AC179" s="783">
        <v>95349.010845511802</v>
      </c>
      <c r="AD179" s="783">
        <v>113767.91687431101</v>
      </c>
      <c r="AE179" s="783">
        <v>146613.768294576</v>
      </c>
      <c r="AF179" s="783">
        <v>246919.19035667699</v>
      </c>
      <c r="AG179" s="783">
        <v>289181.47405503102</v>
      </c>
      <c r="AH179" s="783">
        <v>350595.006586859</v>
      </c>
      <c r="AI179" s="783">
        <v>288003.94923812698</v>
      </c>
      <c r="AJ179" s="783">
        <v>251092.222111082</v>
      </c>
      <c r="AK179" s="783">
        <v>138357.47235761801</v>
      </c>
      <c r="AL179" s="783">
        <v>120023.62496356999</v>
      </c>
      <c r="AM179" s="783">
        <v>104233.708564083</v>
      </c>
      <c r="AN179" s="783">
        <v>96442.416782481494</v>
      </c>
      <c r="AO179" s="783">
        <v>105240.817276246</v>
      </c>
      <c r="AP179" s="783">
        <v>125293.826285752</v>
      </c>
      <c r="AQ179" s="783">
        <v>157983.738393968</v>
      </c>
      <c r="AR179" s="783">
        <v>261642.21457323301</v>
      </c>
      <c r="AS179" s="783">
        <v>302462.56831774302</v>
      </c>
      <c r="AT179" s="783">
        <v>364868.75891149999</v>
      </c>
      <c r="AU179" s="783">
        <v>301235.248212178</v>
      </c>
      <c r="AV179" s="783">
        <v>265990.96965636098</v>
      </c>
      <c r="AW179" s="783">
        <v>149525.65745219699</v>
      </c>
      <c r="AX179" s="783">
        <v>131321.389350657</v>
      </c>
      <c r="AY179" s="783">
        <v>114709.12812828401</v>
      </c>
      <c r="AZ179" s="783">
        <v>107032.17680140299</v>
      </c>
      <c r="BA179" s="783">
        <v>116090.166375064</v>
      </c>
      <c r="BB179" s="783">
        <v>137412.900644159</v>
      </c>
      <c r="BC179" s="783">
        <v>168914.24368490401</v>
      </c>
      <c r="BD179" s="783">
        <v>275507.76837931701</v>
      </c>
      <c r="BE179" s="783">
        <v>314288.78685534699</v>
      </c>
    </row>
    <row r="180" spans="1:59" x14ac:dyDescent="0.25">
      <c r="A180" s="783" t="s">
        <v>59</v>
      </c>
      <c r="C180" s="784" t="s">
        <v>1063</v>
      </c>
      <c r="D180" s="783">
        <v>31</v>
      </c>
      <c r="E180" s="783">
        <v>31</v>
      </c>
      <c r="F180" s="783">
        <v>30</v>
      </c>
      <c r="G180" s="783">
        <v>31</v>
      </c>
      <c r="H180" s="783">
        <v>30</v>
      </c>
      <c r="I180" s="783">
        <v>31</v>
      </c>
      <c r="J180" s="783">
        <v>31</v>
      </c>
      <c r="K180" s="783">
        <v>28</v>
      </c>
      <c r="L180" s="783">
        <v>31</v>
      </c>
      <c r="M180" s="783">
        <v>30</v>
      </c>
      <c r="N180" s="783">
        <v>31</v>
      </c>
      <c r="O180" s="783">
        <v>30</v>
      </c>
      <c r="P180" s="783">
        <v>31</v>
      </c>
      <c r="Q180" s="783">
        <v>31</v>
      </c>
      <c r="R180" s="783">
        <v>30</v>
      </c>
      <c r="S180" s="783">
        <v>31</v>
      </c>
      <c r="T180" s="783">
        <v>30</v>
      </c>
      <c r="U180" s="783">
        <v>31</v>
      </c>
      <c r="V180" s="783">
        <v>31</v>
      </c>
      <c r="W180" s="783">
        <v>28</v>
      </c>
      <c r="X180" s="783">
        <v>31</v>
      </c>
      <c r="Y180" s="783">
        <v>30</v>
      </c>
      <c r="Z180" s="783">
        <v>31</v>
      </c>
      <c r="AA180" s="783">
        <v>30</v>
      </c>
    </row>
    <row r="181" spans="1:59" s="786" customFormat="1" x14ac:dyDescent="0.25">
      <c r="A181" s="783" t="s">
        <v>59</v>
      </c>
      <c r="B181" s="783" t="s">
        <v>964</v>
      </c>
      <c r="C181" s="785" t="s">
        <v>697</v>
      </c>
      <c r="D181" s="783">
        <v>17474.0799999999</v>
      </c>
      <c r="E181" s="783">
        <v>16970.02</v>
      </c>
      <c r="F181" s="783">
        <v>17073</v>
      </c>
      <c r="G181" s="783">
        <v>18482.2</v>
      </c>
      <c r="H181" s="783">
        <v>19349.400000000001</v>
      </c>
      <c r="I181" s="783">
        <v>20330.419999999998</v>
      </c>
      <c r="J181" s="783">
        <v>20330.419999999998</v>
      </c>
      <c r="K181" s="783">
        <v>18059.439999999999</v>
      </c>
      <c r="L181" s="783">
        <v>19994.38</v>
      </c>
      <c r="M181" s="783">
        <v>19024.2</v>
      </c>
      <c r="N181" s="783">
        <v>19154.28</v>
      </c>
      <c r="O181" s="783">
        <v>17073</v>
      </c>
      <c r="P181" s="783">
        <v>16633.98</v>
      </c>
      <c r="Q181" s="783">
        <v>16129.9199999999</v>
      </c>
      <c r="R181" s="783">
        <v>16260</v>
      </c>
      <c r="S181" s="783">
        <v>18314.18</v>
      </c>
      <c r="T181" s="783">
        <v>19186.8</v>
      </c>
      <c r="U181" s="783">
        <v>20162.3999999999</v>
      </c>
      <c r="V181" s="783">
        <v>20666.46</v>
      </c>
      <c r="W181" s="783">
        <v>18362.96</v>
      </c>
      <c r="X181" s="783">
        <v>20330.419999999998</v>
      </c>
      <c r="Y181" s="783">
        <v>19512</v>
      </c>
      <c r="Z181" s="783">
        <v>19490.32</v>
      </c>
      <c r="AA181" s="783">
        <v>17398.199999999899</v>
      </c>
      <c r="AB181" s="786">
        <v>0</v>
      </c>
      <c r="AC181" s="786">
        <v>0</v>
      </c>
      <c r="AD181" s="786">
        <v>0</v>
      </c>
      <c r="AE181" s="786">
        <v>0</v>
      </c>
      <c r="AF181" s="786">
        <v>0</v>
      </c>
      <c r="AG181" s="786">
        <v>0</v>
      </c>
      <c r="AH181" s="786">
        <v>0</v>
      </c>
      <c r="AI181" s="786">
        <v>0</v>
      </c>
      <c r="AJ181" s="786">
        <v>0</v>
      </c>
      <c r="AK181" s="786">
        <v>0</v>
      </c>
      <c r="AL181" s="786">
        <v>0</v>
      </c>
      <c r="AM181" s="786">
        <v>0</v>
      </c>
      <c r="AN181" s="786">
        <v>0</v>
      </c>
      <c r="AO181" s="786">
        <v>0</v>
      </c>
      <c r="AP181" s="786">
        <v>0</v>
      </c>
      <c r="AQ181" s="786">
        <v>0</v>
      </c>
      <c r="AR181" s="786">
        <v>0</v>
      </c>
      <c r="AS181" s="786">
        <v>0</v>
      </c>
      <c r="AT181" s="786">
        <v>0</v>
      </c>
      <c r="AU181" s="786">
        <v>0</v>
      </c>
      <c r="AV181" s="786">
        <v>0</v>
      </c>
      <c r="AW181" s="786">
        <v>0</v>
      </c>
      <c r="AX181" s="786">
        <v>0</v>
      </c>
      <c r="AY181" s="786">
        <v>0</v>
      </c>
      <c r="AZ181" s="786">
        <v>0</v>
      </c>
      <c r="BA181" s="786">
        <v>0</v>
      </c>
      <c r="BB181" s="786">
        <v>0</v>
      </c>
      <c r="BC181" s="786">
        <v>0</v>
      </c>
      <c r="BD181" s="786">
        <v>0</v>
      </c>
      <c r="BE181" s="786">
        <v>0</v>
      </c>
      <c r="BG181" s="786">
        <f>SUM(F181:K181)/5.42</f>
        <v>20964</v>
      </c>
    </row>
    <row r="182" spans="1:59" x14ac:dyDescent="0.25">
      <c r="A182" s="783" t="s">
        <v>59</v>
      </c>
      <c r="B182" s="783" t="s">
        <v>965</v>
      </c>
      <c r="C182" s="784" t="s">
        <v>698</v>
      </c>
      <c r="D182" s="783">
        <v>59579.519999999997</v>
      </c>
      <c r="E182" s="783">
        <v>58051.839999999997</v>
      </c>
      <c r="F182" s="783">
        <v>58396.799999999901</v>
      </c>
      <c r="G182" s="783">
        <v>64162.559999999998</v>
      </c>
      <c r="H182" s="783">
        <v>68745.600000000006</v>
      </c>
      <c r="I182" s="783">
        <v>72564.800000000003</v>
      </c>
      <c r="J182" s="783">
        <v>72564.800000000003</v>
      </c>
      <c r="K182" s="783">
        <v>64162.559999999998</v>
      </c>
      <c r="L182" s="783">
        <v>71037.119999999995</v>
      </c>
      <c r="M182" s="783">
        <v>67267.199999999997</v>
      </c>
      <c r="N182" s="783">
        <v>67217.919999999998</v>
      </c>
      <c r="O182" s="783">
        <v>58396.799999999901</v>
      </c>
      <c r="P182" s="783">
        <v>56524.160000000003</v>
      </c>
      <c r="Q182" s="783">
        <v>54996.479999999901</v>
      </c>
      <c r="R182" s="783">
        <v>55440</v>
      </c>
      <c r="S182" s="783">
        <v>64162.559999999998</v>
      </c>
      <c r="T182" s="783">
        <v>68745.600000000006</v>
      </c>
      <c r="U182" s="783">
        <v>72564.800000000003</v>
      </c>
      <c r="V182" s="783">
        <v>74092.479999999996</v>
      </c>
      <c r="W182" s="783">
        <v>65542.399999999994</v>
      </c>
      <c r="X182" s="783">
        <v>72564.800000000003</v>
      </c>
      <c r="Y182" s="783">
        <v>69484.799999999901</v>
      </c>
      <c r="Z182" s="783">
        <v>69509.440000000002</v>
      </c>
      <c r="AA182" s="783">
        <v>60614.400000000001</v>
      </c>
      <c r="AB182" s="783">
        <v>0</v>
      </c>
      <c r="AC182" s="783">
        <v>0</v>
      </c>
      <c r="AD182" s="783">
        <v>0</v>
      </c>
      <c r="AE182" s="783">
        <v>0</v>
      </c>
      <c r="AF182" s="783">
        <v>0</v>
      </c>
      <c r="AG182" s="783">
        <v>0</v>
      </c>
      <c r="AH182" s="783">
        <v>0</v>
      </c>
      <c r="AI182" s="783">
        <v>0</v>
      </c>
      <c r="AJ182" s="783">
        <v>0</v>
      </c>
      <c r="AK182" s="783">
        <v>0</v>
      </c>
      <c r="AL182" s="783">
        <v>0</v>
      </c>
      <c r="AM182" s="783">
        <v>0</v>
      </c>
      <c r="AN182" s="783">
        <v>0</v>
      </c>
      <c r="AO182" s="783">
        <v>0</v>
      </c>
      <c r="AP182" s="783">
        <v>0</v>
      </c>
      <c r="AQ182" s="783">
        <v>0</v>
      </c>
      <c r="AR182" s="783">
        <v>0</v>
      </c>
      <c r="AS182" s="783">
        <v>0</v>
      </c>
      <c r="AT182" s="783">
        <v>0</v>
      </c>
      <c r="AU182" s="783">
        <v>0</v>
      </c>
      <c r="AV182" s="783">
        <v>0</v>
      </c>
      <c r="AW182" s="783">
        <v>0</v>
      </c>
      <c r="AX182" s="783">
        <v>0</v>
      </c>
      <c r="AY182" s="783">
        <v>0</v>
      </c>
      <c r="AZ182" s="783">
        <v>0</v>
      </c>
      <c r="BA182" s="783">
        <v>0</v>
      </c>
      <c r="BB182" s="783">
        <v>0</v>
      </c>
      <c r="BC182" s="783">
        <v>0</v>
      </c>
      <c r="BD182" s="783">
        <v>0</v>
      </c>
      <c r="BE182" s="783">
        <v>0</v>
      </c>
      <c r="BG182" s="783">
        <f>SUM(F182:K182)/24.64</f>
        <v>16257.999999999995</v>
      </c>
    </row>
    <row r="183" spans="1:59" x14ac:dyDescent="0.25">
      <c r="A183" s="783" t="s">
        <v>59</v>
      </c>
      <c r="B183" s="783" t="s">
        <v>89</v>
      </c>
      <c r="C183" s="784" t="s">
        <v>699</v>
      </c>
      <c r="D183" s="783">
        <v>77053.600000000006</v>
      </c>
      <c r="E183" s="783">
        <v>75021.86</v>
      </c>
      <c r="F183" s="783">
        <v>75469.799999999901</v>
      </c>
      <c r="G183" s="783">
        <v>82644.759999999995</v>
      </c>
      <c r="H183" s="783">
        <v>88095</v>
      </c>
      <c r="I183" s="783">
        <v>92895.22</v>
      </c>
      <c r="J183" s="783">
        <v>92895.22</v>
      </c>
      <c r="K183" s="783">
        <v>82222</v>
      </c>
      <c r="L183" s="783">
        <v>91031.5</v>
      </c>
      <c r="M183" s="783">
        <v>86291.4</v>
      </c>
      <c r="N183" s="783">
        <v>86372.2</v>
      </c>
      <c r="O183" s="783">
        <v>75469.799999999901</v>
      </c>
      <c r="P183" s="783">
        <v>73158.14</v>
      </c>
      <c r="Q183" s="783">
        <v>71126.399999999994</v>
      </c>
      <c r="R183" s="783">
        <v>71700</v>
      </c>
      <c r="S183" s="783">
        <v>82476.740000000005</v>
      </c>
      <c r="T183" s="783">
        <v>87932.4</v>
      </c>
      <c r="U183" s="783">
        <v>92727.2</v>
      </c>
      <c r="V183" s="783">
        <v>94758.94</v>
      </c>
      <c r="W183" s="783">
        <v>83905.36</v>
      </c>
      <c r="X183" s="783">
        <v>92895.22</v>
      </c>
      <c r="Y183" s="783">
        <v>88996.799999999901</v>
      </c>
      <c r="Z183" s="783">
        <v>88999.76</v>
      </c>
      <c r="AA183" s="783">
        <v>78012.600000000006</v>
      </c>
    </row>
    <row r="184" spans="1:59" x14ac:dyDescent="0.25">
      <c r="A184" s="783" t="s">
        <v>59</v>
      </c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 s="783">
        <v>0</v>
      </c>
      <c r="AC184" s="783">
        <v>0</v>
      </c>
      <c r="AD184" s="783">
        <v>0</v>
      </c>
      <c r="AE184" s="783">
        <v>0</v>
      </c>
      <c r="AF184" s="783">
        <v>0</v>
      </c>
      <c r="AG184" s="783">
        <v>0</v>
      </c>
      <c r="AH184" s="783">
        <v>0</v>
      </c>
      <c r="AI184" s="783">
        <v>0</v>
      </c>
      <c r="AJ184" s="783">
        <v>0</v>
      </c>
      <c r="AK184" s="783">
        <v>0</v>
      </c>
      <c r="AL184" s="783">
        <v>0</v>
      </c>
      <c r="AM184" s="783">
        <v>0</v>
      </c>
      <c r="AN184" s="783">
        <v>0</v>
      </c>
      <c r="AO184" s="783">
        <v>0</v>
      </c>
      <c r="AP184" s="783">
        <v>0</v>
      </c>
      <c r="AQ184" s="783">
        <v>0</v>
      </c>
      <c r="AR184" s="783">
        <v>0</v>
      </c>
      <c r="AS184" s="783">
        <v>0</v>
      </c>
      <c r="AT184" s="783">
        <v>0</v>
      </c>
      <c r="AU184" s="783">
        <v>0</v>
      </c>
      <c r="AV184" s="783">
        <v>0</v>
      </c>
      <c r="AW184" s="783">
        <v>0</v>
      </c>
      <c r="AX184" s="783">
        <v>0</v>
      </c>
      <c r="AY184" s="783">
        <v>0</v>
      </c>
      <c r="AZ184" s="783">
        <v>0</v>
      </c>
      <c r="BA184" s="783">
        <v>0</v>
      </c>
      <c r="BB184" s="783">
        <v>0</v>
      </c>
      <c r="BC184" s="783">
        <v>0</v>
      </c>
      <c r="BD184" s="783">
        <v>0</v>
      </c>
      <c r="BE184" s="783">
        <v>0</v>
      </c>
    </row>
    <row r="185" spans="1:59" s="788" customFormat="1" x14ac:dyDescent="0.25">
      <c r="A185" s="783" t="s">
        <v>59</v>
      </c>
      <c r="B185" s="783"/>
      <c r="C185" s="787" t="s">
        <v>700</v>
      </c>
      <c r="D185" s="783">
        <v>4726.7726499991904</v>
      </c>
      <c r="E185" s="783">
        <v>4997.5211799905101</v>
      </c>
      <c r="F185" s="783">
        <v>7031.55179967395</v>
      </c>
      <c r="G185" s="783">
        <v>10725.372669689399</v>
      </c>
      <c r="H185" s="783">
        <v>77164.580077614606</v>
      </c>
      <c r="I185" s="783">
        <v>101696.577412169</v>
      </c>
      <c r="J185" s="783">
        <v>129550.897834287</v>
      </c>
      <c r="K185" s="783">
        <v>103917.944650691</v>
      </c>
      <c r="L185" s="783">
        <v>88016.401551900693</v>
      </c>
      <c r="M185" s="783">
        <v>14764.469726966199</v>
      </c>
      <c r="N185" s="783">
        <v>11298.309409092701</v>
      </c>
      <c r="O185" s="783">
        <v>9567.2928991656609</v>
      </c>
      <c r="P185" s="783">
        <v>8501.8891012087297</v>
      </c>
      <c r="Q185" s="783">
        <v>9316.3454041209297</v>
      </c>
      <c r="R185" s="783">
        <v>11968.6159354875</v>
      </c>
      <c r="S185" s="783">
        <v>16320.6979288982</v>
      </c>
      <c r="T185" s="783">
        <v>105143.834453273</v>
      </c>
      <c r="U185" s="783">
        <v>125296.597967608</v>
      </c>
      <c r="V185" s="783">
        <v>152590.18297373399</v>
      </c>
      <c r="W185" s="783">
        <v>124552.318304024</v>
      </c>
      <c r="X185" s="783">
        <v>106614.168940588</v>
      </c>
      <c r="Y185" s="783">
        <v>18155.428529561799</v>
      </c>
      <c r="Z185" s="783">
        <v>14217.422445579299</v>
      </c>
      <c r="AA185" s="783">
        <v>12427.809799795299</v>
      </c>
      <c r="AB185" s="788">
        <v>0</v>
      </c>
      <c r="AC185" s="788">
        <v>0</v>
      </c>
      <c r="AD185" s="788">
        <v>0</v>
      </c>
      <c r="AE185" s="788">
        <v>0</v>
      </c>
      <c r="AF185" s="788">
        <v>0</v>
      </c>
      <c r="AG185" s="788">
        <v>0</v>
      </c>
      <c r="AH185" s="788">
        <v>0</v>
      </c>
      <c r="AI185" s="788">
        <v>0</v>
      </c>
      <c r="AJ185" s="788">
        <v>0</v>
      </c>
      <c r="AK185" s="788">
        <v>0</v>
      </c>
      <c r="AL185" s="788">
        <v>0</v>
      </c>
      <c r="AM185" s="788">
        <v>0</v>
      </c>
      <c r="AN185" s="788">
        <v>0</v>
      </c>
      <c r="AO185" s="788">
        <v>0</v>
      </c>
      <c r="AP185" s="788">
        <v>0</v>
      </c>
      <c r="AQ185" s="788">
        <v>0</v>
      </c>
      <c r="AR185" s="788">
        <v>0</v>
      </c>
      <c r="AS185" s="788">
        <v>0</v>
      </c>
      <c r="AT185" s="788">
        <v>0</v>
      </c>
      <c r="AU185" s="788">
        <v>0</v>
      </c>
      <c r="AV185" s="788">
        <v>0</v>
      </c>
      <c r="AW185" s="788">
        <v>0</v>
      </c>
      <c r="AX185" s="788">
        <v>0</v>
      </c>
      <c r="AY185" s="788">
        <v>0</v>
      </c>
      <c r="AZ185" s="788">
        <v>0</v>
      </c>
      <c r="BA185" s="788">
        <v>0</v>
      </c>
      <c r="BB185" s="788">
        <v>0</v>
      </c>
      <c r="BC185" s="788">
        <v>0</v>
      </c>
      <c r="BD185" s="788">
        <v>0</v>
      </c>
      <c r="BE185" s="788">
        <v>0</v>
      </c>
    </row>
    <row r="186" spans="1:59" x14ac:dyDescent="0.25">
      <c r="A186" s="783" t="s">
        <v>59</v>
      </c>
      <c r="C186" s="784" t="s">
        <v>701</v>
      </c>
      <c r="D186" s="783">
        <v>15188.761715094401</v>
      </c>
      <c r="E186" s="783">
        <v>16734.069682290501</v>
      </c>
      <c r="F186" s="783">
        <v>23485.8142031098</v>
      </c>
      <c r="G186" s="783">
        <v>37547.0551223562</v>
      </c>
      <c r="H186" s="783">
        <v>0</v>
      </c>
      <c r="I186" s="783">
        <v>0</v>
      </c>
      <c r="J186" s="783">
        <v>0</v>
      </c>
      <c r="K186" s="783">
        <v>0</v>
      </c>
      <c r="L186" s="783">
        <v>0</v>
      </c>
      <c r="M186" s="783">
        <v>40983.851759247198</v>
      </c>
      <c r="N186" s="783">
        <v>35462.488807041598</v>
      </c>
      <c r="O186" s="783">
        <v>29889.111267291399</v>
      </c>
      <c r="P186" s="783">
        <v>27319.521637335401</v>
      </c>
      <c r="Q186" s="783">
        <v>31195.540261250499</v>
      </c>
      <c r="R186" s="783">
        <v>39975.911169746803</v>
      </c>
      <c r="S186" s="783">
        <v>57134.997882494397</v>
      </c>
      <c r="T186" s="783">
        <v>0</v>
      </c>
      <c r="U186" s="783">
        <v>0</v>
      </c>
      <c r="V186" s="783">
        <v>0</v>
      </c>
      <c r="W186" s="783">
        <v>0</v>
      </c>
      <c r="X186" s="783">
        <v>0</v>
      </c>
      <c r="Y186" s="783">
        <v>50396.621432476</v>
      </c>
      <c r="Z186" s="783">
        <v>44624.834219496399</v>
      </c>
      <c r="AA186" s="783">
        <v>38825.631642071799</v>
      </c>
      <c r="AB186" s="783">
        <v>0</v>
      </c>
      <c r="AC186" s="783">
        <v>0</v>
      </c>
      <c r="AD186" s="783">
        <v>0</v>
      </c>
      <c r="AE186" s="783">
        <v>0</v>
      </c>
      <c r="AF186" s="783">
        <v>0</v>
      </c>
      <c r="AG186" s="783">
        <v>0</v>
      </c>
      <c r="AH186" s="783">
        <v>0</v>
      </c>
      <c r="AI186" s="783">
        <v>0</v>
      </c>
      <c r="AJ186" s="783">
        <v>0</v>
      </c>
      <c r="AK186" s="783">
        <v>0</v>
      </c>
      <c r="AL186" s="783">
        <v>0</v>
      </c>
      <c r="AM186" s="783">
        <v>0</v>
      </c>
      <c r="AN186" s="783">
        <v>0</v>
      </c>
      <c r="AO186" s="783">
        <v>0</v>
      </c>
      <c r="AP186" s="783">
        <v>0</v>
      </c>
      <c r="AQ186" s="783">
        <v>0</v>
      </c>
      <c r="AR186" s="783">
        <v>0</v>
      </c>
      <c r="AS186" s="783">
        <v>0</v>
      </c>
      <c r="AT186" s="783">
        <v>0</v>
      </c>
      <c r="AU186" s="783">
        <v>0</v>
      </c>
      <c r="AV186" s="783">
        <v>0</v>
      </c>
      <c r="AW186" s="783">
        <v>0</v>
      </c>
      <c r="AX186" s="783">
        <v>0</v>
      </c>
      <c r="AY186" s="783">
        <v>0</v>
      </c>
      <c r="AZ186" s="783">
        <v>0</v>
      </c>
      <c r="BA186" s="783">
        <v>0</v>
      </c>
      <c r="BB186" s="783">
        <v>0</v>
      </c>
      <c r="BC186" s="783">
        <v>0</v>
      </c>
      <c r="BD186" s="783">
        <v>0</v>
      </c>
      <c r="BE186" s="783">
        <v>0</v>
      </c>
    </row>
    <row r="187" spans="1:59" x14ac:dyDescent="0.25">
      <c r="A187" s="783" t="s">
        <v>59</v>
      </c>
      <c r="B187" s="786"/>
      <c r="C187" s="784" t="s">
        <v>702</v>
      </c>
      <c r="D187" s="788">
        <v>2.1928999999999998</v>
      </c>
      <c r="E187" s="788">
        <v>2.1928999999999998</v>
      </c>
      <c r="F187" s="788">
        <v>2.1928999999999998</v>
      </c>
      <c r="G187" s="788">
        <v>2.1928999999999998</v>
      </c>
      <c r="H187" s="788">
        <v>2.1928999999999998</v>
      </c>
      <c r="I187" s="788">
        <v>2.1928999999999998</v>
      </c>
      <c r="J187" s="788">
        <v>2.1928999999999998</v>
      </c>
      <c r="K187" s="788">
        <v>2.1928999999999998</v>
      </c>
      <c r="L187" s="788">
        <v>2.1928999999999998</v>
      </c>
      <c r="M187" s="788">
        <v>2.1928999999999998</v>
      </c>
      <c r="N187" s="788">
        <v>2.1928999999999998</v>
      </c>
      <c r="O187" s="788">
        <v>2.1928999999999998</v>
      </c>
      <c r="P187" s="788">
        <v>2.1928999999999998</v>
      </c>
      <c r="Q187" s="788">
        <v>2.1928999999999998</v>
      </c>
      <c r="R187" s="788">
        <v>2.1928999999999998</v>
      </c>
      <c r="S187" s="788">
        <v>2.1928999999999998</v>
      </c>
      <c r="T187" s="788">
        <v>2.1928999999999998</v>
      </c>
      <c r="U187" s="788">
        <v>2.1928999999999998</v>
      </c>
      <c r="V187" s="788">
        <v>2.1928999999999998</v>
      </c>
      <c r="W187" s="788">
        <v>2.1928999999999998</v>
      </c>
      <c r="X187" s="788">
        <v>2.1928999999999998</v>
      </c>
      <c r="Y187" s="788">
        <v>2.1928999999999998</v>
      </c>
      <c r="Z187" s="788">
        <v>2.1928999999999998</v>
      </c>
      <c r="AA187" s="788">
        <v>2.1928999999999998</v>
      </c>
    </row>
    <row r="188" spans="1:59" x14ac:dyDescent="0.25">
      <c r="A188" s="783" t="s">
        <v>59</v>
      </c>
      <c r="C188" s="784" t="s">
        <v>703</v>
      </c>
      <c r="D188" s="788">
        <v>1.6929000000000001</v>
      </c>
      <c r="E188" s="788">
        <v>1.6929000000000001</v>
      </c>
      <c r="F188" s="788">
        <v>1.6929000000000001</v>
      </c>
      <c r="G188" s="788">
        <v>1.6929000000000001</v>
      </c>
      <c r="H188" s="788">
        <v>2.1928999999999998</v>
      </c>
      <c r="I188" s="788">
        <v>2.1928999999999998</v>
      </c>
      <c r="J188" s="788">
        <v>2.1928999999999998</v>
      </c>
      <c r="K188" s="788">
        <v>2.1928999999999998</v>
      </c>
      <c r="L188" s="788">
        <v>2.1928999999999998</v>
      </c>
      <c r="M188" s="788">
        <v>1.6929000000000001</v>
      </c>
      <c r="N188" s="788">
        <v>1.6929000000000001</v>
      </c>
      <c r="O188" s="788">
        <v>1.6929000000000001</v>
      </c>
      <c r="P188" s="788">
        <v>1.6929000000000001</v>
      </c>
      <c r="Q188" s="788">
        <v>1.6929000000000001</v>
      </c>
      <c r="R188" s="788">
        <v>1.6929000000000001</v>
      </c>
      <c r="S188" s="788">
        <v>1.6929000000000001</v>
      </c>
      <c r="T188" s="788">
        <v>2.1928999999999998</v>
      </c>
      <c r="U188" s="788">
        <v>2.1928999999999998</v>
      </c>
      <c r="V188" s="788">
        <v>2.1928999999999998</v>
      </c>
      <c r="W188" s="788">
        <v>2.1928999999999998</v>
      </c>
      <c r="X188" s="788">
        <v>2.1928999999999998</v>
      </c>
      <c r="Y188" s="788">
        <v>1.6929000000000001</v>
      </c>
      <c r="Z188" s="788">
        <v>1.6929000000000001</v>
      </c>
      <c r="AA188" s="788">
        <v>1.6929000000000001</v>
      </c>
      <c r="AB188" s="783">
        <v>0</v>
      </c>
      <c r="AC188" s="783">
        <v>0</v>
      </c>
      <c r="AD188" s="783">
        <v>0</v>
      </c>
      <c r="AE188" s="783">
        <v>0</v>
      </c>
      <c r="AF188" s="783">
        <v>0</v>
      </c>
      <c r="AG188" s="783">
        <v>0</v>
      </c>
      <c r="AH188" s="783">
        <v>0</v>
      </c>
      <c r="AI188" s="783">
        <v>0</v>
      </c>
      <c r="AJ188" s="783">
        <v>0</v>
      </c>
      <c r="AK188" s="783">
        <v>0</v>
      </c>
      <c r="AL188" s="783">
        <v>0</v>
      </c>
      <c r="AM188" s="783">
        <v>0</v>
      </c>
      <c r="AN188" s="783">
        <v>0</v>
      </c>
      <c r="AO188" s="783">
        <v>0</v>
      </c>
      <c r="AP188" s="783">
        <v>0</v>
      </c>
      <c r="AQ188" s="783">
        <v>0</v>
      </c>
      <c r="AR188" s="783">
        <v>0</v>
      </c>
      <c r="AS188" s="783">
        <v>0</v>
      </c>
      <c r="AT188" s="783">
        <v>0</v>
      </c>
      <c r="AU188" s="783">
        <v>0</v>
      </c>
      <c r="AV188" s="783">
        <v>0</v>
      </c>
      <c r="AW188" s="783">
        <v>0</v>
      </c>
      <c r="AX188" s="783">
        <v>0</v>
      </c>
      <c r="AY188" s="783">
        <v>0</v>
      </c>
      <c r="AZ188" s="783">
        <v>0</v>
      </c>
      <c r="BA188" s="783">
        <v>0</v>
      </c>
      <c r="BB188" s="783">
        <v>0</v>
      </c>
      <c r="BC188" s="783">
        <v>0</v>
      </c>
      <c r="BD188" s="783">
        <v>0</v>
      </c>
      <c r="BE188" s="783">
        <v>0</v>
      </c>
    </row>
    <row r="189" spans="1:59" x14ac:dyDescent="0.25">
      <c r="A189" s="783" t="s">
        <v>59</v>
      </c>
      <c r="C189" s="784" t="s">
        <v>704</v>
      </c>
      <c r="D189" s="783">
        <v>10365.3397441832</v>
      </c>
      <c r="E189" s="783">
        <v>10959.0641956012</v>
      </c>
      <c r="F189" s="783">
        <v>15419.489941505</v>
      </c>
      <c r="G189" s="783">
        <v>23519.669727361899</v>
      </c>
      <c r="H189" s="783">
        <v>169214.207652201</v>
      </c>
      <c r="I189" s="783">
        <v>223010.42460714601</v>
      </c>
      <c r="J189" s="783">
        <v>284092.163860809</v>
      </c>
      <c r="K189" s="783">
        <v>227881.6608245</v>
      </c>
      <c r="L189" s="783">
        <v>193011.16696316301</v>
      </c>
      <c r="M189" s="783">
        <v>32377.005664264099</v>
      </c>
      <c r="N189" s="783">
        <v>24776.062703199401</v>
      </c>
      <c r="O189" s="783">
        <v>20980.116598580302</v>
      </c>
      <c r="P189" s="783">
        <v>18643.7926100406</v>
      </c>
      <c r="Q189" s="783">
        <v>20429.8138366967</v>
      </c>
      <c r="R189" s="783">
        <v>26245.977884930599</v>
      </c>
      <c r="S189" s="783">
        <v>35789.658488280998</v>
      </c>
      <c r="T189" s="783">
        <v>230569.914572582</v>
      </c>
      <c r="U189" s="783">
        <v>274762.90968316898</v>
      </c>
      <c r="V189" s="783">
        <v>334615.01224310201</v>
      </c>
      <c r="W189" s="783">
        <v>273130.77880889399</v>
      </c>
      <c r="X189" s="783">
        <v>233794.21106981701</v>
      </c>
      <c r="Y189" s="783">
        <v>39813.039222476102</v>
      </c>
      <c r="Z189" s="783">
        <v>31177.385680910898</v>
      </c>
      <c r="AA189" s="783">
        <v>27252.9441099711</v>
      </c>
    </row>
    <row r="190" spans="1:59" x14ac:dyDescent="0.25">
      <c r="A190" s="783" t="s">
        <v>59</v>
      </c>
      <c r="C190" s="784" t="s">
        <v>705</v>
      </c>
      <c r="D190" s="783">
        <v>25713.054707483399</v>
      </c>
      <c r="E190" s="783">
        <v>28329.106565149501</v>
      </c>
      <c r="F190" s="783">
        <v>39759.134864444597</v>
      </c>
      <c r="G190" s="783">
        <v>63563.409616636804</v>
      </c>
      <c r="H190" s="783">
        <v>0</v>
      </c>
      <c r="I190" s="783">
        <v>0</v>
      </c>
      <c r="J190" s="783">
        <v>0</v>
      </c>
      <c r="K190" s="783">
        <v>0</v>
      </c>
      <c r="L190" s="783">
        <v>0</v>
      </c>
      <c r="M190" s="783">
        <v>69381.562643229598</v>
      </c>
      <c r="N190" s="783">
        <v>60034.447301440799</v>
      </c>
      <c r="O190" s="783">
        <v>50599.276464397597</v>
      </c>
      <c r="P190" s="783">
        <v>46249.2181798452</v>
      </c>
      <c r="Q190" s="783">
        <v>52810.930108270899</v>
      </c>
      <c r="R190" s="783">
        <v>67675.220019264394</v>
      </c>
      <c r="S190" s="783">
        <v>96723.837915274897</v>
      </c>
      <c r="T190" s="783">
        <v>0</v>
      </c>
      <c r="U190" s="783">
        <v>0</v>
      </c>
      <c r="V190" s="783">
        <v>0</v>
      </c>
      <c r="W190" s="783">
        <v>0</v>
      </c>
      <c r="X190" s="783">
        <v>0</v>
      </c>
      <c r="Y190" s="783">
        <v>85316.440423038599</v>
      </c>
      <c r="Z190" s="783">
        <v>75545.381850185397</v>
      </c>
      <c r="AA190" s="783">
        <v>65727.911806863398</v>
      </c>
      <c r="AB190" s="783">
        <v>112459.311957254</v>
      </c>
      <c r="AC190" s="783">
        <v>120564.25828814899</v>
      </c>
      <c r="AD190" s="783">
        <v>168048.14113205599</v>
      </c>
      <c r="AE190" s="783">
        <v>238333.38703960399</v>
      </c>
      <c r="AF190" s="783">
        <v>388966.40978058899</v>
      </c>
      <c r="AG190" s="783">
        <v>524684.99746909703</v>
      </c>
      <c r="AH190" s="783">
        <v>646717.05234949198</v>
      </c>
      <c r="AI190" s="783">
        <v>546672.96927338396</v>
      </c>
      <c r="AJ190" s="783">
        <v>460824.08788429201</v>
      </c>
      <c r="AK190" s="783">
        <v>299680.451460368</v>
      </c>
      <c r="AL190" s="783">
        <v>254767.95949355801</v>
      </c>
      <c r="AM190" s="783">
        <v>151517.94639143901</v>
      </c>
      <c r="AN190" s="783">
        <v>124449.16446251101</v>
      </c>
      <c r="AO190" s="783">
        <v>133470.95310256901</v>
      </c>
      <c r="AP190" s="783">
        <v>190576.91997177701</v>
      </c>
      <c r="AQ190" s="783">
        <v>264482.33495523297</v>
      </c>
      <c r="AR190" s="783">
        <v>422114.62265199801</v>
      </c>
      <c r="AS190" s="783">
        <v>561279.68050730799</v>
      </c>
      <c r="AT190" s="783">
        <v>690440.14144272299</v>
      </c>
      <c r="AU190" s="783">
        <v>600720.43428663304</v>
      </c>
      <c r="AV190" s="783">
        <v>486137.80557990301</v>
      </c>
      <c r="AW190" s="783">
        <v>330672.95348650799</v>
      </c>
      <c r="AX190" s="783">
        <v>284043.94622949598</v>
      </c>
      <c r="AY190" s="783">
        <v>170298.98223386201</v>
      </c>
      <c r="AZ190" s="783">
        <v>138480.90279592699</v>
      </c>
      <c r="BA190" s="783">
        <v>144307.08648125801</v>
      </c>
      <c r="BB190" s="783">
        <v>211609.8402412</v>
      </c>
      <c r="BC190" s="783">
        <v>286498.58342482202</v>
      </c>
      <c r="BD190" s="783">
        <v>324064.92295044602</v>
      </c>
      <c r="BE190" s="783">
        <v>435274.038783925</v>
      </c>
    </row>
    <row r="191" spans="1:59" x14ac:dyDescent="0.25">
      <c r="A191" s="783" t="s">
        <v>59</v>
      </c>
      <c r="B191" s="783" t="s">
        <v>374</v>
      </c>
      <c r="C191" s="784" t="s">
        <v>706</v>
      </c>
      <c r="D191" s="783">
        <v>36078.394451666602</v>
      </c>
      <c r="E191" s="783">
        <v>39288.1707607508</v>
      </c>
      <c r="F191" s="783">
        <v>55178.624805949599</v>
      </c>
      <c r="G191" s="783">
        <v>87083.079343998805</v>
      </c>
      <c r="H191" s="783">
        <v>169214.207652201</v>
      </c>
      <c r="I191" s="783">
        <v>223010.42460714601</v>
      </c>
      <c r="J191" s="783">
        <v>284092.163860809</v>
      </c>
      <c r="K191" s="783">
        <v>227881.6608245</v>
      </c>
      <c r="L191" s="783">
        <v>193011.16696316301</v>
      </c>
      <c r="M191" s="783">
        <v>101758.568307493</v>
      </c>
      <c r="N191" s="783">
        <v>84810.510004640295</v>
      </c>
      <c r="O191" s="783">
        <v>71579.393062977993</v>
      </c>
      <c r="P191" s="783">
        <v>64893.010789885797</v>
      </c>
      <c r="Q191" s="783">
        <v>73240.743944967704</v>
      </c>
      <c r="R191" s="783">
        <v>93921.197904195098</v>
      </c>
      <c r="S191" s="783">
        <v>132513.49640355501</v>
      </c>
      <c r="T191" s="783">
        <v>230569.914572582</v>
      </c>
      <c r="U191" s="783">
        <v>274762.90968316898</v>
      </c>
      <c r="V191" s="783">
        <v>334615.01224310201</v>
      </c>
      <c r="W191" s="783">
        <v>273130.77880889399</v>
      </c>
      <c r="X191" s="783">
        <v>233794.21106981701</v>
      </c>
      <c r="Y191" s="783">
        <v>125129.479645514</v>
      </c>
      <c r="Z191" s="783">
        <v>106722.767531096</v>
      </c>
      <c r="AA191" s="783">
        <v>92980.855916834495</v>
      </c>
      <c r="AB191" s="783">
        <v>12908.789933942</v>
      </c>
      <c r="AC191" s="783">
        <v>12994.77967717</v>
      </c>
      <c r="AD191" s="783">
        <v>13010.609062015101</v>
      </c>
      <c r="AE191" s="783">
        <v>14018.7499107274</v>
      </c>
      <c r="AF191" s="783">
        <v>14633.634905778101</v>
      </c>
      <c r="AG191" s="783">
        <v>16004.7863228233</v>
      </c>
      <c r="AH191" s="783">
        <v>17094.969772935201</v>
      </c>
      <c r="AI191" s="783">
        <v>16773.699644887001</v>
      </c>
      <c r="AJ191" s="783">
        <v>16245.2653111831</v>
      </c>
      <c r="AK191" s="783">
        <v>15529.1233367474</v>
      </c>
      <c r="AL191" s="783">
        <v>15048.6406005232</v>
      </c>
      <c r="AM191" s="783">
        <v>14484.4569227026</v>
      </c>
      <c r="AN191" s="783">
        <v>14683.085496985201</v>
      </c>
      <c r="AO191" s="783">
        <v>14751.6471244269</v>
      </c>
      <c r="AP191" s="783">
        <v>14791.687673205401</v>
      </c>
      <c r="AQ191" s="783">
        <v>15834.125212754599</v>
      </c>
      <c r="AR191" s="783">
        <v>16455.612326264702</v>
      </c>
      <c r="AS191" s="783">
        <v>17887.7959007469</v>
      </c>
      <c r="AT191" s="783">
        <v>19107.450202829401</v>
      </c>
      <c r="AU191" s="783">
        <v>18809.488315870902</v>
      </c>
      <c r="AV191" s="783">
        <v>18211.327099756101</v>
      </c>
      <c r="AW191" s="783">
        <v>17501.007662410499</v>
      </c>
      <c r="AX191" s="783">
        <v>17009.319407971201</v>
      </c>
      <c r="AY191" s="783">
        <v>16422.075286457599</v>
      </c>
      <c r="AZ191" s="783">
        <v>16624.579772706998</v>
      </c>
      <c r="BA191" s="783">
        <v>16660.849404673001</v>
      </c>
      <c r="BB191" s="783">
        <v>16721.688208698499</v>
      </c>
      <c r="BC191" s="783">
        <v>17773.976815440699</v>
      </c>
      <c r="BD191" s="783">
        <v>18007.531446933099</v>
      </c>
      <c r="BE191" s="783">
        <v>19751.2934951237</v>
      </c>
    </row>
    <row r="192" spans="1:59" x14ac:dyDescent="0.25">
      <c r="A192" s="783" t="s">
        <v>59</v>
      </c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 s="783">
        <v>0</v>
      </c>
      <c r="AC192" s="783">
        <v>0</v>
      </c>
      <c r="AD192" s="783">
        <v>0</v>
      </c>
      <c r="AE192" s="783">
        <v>0</v>
      </c>
      <c r="AF192" s="783">
        <v>0</v>
      </c>
      <c r="AG192" s="783">
        <v>0</v>
      </c>
      <c r="AH192" s="783">
        <v>0</v>
      </c>
      <c r="AI192" s="783">
        <v>0</v>
      </c>
      <c r="AJ192" s="783">
        <v>0</v>
      </c>
      <c r="AK192" s="783">
        <v>0</v>
      </c>
      <c r="AL192" s="783">
        <v>0</v>
      </c>
      <c r="AM192" s="783">
        <v>0</v>
      </c>
      <c r="AN192" s="783">
        <v>0</v>
      </c>
      <c r="AO192" s="783">
        <v>0</v>
      </c>
      <c r="AP192" s="783">
        <v>0</v>
      </c>
      <c r="AQ192" s="783">
        <v>0</v>
      </c>
      <c r="AR192" s="783">
        <v>0</v>
      </c>
      <c r="AS192" s="783">
        <v>0</v>
      </c>
      <c r="AT192" s="783">
        <v>0</v>
      </c>
      <c r="AU192" s="783">
        <v>0</v>
      </c>
      <c r="AV192" s="783">
        <v>0</v>
      </c>
      <c r="AW192" s="783">
        <v>0</v>
      </c>
      <c r="AX192" s="783">
        <v>0</v>
      </c>
      <c r="AY192" s="783">
        <v>0</v>
      </c>
      <c r="AZ192" s="783">
        <v>0</v>
      </c>
      <c r="BA192" s="783">
        <v>0</v>
      </c>
      <c r="BB192" s="783">
        <v>0</v>
      </c>
      <c r="BC192" s="783">
        <v>0</v>
      </c>
      <c r="BD192" s="783">
        <v>0</v>
      </c>
      <c r="BE192" s="783">
        <v>0</v>
      </c>
    </row>
    <row r="193" spans="1:57" x14ac:dyDescent="0.25">
      <c r="A193" s="783" t="s">
        <v>59</v>
      </c>
      <c r="C193" s="784" t="s">
        <v>707</v>
      </c>
      <c r="D193" s="786">
        <v>0</v>
      </c>
      <c r="E193" s="786">
        <v>0</v>
      </c>
      <c r="F193" s="786">
        <v>0</v>
      </c>
      <c r="G193" s="786">
        <v>0</v>
      </c>
      <c r="H193" s="786">
        <v>0</v>
      </c>
      <c r="I193" s="786">
        <v>0</v>
      </c>
      <c r="J193" s="786">
        <v>0</v>
      </c>
      <c r="K193" s="786">
        <v>0</v>
      </c>
      <c r="L193" s="786">
        <v>0</v>
      </c>
      <c r="M193" s="786">
        <v>0</v>
      </c>
      <c r="N193" s="786">
        <v>0</v>
      </c>
      <c r="O193" s="786">
        <v>0</v>
      </c>
      <c r="P193" s="786">
        <v>0</v>
      </c>
      <c r="Q193" s="786">
        <v>0</v>
      </c>
      <c r="R193" s="786">
        <v>0</v>
      </c>
      <c r="S193" s="786">
        <v>0</v>
      </c>
      <c r="T193" s="786">
        <v>0</v>
      </c>
      <c r="U193" s="786">
        <v>0</v>
      </c>
      <c r="V193" s="786">
        <v>0</v>
      </c>
      <c r="W193" s="786">
        <v>0</v>
      </c>
      <c r="X193" s="786">
        <v>0</v>
      </c>
      <c r="Y193" s="786">
        <v>0</v>
      </c>
      <c r="Z193" s="786">
        <v>0</v>
      </c>
      <c r="AA193" s="786">
        <v>0</v>
      </c>
      <c r="AB193" s="783">
        <v>125368.101891196</v>
      </c>
      <c r="AC193" s="783">
        <v>133559.037965319</v>
      </c>
      <c r="AD193" s="783">
        <v>181058.750194072</v>
      </c>
      <c r="AE193" s="783">
        <v>252352.136950332</v>
      </c>
      <c r="AF193" s="783">
        <v>403600.04468636698</v>
      </c>
      <c r="AG193" s="783">
        <v>540689.78379192099</v>
      </c>
      <c r="AH193" s="783">
        <v>663812.02212242701</v>
      </c>
      <c r="AI193" s="783">
        <v>563446.66891827097</v>
      </c>
      <c r="AJ193" s="783">
        <v>477069.35319547501</v>
      </c>
      <c r="AK193" s="783">
        <v>315209.574797115</v>
      </c>
      <c r="AL193" s="783">
        <v>269816.60009408201</v>
      </c>
      <c r="AM193" s="783">
        <v>166002.403314141</v>
      </c>
      <c r="AN193" s="783">
        <v>139132.24995949701</v>
      </c>
      <c r="AO193" s="783">
        <v>148222.600226996</v>
      </c>
      <c r="AP193" s="783">
        <v>205368.60764498301</v>
      </c>
      <c r="AQ193" s="783">
        <v>280316.46016798803</v>
      </c>
      <c r="AR193" s="783">
        <v>438570.23497826298</v>
      </c>
      <c r="AS193" s="783">
        <v>579167.476408054</v>
      </c>
      <c r="AT193" s="783">
        <v>709547.59164555196</v>
      </c>
      <c r="AU193" s="783">
        <v>619529.92260250403</v>
      </c>
      <c r="AV193" s="783">
        <v>504349.132679659</v>
      </c>
      <c r="AW193" s="783">
        <v>348173.96114891802</v>
      </c>
      <c r="AX193" s="783">
        <v>301053.26563746802</v>
      </c>
      <c r="AY193" s="783">
        <v>186721.05752031901</v>
      </c>
      <c r="AZ193" s="783">
        <v>155105.482568634</v>
      </c>
      <c r="BA193" s="783">
        <v>160967.93588593099</v>
      </c>
      <c r="BB193" s="783">
        <v>228331.52844989899</v>
      </c>
      <c r="BC193" s="783">
        <v>304272.560240263</v>
      </c>
      <c r="BD193" s="783">
        <v>342072.45439737901</v>
      </c>
      <c r="BE193" s="783">
        <v>455025.33227904898</v>
      </c>
    </row>
    <row r="194" spans="1:57" x14ac:dyDescent="0.25">
      <c r="A194" s="783" t="s">
        <v>59</v>
      </c>
      <c r="B194" s="783" t="s">
        <v>520</v>
      </c>
      <c r="C194" s="784" t="s">
        <v>708</v>
      </c>
      <c r="D194" s="783">
        <v>0</v>
      </c>
      <c r="E194" s="783">
        <v>0</v>
      </c>
      <c r="F194" s="783">
        <v>0</v>
      </c>
      <c r="G194" s="783">
        <v>0</v>
      </c>
      <c r="H194" s="783">
        <v>0</v>
      </c>
      <c r="I194" s="783">
        <v>0</v>
      </c>
      <c r="J194" s="783">
        <v>0</v>
      </c>
      <c r="K194" s="783">
        <v>0</v>
      </c>
      <c r="L194" s="783">
        <v>0</v>
      </c>
      <c r="M194" s="783">
        <v>0</v>
      </c>
      <c r="N194" s="783">
        <v>0</v>
      </c>
      <c r="O194" s="783">
        <v>0</v>
      </c>
      <c r="P194" s="783">
        <v>0</v>
      </c>
      <c r="Q194" s="783">
        <v>0</v>
      </c>
      <c r="R194" s="783">
        <v>0</v>
      </c>
      <c r="S194" s="783">
        <v>0</v>
      </c>
      <c r="T194" s="783">
        <v>0</v>
      </c>
      <c r="U194" s="783">
        <v>0</v>
      </c>
      <c r="V194" s="783">
        <v>0</v>
      </c>
      <c r="W194" s="783">
        <v>0</v>
      </c>
      <c r="X194" s="783">
        <v>0</v>
      </c>
      <c r="Y194" s="783">
        <v>0</v>
      </c>
      <c r="Z194" s="783">
        <v>0</v>
      </c>
      <c r="AA194" s="783">
        <v>0</v>
      </c>
    </row>
    <row r="195" spans="1:57" x14ac:dyDescent="0.25">
      <c r="A195" s="783" t="s">
        <v>59</v>
      </c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 s="783">
        <v>285932.49760452303</v>
      </c>
      <c r="AC195" s="783">
        <v>301134.32881083101</v>
      </c>
      <c r="AD195" s="783">
        <v>367428.467068383</v>
      </c>
      <c r="AE195" s="783">
        <v>481442.64524490898</v>
      </c>
      <c r="AF195" s="783">
        <v>738451.63504304504</v>
      </c>
      <c r="AG195" s="783">
        <v>922598.45784695202</v>
      </c>
      <c r="AH195" s="783">
        <v>1108997.94870928</v>
      </c>
      <c r="AI195" s="783">
        <v>935204.21815639897</v>
      </c>
      <c r="AJ195" s="783">
        <v>820888.775306558</v>
      </c>
      <c r="AK195" s="783">
        <v>542401.24715473398</v>
      </c>
      <c r="AL195" s="783">
        <v>478076.14505765197</v>
      </c>
      <c r="AM195" s="783">
        <v>347509.51187822502</v>
      </c>
      <c r="AN195" s="783">
        <v>309496.64674197801</v>
      </c>
      <c r="AO195" s="783">
        <v>324757.83750324202</v>
      </c>
      <c r="AP195" s="783">
        <v>402362.43393073499</v>
      </c>
      <c r="AQ195" s="783">
        <v>519845.07856195699</v>
      </c>
      <c r="AR195" s="783">
        <v>787243.04955149605</v>
      </c>
      <c r="AS195" s="783">
        <v>973425.38472579804</v>
      </c>
      <c r="AT195" s="783">
        <v>1168243.43055705</v>
      </c>
      <c r="AU195" s="783">
        <v>1006795.41081468</v>
      </c>
      <c r="AV195" s="783">
        <v>862303.46233602101</v>
      </c>
      <c r="AW195" s="783">
        <v>585794.618601116</v>
      </c>
      <c r="AX195" s="783">
        <v>520442.55498812598</v>
      </c>
      <c r="AY195" s="783">
        <v>378540.98564860399</v>
      </c>
      <c r="AZ195" s="783">
        <v>336059.639370038</v>
      </c>
      <c r="BA195" s="783">
        <v>349116.36226099503</v>
      </c>
      <c r="BB195" s="783">
        <v>438183.62909405801</v>
      </c>
      <c r="BC195" s="783">
        <v>554899.70392516698</v>
      </c>
      <c r="BD195" s="783">
        <v>704773.42277669604</v>
      </c>
      <c r="BE195" s="783">
        <v>861277.479134397</v>
      </c>
    </row>
    <row r="196" spans="1:57" s="880" customFormat="1" x14ac:dyDescent="0.25">
      <c r="A196" s="783" t="s">
        <v>59</v>
      </c>
      <c r="B196" s="783"/>
      <c r="C196" s="882" t="s">
        <v>709</v>
      </c>
      <c r="D196" s="783">
        <v>0</v>
      </c>
      <c r="E196" s="783">
        <v>0</v>
      </c>
      <c r="F196" s="783">
        <v>0</v>
      </c>
      <c r="G196" s="783">
        <v>0</v>
      </c>
      <c r="H196" s="783">
        <v>0</v>
      </c>
      <c r="I196" s="783">
        <v>0</v>
      </c>
      <c r="J196" s="783">
        <v>0</v>
      </c>
      <c r="K196" s="783">
        <v>0</v>
      </c>
      <c r="L196" s="783">
        <v>0</v>
      </c>
      <c r="M196" s="783">
        <v>0</v>
      </c>
      <c r="N196" s="783">
        <v>0</v>
      </c>
      <c r="O196" s="783">
        <v>0</v>
      </c>
      <c r="P196" s="783">
        <v>0</v>
      </c>
      <c r="Q196" s="783">
        <v>0</v>
      </c>
      <c r="R196" s="783">
        <v>0</v>
      </c>
      <c r="S196" s="783">
        <v>0</v>
      </c>
      <c r="T196" s="783">
        <v>0</v>
      </c>
      <c r="U196" s="783">
        <v>0</v>
      </c>
      <c r="V196" s="783">
        <v>0</v>
      </c>
      <c r="W196" s="783">
        <v>0</v>
      </c>
      <c r="X196" s="783">
        <v>0</v>
      </c>
      <c r="Y196" s="783">
        <v>0</v>
      </c>
      <c r="Z196" s="783">
        <v>0</v>
      </c>
      <c r="AA196" s="783">
        <v>0</v>
      </c>
    </row>
    <row r="197" spans="1:57" x14ac:dyDescent="0.25">
      <c r="A197" s="783" t="s">
        <v>59</v>
      </c>
      <c r="C197" s="784" t="s">
        <v>710</v>
      </c>
      <c r="D197" s="788">
        <v>0</v>
      </c>
      <c r="E197" s="788">
        <v>0</v>
      </c>
      <c r="F197" s="788">
        <v>0</v>
      </c>
      <c r="G197" s="788">
        <v>0</v>
      </c>
      <c r="H197" s="788">
        <v>0</v>
      </c>
      <c r="I197" s="788">
        <v>0</v>
      </c>
      <c r="J197" s="788">
        <v>0</v>
      </c>
      <c r="K197" s="788">
        <v>0</v>
      </c>
      <c r="L197" s="788">
        <v>0</v>
      </c>
      <c r="M197" s="788">
        <v>0</v>
      </c>
      <c r="N197" s="788">
        <v>0</v>
      </c>
      <c r="O197" s="788">
        <v>0</v>
      </c>
      <c r="P197" s="788">
        <v>0</v>
      </c>
      <c r="Q197" s="788">
        <v>0</v>
      </c>
      <c r="R197" s="788">
        <v>0</v>
      </c>
      <c r="S197" s="788">
        <v>0</v>
      </c>
      <c r="T197" s="788">
        <v>0</v>
      </c>
      <c r="U197" s="788">
        <v>0</v>
      </c>
      <c r="V197" s="788">
        <v>0</v>
      </c>
      <c r="W197" s="788">
        <v>0</v>
      </c>
      <c r="X197" s="788">
        <v>0</v>
      </c>
      <c r="Y197" s="788">
        <v>0</v>
      </c>
      <c r="Z197" s="788">
        <v>0</v>
      </c>
      <c r="AA197" s="788">
        <v>0</v>
      </c>
      <c r="AB197" s="783">
        <v>0</v>
      </c>
      <c r="AC197" s="783">
        <v>0</v>
      </c>
      <c r="AD197" s="783">
        <v>0</v>
      </c>
      <c r="AE197" s="783">
        <v>0</v>
      </c>
      <c r="AF197" s="783">
        <v>0</v>
      </c>
      <c r="AG197" s="783">
        <v>0</v>
      </c>
      <c r="AH197" s="783">
        <v>0</v>
      </c>
      <c r="AI197" s="783">
        <v>0</v>
      </c>
      <c r="AJ197" s="783">
        <v>0</v>
      </c>
      <c r="AK197" s="783">
        <v>0</v>
      </c>
      <c r="AL197" s="783">
        <v>0</v>
      </c>
      <c r="AM197" s="783">
        <v>0</v>
      </c>
      <c r="AN197" s="783">
        <v>0</v>
      </c>
      <c r="AO197" s="783">
        <v>0</v>
      </c>
      <c r="AP197" s="783">
        <v>0</v>
      </c>
      <c r="AQ197" s="783">
        <v>0</v>
      </c>
      <c r="AR197" s="783">
        <v>0</v>
      </c>
      <c r="AS197" s="783">
        <v>0</v>
      </c>
      <c r="AT197" s="783">
        <v>0</v>
      </c>
      <c r="AU197" s="783">
        <v>0</v>
      </c>
      <c r="AV197" s="783">
        <v>0</v>
      </c>
      <c r="AW197" s="783">
        <v>0</v>
      </c>
      <c r="AX197" s="783">
        <v>0</v>
      </c>
      <c r="AY197" s="783">
        <v>0</v>
      </c>
      <c r="AZ197" s="783">
        <v>0</v>
      </c>
      <c r="BA197" s="783">
        <v>0</v>
      </c>
      <c r="BB197" s="783">
        <v>0</v>
      </c>
      <c r="BC197" s="783">
        <v>0</v>
      </c>
      <c r="BD197" s="783">
        <v>0</v>
      </c>
      <c r="BE197" s="783">
        <v>0</v>
      </c>
    </row>
    <row r="198" spans="1:57" x14ac:dyDescent="0.25">
      <c r="A198" s="783" t="s">
        <v>59</v>
      </c>
      <c r="B198" s="783" t="s">
        <v>154</v>
      </c>
      <c r="C198" s="784" t="s">
        <v>711</v>
      </c>
      <c r="D198" s="783">
        <v>0</v>
      </c>
      <c r="E198" s="783">
        <v>0</v>
      </c>
      <c r="F198" s="783">
        <v>0</v>
      </c>
      <c r="G198" s="783">
        <v>0</v>
      </c>
      <c r="H198" s="783">
        <v>0</v>
      </c>
      <c r="I198" s="783">
        <v>0</v>
      </c>
      <c r="J198" s="783">
        <v>0</v>
      </c>
      <c r="K198" s="783">
        <v>0</v>
      </c>
      <c r="L198" s="783">
        <v>0</v>
      </c>
      <c r="M198" s="783">
        <v>0</v>
      </c>
      <c r="N198" s="783">
        <v>0</v>
      </c>
      <c r="O198" s="783">
        <v>0</v>
      </c>
      <c r="P198" s="783">
        <v>0</v>
      </c>
      <c r="Q198" s="783">
        <v>0</v>
      </c>
      <c r="R198" s="783">
        <v>0</v>
      </c>
      <c r="S198" s="783">
        <v>0</v>
      </c>
      <c r="T198" s="783">
        <v>0</v>
      </c>
      <c r="U198" s="783">
        <v>0</v>
      </c>
      <c r="V198" s="783">
        <v>0</v>
      </c>
      <c r="W198" s="783">
        <v>0</v>
      </c>
      <c r="X198" s="783">
        <v>0</v>
      </c>
      <c r="Y198" s="783">
        <v>0</v>
      </c>
      <c r="Z198" s="783">
        <v>0</v>
      </c>
      <c r="AA198" s="783">
        <v>0</v>
      </c>
      <c r="AB198" s="783">
        <v>8</v>
      </c>
      <c r="AC198" s="783">
        <v>8</v>
      </c>
      <c r="AD198" s="783">
        <v>8</v>
      </c>
      <c r="AE198" s="783">
        <v>8</v>
      </c>
      <c r="AF198" s="783">
        <v>8</v>
      </c>
      <c r="AG198" s="783">
        <v>8</v>
      </c>
      <c r="AH198" s="783">
        <v>8</v>
      </c>
      <c r="AI198" s="783">
        <v>8</v>
      </c>
      <c r="AJ198" s="783">
        <v>8</v>
      </c>
      <c r="AK198" s="783">
        <v>8</v>
      </c>
      <c r="AL198" s="783">
        <v>8</v>
      </c>
      <c r="AM198" s="783">
        <v>8</v>
      </c>
      <c r="AN198" s="783">
        <v>8</v>
      </c>
      <c r="AO198" s="783">
        <v>8</v>
      </c>
      <c r="AP198" s="783">
        <v>8</v>
      </c>
      <c r="AQ198" s="783">
        <v>8</v>
      </c>
      <c r="AR198" s="783">
        <v>8</v>
      </c>
      <c r="AS198" s="783">
        <v>8</v>
      </c>
      <c r="AT198" s="783">
        <v>8</v>
      </c>
      <c r="AU198" s="783">
        <v>8</v>
      </c>
      <c r="AV198" s="783">
        <v>8</v>
      </c>
      <c r="AW198" s="783">
        <v>8</v>
      </c>
      <c r="AX198" s="783">
        <v>8</v>
      </c>
      <c r="AY198" s="783">
        <v>8</v>
      </c>
      <c r="AZ198" s="783">
        <v>8</v>
      </c>
      <c r="BA198" s="783">
        <v>8</v>
      </c>
      <c r="BB198" s="783">
        <v>8</v>
      </c>
      <c r="BC198" s="783">
        <v>8</v>
      </c>
      <c r="BD198" s="783">
        <v>8</v>
      </c>
      <c r="BE198" s="783">
        <v>8</v>
      </c>
    </row>
    <row r="199" spans="1:57" s="786" customFormat="1" x14ac:dyDescent="0.25">
      <c r="A199" s="783" t="s">
        <v>59</v>
      </c>
      <c r="B199" s="783"/>
      <c r="C199" s="785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 s="786">
        <v>168.02</v>
      </c>
      <c r="AC199" s="786">
        <v>168.02</v>
      </c>
      <c r="AD199" s="786">
        <v>162.6</v>
      </c>
      <c r="AE199" s="786">
        <v>168.02</v>
      </c>
      <c r="AF199" s="786">
        <v>162.6</v>
      </c>
      <c r="AG199" s="786">
        <v>168.02</v>
      </c>
      <c r="AH199" s="786">
        <v>168.02</v>
      </c>
      <c r="AI199" s="786">
        <v>151.76</v>
      </c>
      <c r="AJ199" s="786">
        <v>168.02</v>
      </c>
      <c r="AK199" s="786">
        <v>162.6</v>
      </c>
      <c r="AL199" s="786">
        <v>168.02</v>
      </c>
      <c r="AM199" s="786">
        <v>162.6</v>
      </c>
      <c r="AN199" s="786">
        <v>168.02</v>
      </c>
      <c r="AO199" s="786">
        <v>168.02</v>
      </c>
      <c r="AP199" s="786">
        <v>162.6</v>
      </c>
      <c r="AQ199" s="786">
        <v>168.02</v>
      </c>
      <c r="AR199" s="786">
        <v>162.6</v>
      </c>
      <c r="AS199" s="786">
        <v>168.02</v>
      </c>
      <c r="AT199" s="786">
        <v>168.02</v>
      </c>
      <c r="AU199" s="786">
        <v>157.18</v>
      </c>
      <c r="AV199" s="786">
        <v>168.02</v>
      </c>
      <c r="AW199" s="786">
        <v>162.6</v>
      </c>
      <c r="AX199" s="786">
        <v>168.02</v>
      </c>
      <c r="AY199" s="786">
        <v>162.6</v>
      </c>
      <c r="AZ199" s="786">
        <v>168.02</v>
      </c>
      <c r="BA199" s="786">
        <v>168.02</v>
      </c>
      <c r="BB199" s="786">
        <v>162.6</v>
      </c>
      <c r="BC199" s="786">
        <v>168.02</v>
      </c>
      <c r="BD199" s="786">
        <v>162.6</v>
      </c>
      <c r="BE199" s="786">
        <v>168.02</v>
      </c>
    </row>
    <row r="200" spans="1:57" s="786" customFormat="1" x14ac:dyDescent="0.25">
      <c r="A200" s="783" t="s">
        <v>59</v>
      </c>
      <c r="B200" s="783" t="s">
        <v>521</v>
      </c>
      <c r="C200" s="785" t="s">
        <v>712</v>
      </c>
      <c r="D200" s="783">
        <v>0</v>
      </c>
      <c r="E200" s="783">
        <v>0</v>
      </c>
      <c r="F200" s="783">
        <v>0</v>
      </c>
      <c r="G200" s="783">
        <v>0</v>
      </c>
      <c r="H200" s="783">
        <v>0</v>
      </c>
      <c r="I200" s="783">
        <v>0</v>
      </c>
      <c r="J200" s="783">
        <v>0</v>
      </c>
      <c r="K200" s="783">
        <v>0</v>
      </c>
      <c r="L200" s="783">
        <v>0</v>
      </c>
      <c r="M200" s="783">
        <v>0</v>
      </c>
      <c r="N200" s="783">
        <v>0</v>
      </c>
      <c r="O200" s="783">
        <v>0</v>
      </c>
      <c r="P200" s="783">
        <v>0</v>
      </c>
      <c r="Q200" s="783">
        <v>0</v>
      </c>
      <c r="R200" s="783">
        <v>0</v>
      </c>
      <c r="S200" s="783">
        <v>0</v>
      </c>
      <c r="T200" s="783">
        <v>0</v>
      </c>
      <c r="U200" s="783">
        <v>0</v>
      </c>
      <c r="V200" s="783">
        <v>0</v>
      </c>
      <c r="W200" s="783">
        <v>0</v>
      </c>
      <c r="X200" s="783">
        <v>0</v>
      </c>
      <c r="Y200" s="783">
        <v>0</v>
      </c>
      <c r="Z200" s="783">
        <v>0</v>
      </c>
      <c r="AA200" s="783">
        <v>0</v>
      </c>
      <c r="AB200" s="786">
        <v>763.84</v>
      </c>
      <c r="AC200" s="786">
        <v>763.84</v>
      </c>
      <c r="AD200" s="786">
        <v>739.2</v>
      </c>
      <c r="AE200" s="786">
        <v>763.84</v>
      </c>
      <c r="AF200" s="786">
        <v>739.2</v>
      </c>
      <c r="AG200" s="786">
        <v>763.84</v>
      </c>
      <c r="AH200" s="786">
        <v>763.84</v>
      </c>
      <c r="AI200" s="786">
        <v>689.92</v>
      </c>
      <c r="AJ200" s="786">
        <v>763.84</v>
      </c>
      <c r="AK200" s="786">
        <v>739.2</v>
      </c>
      <c r="AL200" s="786">
        <v>763.84</v>
      </c>
      <c r="AM200" s="786">
        <v>739.2</v>
      </c>
      <c r="AN200" s="786">
        <v>763.84</v>
      </c>
      <c r="AO200" s="786">
        <v>763.84</v>
      </c>
      <c r="AP200" s="786">
        <v>739.2</v>
      </c>
      <c r="AQ200" s="786">
        <v>763.84</v>
      </c>
      <c r="AR200" s="786">
        <v>739.2</v>
      </c>
      <c r="AS200" s="786">
        <v>763.84</v>
      </c>
      <c r="AT200" s="786">
        <v>763.84</v>
      </c>
      <c r="AU200" s="786">
        <v>714.56</v>
      </c>
      <c r="AV200" s="786">
        <v>763.84</v>
      </c>
      <c r="AW200" s="786">
        <v>739.2</v>
      </c>
      <c r="AX200" s="786">
        <v>763.84</v>
      </c>
      <c r="AY200" s="786">
        <v>739.2</v>
      </c>
      <c r="AZ200" s="786">
        <v>763.84</v>
      </c>
      <c r="BA200" s="786">
        <v>763.84</v>
      </c>
      <c r="BB200" s="786">
        <v>739.2</v>
      </c>
      <c r="BC200" s="786">
        <v>763.84</v>
      </c>
      <c r="BD200" s="786">
        <v>739.2</v>
      </c>
      <c r="BE200" s="786">
        <v>763.84</v>
      </c>
    </row>
    <row r="201" spans="1:57" x14ac:dyDescent="0.25">
      <c r="A201" s="783" t="s">
        <v>59</v>
      </c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 s="783">
        <v>0</v>
      </c>
      <c r="AC201" s="783">
        <v>0</v>
      </c>
      <c r="AD201" s="783">
        <v>0</v>
      </c>
      <c r="AE201" s="783">
        <v>0</v>
      </c>
      <c r="AF201" s="783">
        <v>0</v>
      </c>
      <c r="AG201" s="783">
        <v>0</v>
      </c>
      <c r="AH201" s="783">
        <v>0</v>
      </c>
      <c r="AI201" s="783">
        <v>0</v>
      </c>
      <c r="AJ201" s="783">
        <v>0</v>
      </c>
      <c r="AK201" s="783">
        <v>0</v>
      </c>
      <c r="AL201" s="783">
        <v>0</v>
      </c>
      <c r="AM201" s="783">
        <v>0</v>
      </c>
      <c r="AN201" s="783">
        <v>0</v>
      </c>
      <c r="AO201" s="783">
        <v>0</v>
      </c>
      <c r="AP201" s="783">
        <v>0</v>
      </c>
      <c r="AQ201" s="783">
        <v>0</v>
      </c>
      <c r="AR201" s="783">
        <v>0</v>
      </c>
      <c r="AS201" s="783">
        <v>0</v>
      </c>
      <c r="AT201" s="783">
        <v>0</v>
      </c>
      <c r="AU201" s="783">
        <v>0</v>
      </c>
      <c r="AV201" s="783">
        <v>0</v>
      </c>
      <c r="AW201" s="783">
        <v>0</v>
      </c>
      <c r="AX201" s="783">
        <v>0</v>
      </c>
      <c r="AY201" s="783">
        <v>0</v>
      </c>
      <c r="AZ201" s="783">
        <v>0</v>
      </c>
      <c r="BA201" s="783">
        <v>0</v>
      </c>
      <c r="BB201" s="783">
        <v>0</v>
      </c>
      <c r="BC201" s="783">
        <v>0</v>
      </c>
      <c r="BD201" s="783">
        <v>0</v>
      </c>
      <c r="BE201" s="783">
        <v>0</v>
      </c>
    </row>
    <row r="202" spans="1:57" x14ac:dyDescent="0.25">
      <c r="A202" s="783" t="s">
        <v>59</v>
      </c>
      <c r="B202" s="783" t="s">
        <v>107</v>
      </c>
      <c r="C202" s="784" t="s">
        <v>713</v>
      </c>
      <c r="D202" s="783">
        <v>14215.189498674299</v>
      </c>
      <c r="E202" s="783">
        <v>30019.316898498499</v>
      </c>
      <c r="F202" s="783">
        <v>88073.868695159603</v>
      </c>
      <c r="G202" s="783">
        <v>145710.638791037</v>
      </c>
      <c r="H202" s="783">
        <v>264866.240330022</v>
      </c>
      <c r="I202" s="783">
        <v>386130.14421140001</v>
      </c>
      <c r="J202" s="783">
        <v>509635.64934050699</v>
      </c>
      <c r="K202" s="783">
        <v>409152.320649184</v>
      </c>
      <c r="L202" s="783">
        <v>342835.895084869</v>
      </c>
      <c r="M202" s="783">
        <v>206209.427372456</v>
      </c>
      <c r="N202" s="783">
        <v>175930.833905712</v>
      </c>
      <c r="O202" s="783">
        <v>100021.17766077199</v>
      </c>
      <c r="P202" s="783">
        <v>75089.5694366877</v>
      </c>
      <c r="Q202" s="783">
        <v>88285.420154593099</v>
      </c>
      <c r="R202" s="783">
        <v>134922.89564112399</v>
      </c>
      <c r="S202" s="783">
        <v>214821.49536556099</v>
      </c>
      <c r="T202" s="783">
        <v>383040.60840320401</v>
      </c>
      <c r="U202" s="783">
        <v>491472.40278315102</v>
      </c>
      <c r="V202" s="783">
        <v>608424.22598884895</v>
      </c>
      <c r="W202" s="783">
        <v>503148.39555831702</v>
      </c>
      <c r="X202" s="783">
        <v>429869.68756818399</v>
      </c>
      <c r="Y202" s="783">
        <v>250645.821287837</v>
      </c>
      <c r="Z202" s="783">
        <v>209852.02727564401</v>
      </c>
      <c r="AA202" s="783">
        <v>117460.780496277</v>
      </c>
      <c r="AB202" s="783">
        <v>6110.72</v>
      </c>
      <c r="AC202" s="783">
        <v>6110.72</v>
      </c>
      <c r="AD202" s="783">
        <v>5913.6</v>
      </c>
      <c r="AE202" s="783">
        <v>6110.72</v>
      </c>
      <c r="AF202" s="783">
        <v>5913.6</v>
      </c>
      <c r="AG202" s="783">
        <v>6110.72</v>
      </c>
      <c r="AH202" s="783">
        <v>6110.72</v>
      </c>
      <c r="AI202" s="783">
        <v>5519.36</v>
      </c>
      <c r="AJ202" s="783">
        <v>6110.72</v>
      </c>
      <c r="AK202" s="783">
        <v>5913.6</v>
      </c>
      <c r="AL202" s="783">
        <v>6110.72</v>
      </c>
      <c r="AM202" s="783">
        <v>5913.6</v>
      </c>
      <c r="AN202" s="783">
        <v>6110.72</v>
      </c>
      <c r="AO202" s="783">
        <v>6110.72</v>
      </c>
      <c r="AP202" s="783">
        <v>5913.6</v>
      </c>
      <c r="AQ202" s="783">
        <v>6110.72</v>
      </c>
      <c r="AR202" s="783">
        <v>5913.6</v>
      </c>
      <c r="AS202" s="783">
        <v>6110.72</v>
      </c>
      <c r="AT202" s="783">
        <v>6110.72</v>
      </c>
      <c r="AU202" s="783">
        <v>5716.48</v>
      </c>
      <c r="AV202" s="783">
        <v>6110.72</v>
      </c>
      <c r="AW202" s="783">
        <v>5913.6</v>
      </c>
      <c r="AX202" s="783">
        <v>6110.72</v>
      </c>
      <c r="AY202" s="783">
        <v>5913.6</v>
      </c>
      <c r="AZ202" s="783">
        <v>6110.72</v>
      </c>
      <c r="BA202" s="783">
        <v>6110.72</v>
      </c>
      <c r="BB202" s="783">
        <v>5913.6</v>
      </c>
      <c r="BC202" s="783">
        <v>6110.72</v>
      </c>
      <c r="BD202" s="783">
        <v>5913.6</v>
      </c>
      <c r="BE202" s="783">
        <v>6110.72</v>
      </c>
    </row>
    <row r="203" spans="1:57" x14ac:dyDescent="0.25">
      <c r="A203" s="783" t="s">
        <v>59</v>
      </c>
      <c r="B203" s="783" t="s">
        <v>614</v>
      </c>
      <c r="C203" s="784" t="s">
        <v>714</v>
      </c>
      <c r="D203" s="783">
        <v>28163.537217253299</v>
      </c>
      <c r="E203" s="783">
        <v>19898.4685183683</v>
      </c>
      <c r="F203" s="783">
        <v>27322.968997075699</v>
      </c>
      <c r="G203" s="783">
        <v>32181.167129163299</v>
      </c>
      <c r="H203" s="783">
        <v>37316.427058141002</v>
      </c>
      <c r="I203" s="783">
        <v>42398.452747431103</v>
      </c>
      <c r="J203" s="783">
        <v>65088.110316380102</v>
      </c>
      <c r="K203" s="783">
        <v>63801.106240764901</v>
      </c>
      <c r="L203" s="783">
        <v>59996.5147839048</v>
      </c>
      <c r="M203" s="783">
        <v>56530.313322999602</v>
      </c>
      <c r="N203" s="783">
        <v>54885.924034661497</v>
      </c>
      <c r="O203" s="783">
        <v>52285.310141185502</v>
      </c>
      <c r="P203" s="783">
        <v>52670.122164015302</v>
      </c>
      <c r="Q203" s="783">
        <v>52216.7105138529</v>
      </c>
      <c r="R203" s="783">
        <v>53457.666682224502</v>
      </c>
      <c r="S203" s="783">
        <v>57349.240782867601</v>
      </c>
      <c r="T203" s="783">
        <v>60970.032454813801</v>
      </c>
      <c r="U203" s="783">
        <v>65984.654597471395</v>
      </c>
      <c r="V203" s="783">
        <v>82347.863467150601</v>
      </c>
      <c r="W203" s="783">
        <v>80937.961362993505</v>
      </c>
      <c r="X203" s="783">
        <v>76774.890282377106</v>
      </c>
      <c r="Y203" s="783">
        <v>72577.216956623903</v>
      </c>
      <c r="Z203" s="783">
        <v>70517.730064379793</v>
      </c>
      <c r="AA203" s="783">
        <v>66780.161061880295</v>
      </c>
      <c r="AB203" s="783">
        <v>6110.72</v>
      </c>
      <c r="AC203" s="783">
        <v>6110.72</v>
      </c>
      <c r="AD203" s="783">
        <v>5913.6</v>
      </c>
      <c r="AE203" s="783">
        <v>6110.72</v>
      </c>
      <c r="AF203" s="783">
        <v>5913.6</v>
      </c>
      <c r="AG203" s="783">
        <v>6110.72</v>
      </c>
      <c r="AH203" s="783">
        <v>6110.72</v>
      </c>
      <c r="AI203" s="783">
        <v>5519.36</v>
      </c>
      <c r="AJ203" s="783">
        <v>6110.72</v>
      </c>
      <c r="AK203" s="783">
        <v>5913.6</v>
      </c>
      <c r="AL203" s="783">
        <v>6110.72</v>
      </c>
      <c r="AM203" s="783">
        <v>5913.6</v>
      </c>
      <c r="AN203" s="783">
        <v>6110.72</v>
      </c>
      <c r="AO203" s="783">
        <v>6110.72</v>
      </c>
      <c r="AP203" s="783">
        <v>5913.6</v>
      </c>
      <c r="AQ203" s="783">
        <v>6110.72</v>
      </c>
      <c r="AR203" s="783">
        <v>5913.6</v>
      </c>
      <c r="AS203" s="783">
        <v>6110.72</v>
      </c>
      <c r="AT203" s="783">
        <v>6110.72</v>
      </c>
      <c r="AU203" s="783">
        <v>5716.48</v>
      </c>
      <c r="AV203" s="783">
        <v>6110.72</v>
      </c>
      <c r="AW203" s="783">
        <v>5913.6</v>
      </c>
      <c r="AX203" s="783">
        <v>6110.72</v>
      </c>
      <c r="AY203" s="783">
        <v>5913.6</v>
      </c>
      <c r="AZ203" s="783">
        <v>6110.72</v>
      </c>
      <c r="BA203" s="783">
        <v>6110.72</v>
      </c>
      <c r="BB203" s="783">
        <v>5913.6</v>
      </c>
      <c r="BC203" s="783">
        <v>6110.72</v>
      </c>
      <c r="BD203" s="783">
        <v>5913.6</v>
      </c>
      <c r="BE203" s="783">
        <v>6110.72</v>
      </c>
    </row>
    <row r="204" spans="1:57" x14ac:dyDescent="0.25">
      <c r="A204" s="783" t="s">
        <v>59</v>
      </c>
      <c r="B204" s="783" t="s">
        <v>109</v>
      </c>
      <c r="C204" s="784" t="s">
        <v>715</v>
      </c>
      <c r="D204" s="783">
        <v>0</v>
      </c>
      <c r="E204" s="783">
        <v>0</v>
      </c>
      <c r="F204" s="783">
        <v>0</v>
      </c>
      <c r="G204" s="783">
        <v>0</v>
      </c>
      <c r="H204" s="783">
        <v>0</v>
      </c>
      <c r="I204" s="783">
        <v>0</v>
      </c>
      <c r="J204" s="783">
        <v>0</v>
      </c>
      <c r="K204" s="783">
        <v>0</v>
      </c>
      <c r="L204" s="783">
        <v>0</v>
      </c>
      <c r="M204" s="783">
        <v>0</v>
      </c>
      <c r="N204" s="783">
        <v>0</v>
      </c>
      <c r="O204" s="783">
        <v>0</v>
      </c>
      <c r="P204" s="783">
        <v>0</v>
      </c>
      <c r="Q204" s="783">
        <v>0</v>
      </c>
      <c r="R204" s="783">
        <v>0</v>
      </c>
      <c r="S204" s="783">
        <v>0</v>
      </c>
      <c r="T204" s="783">
        <v>0</v>
      </c>
      <c r="U204" s="783">
        <v>0</v>
      </c>
      <c r="V204" s="783">
        <v>0</v>
      </c>
      <c r="W204" s="783">
        <v>0</v>
      </c>
      <c r="X204" s="783">
        <v>0</v>
      </c>
      <c r="Y204" s="783">
        <v>0</v>
      </c>
      <c r="Z204" s="783">
        <v>0</v>
      </c>
      <c r="AA204" s="783">
        <v>0</v>
      </c>
    </row>
    <row r="205" spans="1:57" x14ac:dyDescent="0.25">
      <c r="A205" s="783" t="s">
        <v>59</v>
      </c>
      <c r="B205" s="786"/>
      <c r="C205" s="784" t="s">
        <v>716</v>
      </c>
      <c r="D205" s="783">
        <v>42378.726715927703</v>
      </c>
      <c r="E205" s="783">
        <v>49917.785416866798</v>
      </c>
      <c r="F205" s="783">
        <v>115396.837692235</v>
      </c>
      <c r="G205" s="783">
        <v>177891.805920201</v>
      </c>
      <c r="H205" s="783">
        <v>302182.66738816298</v>
      </c>
      <c r="I205" s="783">
        <v>428528.59695883101</v>
      </c>
      <c r="J205" s="783">
        <v>574723.75965688797</v>
      </c>
      <c r="K205" s="783">
        <v>472953.42688994901</v>
      </c>
      <c r="L205" s="783">
        <v>402832.409868774</v>
      </c>
      <c r="M205" s="783">
        <v>262739.74069545598</v>
      </c>
      <c r="N205" s="783">
        <v>230816.75794037399</v>
      </c>
      <c r="O205" s="783">
        <v>152306.48780195799</v>
      </c>
      <c r="P205" s="783">
        <v>127759.69160070299</v>
      </c>
      <c r="Q205" s="783">
        <v>140502.13066844601</v>
      </c>
      <c r="R205" s="783">
        <v>188380.562323349</v>
      </c>
      <c r="S205" s="783">
        <v>272170.73614842899</v>
      </c>
      <c r="T205" s="783">
        <v>444010.64085801801</v>
      </c>
      <c r="U205" s="783">
        <v>557457.05738062202</v>
      </c>
      <c r="V205" s="783">
        <v>690772.08945600002</v>
      </c>
      <c r="W205" s="783">
        <v>584086.35692130995</v>
      </c>
      <c r="X205" s="783">
        <v>506644.57785056101</v>
      </c>
      <c r="Y205" s="783">
        <v>323223.038244461</v>
      </c>
      <c r="Z205" s="783">
        <v>280369.75734002399</v>
      </c>
      <c r="AA205" s="783">
        <v>184240.94155815701</v>
      </c>
      <c r="AB205" s="783">
        <v>800</v>
      </c>
      <c r="AC205" s="783">
        <v>800</v>
      </c>
      <c r="AD205" s="783">
        <v>800</v>
      </c>
      <c r="AE205" s="783">
        <v>800</v>
      </c>
      <c r="AF205" s="783">
        <v>44331.082402285298</v>
      </c>
      <c r="AG205" s="783">
        <v>24955.696037260201</v>
      </c>
      <c r="AH205" s="783">
        <v>12538.501013879</v>
      </c>
      <c r="AI205" s="783">
        <v>16624.631075479199</v>
      </c>
      <c r="AJ205" s="783">
        <v>33927.473751570098</v>
      </c>
      <c r="AK205" s="783">
        <v>800</v>
      </c>
      <c r="AL205" s="783">
        <v>800</v>
      </c>
      <c r="AM205" s="783">
        <v>800</v>
      </c>
      <c r="AN205" s="783">
        <v>800</v>
      </c>
      <c r="AO205" s="783">
        <v>800</v>
      </c>
      <c r="AP205" s="783">
        <v>800</v>
      </c>
      <c r="AQ205" s="783">
        <v>800</v>
      </c>
      <c r="AR205" s="783">
        <v>44238.270305336402</v>
      </c>
      <c r="AS205" s="783">
        <v>24929.801024397999</v>
      </c>
      <c r="AT205" s="783">
        <v>12523.638772558899</v>
      </c>
      <c r="AU205" s="783">
        <v>16612.772102398099</v>
      </c>
      <c r="AV205" s="783">
        <v>33865.449836742497</v>
      </c>
      <c r="AW205" s="783">
        <v>800</v>
      </c>
      <c r="AX205" s="783">
        <v>800</v>
      </c>
      <c r="AY205" s="783">
        <v>800</v>
      </c>
      <c r="AZ205" s="783">
        <v>800</v>
      </c>
      <c r="BA205" s="783">
        <v>800</v>
      </c>
      <c r="BB205" s="783">
        <v>800</v>
      </c>
      <c r="BC205" s="783">
        <v>800</v>
      </c>
      <c r="BD205" s="783">
        <v>44158.227361497302</v>
      </c>
      <c r="BE205" s="783">
        <v>24899.508614563001</v>
      </c>
    </row>
    <row r="206" spans="1:57" x14ac:dyDescent="0.25">
      <c r="A206" s="783" t="s">
        <v>59</v>
      </c>
      <c r="B206" s="78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 s="783">
        <v>31311.002657915498</v>
      </c>
      <c r="AC206" s="783">
        <v>35347.0573208079</v>
      </c>
      <c r="AD206" s="783">
        <v>43204.3934498284</v>
      </c>
      <c r="AE206" s="783">
        <v>45974.740754050799</v>
      </c>
      <c r="AF206" s="783">
        <v>0</v>
      </c>
      <c r="AG206" s="783">
        <v>0</v>
      </c>
      <c r="AH206" s="783">
        <v>0</v>
      </c>
      <c r="AI206" s="783">
        <v>0</v>
      </c>
      <c r="AJ206" s="783">
        <v>0</v>
      </c>
      <c r="AK206" s="783">
        <v>34823.757166844203</v>
      </c>
      <c r="AL206" s="783">
        <v>36412.445547261297</v>
      </c>
      <c r="AM206" s="783">
        <v>34693.516594913301</v>
      </c>
      <c r="AN206" s="783">
        <v>31286.7413554103</v>
      </c>
      <c r="AO206" s="783">
        <v>35310.732090190002</v>
      </c>
      <c r="AP206" s="783">
        <v>43654.768274421003</v>
      </c>
      <c r="AQ206" s="783">
        <v>46000.475840109</v>
      </c>
      <c r="AR206" s="783">
        <v>0</v>
      </c>
      <c r="AS206" s="783">
        <v>0</v>
      </c>
      <c r="AT206" s="783">
        <v>0</v>
      </c>
      <c r="AU206" s="783">
        <v>0</v>
      </c>
      <c r="AV206" s="783">
        <v>0</v>
      </c>
      <c r="AW206" s="783">
        <v>34881.5160830717</v>
      </c>
      <c r="AX206" s="783">
        <v>36634.924205528303</v>
      </c>
      <c r="AY206" s="783">
        <v>34682.5337379341</v>
      </c>
      <c r="AZ206" s="783">
        <v>31289.841818333101</v>
      </c>
      <c r="BA206" s="783">
        <v>35310.142484905598</v>
      </c>
      <c r="BB206" s="783">
        <v>44066.002444521597</v>
      </c>
      <c r="BC206" s="783">
        <v>46021.373514001702</v>
      </c>
      <c r="BD206" s="783">
        <v>0</v>
      </c>
      <c r="BE206" s="783">
        <v>0</v>
      </c>
    </row>
    <row r="207" spans="1:57" s="788" customFormat="1" x14ac:dyDescent="0.25">
      <c r="A207" s="783" t="s">
        <v>59</v>
      </c>
      <c r="B207" s="783"/>
      <c r="C207" s="787" t="s">
        <v>717</v>
      </c>
      <c r="D207" s="783">
        <v>155510.72116759399</v>
      </c>
      <c r="E207" s="783">
        <v>164227.816177617</v>
      </c>
      <c r="F207" s="783">
        <v>246045.26249818501</v>
      </c>
      <c r="G207" s="783">
        <v>347619.64526419999</v>
      </c>
      <c r="H207" s="783">
        <v>559491.87504036503</v>
      </c>
      <c r="I207" s="783">
        <v>744434.24156597804</v>
      </c>
      <c r="J207" s="783">
        <v>951711.143517697</v>
      </c>
      <c r="K207" s="783">
        <v>783057.08771444997</v>
      </c>
      <c r="L207" s="783">
        <v>686875.07683193695</v>
      </c>
      <c r="M207" s="783">
        <v>450789.70900295</v>
      </c>
      <c r="N207" s="783">
        <v>401999.46794501401</v>
      </c>
      <c r="O207" s="783">
        <v>299355.68086493597</v>
      </c>
      <c r="P207" s="783">
        <v>265810.84239058802</v>
      </c>
      <c r="Q207" s="783">
        <v>284869.27461341303</v>
      </c>
      <c r="R207" s="783">
        <v>354001.760227544</v>
      </c>
      <c r="S207" s="783">
        <v>487160.972551985</v>
      </c>
      <c r="T207" s="783">
        <v>762512.95543060103</v>
      </c>
      <c r="U207" s="783">
        <v>924947.16706379096</v>
      </c>
      <c r="V207" s="783">
        <v>1120146.0416991001</v>
      </c>
      <c r="W207" s="783">
        <v>941122.49573020404</v>
      </c>
      <c r="X207" s="783">
        <v>833334.00892037898</v>
      </c>
      <c r="Y207" s="783">
        <v>537349.31788997503</v>
      </c>
      <c r="Z207" s="783">
        <v>476092.28487112001</v>
      </c>
      <c r="AA207" s="783">
        <v>355234.39747499197</v>
      </c>
      <c r="AB207" s="788">
        <v>2.1928999999999998</v>
      </c>
      <c r="AC207" s="788">
        <v>2.1928999999999998</v>
      </c>
      <c r="AD207" s="788">
        <v>2.1928999999999998</v>
      </c>
      <c r="AE207" s="788">
        <v>2.1928999999999998</v>
      </c>
      <c r="AF207" s="788">
        <v>2.1928999999999998</v>
      </c>
      <c r="AG207" s="788">
        <v>2.1928999999999998</v>
      </c>
      <c r="AH207" s="788">
        <v>2.1928999999999998</v>
      </c>
      <c r="AI207" s="788">
        <v>2.1928999999999998</v>
      </c>
      <c r="AJ207" s="788">
        <v>2.1928999999999998</v>
      </c>
      <c r="AK207" s="788">
        <v>2.1928999999999998</v>
      </c>
      <c r="AL207" s="788">
        <v>2.1928999999999998</v>
      </c>
      <c r="AM207" s="788">
        <v>2.1928999999999998</v>
      </c>
      <c r="AN207" s="788">
        <v>2.1928999999999998</v>
      </c>
      <c r="AO207" s="788">
        <v>2.1928999999999998</v>
      </c>
      <c r="AP207" s="788">
        <v>2.1928999999999998</v>
      </c>
      <c r="AQ207" s="788">
        <v>2.1928999999999998</v>
      </c>
      <c r="AR207" s="788">
        <v>2.1928999999999998</v>
      </c>
      <c r="AS207" s="788">
        <v>2.1928999999999998</v>
      </c>
      <c r="AT207" s="788">
        <v>2.1928999999999998</v>
      </c>
      <c r="AU207" s="788">
        <v>2.1928999999999998</v>
      </c>
      <c r="AV207" s="788">
        <v>2.1928999999999998</v>
      </c>
      <c r="AW207" s="788">
        <v>2.1928999999999998</v>
      </c>
      <c r="AX207" s="788">
        <v>2.1928999999999998</v>
      </c>
      <c r="AY207" s="788">
        <v>2.1928999999999998</v>
      </c>
      <c r="AZ207" s="788">
        <v>2.1928999999999998</v>
      </c>
      <c r="BA207" s="788">
        <v>2.1928999999999998</v>
      </c>
      <c r="BB207" s="788">
        <v>2.1928999999999998</v>
      </c>
      <c r="BC207" s="788">
        <v>2.1928999999999998</v>
      </c>
      <c r="BD207" s="788">
        <v>2.1928999999999998</v>
      </c>
      <c r="BE207" s="788">
        <v>2.1928999999999998</v>
      </c>
    </row>
    <row r="208" spans="1:57" s="885" customFormat="1" x14ac:dyDescent="0.25">
      <c r="A208" s="811"/>
      <c r="C208" s="886" t="s">
        <v>723</v>
      </c>
      <c r="D208" s="811"/>
      <c r="E208" s="811"/>
      <c r="F208" s="811"/>
      <c r="G208" s="811"/>
      <c r="H208" s="811"/>
      <c r="I208" s="811"/>
      <c r="J208" s="811"/>
      <c r="K208" s="811"/>
      <c r="L208" s="811"/>
      <c r="M208" s="811"/>
      <c r="N208" s="811"/>
      <c r="O208" s="811"/>
      <c r="P208" s="811"/>
      <c r="Q208" s="811"/>
      <c r="R208" s="811"/>
      <c r="S208" s="811"/>
      <c r="T208" s="811"/>
      <c r="U208" s="811"/>
      <c r="V208" s="811"/>
      <c r="W208" s="811"/>
      <c r="X208" s="811"/>
      <c r="Y208" s="811"/>
      <c r="Z208" s="811"/>
      <c r="AA208" s="811"/>
      <c r="AB208" s="885">
        <v>1.6929000000000001</v>
      </c>
      <c r="AC208" s="885">
        <v>1.6929000000000001</v>
      </c>
      <c r="AD208" s="885">
        <v>1.6929000000000001</v>
      </c>
      <c r="AE208" s="885">
        <v>1.6929000000000001</v>
      </c>
      <c r="AF208" s="885">
        <v>2.1928999999999998</v>
      </c>
      <c r="AG208" s="885">
        <v>2.1928999999999998</v>
      </c>
      <c r="AH208" s="885">
        <v>2.1928999999999998</v>
      </c>
      <c r="AI208" s="885">
        <v>2.1928999999999998</v>
      </c>
      <c r="AJ208" s="885">
        <v>2.1928999999999998</v>
      </c>
      <c r="AK208" s="885">
        <v>1.6929000000000001</v>
      </c>
      <c r="AL208" s="885">
        <v>1.6929000000000001</v>
      </c>
      <c r="AM208" s="885">
        <v>1.6929000000000001</v>
      </c>
      <c r="AN208" s="885">
        <v>1.6929000000000001</v>
      </c>
      <c r="AO208" s="885">
        <v>1.6929000000000001</v>
      </c>
      <c r="AP208" s="885">
        <v>1.6929000000000001</v>
      </c>
      <c r="AQ208" s="885">
        <v>1.6929000000000001</v>
      </c>
      <c r="AR208" s="885">
        <v>2.1928999999999998</v>
      </c>
      <c r="AS208" s="885">
        <v>2.1928999999999998</v>
      </c>
      <c r="AT208" s="885">
        <v>2.1928999999999998</v>
      </c>
      <c r="AU208" s="885">
        <v>2.1928999999999998</v>
      </c>
      <c r="AV208" s="885">
        <v>2.1928999999999998</v>
      </c>
      <c r="AW208" s="885">
        <v>1.6929000000000001</v>
      </c>
      <c r="AX208" s="885">
        <v>1.6929000000000001</v>
      </c>
      <c r="AY208" s="885">
        <v>1.6929000000000001</v>
      </c>
      <c r="AZ208" s="885">
        <v>1.6929000000000001</v>
      </c>
      <c r="BA208" s="885">
        <v>1.6929000000000001</v>
      </c>
      <c r="BB208" s="885">
        <v>1.6929000000000001</v>
      </c>
      <c r="BC208" s="885">
        <v>1.6929000000000001</v>
      </c>
      <c r="BD208" s="885">
        <v>2.1928999999999998</v>
      </c>
      <c r="BE208" s="885">
        <v>2.1928999999999998</v>
      </c>
    </row>
    <row r="209" spans="1:59" x14ac:dyDescent="0.25">
      <c r="A209" s="783" t="s">
        <v>549</v>
      </c>
      <c r="C209" s="784" t="s">
        <v>693</v>
      </c>
      <c r="D209" s="783">
        <v>0</v>
      </c>
      <c r="E209" s="783">
        <v>0</v>
      </c>
      <c r="F209" s="783">
        <v>0</v>
      </c>
      <c r="G209" s="783">
        <v>0</v>
      </c>
      <c r="H209" s="783">
        <v>0</v>
      </c>
      <c r="I209" s="783">
        <v>0</v>
      </c>
      <c r="J209" s="783">
        <v>0</v>
      </c>
      <c r="K209" s="783">
        <v>0</v>
      </c>
      <c r="L209" s="783">
        <v>0</v>
      </c>
      <c r="M209" s="783">
        <v>0</v>
      </c>
      <c r="N209" s="783">
        <v>0</v>
      </c>
      <c r="O209" s="783">
        <v>0</v>
      </c>
      <c r="P209" s="783">
        <v>0</v>
      </c>
      <c r="Q209" s="783">
        <v>0</v>
      </c>
      <c r="R209" s="783">
        <v>0</v>
      </c>
      <c r="S209" s="783">
        <v>0</v>
      </c>
      <c r="T209" s="783">
        <v>0</v>
      </c>
      <c r="U209" s="783">
        <v>0</v>
      </c>
      <c r="V209" s="783">
        <v>0</v>
      </c>
      <c r="W209" s="783">
        <v>0</v>
      </c>
      <c r="X209" s="783">
        <v>0</v>
      </c>
      <c r="Y209" s="783">
        <v>0</v>
      </c>
      <c r="Z209" s="783">
        <v>0</v>
      </c>
      <c r="AA209" s="783">
        <v>0</v>
      </c>
      <c r="AB209" s="783">
        <v>1754.32</v>
      </c>
      <c r="AC209" s="783">
        <v>1754.32</v>
      </c>
      <c r="AD209" s="783">
        <v>1754.32</v>
      </c>
      <c r="AE209" s="783">
        <v>1754.32</v>
      </c>
      <c r="AF209" s="783">
        <v>97213.630599971395</v>
      </c>
      <c r="AG209" s="783">
        <v>54725.345840107802</v>
      </c>
      <c r="AH209" s="783">
        <v>27495.6788733352</v>
      </c>
      <c r="AI209" s="783">
        <v>36456.153485418297</v>
      </c>
      <c r="AJ209" s="783">
        <v>74399.557189818006</v>
      </c>
      <c r="AK209" s="783">
        <v>1754.32</v>
      </c>
      <c r="AL209" s="783">
        <v>1754.32</v>
      </c>
      <c r="AM209" s="783">
        <v>1754.32</v>
      </c>
      <c r="AN209" s="783">
        <v>1754.32</v>
      </c>
      <c r="AO209" s="783">
        <v>1754.32</v>
      </c>
      <c r="AP209" s="783">
        <v>1754.32</v>
      </c>
      <c r="AQ209" s="783">
        <v>1754.32</v>
      </c>
      <c r="AR209" s="783">
        <v>97010.102952572095</v>
      </c>
      <c r="AS209" s="783">
        <v>54668.5606664023</v>
      </c>
      <c r="AT209" s="783">
        <v>27463.0874643444</v>
      </c>
      <c r="AU209" s="783">
        <v>36430.147943348697</v>
      </c>
      <c r="AV209" s="783">
        <v>74263.544946992595</v>
      </c>
      <c r="AW209" s="783">
        <v>1754.32</v>
      </c>
      <c r="AX209" s="783">
        <v>1754.32</v>
      </c>
      <c r="AY209" s="783">
        <v>1754.32</v>
      </c>
      <c r="AZ209" s="783">
        <v>1754.32</v>
      </c>
      <c r="BA209" s="783">
        <v>1754.32</v>
      </c>
      <c r="BB209" s="783">
        <v>1754.32</v>
      </c>
      <c r="BC209" s="783">
        <v>1754.32</v>
      </c>
      <c r="BD209" s="783">
        <v>96834.576781027397</v>
      </c>
      <c r="BE209" s="783">
        <v>54602.132440875197</v>
      </c>
    </row>
    <row r="210" spans="1:59" x14ac:dyDescent="0.25">
      <c r="A210" s="783" t="s">
        <v>549</v>
      </c>
      <c r="C210" s="784" t="s">
        <v>694</v>
      </c>
      <c r="D210" s="783">
        <v>8</v>
      </c>
      <c r="E210" s="783">
        <v>8</v>
      </c>
      <c r="F210" s="783">
        <v>8</v>
      </c>
      <c r="G210" s="783">
        <v>8</v>
      </c>
      <c r="H210" s="783">
        <v>8</v>
      </c>
      <c r="I210" s="783">
        <v>8</v>
      </c>
      <c r="J210" s="783">
        <v>8</v>
      </c>
      <c r="K210" s="783">
        <v>8</v>
      </c>
      <c r="L210" s="783">
        <v>8</v>
      </c>
      <c r="M210" s="783">
        <v>8</v>
      </c>
      <c r="N210" s="783">
        <v>8</v>
      </c>
      <c r="O210" s="783">
        <v>8</v>
      </c>
      <c r="P210" s="783">
        <v>8</v>
      </c>
      <c r="Q210" s="783">
        <v>8</v>
      </c>
      <c r="R210" s="783">
        <v>8</v>
      </c>
      <c r="S210" s="783">
        <v>8</v>
      </c>
      <c r="T210" s="783">
        <v>8</v>
      </c>
      <c r="U210" s="783">
        <v>8</v>
      </c>
      <c r="V210" s="783">
        <v>8</v>
      </c>
      <c r="W210" s="783">
        <v>8</v>
      </c>
      <c r="X210" s="783">
        <v>8</v>
      </c>
      <c r="Y210" s="783">
        <v>8</v>
      </c>
      <c r="Z210" s="783">
        <v>8</v>
      </c>
      <c r="AA210" s="783">
        <v>8</v>
      </c>
      <c r="AB210" s="783">
        <v>53006.396399585101</v>
      </c>
      <c r="AC210" s="783">
        <v>59839.033338395697</v>
      </c>
      <c r="AD210" s="783">
        <v>73140.717671214501</v>
      </c>
      <c r="AE210" s="783">
        <v>77830.638622532599</v>
      </c>
      <c r="AF210" s="783">
        <v>0</v>
      </c>
      <c r="AG210" s="783">
        <v>0</v>
      </c>
      <c r="AH210" s="783">
        <v>0</v>
      </c>
      <c r="AI210" s="783">
        <v>0</v>
      </c>
      <c r="AJ210" s="783">
        <v>0</v>
      </c>
      <c r="AK210" s="783">
        <v>58953.138507750497</v>
      </c>
      <c r="AL210" s="783">
        <v>61642.629066958601</v>
      </c>
      <c r="AM210" s="783">
        <v>58732.654243528697</v>
      </c>
      <c r="AN210" s="783">
        <v>52965.324440574099</v>
      </c>
      <c r="AO210" s="783">
        <v>59777.538355482597</v>
      </c>
      <c r="AP210" s="783">
        <v>73903.157211767306</v>
      </c>
      <c r="AQ210" s="783">
        <v>77874.2055497205</v>
      </c>
      <c r="AR210" s="783">
        <v>0</v>
      </c>
      <c r="AS210" s="783">
        <v>0</v>
      </c>
      <c r="AT210" s="783">
        <v>0</v>
      </c>
      <c r="AU210" s="783">
        <v>0</v>
      </c>
      <c r="AV210" s="783">
        <v>0</v>
      </c>
      <c r="AW210" s="783">
        <v>59050.918577031996</v>
      </c>
      <c r="AX210" s="783">
        <v>62019.263187538803</v>
      </c>
      <c r="AY210" s="783">
        <v>58714.061364948597</v>
      </c>
      <c r="AZ210" s="783">
        <v>52970.573214256103</v>
      </c>
      <c r="BA210" s="783">
        <v>59776.5402126966</v>
      </c>
      <c r="BB210" s="783">
        <v>74599.335538330604</v>
      </c>
      <c r="BC210" s="783">
        <v>77909.583221853405</v>
      </c>
      <c r="BD210" s="783">
        <v>0</v>
      </c>
      <c r="BE210" s="783">
        <v>0</v>
      </c>
    </row>
    <row r="211" spans="1:59" x14ac:dyDescent="0.25">
      <c r="A211" s="783" t="s">
        <v>549</v>
      </c>
      <c r="C211" s="784" t="s">
        <v>695</v>
      </c>
      <c r="D211" s="786">
        <v>5.42</v>
      </c>
      <c r="E211" s="786">
        <v>5.42</v>
      </c>
      <c r="F211" s="786">
        <v>5.42</v>
      </c>
      <c r="G211" s="786">
        <v>5.42</v>
      </c>
      <c r="H211" s="786">
        <v>5.42</v>
      </c>
      <c r="I211" s="786">
        <v>5.42</v>
      </c>
      <c r="J211" s="786">
        <v>5.42</v>
      </c>
      <c r="K211" s="786">
        <v>5.42</v>
      </c>
      <c r="L211" s="786">
        <v>5.42</v>
      </c>
      <c r="M211" s="786">
        <v>5.42</v>
      </c>
      <c r="N211" s="786">
        <v>5.42</v>
      </c>
      <c r="O211" s="786">
        <v>5.42</v>
      </c>
      <c r="P211" s="786">
        <v>5.42</v>
      </c>
      <c r="Q211" s="786">
        <v>5.42</v>
      </c>
      <c r="R211" s="786">
        <v>5.42</v>
      </c>
      <c r="S211" s="786">
        <v>5.42</v>
      </c>
      <c r="T211" s="786">
        <v>5.42</v>
      </c>
      <c r="U211" s="786">
        <v>5.42</v>
      </c>
      <c r="V211" s="786">
        <v>5.42</v>
      </c>
      <c r="W211" s="786">
        <v>5.42</v>
      </c>
      <c r="X211" s="786">
        <v>5.42</v>
      </c>
      <c r="Y211" s="786">
        <v>5.42</v>
      </c>
      <c r="Z211" s="786">
        <v>5.42</v>
      </c>
      <c r="AA211" s="786">
        <v>5.42</v>
      </c>
      <c r="AB211" s="783">
        <v>54760.716399585101</v>
      </c>
      <c r="AC211" s="783">
        <v>61593.353338395696</v>
      </c>
      <c r="AD211" s="783">
        <v>74895.037671214493</v>
      </c>
      <c r="AE211" s="783">
        <v>79584.958622532606</v>
      </c>
      <c r="AF211" s="783">
        <v>97213.630599971395</v>
      </c>
      <c r="AG211" s="783">
        <v>54725.345840107802</v>
      </c>
      <c r="AH211" s="783">
        <v>27495.6788733352</v>
      </c>
      <c r="AI211" s="783">
        <v>36456.153485418297</v>
      </c>
      <c r="AJ211" s="783">
        <v>74399.557189818006</v>
      </c>
      <c r="AK211" s="783">
        <v>60707.458507750503</v>
      </c>
      <c r="AL211" s="783">
        <v>63396.949066958601</v>
      </c>
      <c r="AM211" s="783">
        <v>60486.974243528697</v>
      </c>
      <c r="AN211" s="783">
        <v>54719.644440574099</v>
      </c>
      <c r="AO211" s="783">
        <v>61531.858355482596</v>
      </c>
      <c r="AP211" s="783">
        <v>75657.477211767298</v>
      </c>
      <c r="AQ211" s="783">
        <v>79628.525549720507</v>
      </c>
      <c r="AR211" s="783">
        <v>97010.102952572095</v>
      </c>
      <c r="AS211" s="783">
        <v>54668.5606664023</v>
      </c>
      <c r="AT211" s="783">
        <v>27463.0874643444</v>
      </c>
      <c r="AU211" s="783">
        <v>36430.147943348697</v>
      </c>
      <c r="AV211" s="783">
        <v>74263.544946992595</v>
      </c>
      <c r="AW211" s="783">
        <v>60805.238577032003</v>
      </c>
      <c r="AX211" s="783">
        <v>63773.583187538803</v>
      </c>
      <c r="AY211" s="783">
        <v>60468.381364948596</v>
      </c>
      <c r="AZ211" s="783">
        <v>54724.893214256103</v>
      </c>
      <c r="BA211" s="783">
        <v>61530.8602126966</v>
      </c>
      <c r="BB211" s="783">
        <v>76353.655538330597</v>
      </c>
      <c r="BC211" s="783">
        <v>79663.903221853398</v>
      </c>
      <c r="BD211" s="783">
        <v>96834.576781027397</v>
      </c>
      <c r="BE211" s="783">
        <v>54602.132440875197</v>
      </c>
    </row>
    <row r="212" spans="1:59" x14ac:dyDescent="0.25">
      <c r="A212" s="783" t="s">
        <v>549</v>
      </c>
      <c r="C212" s="784" t="s">
        <v>696</v>
      </c>
      <c r="D212" s="786">
        <v>24.64</v>
      </c>
      <c r="E212" s="786">
        <v>24.64</v>
      </c>
      <c r="F212" s="786">
        <v>24.64</v>
      </c>
      <c r="G212" s="786">
        <v>24.64</v>
      </c>
      <c r="H212" s="786">
        <v>24.64</v>
      </c>
      <c r="I212" s="786">
        <v>24.64</v>
      </c>
      <c r="J212" s="786">
        <v>24.64</v>
      </c>
      <c r="K212" s="786">
        <v>24.64</v>
      </c>
      <c r="L212" s="786">
        <v>24.64</v>
      </c>
      <c r="M212" s="786">
        <v>24.64</v>
      </c>
      <c r="N212" s="786">
        <v>24.64</v>
      </c>
      <c r="O212" s="786">
        <v>24.64</v>
      </c>
      <c r="P212" s="786">
        <v>24.64</v>
      </c>
      <c r="Q212" s="786">
        <v>24.64</v>
      </c>
      <c r="R212" s="786">
        <v>24.64</v>
      </c>
      <c r="S212" s="786">
        <v>24.64</v>
      </c>
      <c r="T212" s="786">
        <v>24.64</v>
      </c>
      <c r="U212" s="786">
        <v>24.64</v>
      </c>
      <c r="V212" s="786">
        <v>24.64</v>
      </c>
      <c r="W212" s="786">
        <v>24.64</v>
      </c>
      <c r="X212" s="786">
        <v>24.64</v>
      </c>
      <c r="Y212" s="786">
        <v>24.64</v>
      </c>
      <c r="Z212" s="786">
        <v>24.64</v>
      </c>
      <c r="AA212" s="786">
        <v>24.64</v>
      </c>
    </row>
    <row r="213" spans="1:59" s="786" customFormat="1" x14ac:dyDescent="0.25">
      <c r="A213" s="783" t="s">
        <v>549</v>
      </c>
      <c r="B213" s="783"/>
      <c r="C213" s="785" t="s">
        <v>1062</v>
      </c>
      <c r="D213" s="783">
        <v>31</v>
      </c>
      <c r="E213" s="783">
        <v>31</v>
      </c>
      <c r="F213" s="783">
        <v>30</v>
      </c>
      <c r="G213" s="783">
        <v>31</v>
      </c>
      <c r="H213" s="783">
        <v>30</v>
      </c>
      <c r="I213" s="783">
        <v>31</v>
      </c>
      <c r="J213" s="783">
        <v>31</v>
      </c>
      <c r="K213" s="783">
        <v>28</v>
      </c>
      <c r="L213" s="783">
        <v>31</v>
      </c>
      <c r="M213" s="783">
        <v>30</v>
      </c>
      <c r="N213" s="783">
        <v>31</v>
      </c>
      <c r="O213" s="783">
        <v>30</v>
      </c>
      <c r="P213" s="783">
        <v>31</v>
      </c>
      <c r="Q213" s="783">
        <v>31</v>
      </c>
      <c r="R213" s="783">
        <v>30</v>
      </c>
      <c r="S213" s="783">
        <v>31</v>
      </c>
      <c r="T213" s="783">
        <v>30</v>
      </c>
      <c r="U213" s="783">
        <v>31</v>
      </c>
      <c r="V213" s="783">
        <v>31</v>
      </c>
      <c r="W213" s="783">
        <v>28</v>
      </c>
      <c r="X213" s="783">
        <v>31</v>
      </c>
      <c r="Y213" s="783">
        <v>30</v>
      </c>
      <c r="Z213" s="783">
        <v>31</v>
      </c>
      <c r="AA213" s="783">
        <v>30</v>
      </c>
      <c r="AB213" s="786">
        <v>550</v>
      </c>
      <c r="AC213" s="786">
        <v>550</v>
      </c>
      <c r="AD213" s="786">
        <v>550</v>
      </c>
      <c r="AE213" s="786">
        <v>550</v>
      </c>
      <c r="AF213" s="786">
        <v>550</v>
      </c>
      <c r="AG213" s="786">
        <v>550</v>
      </c>
      <c r="AH213" s="786">
        <v>550</v>
      </c>
      <c r="AI213" s="786">
        <v>550</v>
      </c>
      <c r="AJ213" s="786">
        <v>550</v>
      </c>
      <c r="AK213" s="786">
        <v>550</v>
      </c>
      <c r="AL213" s="786">
        <v>550</v>
      </c>
      <c r="AM213" s="786">
        <v>550</v>
      </c>
      <c r="AN213" s="786">
        <v>550</v>
      </c>
      <c r="AO213" s="786">
        <v>550</v>
      </c>
      <c r="AP213" s="786">
        <v>550</v>
      </c>
      <c r="AQ213" s="786">
        <v>550</v>
      </c>
      <c r="AR213" s="786">
        <v>550</v>
      </c>
      <c r="AS213" s="786">
        <v>550</v>
      </c>
      <c r="AT213" s="786">
        <v>550</v>
      </c>
      <c r="AU213" s="786">
        <v>550</v>
      </c>
      <c r="AV213" s="786">
        <v>550</v>
      </c>
      <c r="AW213" s="786">
        <v>550</v>
      </c>
      <c r="AX213" s="786">
        <v>550</v>
      </c>
      <c r="AY213" s="786">
        <v>550</v>
      </c>
      <c r="AZ213" s="786">
        <v>550</v>
      </c>
      <c r="BA213" s="786">
        <v>550</v>
      </c>
      <c r="BB213" s="786">
        <v>550</v>
      </c>
      <c r="BC213" s="786">
        <v>550</v>
      </c>
      <c r="BD213" s="786">
        <v>550</v>
      </c>
      <c r="BE213" s="786">
        <v>550</v>
      </c>
    </row>
    <row r="214" spans="1:59" x14ac:dyDescent="0.25">
      <c r="A214" s="783" t="s">
        <v>549</v>
      </c>
      <c r="C214" s="784" t="s">
        <v>1063</v>
      </c>
      <c r="D214" s="783">
        <v>31</v>
      </c>
      <c r="E214" s="783">
        <v>31</v>
      </c>
      <c r="F214" s="783">
        <v>30</v>
      </c>
      <c r="G214" s="783">
        <v>31</v>
      </c>
      <c r="H214" s="783">
        <v>30</v>
      </c>
      <c r="I214" s="783">
        <v>31</v>
      </c>
      <c r="J214" s="783">
        <v>31</v>
      </c>
      <c r="K214" s="783">
        <v>28</v>
      </c>
      <c r="L214" s="783">
        <v>31</v>
      </c>
      <c r="M214" s="783">
        <v>30</v>
      </c>
      <c r="N214" s="783">
        <v>31</v>
      </c>
      <c r="O214" s="783">
        <v>30</v>
      </c>
      <c r="P214" s="783">
        <v>31</v>
      </c>
      <c r="Q214" s="783">
        <v>31</v>
      </c>
      <c r="R214" s="783">
        <v>30</v>
      </c>
      <c r="S214" s="783">
        <v>31</v>
      </c>
      <c r="T214" s="783">
        <v>30</v>
      </c>
      <c r="U214" s="783">
        <v>31</v>
      </c>
      <c r="V214" s="783">
        <v>31</v>
      </c>
      <c r="W214" s="783">
        <v>28</v>
      </c>
      <c r="X214" s="783">
        <v>31</v>
      </c>
      <c r="Y214" s="783">
        <v>30</v>
      </c>
      <c r="Z214" s="783">
        <v>31</v>
      </c>
      <c r="AA214" s="783">
        <v>30</v>
      </c>
      <c r="AB214" s="783">
        <v>4400</v>
      </c>
      <c r="AC214" s="783">
        <v>4400</v>
      </c>
      <c r="AD214" s="783">
        <v>4400</v>
      </c>
      <c r="AE214" s="783">
        <v>4400</v>
      </c>
      <c r="AF214" s="783">
        <v>4400</v>
      </c>
      <c r="AG214" s="783">
        <v>4400</v>
      </c>
      <c r="AH214" s="783">
        <v>4400</v>
      </c>
      <c r="AI214" s="783">
        <v>4400</v>
      </c>
      <c r="AJ214" s="783">
        <v>4400</v>
      </c>
      <c r="AK214" s="783">
        <v>4400</v>
      </c>
      <c r="AL214" s="783">
        <v>4400</v>
      </c>
      <c r="AM214" s="783">
        <v>4400</v>
      </c>
      <c r="AN214" s="783">
        <v>4400</v>
      </c>
      <c r="AO214" s="783">
        <v>4400</v>
      </c>
      <c r="AP214" s="783">
        <v>4400</v>
      </c>
      <c r="AQ214" s="783">
        <v>4400</v>
      </c>
      <c r="AR214" s="783">
        <v>4400</v>
      </c>
      <c r="AS214" s="783">
        <v>4400</v>
      </c>
      <c r="AT214" s="783">
        <v>4400</v>
      </c>
      <c r="AU214" s="783">
        <v>4400</v>
      </c>
      <c r="AV214" s="783">
        <v>4400</v>
      </c>
      <c r="AW214" s="783">
        <v>4400</v>
      </c>
      <c r="AX214" s="783">
        <v>4400</v>
      </c>
      <c r="AY214" s="783">
        <v>4400</v>
      </c>
      <c r="AZ214" s="783">
        <v>4400</v>
      </c>
      <c r="BA214" s="783">
        <v>4400</v>
      </c>
      <c r="BB214" s="783">
        <v>4400</v>
      </c>
      <c r="BC214" s="783">
        <v>4400</v>
      </c>
      <c r="BD214" s="783">
        <v>4400</v>
      </c>
      <c r="BE214" s="783">
        <v>4400</v>
      </c>
    </row>
    <row r="215" spans="1:59" x14ac:dyDescent="0.25">
      <c r="A215" s="783" t="s">
        <v>549</v>
      </c>
      <c r="B215" s="783" t="s">
        <v>964</v>
      </c>
      <c r="C215" s="784" t="s">
        <v>697</v>
      </c>
      <c r="D215" s="783">
        <v>0</v>
      </c>
      <c r="E215" s="783">
        <v>0</v>
      </c>
      <c r="F215" s="783">
        <v>0</v>
      </c>
      <c r="G215" s="783">
        <v>0</v>
      </c>
      <c r="H215" s="783">
        <v>0</v>
      </c>
      <c r="I215" s="783">
        <v>0</v>
      </c>
      <c r="J215" s="783">
        <v>0</v>
      </c>
      <c r="K215" s="783">
        <v>0</v>
      </c>
      <c r="L215" s="783">
        <v>0</v>
      </c>
      <c r="M215" s="783">
        <v>0</v>
      </c>
      <c r="N215" s="783">
        <v>0</v>
      </c>
      <c r="O215" s="783">
        <v>0</v>
      </c>
      <c r="P215" s="783">
        <v>0</v>
      </c>
      <c r="Q215" s="783">
        <v>0</v>
      </c>
      <c r="R215" s="783">
        <v>0</v>
      </c>
      <c r="S215" s="783">
        <v>0</v>
      </c>
      <c r="T215" s="783">
        <v>0</v>
      </c>
      <c r="U215" s="783">
        <v>0</v>
      </c>
      <c r="V215" s="783">
        <v>0</v>
      </c>
      <c r="W215" s="783">
        <v>0</v>
      </c>
      <c r="X215" s="783">
        <v>0</v>
      </c>
      <c r="Y215" s="783">
        <v>0</v>
      </c>
      <c r="Z215" s="783">
        <v>0</v>
      </c>
      <c r="AA215" s="783">
        <v>0</v>
      </c>
    </row>
    <row r="216" spans="1:59" x14ac:dyDescent="0.25">
      <c r="A216" s="783" t="s">
        <v>549</v>
      </c>
      <c r="B216" s="783" t="s">
        <v>965</v>
      </c>
      <c r="C216" s="784" t="s">
        <v>698</v>
      </c>
      <c r="D216" s="783">
        <v>6110.72</v>
      </c>
      <c r="E216" s="783">
        <v>6110.72</v>
      </c>
      <c r="F216" s="783">
        <v>5913.6</v>
      </c>
      <c r="G216" s="783">
        <v>6110.72</v>
      </c>
      <c r="H216" s="783">
        <v>5913.6</v>
      </c>
      <c r="I216" s="783">
        <v>6110.72</v>
      </c>
      <c r="J216" s="783">
        <v>6110.72</v>
      </c>
      <c r="K216" s="783">
        <v>5519.36</v>
      </c>
      <c r="L216" s="783">
        <v>6110.72</v>
      </c>
      <c r="M216" s="783">
        <v>5913.6</v>
      </c>
      <c r="N216" s="783">
        <v>6110.72</v>
      </c>
      <c r="O216" s="783">
        <v>5913.6</v>
      </c>
      <c r="P216" s="783">
        <v>6110.72</v>
      </c>
      <c r="Q216" s="783">
        <v>6110.72</v>
      </c>
      <c r="R216" s="783">
        <v>5913.6</v>
      </c>
      <c r="S216" s="783">
        <v>6110.72</v>
      </c>
      <c r="T216" s="783">
        <v>5913.6</v>
      </c>
      <c r="U216" s="783">
        <v>6110.72</v>
      </c>
      <c r="V216" s="783">
        <v>6110.72</v>
      </c>
      <c r="W216" s="783">
        <v>5519.36</v>
      </c>
      <c r="X216" s="783">
        <v>6110.72</v>
      </c>
      <c r="Y216" s="783">
        <v>5913.6</v>
      </c>
      <c r="Z216" s="783">
        <v>6110.72</v>
      </c>
      <c r="AA216" s="783">
        <v>5913.6</v>
      </c>
      <c r="AB216" s="783">
        <v>0</v>
      </c>
      <c r="AC216" s="783">
        <v>0</v>
      </c>
      <c r="AD216" s="783">
        <v>0</v>
      </c>
      <c r="AE216" s="783">
        <v>0</v>
      </c>
      <c r="AF216" s="783">
        <v>0</v>
      </c>
      <c r="AG216" s="783">
        <v>0</v>
      </c>
      <c r="AH216" s="783">
        <v>0</v>
      </c>
      <c r="AI216" s="783">
        <v>0</v>
      </c>
      <c r="AJ216" s="783">
        <v>0</v>
      </c>
      <c r="AK216" s="783">
        <v>0</v>
      </c>
      <c r="AL216" s="783">
        <v>0</v>
      </c>
      <c r="AM216" s="783">
        <v>0</v>
      </c>
      <c r="AN216" s="783">
        <v>0</v>
      </c>
      <c r="AO216" s="783">
        <v>0</v>
      </c>
      <c r="AP216" s="783">
        <v>0</v>
      </c>
      <c r="AQ216" s="783">
        <v>0</v>
      </c>
      <c r="AR216" s="783">
        <v>0</v>
      </c>
      <c r="AS216" s="783">
        <v>0</v>
      </c>
      <c r="AT216" s="783">
        <v>0</v>
      </c>
      <c r="AU216" s="783">
        <v>0</v>
      </c>
      <c r="AV216" s="783">
        <v>0</v>
      </c>
      <c r="AW216" s="783">
        <v>0</v>
      </c>
      <c r="AX216" s="783">
        <v>0</v>
      </c>
      <c r="AY216" s="783">
        <v>0</v>
      </c>
      <c r="AZ216" s="783">
        <v>0</v>
      </c>
      <c r="BA216" s="783">
        <v>0</v>
      </c>
      <c r="BB216" s="783">
        <v>0</v>
      </c>
      <c r="BC216" s="783">
        <v>0</v>
      </c>
      <c r="BD216" s="783">
        <v>0</v>
      </c>
      <c r="BE216" s="783">
        <v>0</v>
      </c>
      <c r="BG216" s="783">
        <f>SUM(F216:K216)/24.64</f>
        <v>1448</v>
      </c>
    </row>
    <row r="217" spans="1:59" s="788" customFormat="1" x14ac:dyDescent="0.25">
      <c r="A217" s="783" t="s">
        <v>549</v>
      </c>
      <c r="B217" s="783" t="s">
        <v>89</v>
      </c>
      <c r="C217" s="787" t="s">
        <v>699</v>
      </c>
      <c r="D217" s="783">
        <v>6110.72</v>
      </c>
      <c r="E217" s="783">
        <v>6110.72</v>
      </c>
      <c r="F217" s="783">
        <v>5913.6</v>
      </c>
      <c r="G217" s="783">
        <v>6110.72</v>
      </c>
      <c r="H217" s="783">
        <v>5913.6</v>
      </c>
      <c r="I217" s="783">
        <v>6110.72</v>
      </c>
      <c r="J217" s="783">
        <v>6110.72</v>
      </c>
      <c r="K217" s="783">
        <v>5519.36</v>
      </c>
      <c r="L217" s="783">
        <v>6110.72</v>
      </c>
      <c r="M217" s="783">
        <v>5913.6</v>
      </c>
      <c r="N217" s="783">
        <v>6110.72</v>
      </c>
      <c r="O217" s="783">
        <v>5913.6</v>
      </c>
      <c r="P217" s="783">
        <v>6110.72</v>
      </c>
      <c r="Q217" s="783">
        <v>6110.72</v>
      </c>
      <c r="R217" s="783">
        <v>5913.6</v>
      </c>
      <c r="S217" s="783">
        <v>6110.72</v>
      </c>
      <c r="T217" s="783">
        <v>5913.6</v>
      </c>
      <c r="U217" s="783">
        <v>6110.72</v>
      </c>
      <c r="V217" s="783">
        <v>6110.72</v>
      </c>
      <c r="W217" s="783">
        <v>5519.36</v>
      </c>
      <c r="X217" s="783">
        <v>6110.72</v>
      </c>
      <c r="Y217" s="783">
        <v>5913.6</v>
      </c>
      <c r="Z217" s="783">
        <v>6110.72</v>
      </c>
      <c r="AA217" s="783">
        <v>5913.6</v>
      </c>
      <c r="AB217" s="788">
        <v>0</v>
      </c>
      <c r="AC217" s="788">
        <v>0</v>
      </c>
      <c r="AD217" s="788">
        <v>0</v>
      </c>
      <c r="AE217" s="788">
        <v>0</v>
      </c>
      <c r="AF217" s="788">
        <v>0</v>
      </c>
      <c r="AG217" s="788">
        <v>0</v>
      </c>
      <c r="AH217" s="788">
        <v>0</v>
      </c>
      <c r="AI217" s="788">
        <v>0</v>
      </c>
      <c r="AJ217" s="788">
        <v>0</v>
      </c>
      <c r="AK217" s="788">
        <v>0</v>
      </c>
      <c r="AL217" s="788">
        <v>0</v>
      </c>
      <c r="AM217" s="788">
        <v>0</v>
      </c>
      <c r="AN217" s="788">
        <v>0</v>
      </c>
      <c r="AO217" s="788">
        <v>0</v>
      </c>
      <c r="AP217" s="788">
        <v>0</v>
      </c>
      <c r="AQ217" s="788">
        <v>0</v>
      </c>
      <c r="AR217" s="788">
        <v>0</v>
      </c>
      <c r="AS217" s="788">
        <v>0</v>
      </c>
      <c r="AT217" s="788">
        <v>0</v>
      </c>
      <c r="AU217" s="788">
        <v>0</v>
      </c>
      <c r="AV217" s="788">
        <v>0</v>
      </c>
      <c r="AW217" s="788">
        <v>0</v>
      </c>
      <c r="AX217" s="788">
        <v>0</v>
      </c>
      <c r="AY217" s="788">
        <v>0</v>
      </c>
      <c r="AZ217" s="788">
        <v>0</v>
      </c>
      <c r="BA217" s="788">
        <v>0</v>
      </c>
      <c r="BB217" s="788">
        <v>0</v>
      </c>
      <c r="BC217" s="788">
        <v>0</v>
      </c>
      <c r="BD217" s="788">
        <v>0</v>
      </c>
      <c r="BE217" s="788">
        <v>0</v>
      </c>
    </row>
    <row r="218" spans="1:59" x14ac:dyDescent="0.25">
      <c r="A218" s="783" t="s">
        <v>549</v>
      </c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 s="783">
        <v>0</v>
      </c>
      <c r="AC218" s="783">
        <v>0</v>
      </c>
      <c r="AD218" s="783">
        <v>0</v>
      </c>
      <c r="AE218" s="783">
        <v>0</v>
      </c>
      <c r="AF218" s="783">
        <v>0</v>
      </c>
      <c r="AG218" s="783">
        <v>0</v>
      </c>
      <c r="AH218" s="783">
        <v>0</v>
      </c>
      <c r="AI218" s="783">
        <v>0</v>
      </c>
      <c r="AJ218" s="783">
        <v>0</v>
      </c>
      <c r="AK218" s="783">
        <v>0</v>
      </c>
      <c r="AL218" s="783">
        <v>0</v>
      </c>
      <c r="AM218" s="783">
        <v>0</v>
      </c>
      <c r="AN218" s="783">
        <v>0</v>
      </c>
      <c r="AO218" s="783">
        <v>0</v>
      </c>
      <c r="AP218" s="783">
        <v>0</v>
      </c>
      <c r="AQ218" s="783">
        <v>0</v>
      </c>
      <c r="AR218" s="783">
        <v>0</v>
      </c>
      <c r="AS218" s="783">
        <v>0</v>
      </c>
      <c r="AT218" s="783">
        <v>0</v>
      </c>
      <c r="AU218" s="783">
        <v>0</v>
      </c>
      <c r="AV218" s="783">
        <v>0</v>
      </c>
      <c r="AW218" s="783">
        <v>0</v>
      </c>
      <c r="AX218" s="783">
        <v>0</v>
      </c>
      <c r="AY218" s="783">
        <v>0</v>
      </c>
      <c r="AZ218" s="783">
        <v>0</v>
      </c>
      <c r="BA218" s="783">
        <v>0</v>
      </c>
      <c r="BB218" s="783">
        <v>0</v>
      </c>
      <c r="BC218" s="783">
        <v>0</v>
      </c>
      <c r="BD218" s="783">
        <v>0</v>
      </c>
      <c r="BE218" s="783">
        <v>0</v>
      </c>
    </row>
    <row r="219" spans="1:59" x14ac:dyDescent="0.25">
      <c r="A219" s="783" t="s">
        <v>549</v>
      </c>
      <c r="C219" s="784" t="s">
        <v>700</v>
      </c>
      <c r="D219" s="783">
        <v>800</v>
      </c>
      <c r="E219" s="783">
        <v>800</v>
      </c>
      <c r="F219" s="783">
        <v>800</v>
      </c>
      <c r="G219" s="783">
        <v>800</v>
      </c>
      <c r="H219" s="783">
        <v>45834.603636674503</v>
      </c>
      <c r="I219" s="783">
        <v>25748.607908548402</v>
      </c>
      <c r="J219" s="783">
        <v>12583.7244107191</v>
      </c>
      <c r="K219" s="783">
        <v>16654.779416743</v>
      </c>
      <c r="L219" s="783">
        <v>34064.976325329699</v>
      </c>
      <c r="M219" s="783">
        <v>800</v>
      </c>
      <c r="N219" s="783">
        <v>800</v>
      </c>
      <c r="O219" s="783">
        <v>800</v>
      </c>
      <c r="P219" s="783">
        <v>800</v>
      </c>
      <c r="Q219" s="783">
        <v>800</v>
      </c>
      <c r="R219" s="783">
        <v>800</v>
      </c>
      <c r="S219" s="783">
        <v>800</v>
      </c>
      <c r="T219" s="783">
        <v>44482.746529338299</v>
      </c>
      <c r="U219" s="783">
        <v>25012.755300000899</v>
      </c>
      <c r="V219" s="783">
        <v>12555.510866582799</v>
      </c>
      <c r="W219" s="783">
        <v>16636.488337629598</v>
      </c>
      <c r="X219" s="783">
        <v>33995.079419865797</v>
      </c>
      <c r="Y219" s="783">
        <v>800</v>
      </c>
      <c r="Z219" s="783">
        <v>800</v>
      </c>
      <c r="AA219" s="783">
        <v>800</v>
      </c>
    </row>
    <row r="220" spans="1:59" x14ac:dyDescent="0.25">
      <c r="A220" s="783" t="s">
        <v>549</v>
      </c>
      <c r="C220" s="784" t="s">
        <v>701</v>
      </c>
      <c r="D220" s="783">
        <v>31033.776085053501</v>
      </c>
      <c r="E220" s="783">
        <v>35045.863504509703</v>
      </c>
      <c r="F220" s="783">
        <v>42379.4830355042</v>
      </c>
      <c r="G220" s="783">
        <v>46622.702388180704</v>
      </c>
      <c r="H220" s="783">
        <v>0</v>
      </c>
      <c r="I220" s="783">
        <v>0</v>
      </c>
      <c r="J220" s="783">
        <v>0</v>
      </c>
      <c r="K220" s="783">
        <v>0</v>
      </c>
      <c r="L220" s="783">
        <v>0</v>
      </c>
      <c r="M220" s="783">
        <v>34667.748464118202</v>
      </c>
      <c r="N220" s="783">
        <v>35800.542001925402</v>
      </c>
      <c r="O220" s="783">
        <v>34415.316103440302</v>
      </c>
      <c r="P220" s="783">
        <v>30974.4113917904</v>
      </c>
      <c r="Q220" s="783">
        <v>35009.107402899797</v>
      </c>
      <c r="R220" s="783">
        <v>42743.781759350299</v>
      </c>
      <c r="S220" s="783">
        <v>45988.245552597997</v>
      </c>
      <c r="T220" s="783">
        <v>0</v>
      </c>
      <c r="U220" s="783">
        <v>0</v>
      </c>
      <c r="V220" s="783">
        <v>0</v>
      </c>
      <c r="W220" s="783">
        <v>0</v>
      </c>
      <c r="X220" s="783">
        <v>0</v>
      </c>
      <c r="Y220" s="783">
        <v>34748.021354115197</v>
      </c>
      <c r="Z220" s="783">
        <v>36158.273885182702</v>
      </c>
      <c r="AA220" s="783">
        <v>34690.839933209798</v>
      </c>
      <c r="AB220" s="783">
        <v>675</v>
      </c>
      <c r="AC220" s="783">
        <v>675</v>
      </c>
      <c r="AD220" s="783">
        <v>675</v>
      </c>
      <c r="AE220" s="783">
        <v>675</v>
      </c>
      <c r="AF220" s="783">
        <v>675</v>
      </c>
      <c r="AG220" s="783">
        <v>675</v>
      </c>
      <c r="AH220" s="783">
        <v>675</v>
      </c>
      <c r="AI220" s="783">
        <v>675</v>
      </c>
      <c r="AJ220" s="783">
        <v>675</v>
      </c>
      <c r="AK220" s="783">
        <v>675</v>
      </c>
      <c r="AL220" s="783">
        <v>675</v>
      </c>
      <c r="AM220" s="783">
        <v>675</v>
      </c>
      <c r="AN220" s="783">
        <v>675</v>
      </c>
      <c r="AO220" s="783">
        <v>675</v>
      </c>
      <c r="AP220" s="783">
        <v>675</v>
      </c>
      <c r="AQ220" s="783">
        <v>675</v>
      </c>
      <c r="AR220" s="783">
        <v>675</v>
      </c>
      <c r="AS220" s="783">
        <v>675</v>
      </c>
      <c r="AT220" s="783">
        <v>675</v>
      </c>
      <c r="AU220" s="783">
        <v>675</v>
      </c>
      <c r="AV220" s="783">
        <v>675</v>
      </c>
      <c r="AW220" s="783">
        <v>675</v>
      </c>
      <c r="AX220" s="783">
        <v>675</v>
      </c>
      <c r="AY220" s="783">
        <v>675</v>
      </c>
      <c r="AZ220" s="783">
        <v>675</v>
      </c>
      <c r="BA220" s="783">
        <v>675</v>
      </c>
      <c r="BB220" s="783">
        <v>675</v>
      </c>
      <c r="BC220" s="783">
        <v>675</v>
      </c>
      <c r="BD220" s="783">
        <v>675</v>
      </c>
      <c r="BE220" s="783">
        <v>675</v>
      </c>
    </row>
    <row r="221" spans="1:59" x14ac:dyDescent="0.25">
      <c r="A221" s="783" t="s">
        <v>549</v>
      </c>
      <c r="B221" s="786"/>
      <c r="C221" s="784" t="s">
        <v>702</v>
      </c>
      <c r="D221" s="788">
        <v>2.1928999999999998</v>
      </c>
      <c r="E221" s="788">
        <v>2.1928999999999998</v>
      </c>
      <c r="F221" s="788">
        <v>2.1928999999999998</v>
      </c>
      <c r="G221" s="788">
        <v>2.1928999999999998</v>
      </c>
      <c r="H221" s="788">
        <v>2.1928999999999998</v>
      </c>
      <c r="I221" s="788">
        <v>2.1928999999999998</v>
      </c>
      <c r="J221" s="788">
        <v>2.1928999999999998</v>
      </c>
      <c r="K221" s="788">
        <v>2.1928999999999998</v>
      </c>
      <c r="L221" s="788">
        <v>2.1928999999999998</v>
      </c>
      <c r="M221" s="788">
        <v>2.1928999999999998</v>
      </c>
      <c r="N221" s="788">
        <v>2.1928999999999998</v>
      </c>
      <c r="O221" s="788">
        <v>2.1928999999999998</v>
      </c>
      <c r="P221" s="788">
        <v>2.1928999999999998</v>
      </c>
      <c r="Q221" s="788">
        <v>2.1928999999999998</v>
      </c>
      <c r="R221" s="788">
        <v>2.1928999999999998</v>
      </c>
      <c r="S221" s="788">
        <v>2.1928999999999998</v>
      </c>
      <c r="T221" s="788">
        <v>2.1928999999999998</v>
      </c>
      <c r="U221" s="788">
        <v>2.1928999999999998</v>
      </c>
      <c r="V221" s="788">
        <v>2.1928999999999998</v>
      </c>
      <c r="W221" s="788">
        <v>2.1928999999999998</v>
      </c>
      <c r="X221" s="788">
        <v>2.1928999999999998</v>
      </c>
      <c r="Y221" s="788">
        <v>2.1928999999999998</v>
      </c>
      <c r="Z221" s="788">
        <v>2.1928999999999998</v>
      </c>
      <c r="AA221" s="788">
        <v>2.1928999999999998</v>
      </c>
    </row>
    <row r="222" spans="1:59" x14ac:dyDescent="0.25">
      <c r="A222" s="783" t="s">
        <v>549</v>
      </c>
      <c r="C222" s="784" t="s">
        <v>703</v>
      </c>
      <c r="D222" s="788">
        <v>1.6929000000000001</v>
      </c>
      <c r="E222" s="788">
        <v>1.6929000000000001</v>
      </c>
      <c r="F222" s="788">
        <v>1.6929000000000001</v>
      </c>
      <c r="G222" s="788">
        <v>1.6929000000000001</v>
      </c>
      <c r="H222" s="788">
        <v>2.1928999999999998</v>
      </c>
      <c r="I222" s="788">
        <v>2.1928999999999998</v>
      </c>
      <c r="J222" s="788">
        <v>2.1928999999999998</v>
      </c>
      <c r="K222" s="788">
        <v>2.1928999999999998</v>
      </c>
      <c r="L222" s="788">
        <v>2.1928999999999998</v>
      </c>
      <c r="M222" s="788">
        <v>1.6929000000000001</v>
      </c>
      <c r="N222" s="788">
        <v>1.6929000000000001</v>
      </c>
      <c r="O222" s="788">
        <v>1.6929000000000001</v>
      </c>
      <c r="P222" s="788">
        <v>1.6929000000000001</v>
      </c>
      <c r="Q222" s="788">
        <v>1.6929000000000001</v>
      </c>
      <c r="R222" s="788">
        <v>1.6929000000000001</v>
      </c>
      <c r="S222" s="788">
        <v>1.6929000000000001</v>
      </c>
      <c r="T222" s="788">
        <v>2.1928999999999998</v>
      </c>
      <c r="U222" s="788">
        <v>2.1928999999999998</v>
      </c>
      <c r="V222" s="788">
        <v>2.1928999999999998</v>
      </c>
      <c r="W222" s="788">
        <v>2.1928999999999998</v>
      </c>
      <c r="X222" s="788">
        <v>2.1928999999999998</v>
      </c>
      <c r="Y222" s="788">
        <v>1.6929000000000001</v>
      </c>
      <c r="Z222" s="788">
        <v>1.6929000000000001</v>
      </c>
      <c r="AA222" s="788">
        <v>1.6929000000000001</v>
      </c>
      <c r="AB222" s="783">
        <v>0</v>
      </c>
      <c r="AC222" s="783">
        <v>0</v>
      </c>
      <c r="AD222" s="783">
        <v>0</v>
      </c>
      <c r="AE222" s="783">
        <v>0</v>
      </c>
      <c r="AF222" s="783">
        <v>0</v>
      </c>
      <c r="AG222" s="783">
        <v>0</v>
      </c>
      <c r="AH222" s="783">
        <v>0</v>
      </c>
      <c r="AI222" s="783">
        <v>0</v>
      </c>
      <c r="AJ222" s="783">
        <v>0</v>
      </c>
      <c r="AK222" s="783">
        <v>0</v>
      </c>
      <c r="AL222" s="783">
        <v>0</v>
      </c>
      <c r="AM222" s="783">
        <v>0</v>
      </c>
      <c r="AN222" s="783">
        <v>0</v>
      </c>
      <c r="AO222" s="783">
        <v>0</v>
      </c>
      <c r="AP222" s="783">
        <v>0</v>
      </c>
      <c r="AQ222" s="783">
        <v>0</v>
      </c>
      <c r="AR222" s="783">
        <v>0</v>
      </c>
      <c r="AS222" s="783">
        <v>0</v>
      </c>
      <c r="AT222" s="783">
        <v>0</v>
      </c>
      <c r="AU222" s="783">
        <v>0</v>
      </c>
      <c r="AV222" s="783">
        <v>0</v>
      </c>
      <c r="AW222" s="783">
        <v>0</v>
      </c>
      <c r="AX222" s="783">
        <v>0</v>
      </c>
      <c r="AY222" s="783">
        <v>0</v>
      </c>
      <c r="AZ222" s="783">
        <v>0</v>
      </c>
      <c r="BA222" s="783">
        <v>0</v>
      </c>
      <c r="BB222" s="783">
        <v>0</v>
      </c>
      <c r="BC222" s="783">
        <v>0</v>
      </c>
      <c r="BD222" s="783">
        <v>0</v>
      </c>
      <c r="BE222" s="783">
        <v>0</v>
      </c>
    </row>
    <row r="223" spans="1:59" x14ac:dyDescent="0.25">
      <c r="A223" s="783" t="s">
        <v>549</v>
      </c>
      <c r="C223" s="784" t="s">
        <v>704</v>
      </c>
      <c r="D223" s="783">
        <v>1754.32</v>
      </c>
      <c r="E223" s="783">
        <v>1754.32</v>
      </c>
      <c r="F223" s="783">
        <v>1754.32</v>
      </c>
      <c r="G223" s="783">
        <v>1754.32</v>
      </c>
      <c r="H223" s="783">
        <v>100510.702314863</v>
      </c>
      <c r="I223" s="783">
        <v>56464.122282655699</v>
      </c>
      <c r="J223" s="783">
        <v>27594.849260265899</v>
      </c>
      <c r="K223" s="783">
        <v>36522.265782975701</v>
      </c>
      <c r="L223" s="783">
        <v>74701.086583815399</v>
      </c>
      <c r="M223" s="783">
        <v>1754.32</v>
      </c>
      <c r="N223" s="783">
        <v>1754.32</v>
      </c>
      <c r="O223" s="783">
        <v>1754.32</v>
      </c>
      <c r="P223" s="783">
        <v>1754.32</v>
      </c>
      <c r="Q223" s="783">
        <v>1754.32</v>
      </c>
      <c r="R223" s="783">
        <v>1754.32</v>
      </c>
      <c r="S223" s="783">
        <v>1754.32</v>
      </c>
      <c r="T223" s="783">
        <v>97546.214864185895</v>
      </c>
      <c r="U223" s="783">
        <v>54850.471097371897</v>
      </c>
      <c r="V223" s="783">
        <v>27532.979779329398</v>
      </c>
      <c r="W223" s="783">
        <v>36482.155275587902</v>
      </c>
      <c r="X223" s="783">
        <v>74547.809659823703</v>
      </c>
      <c r="Y223" s="783">
        <v>1754.32</v>
      </c>
      <c r="Z223" s="783">
        <v>1754.32</v>
      </c>
      <c r="AA223" s="783">
        <v>1754.32</v>
      </c>
      <c r="AB223" s="783">
        <v>3118.00283439649</v>
      </c>
      <c r="AC223" s="783">
        <v>3282.2568994245999</v>
      </c>
      <c r="AD223" s="783">
        <v>3152.7712538228102</v>
      </c>
      <c r="AE223" s="783">
        <v>2722.3500029379902</v>
      </c>
      <c r="AF223" s="783">
        <v>2187.55534995056</v>
      </c>
      <c r="AG223" s="783">
        <v>1163.5780815754199</v>
      </c>
      <c r="AH223" s="783">
        <v>605.60082468010603</v>
      </c>
      <c r="AI223" s="783">
        <v>859.304177545382</v>
      </c>
      <c r="AJ223" s="783">
        <v>1727.9149305358101</v>
      </c>
      <c r="AK223" s="783">
        <v>2113.18246875051</v>
      </c>
      <c r="AL223" s="783">
        <v>2423.9764830651402</v>
      </c>
      <c r="AM223" s="783">
        <v>3108.7296909059701</v>
      </c>
      <c r="AN223" s="783">
        <v>3282.3934445361301</v>
      </c>
      <c r="AO223" s="783">
        <v>3460.26656542614</v>
      </c>
      <c r="AP223" s="783">
        <v>3306.8587466952099</v>
      </c>
      <c r="AQ223" s="783">
        <v>2853.0414380495299</v>
      </c>
      <c r="AR223" s="783">
        <v>2305.6743035728</v>
      </c>
      <c r="AS223" s="783">
        <v>1232.8012477244199</v>
      </c>
      <c r="AT223" s="783">
        <v>642.63949319214998</v>
      </c>
      <c r="AU223" s="783">
        <v>899.01550096012897</v>
      </c>
      <c r="AV223" s="783">
        <v>1843.57186783624</v>
      </c>
      <c r="AW223" s="783">
        <v>2210.9425389722001</v>
      </c>
      <c r="AX223" s="783">
        <v>2532.6232763446601</v>
      </c>
      <c r="AY223" s="783">
        <v>3240.5706913914701</v>
      </c>
      <c r="AZ223" s="783">
        <v>3430.2316365325801</v>
      </c>
      <c r="BA223" s="783">
        <v>3644.1567226173502</v>
      </c>
      <c r="BB223" s="783">
        <v>3465.34247312667</v>
      </c>
      <c r="BC223" s="783">
        <v>3006.2963200920699</v>
      </c>
      <c r="BD223" s="783">
        <v>2827.2068707912499</v>
      </c>
      <c r="BE223" s="783">
        <v>1544.0935815758501</v>
      </c>
    </row>
    <row r="224" spans="1:59" x14ac:dyDescent="0.25">
      <c r="A224" s="783" t="s">
        <v>549</v>
      </c>
      <c r="C224" s="784" t="s">
        <v>705</v>
      </c>
      <c r="D224" s="783">
        <v>52537.079534386998</v>
      </c>
      <c r="E224" s="783">
        <v>59329.1423267844</v>
      </c>
      <c r="F224" s="783">
        <v>71744.226830804997</v>
      </c>
      <c r="G224" s="783">
        <v>78927.572872951103</v>
      </c>
      <c r="H224" s="783">
        <v>0</v>
      </c>
      <c r="I224" s="783">
        <v>0</v>
      </c>
      <c r="J224" s="783">
        <v>0</v>
      </c>
      <c r="K224" s="783">
        <v>0</v>
      </c>
      <c r="L224" s="783">
        <v>0</v>
      </c>
      <c r="M224" s="783">
        <v>58689.031374905702</v>
      </c>
      <c r="N224" s="783">
        <v>60606.737555059502</v>
      </c>
      <c r="O224" s="783">
        <v>58261.688631514</v>
      </c>
      <c r="P224" s="783">
        <v>52436.581045161904</v>
      </c>
      <c r="Q224" s="783">
        <v>59266.917922369001</v>
      </c>
      <c r="R224" s="783">
        <v>72360.9481404041</v>
      </c>
      <c r="S224" s="783">
        <v>77853.5008959931</v>
      </c>
      <c r="T224" s="783">
        <v>0</v>
      </c>
      <c r="U224" s="783">
        <v>0</v>
      </c>
      <c r="V224" s="783">
        <v>0</v>
      </c>
      <c r="W224" s="783">
        <v>0</v>
      </c>
      <c r="X224" s="783">
        <v>0</v>
      </c>
      <c r="Y224" s="783">
        <v>58824.9253503816</v>
      </c>
      <c r="Z224" s="783">
        <v>61212.341860225701</v>
      </c>
      <c r="AA224" s="783">
        <v>58728.122922930801</v>
      </c>
      <c r="AB224" s="783">
        <v>0</v>
      </c>
      <c r="AC224" s="783">
        <v>0</v>
      </c>
      <c r="AD224" s="783">
        <v>0</v>
      </c>
      <c r="AE224" s="783">
        <v>0</v>
      </c>
      <c r="AF224" s="783">
        <v>0</v>
      </c>
      <c r="AG224" s="783">
        <v>0</v>
      </c>
      <c r="AH224" s="783">
        <v>0</v>
      </c>
      <c r="AI224" s="783">
        <v>0</v>
      </c>
      <c r="AJ224" s="783">
        <v>0</v>
      </c>
      <c r="AK224" s="783">
        <v>0</v>
      </c>
      <c r="AL224" s="783">
        <v>0</v>
      </c>
      <c r="AM224" s="783">
        <v>0</v>
      </c>
      <c r="AN224" s="783">
        <v>0</v>
      </c>
      <c r="AO224" s="783">
        <v>0</v>
      </c>
      <c r="AP224" s="783">
        <v>0</v>
      </c>
      <c r="AQ224" s="783">
        <v>0</v>
      </c>
      <c r="AR224" s="783">
        <v>0</v>
      </c>
      <c r="AS224" s="783">
        <v>0</v>
      </c>
      <c r="AT224" s="783">
        <v>0</v>
      </c>
      <c r="AU224" s="783">
        <v>0</v>
      </c>
      <c r="AV224" s="783">
        <v>0</v>
      </c>
      <c r="AW224" s="783">
        <v>0</v>
      </c>
      <c r="AX224" s="783">
        <v>0</v>
      </c>
      <c r="AY224" s="783">
        <v>0</v>
      </c>
      <c r="AZ224" s="783">
        <v>0</v>
      </c>
      <c r="BA224" s="783">
        <v>0</v>
      </c>
      <c r="BB224" s="783">
        <v>0</v>
      </c>
      <c r="BC224" s="783">
        <v>0</v>
      </c>
      <c r="BD224" s="783">
        <v>0</v>
      </c>
      <c r="BE224" s="783">
        <v>0</v>
      </c>
    </row>
    <row r="225" spans="1:57" x14ac:dyDescent="0.25">
      <c r="A225" s="783" t="s">
        <v>549</v>
      </c>
      <c r="B225" s="783" t="s">
        <v>374</v>
      </c>
      <c r="C225" s="784" t="s">
        <v>706</v>
      </c>
      <c r="D225" s="783">
        <v>54291.399534386997</v>
      </c>
      <c r="E225" s="783">
        <v>61083.4623267844</v>
      </c>
      <c r="F225" s="783">
        <v>73498.546830805004</v>
      </c>
      <c r="G225" s="783">
        <v>80681.892872951095</v>
      </c>
      <c r="H225" s="783">
        <v>100510.702314863</v>
      </c>
      <c r="I225" s="783">
        <v>56464.122282655699</v>
      </c>
      <c r="J225" s="783">
        <v>27594.849260265899</v>
      </c>
      <c r="K225" s="783">
        <v>36522.265782975701</v>
      </c>
      <c r="L225" s="783">
        <v>74701.086583815399</v>
      </c>
      <c r="M225" s="783">
        <v>60443.351374905702</v>
      </c>
      <c r="N225" s="783">
        <v>62361.057555059502</v>
      </c>
      <c r="O225" s="783">
        <v>60016.008631514</v>
      </c>
      <c r="P225" s="783">
        <v>54190.901045161903</v>
      </c>
      <c r="Q225" s="783">
        <v>61021.237922369</v>
      </c>
      <c r="R225" s="783">
        <v>74115.268140404107</v>
      </c>
      <c r="S225" s="783">
        <v>79607.820895993107</v>
      </c>
      <c r="T225" s="783">
        <v>97546.214864185895</v>
      </c>
      <c r="U225" s="783">
        <v>54850.471097371897</v>
      </c>
      <c r="V225" s="783">
        <v>27532.979779329398</v>
      </c>
      <c r="W225" s="783">
        <v>36482.155275587902</v>
      </c>
      <c r="X225" s="783">
        <v>74547.809659823703</v>
      </c>
      <c r="Y225" s="783">
        <v>60579.2453503816</v>
      </c>
      <c r="Z225" s="783">
        <v>62966.6618602257</v>
      </c>
      <c r="AA225" s="783">
        <v>60482.442922930801</v>
      </c>
      <c r="AB225" s="783">
        <v>3118.00283439649</v>
      </c>
      <c r="AC225" s="783">
        <v>3282.2568994245999</v>
      </c>
      <c r="AD225" s="783">
        <v>3152.7712538228102</v>
      </c>
      <c r="AE225" s="783">
        <v>2722.3500029379902</v>
      </c>
      <c r="AF225" s="783">
        <v>2187.55534995056</v>
      </c>
      <c r="AG225" s="783">
        <v>1163.5780815754199</v>
      </c>
      <c r="AH225" s="783">
        <v>605.60082468010603</v>
      </c>
      <c r="AI225" s="783">
        <v>859.304177545382</v>
      </c>
      <c r="AJ225" s="783">
        <v>1727.9149305358101</v>
      </c>
      <c r="AK225" s="783">
        <v>2113.18246875051</v>
      </c>
      <c r="AL225" s="783">
        <v>2423.9764830651402</v>
      </c>
      <c r="AM225" s="783">
        <v>3108.7296909059701</v>
      </c>
      <c r="AN225" s="783">
        <v>3282.3934445361301</v>
      </c>
      <c r="AO225" s="783">
        <v>3460.26656542614</v>
      </c>
      <c r="AP225" s="783">
        <v>3306.8587466952099</v>
      </c>
      <c r="AQ225" s="783">
        <v>2853.0414380495299</v>
      </c>
      <c r="AR225" s="783">
        <v>2305.6743035728</v>
      </c>
      <c r="AS225" s="783">
        <v>1232.8012477244199</v>
      </c>
      <c r="AT225" s="783">
        <v>642.63949319214998</v>
      </c>
      <c r="AU225" s="783">
        <v>899.01550096012897</v>
      </c>
      <c r="AV225" s="783">
        <v>1843.57186783624</v>
      </c>
      <c r="AW225" s="783">
        <v>2210.9425389722001</v>
      </c>
      <c r="AX225" s="783">
        <v>2532.6232763446601</v>
      </c>
      <c r="AY225" s="783">
        <v>3240.5706913914701</v>
      </c>
      <c r="AZ225" s="783">
        <v>3430.2316365325801</v>
      </c>
      <c r="BA225" s="783">
        <v>3644.1567226173502</v>
      </c>
      <c r="BB225" s="783">
        <v>3465.34247312667</v>
      </c>
      <c r="BC225" s="783">
        <v>3006.2963200920699</v>
      </c>
      <c r="BD225" s="783">
        <v>2827.2068707912499</v>
      </c>
      <c r="BE225" s="783">
        <v>1544.0935815758501</v>
      </c>
    </row>
    <row r="226" spans="1:57" x14ac:dyDescent="0.25">
      <c r="A226" s="783" t="s">
        <v>549</v>
      </c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57" x14ac:dyDescent="0.25">
      <c r="A227" s="783" t="s">
        <v>549</v>
      </c>
      <c r="C227" s="784" t="s">
        <v>707</v>
      </c>
      <c r="D227" s="786">
        <v>550</v>
      </c>
      <c r="E227" s="786">
        <v>550</v>
      </c>
      <c r="F227" s="786">
        <v>550</v>
      </c>
      <c r="G227" s="786">
        <v>550</v>
      </c>
      <c r="H227" s="786">
        <v>550</v>
      </c>
      <c r="I227" s="786">
        <v>550</v>
      </c>
      <c r="J227" s="786">
        <v>550</v>
      </c>
      <c r="K227" s="786">
        <v>550</v>
      </c>
      <c r="L227" s="786">
        <v>550</v>
      </c>
      <c r="M227" s="786">
        <v>550</v>
      </c>
      <c r="N227" s="786">
        <v>550</v>
      </c>
      <c r="O227" s="786">
        <v>550</v>
      </c>
      <c r="P227" s="786">
        <v>550</v>
      </c>
      <c r="Q227" s="786">
        <v>550</v>
      </c>
      <c r="R227" s="786">
        <v>550</v>
      </c>
      <c r="S227" s="786">
        <v>550</v>
      </c>
      <c r="T227" s="786">
        <v>550</v>
      </c>
      <c r="U227" s="786">
        <v>550</v>
      </c>
      <c r="V227" s="786">
        <v>550</v>
      </c>
      <c r="W227" s="786">
        <v>550</v>
      </c>
      <c r="X227" s="786">
        <v>550</v>
      </c>
      <c r="Y227" s="786">
        <v>550</v>
      </c>
      <c r="Z227" s="786">
        <v>550</v>
      </c>
      <c r="AA227" s="786">
        <v>550</v>
      </c>
      <c r="AB227" s="783">
        <v>69064.439233981597</v>
      </c>
      <c r="AC227" s="783">
        <v>76061.330237820293</v>
      </c>
      <c r="AD227" s="783">
        <v>89036.408925037307</v>
      </c>
      <c r="AE227" s="783">
        <v>93493.028625470601</v>
      </c>
      <c r="AF227" s="783">
        <v>110389.785949921</v>
      </c>
      <c r="AG227" s="783">
        <v>67074.643921683295</v>
      </c>
      <c r="AH227" s="783">
        <v>39286.999698015301</v>
      </c>
      <c r="AI227" s="783">
        <v>47909.817662963702</v>
      </c>
      <c r="AJ227" s="783">
        <v>87313.192120353793</v>
      </c>
      <c r="AK227" s="783">
        <v>73809.240976500994</v>
      </c>
      <c r="AL227" s="783">
        <v>77006.645550023793</v>
      </c>
      <c r="AM227" s="783">
        <v>74584.303934434705</v>
      </c>
      <c r="AN227" s="783">
        <v>69187.757885110201</v>
      </c>
      <c r="AO227" s="783">
        <v>76177.844920908799</v>
      </c>
      <c r="AP227" s="783">
        <v>89952.935958462505</v>
      </c>
      <c r="AQ227" s="783">
        <v>93667.28698777</v>
      </c>
      <c r="AR227" s="783">
        <v>110304.377256144</v>
      </c>
      <c r="AS227" s="783">
        <v>67087.081914126698</v>
      </c>
      <c r="AT227" s="783">
        <v>39291.4469575365</v>
      </c>
      <c r="AU227" s="783">
        <v>48120.643444308902</v>
      </c>
      <c r="AV227" s="783">
        <v>87292.836814828799</v>
      </c>
      <c r="AW227" s="783">
        <v>74004.781116004306</v>
      </c>
      <c r="AX227" s="783">
        <v>77491.926463883501</v>
      </c>
      <c r="AY227" s="783">
        <v>74697.552056340093</v>
      </c>
      <c r="AZ227" s="783">
        <v>69340.844850788693</v>
      </c>
      <c r="BA227" s="783">
        <v>76360.736935313995</v>
      </c>
      <c r="BB227" s="783">
        <v>90807.598011457303</v>
      </c>
      <c r="BC227" s="783">
        <v>93855.919541945506</v>
      </c>
      <c r="BD227" s="783">
        <v>110650.383651818</v>
      </c>
      <c r="BE227" s="783">
        <v>67331.946022450997</v>
      </c>
    </row>
    <row r="228" spans="1:57" s="880" customFormat="1" x14ac:dyDescent="0.25">
      <c r="A228" s="783" t="s">
        <v>549</v>
      </c>
      <c r="B228" s="783" t="s">
        <v>520</v>
      </c>
      <c r="C228" s="882" t="s">
        <v>708</v>
      </c>
      <c r="D228" s="783">
        <v>4400</v>
      </c>
      <c r="E228" s="783">
        <v>4400</v>
      </c>
      <c r="F228" s="783">
        <v>4400</v>
      </c>
      <c r="G228" s="783">
        <v>4400</v>
      </c>
      <c r="H228" s="783">
        <v>4400</v>
      </c>
      <c r="I228" s="783">
        <v>4400</v>
      </c>
      <c r="J228" s="783">
        <v>4400</v>
      </c>
      <c r="K228" s="783">
        <v>4400</v>
      </c>
      <c r="L228" s="783">
        <v>4400</v>
      </c>
      <c r="M228" s="783">
        <v>4400</v>
      </c>
      <c r="N228" s="783">
        <v>4400</v>
      </c>
      <c r="O228" s="783">
        <v>4400</v>
      </c>
      <c r="P228" s="783">
        <v>4400</v>
      </c>
      <c r="Q228" s="783">
        <v>4400</v>
      </c>
      <c r="R228" s="783">
        <v>4400</v>
      </c>
      <c r="S228" s="783">
        <v>4400</v>
      </c>
      <c r="T228" s="783">
        <v>4400</v>
      </c>
      <c r="U228" s="783">
        <v>4400</v>
      </c>
      <c r="V228" s="783">
        <v>4400</v>
      </c>
      <c r="W228" s="783">
        <v>4400</v>
      </c>
      <c r="X228" s="783">
        <v>4400</v>
      </c>
      <c r="Y228" s="783">
        <v>4400</v>
      </c>
      <c r="Z228" s="783">
        <v>4400</v>
      </c>
      <c r="AA228" s="783">
        <v>4400</v>
      </c>
    </row>
    <row r="229" spans="1:57" x14ac:dyDescent="0.25">
      <c r="A229" s="783" t="s">
        <v>549</v>
      </c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 s="783">
        <v>301730</v>
      </c>
      <c r="AC229" s="783">
        <v>301623</v>
      </c>
      <c r="AD229" s="783">
        <v>301085</v>
      </c>
      <c r="AE229" s="783">
        <v>301501</v>
      </c>
      <c r="AF229" s="783">
        <v>301840</v>
      </c>
      <c r="AG229" s="783">
        <v>303104</v>
      </c>
      <c r="AH229" s="783">
        <v>303785</v>
      </c>
      <c r="AI229" s="783">
        <v>303974</v>
      </c>
      <c r="AJ229" s="783">
        <v>304399</v>
      </c>
      <c r="AK229" s="783">
        <v>303975</v>
      </c>
      <c r="AL229" s="783">
        <v>303507</v>
      </c>
      <c r="AM229" s="783">
        <v>303353</v>
      </c>
      <c r="AN229" s="783">
        <v>302979</v>
      </c>
      <c r="AO229" s="783">
        <v>302886</v>
      </c>
      <c r="AP229" s="783">
        <v>302362</v>
      </c>
      <c r="AQ229" s="783">
        <v>302792</v>
      </c>
      <c r="AR229" s="783">
        <v>303145</v>
      </c>
      <c r="AS229" s="783">
        <v>304422</v>
      </c>
      <c r="AT229" s="783">
        <v>305111</v>
      </c>
      <c r="AU229" s="783">
        <v>305308</v>
      </c>
      <c r="AV229" s="783">
        <v>305740</v>
      </c>
      <c r="AW229" s="783">
        <v>305327</v>
      </c>
      <c r="AX229" s="783">
        <v>304869</v>
      </c>
      <c r="AY229" s="783">
        <v>304724</v>
      </c>
      <c r="AZ229" s="783">
        <v>304359</v>
      </c>
      <c r="BA229" s="783">
        <v>304273</v>
      </c>
      <c r="BB229" s="783">
        <v>303757</v>
      </c>
      <c r="BC229" s="783">
        <v>304190</v>
      </c>
      <c r="BD229" s="783">
        <v>304545</v>
      </c>
      <c r="BE229" s="783">
        <v>305825</v>
      </c>
    </row>
    <row r="230" spans="1:57" x14ac:dyDescent="0.25">
      <c r="A230" s="783" t="s">
        <v>549</v>
      </c>
      <c r="C230" s="784" t="s">
        <v>709</v>
      </c>
      <c r="D230" s="783">
        <v>0</v>
      </c>
      <c r="E230" s="783">
        <v>0</v>
      </c>
      <c r="F230" s="783">
        <v>0</v>
      </c>
      <c r="G230" s="783">
        <v>0</v>
      </c>
      <c r="H230" s="783">
        <v>0</v>
      </c>
      <c r="I230" s="783">
        <v>0</v>
      </c>
      <c r="J230" s="783">
        <v>0</v>
      </c>
      <c r="K230" s="783">
        <v>0</v>
      </c>
      <c r="L230" s="783">
        <v>0</v>
      </c>
      <c r="M230" s="783">
        <v>0</v>
      </c>
      <c r="N230" s="783">
        <v>0</v>
      </c>
      <c r="O230" s="783">
        <v>0</v>
      </c>
      <c r="P230" s="783">
        <v>0</v>
      </c>
      <c r="Q230" s="783">
        <v>0</v>
      </c>
      <c r="R230" s="783">
        <v>0</v>
      </c>
      <c r="S230" s="783">
        <v>0</v>
      </c>
      <c r="T230" s="783">
        <v>0</v>
      </c>
      <c r="U230" s="783">
        <v>0</v>
      </c>
      <c r="V230" s="783">
        <v>0</v>
      </c>
      <c r="W230" s="783">
        <v>0</v>
      </c>
      <c r="X230" s="783">
        <v>0</v>
      </c>
      <c r="Y230" s="783">
        <v>0</v>
      </c>
      <c r="Z230" s="783">
        <v>0</v>
      </c>
      <c r="AA230" s="783">
        <v>0</v>
      </c>
      <c r="AB230" s="783">
        <v>0</v>
      </c>
      <c r="AC230" s="783">
        <v>0</v>
      </c>
      <c r="AD230" s="783">
        <v>0</v>
      </c>
      <c r="AE230" s="783">
        <v>0</v>
      </c>
      <c r="AF230" s="783">
        <v>0</v>
      </c>
      <c r="AG230" s="783">
        <v>0</v>
      </c>
      <c r="AH230" s="783">
        <v>0</v>
      </c>
      <c r="AI230" s="783">
        <v>0</v>
      </c>
      <c r="AJ230" s="783">
        <v>0</v>
      </c>
      <c r="AK230" s="783">
        <v>0</v>
      </c>
      <c r="AL230" s="783">
        <v>0</v>
      </c>
      <c r="AM230" s="783">
        <v>0</v>
      </c>
      <c r="AN230" s="783">
        <v>0</v>
      </c>
      <c r="AO230" s="783">
        <v>0</v>
      </c>
      <c r="AP230" s="783">
        <v>0</v>
      </c>
      <c r="AQ230" s="783">
        <v>0</v>
      </c>
      <c r="AR230" s="783">
        <v>0</v>
      </c>
      <c r="AS230" s="783">
        <v>0</v>
      </c>
      <c r="AT230" s="783">
        <v>0</v>
      </c>
      <c r="AU230" s="783">
        <v>0</v>
      </c>
      <c r="AV230" s="783">
        <v>0</v>
      </c>
      <c r="AW230" s="783">
        <v>0</v>
      </c>
      <c r="AX230" s="783">
        <v>0</v>
      </c>
      <c r="AY230" s="783">
        <v>0</v>
      </c>
      <c r="AZ230" s="783">
        <v>0</v>
      </c>
      <c r="BA230" s="783">
        <v>0</v>
      </c>
      <c r="BB230" s="783">
        <v>0</v>
      </c>
      <c r="BC230" s="783">
        <v>0</v>
      </c>
      <c r="BD230" s="783">
        <v>0</v>
      </c>
      <c r="BE230" s="783">
        <v>0</v>
      </c>
    </row>
    <row r="231" spans="1:57" s="786" customFormat="1" x14ac:dyDescent="0.25">
      <c r="A231" s="783" t="s">
        <v>549</v>
      </c>
      <c r="B231" s="783"/>
      <c r="C231" s="785" t="s">
        <v>710</v>
      </c>
      <c r="D231" s="788">
        <v>0</v>
      </c>
      <c r="E231" s="788">
        <v>0</v>
      </c>
      <c r="F231" s="788">
        <v>0</v>
      </c>
      <c r="G231" s="788">
        <v>0</v>
      </c>
      <c r="H231" s="788">
        <v>0</v>
      </c>
      <c r="I231" s="788">
        <v>0</v>
      </c>
      <c r="J231" s="788">
        <v>0</v>
      </c>
      <c r="K231" s="788">
        <v>0</v>
      </c>
      <c r="L231" s="788">
        <v>0</v>
      </c>
      <c r="M231" s="788">
        <v>0</v>
      </c>
      <c r="N231" s="788">
        <v>0</v>
      </c>
      <c r="O231" s="788">
        <v>0</v>
      </c>
      <c r="P231" s="788">
        <v>0</v>
      </c>
      <c r="Q231" s="788">
        <v>0</v>
      </c>
      <c r="R231" s="788">
        <v>0</v>
      </c>
      <c r="S231" s="788">
        <v>0</v>
      </c>
      <c r="T231" s="788">
        <v>0</v>
      </c>
      <c r="U231" s="788">
        <v>0</v>
      </c>
      <c r="V231" s="788">
        <v>0</v>
      </c>
      <c r="W231" s="788">
        <v>0</v>
      </c>
      <c r="X231" s="788">
        <v>0</v>
      </c>
      <c r="Y231" s="788">
        <v>0</v>
      </c>
      <c r="Z231" s="788">
        <v>0</v>
      </c>
      <c r="AA231" s="788">
        <v>0</v>
      </c>
      <c r="AB231" s="786">
        <v>20.149999999999999</v>
      </c>
      <c r="AC231" s="786">
        <v>20.149999999999999</v>
      </c>
      <c r="AD231" s="786">
        <v>19.5</v>
      </c>
      <c r="AE231" s="786">
        <v>20.149999999999999</v>
      </c>
      <c r="AF231" s="786">
        <v>19.5</v>
      </c>
      <c r="AG231" s="786">
        <v>20.149999999999999</v>
      </c>
      <c r="AH231" s="786">
        <v>20.149999999999999</v>
      </c>
      <c r="AI231" s="786">
        <v>18.2</v>
      </c>
      <c r="AJ231" s="786">
        <v>20.149999999999999</v>
      </c>
      <c r="AK231" s="786">
        <v>19.5</v>
      </c>
      <c r="AL231" s="786">
        <v>20.149999999999999</v>
      </c>
      <c r="AM231" s="786">
        <v>19.5</v>
      </c>
      <c r="AN231" s="786">
        <v>20.149999999999999</v>
      </c>
      <c r="AO231" s="786">
        <v>20.149999999999999</v>
      </c>
      <c r="AP231" s="786">
        <v>19.5</v>
      </c>
      <c r="AQ231" s="786">
        <v>20.149999999999999</v>
      </c>
      <c r="AR231" s="786">
        <v>19.5</v>
      </c>
      <c r="AS231" s="786">
        <v>20.149999999999999</v>
      </c>
      <c r="AT231" s="786">
        <v>20.149999999999999</v>
      </c>
      <c r="AU231" s="786">
        <v>18.850000000000001</v>
      </c>
      <c r="AV231" s="786">
        <v>20.149999999999999</v>
      </c>
      <c r="AW231" s="786">
        <v>19.5</v>
      </c>
      <c r="AX231" s="786">
        <v>20.149999999999999</v>
      </c>
      <c r="AY231" s="786">
        <v>19.5</v>
      </c>
      <c r="AZ231" s="786">
        <v>20.149999999999999</v>
      </c>
      <c r="BA231" s="786">
        <v>20.149999999999999</v>
      </c>
      <c r="BB231" s="786">
        <v>19.5</v>
      </c>
      <c r="BC231" s="786">
        <v>20.149999999999999</v>
      </c>
      <c r="BD231" s="786">
        <v>19.5</v>
      </c>
      <c r="BE231" s="786">
        <v>20.149999999999999</v>
      </c>
    </row>
    <row r="232" spans="1:57" s="786" customFormat="1" x14ac:dyDescent="0.25">
      <c r="A232" s="783" t="s">
        <v>549</v>
      </c>
      <c r="B232" s="783" t="s">
        <v>154</v>
      </c>
      <c r="C232" s="785" t="s">
        <v>711</v>
      </c>
      <c r="D232" s="783">
        <v>0</v>
      </c>
      <c r="E232" s="783">
        <v>0</v>
      </c>
      <c r="F232" s="783">
        <v>0</v>
      </c>
      <c r="G232" s="783">
        <v>0</v>
      </c>
      <c r="H232" s="783">
        <v>0</v>
      </c>
      <c r="I232" s="783">
        <v>0</v>
      </c>
      <c r="J232" s="783">
        <v>0</v>
      </c>
      <c r="K232" s="783">
        <v>0</v>
      </c>
      <c r="L232" s="783">
        <v>0</v>
      </c>
      <c r="M232" s="783">
        <v>0</v>
      </c>
      <c r="N232" s="783">
        <v>0</v>
      </c>
      <c r="O232" s="783">
        <v>0</v>
      </c>
      <c r="P232" s="783">
        <v>0</v>
      </c>
      <c r="Q232" s="783">
        <v>0</v>
      </c>
      <c r="R232" s="783">
        <v>0</v>
      </c>
      <c r="S232" s="783">
        <v>0</v>
      </c>
      <c r="T232" s="783">
        <v>0</v>
      </c>
      <c r="U232" s="783">
        <v>0</v>
      </c>
      <c r="V232" s="783">
        <v>0</v>
      </c>
      <c r="W232" s="783">
        <v>0</v>
      </c>
      <c r="X232" s="783">
        <v>0</v>
      </c>
      <c r="Y232" s="783">
        <v>0</v>
      </c>
      <c r="Z232" s="783">
        <v>0</v>
      </c>
      <c r="AA232" s="783">
        <v>0</v>
      </c>
      <c r="AB232" s="786">
        <v>0</v>
      </c>
      <c r="AC232" s="786">
        <v>0</v>
      </c>
      <c r="AD232" s="786">
        <v>0</v>
      </c>
      <c r="AE232" s="786">
        <v>0</v>
      </c>
      <c r="AF232" s="786">
        <v>0</v>
      </c>
      <c r="AG232" s="786">
        <v>0</v>
      </c>
      <c r="AH232" s="786">
        <v>0</v>
      </c>
      <c r="AI232" s="786">
        <v>0</v>
      </c>
      <c r="AJ232" s="786">
        <v>0</v>
      </c>
      <c r="AK232" s="786">
        <v>0</v>
      </c>
      <c r="AL232" s="786">
        <v>0</v>
      </c>
      <c r="AM232" s="786">
        <v>0</v>
      </c>
      <c r="AN232" s="786">
        <v>0</v>
      </c>
      <c r="AO232" s="786">
        <v>0</v>
      </c>
      <c r="AP232" s="786">
        <v>0</v>
      </c>
      <c r="AQ232" s="786">
        <v>0</v>
      </c>
      <c r="AR232" s="786">
        <v>0</v>
      </c>
      <c r="AS232" s="786">
        <v>0</v>
      </c>
      <c r="AT232" s="786">
        <v>0</v>
      </c>
      <c r="AU232" s="786">
        <v>0</v>
      </c>
      <c r="AV232" s="786">
        <v>0</v>
      </c>
      <c r="AW232" s="786">
        <v>0</v>
      </c>
      <c r="AX232" s="786">
        <v>0</v>
      </c>
      <c r="AY232" s="786">
        <v>0</v>
      </c>
      <c r="AZ232" s="786">
        <v>0</v>
      </c>
      <c r="BA232" s="786">
        <v>0</v>
      </c>
      <c r="BB232" s="786">
        <v>0</v>
      </c>
      <c r="BC232" s="786">
        <v>0</v>
      </c>
      <c r="BD232" s="786">
        <v>0</v>
      </c>
      <c r="BE232" s="786">
        <v>0</v>
      </c>
    </row>
    <row r="233" spans="1:57" x14ac:dyDescent="0.25">
      <c r="A233" s="783" t="s">
        <v>549</v>
      </c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 s="783">
        <v>6079859.5</v>
      </c>
      <c r="AC233" s="783">
        <v>6077703.4500000002</v>
      </c>
      <c r="AD233" s="783">
        <v>5871157.5</v>
      </c>
      <c r="AE233" s="783">
        <v>6075245.1500000004</v>
      </c>
      <c r="AF233" s="783">
        <v>5885880</v>
      </c>
      <c r="AG233" s="783">
        <v>6107545.5999999996</v>
      </c>
      <c r="AH233" s="783">
        <v>6121267.75</v>
      </c>
      <c r="AI233" s="783">
        <v>5532326.7999999998</v>
      </c>
      <c r="AJ233" s="783">
        <v>6133639.8499999996</v>
      </c>
      <c r="AK233" s="783">
        <v>5927512.5</v>
      </c>
      <c r="AL233" s="783">
        <v>6115666.0499999998</v>
      </c>
      <c r="AM233" s="783">
        <v>5915383.5</v>
      </c>
      <c r="AN233" s="783">
        <v>6105026.8499999996</v>
      </c>
      <c r="AO233" s="783">
        <v>6103152.9000000004</v>
      </c>
      <c r="AP233" s="783">
        <v>5896059</v>
      </c>
      <c r="AQ233" s="783">
        <v>6101258.7999999998</v>
      </c>
      <c r="AR233" s="783">
        <v>5911327.5</v>
      </c>
      <c r="AS233" s="783">
        <v>6134103.2999999998</v>
      </c>
      <c r="AT233" s="783">
        <v>6147986.6500000004</v>
      </c>
      <c r="AU233" s="783">
        <v>5755055.7999999998</v>
      </c>
      <c r="AV233" s="783">
        <v>6160661</v>
      </c>
      <c r="AW233" s="783">
        <v>5953876.5</v>
      </c>
      <c r="AX233" s="783">
        <v>6143110.3499999996</v>
      </c>
      <c r="AY233" s="783">
        <v>5942118</v>
      </c>
      <c r="AZ233" s="783">
        <v>6132833.8499999996</v>
      </c>
      <c r="BA233" s="783">
        <v>6131100.9500000002</v>
      </c>
      <c r="BB233" s="783">
        <v>5923261.5</v>
      </c>
      <c r="BC233" s="783">
        <v>6129428.5</v>
      </c>
      <c r="BD233" s="783">
        <v>5938627.5</v>
      </c>
      <c r="BE233" s="783">
        <v>6162373.75</v>
      </c>
    </row>
    <row r="234" spans="1:57" x14ac:dyDescent="0.25">
      <c r="A234" s="783" t="s">
        <v>549</v>
      </c>
      <c r="B234" s="783" t="s">
        <v>521</v>
      </c>
      <c r="C234" s="784" t="s">
        <v>712</v>
      </c>
      <c r="D234" s="783">
        <v>0</v>
      </c>
      <c r="E234" s="783">
        <v>0</v>
      </c>
      <c r="F234" s="783">
        <v>675</v>
      </c>
      <c r="G234" s="783">
        <v>675</v>
      </c>
      <c r="H234" s="783">
        <v>675</v>
      </c>
      <c r="I234" s="783">
        <v>675</v>
      </c>
      <c r="J234" s="783">
        <v>675</v>
      </c>
      <c r="K234" s="783">
        <v>675</v>
      </c>
      <c r="L234" s="783">
        <v>675</v>
      </c>
      <c r="M234" s="783">
        <v>675</v>
      </c>
      <c r="N234" s="783">
        <v>675</v>
      </c>
      <c r="O234" s="783">
        <v>675</v>
      </c>
      <c r="P234" s="783">
        <v>675</v>
      </c>
      <c r="Q234" s="783">
        <v>675</v>
      </c>
      <c r="R234" s="783">
        <v>675</v>
      </c>
      <c r="S234" s="783">
        <v>675</v>
      </c>
      <c r="T234" s="783">
        <v>675</v>
      </c>
      <c r="U234" s="783">
        <v>675</v>
      </c>
      <c r="V234" s="783">
        <v>675</v>
      </c>
      <c r="W234" s="783">
        <v>675</v>
      </c>
      <c r="X234" s="783">
        <v>675</v>
      </c>
      <c r="Y234" s="783">
        <v>675</v>
      </c>
      <c r="Z234" s="783">
        <v>675</v>
      </c>
      <c r="AA234" s="783">
        <v>675</v>
      </c>
      <c r="AB234" s="783">
        <v>0</v>
      </c>
      <c r="AC234" s="783">
        <v>0</v>
      </c>
      <c r="AD234" s="783">
        <v>0</v>
      </c>
      <c r="AE234" s="783">
        <v>0</v>
      </c>
      <c r="AF234" s="783">
        <v>0</v>
      </c>
      <c r="AG234" s="783">
        <v>0</v>
      </c>
      <c r="AH234" s="783">
        <v>0</v>
      </c>
      <c r="AI234" s="783">
        <v>0</v>
      </c>
      <c r="AJ234" s="783">
        <v>0</v>
      </c>
      <c r="AK234" s="783">
        <v>0</v>
      </c>
      <c r="AL234" s="783">
        <v>0</v>
      </c>
      <c r="AM234" s="783">
        <v>0</v>
      </c>
      <c r="AN234" s="783">
        <v>0</v>
      </c>
      <c r="AO234" s="783">
        <v>0</v>
      </c>
      <c r="AP234" s="783">
        <v>0</v>
      </c>
      <c r="AQ234" s="783">
        <v>0</v>
      </c>
      <c r="AR234" s="783">
        <v>0</v>
      </c>
      <c r="AS234" s="783">
        <v>0</v>
      </c>
      <c r="AT234" s="783">
        <v>0</v>
      </c>
      <c r="AU234" s="783">
        <v>0</v>
      </c>
      <c r="AV234" s="783">
        <v>0</v>
      </c>
      <c r="AW234" s="783">
        <v>0</v>
      </c>
      <c r="AX234" s="783">
        <v>0</v>
      </c>
      <c r="AY234" s="783">
        <v>0</v>
      </c>
      <c r="AZ234" s="783">
        <v>0</v>
      </c>
      <c r="BA234" s="783">
        <v>0</v>
      </c>
      <c r="BB234" s="783">
        <v>0</v>
      </c>
      <c r="BC234" s="783">
        <v>0</v>
      </c>
      <c r="BD234" s="783">
        <v>0</v>
      </c>
      <c r="BE234" s="783">
        <v>0</v>
      </c>
    </row>
    <row r="235" spans="1:57" x14ac:dyDescent="0.25">
      <c r="A235" s="783" t="s">
        <v>549</v>
      </c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 s="783">
        <v>6079859.5</v>
      </c>
      <c r="AC235" s="783">
        <v>6077703.4500000002</v>
      </c>
      <c r="AD235" s="783">
        <v>5871157.5</v>
      </c>
      <c r="AE235" s="783">
        <v>6075245.1500000004</v>
      </c>
      <c r="AF235" s="783">
        <v>5885880</v>
      </c>
      <c r="AG235" s="783">
        <v>6107545.5999999996</v>
      </c>
      <c r="AH235" s="783">
        <v>6121267.75</v>
      </c>
      <c r="AI235" s="783">
        <v>5532326.7999999998</v>
      </c>
      <c r="AJ235" s="783">
        <v>6133639.8499999996</v>
      </c>
      <c r="AK235" s="783">
        <v>5927512.5</v>
      </c>
      <c r="AL235" s="783">
        <v>6115666.0499999998</v>
      </c>
      <c r="AM235" s="783">
        <v>5915383.5</v>
      </c>
      <c r="AN235" s="783">
        <v>6105026.8499999996</v>
      </c>
      <c r="AO235" s="783">
        <v>6103152.9000000004</v>
      </c>
      <c r="AP235" s="783">
        <v>5896059</v>
      </c>
      <c r="AQ235" s="783">
        <v>6101258.7999999998</v>
      </c>
      <c r="AR235" s="783">
        <v>5911327.5</v>
      </c>
      <c r="AS235" s="783">
        <v>6134103.2999999998</v>
      </c>
      <c r="AT235" s="783">
        <v>6147986.6500000004</v>
      </c>
      <c r="AU235" s="783">
        <v>5755055.7999999998</v>
      </c>
      <c r="AV235" s="783">
        <v>6160661</v>
      </c>
      <c r="AW235" s="783">
        <v>5953876.5</v>
      </c>
      <c r="AX235" s="783">
        <v>6143110.3499999996</v>
      </c>
      <c r="AY235" s="783">
        <v>5942118</v>
      </c>
      <c r="AZ235" s="783">
        <v>6132833.8499999996</v>
      </c>
      <c r="BA235" s="783">
        <v>6131100.9500000002</v>
      </c>
      <c r="BB235" s="783">
        <v>5923261.5</v>
      </c>
      <c r="BC235" s="783">
        <v>6129428.5</v>
      </c>
      <c r="BD235" s="783">
        <v>5938627.5</v>
      </c>
      <c r="BE235" s="783">
        <v>6162373.75</v>
      </c>
    </row>
    <row r="236" spans="1:57" x14ac:dyDescent="0.25">
      <c r="A236" s="783" t="s">
        <v>549</v>
      </c>
      <c r="B236" s="783" t="s">
        <v>107</v>
      </c>
      <c r="C236" s="784" t="s">
        <v>713</v>
      </c>
      <c r="D236" s="783">
        <v>0</v>
      </c>
      <c r="E236" s="783">
        <v>0</v>
      </c>
      <c r="F236" s="783">
        <v>0</v>
      </c>
      <c r="G236" s="783">
        <v>0</v>
      </c>
      <c r="H236" s="783">
        <v>0</v>
      </c>
      <c r="I236" s="783">
        <v>0</v>
      </c>
      <c r="J236" s="783">
        <v>0</v>
      </c>
      <c r="K236" s="783">
        <v>0</v>
      </c>
      <c r="L236" s="783">
        <v>0</v>
      </c>
      <c r="M236" s="783">
        <v>0</v>
      </c>
      <c r="N236" s="783">
        <v>0</v>
      </c>
      <c r="O236" s="783">
        <v>0</v>
      </c>
      <c r="P236" s="783">
        <v>0</v>
      </c>
      <c r="Q236" s="783">
        <v>0</v>
      </c>
      <c r="R236" s="783">
        <v>0</v>
      </c>
      <c r="S236" s="783">
        <v>0</v>
      </c>
      <c r="T236" s="783">
        <v>0</v>
      </c>
      <c r="U236" s="783">
        <v>0</v>
      </c>
      <c r="V236" s="783">
        <v>0</v>
      </c>
      <c r="W236" s="783">
        <v>0</v>
      </c>
      <c r="X236" s="783">
        <v>0</v>
      </c>
      <c r="Y236" s="783">
        <v>0</v>
      </c>
      <c r="Z236" s="783">
        <v>0</v>
      </c>
      <c r="AA236" s="783">
        <v>0</v>
      </c>
    </row>
    <row r="237" spans="1:57" x14ac:dyDescent="0.25">
      <c r="A237" s="783" t="s">
        <v>549</v>
      </c>
      <c r="B237" s="783" t="s">
        <v>614</v>
      </c>
      <c r="C237" s="784" t="s">
        <v>714</v>
      </c>
      <c r="D237" s="783">
        <v>14331.348747965099</v>
      </c>
      <c r="E237" s="783">
        <v>9870.5814599207497</v>
      </c>
      <c r="F237" s="783">
        <v>10554.2039476545</v>
      </c>
      <c r="G237" s="783">
        <v>9372.3727717076599</v>
      </c>
      <c r="H237" s="783">
        <v>7968.1179916522296</v>
      </c>
      <c r="I237" s="783">
        <v>4085.6159857880002</v>
      </c>
      <c r="J237" s="783">
        <v>2846.9302912538601</v>
      </c>
      <c r="K237" s="783">
        <v>4179.4478248575797</v>
      </c>
      <c r="L237" s="783">
        <v>8219.9478063399401</v>
      </c>
      <c r="M237" s="783">
        <v>10242.1670523096</v>
      </c>
      <c r="N237" s="783">
        <v>11629.286487662001</v>
      </c>
      <c r="O237" s="783">
        <v>15026.075254904399</v>
      </c>
      <c r="P237" s="783">
        <v>16155.498646428499</v>
      </c>
      <c r="Q237" s="783">
        <v>16206.182096083799</v>
      </c>
      <c r="R237" s="783">
        <v>15137.3935276877</v>
      </c>
      <c r="S237" s="783">
        <v>12114.468390477699</v>
      </c>
      <c r="T237" s="783">
        <v>9432.59630740373</v>
      </c>
      <c r="U237" s="783">
        <v>5072.8351904223</v>
      </c>
      <c r="V237" s="783">
        <v>3072.2757757059699</v>
      </c>
      <c r="W237" s="783">
        <v>4429.6043723721596</v>
      </c>
      <c r="X237" s="783">
        <v>8700.1559706312</v>
      </c>
      <c r="Y237" s="783">
        <v>11175.7892280578</v>
      </c>
      <c r="Z237" s="783">
        <v>12892.962799754299</v>
      </c>
      <c r="AA237" s="783">
        <v>16546.291075505</v>
      </c>
      <c r="AB237" s="783">
        <v>324315.568679324</v>
      </c>
      <c r="AC237" s="783">
        <v>333784.860678709</v>
      </c>
      <c r="AD237" s="783">
        <v>412959.98718466097</v>
      </c>
      <c r="AE237" s="783">
        <v>886249.69827681396</v>
      </c>
      <c r="AF237" s="783">
        <v>2328454.4945043898</v>
      </c>
      <c r="AG237" s="783">
        <v>3259816.5687599299</v>
      </c>
      <c r="AH237" s="783">
        <v>4150547.9467075798</v>
      </c>
      <c r="AI237" s="783">
        <v>3233031.1338718901</v>
      </c>
      <c r="AJ237" s="783">
        <v>2466888.8657520702</v>
      </c>
      <c r="AK237" s="783">
        <v>1116135.79464359</v>
      </c>
      <c r="AL237" s="783">
        <v>572109.72918186896</v>
      </c>
      <c r="AM237" s="783">
        <v>365285.51086314302</v>
      </c>
      <c r="AN237" s="783">
        <v>322730.506582261</v>
      </c>
      <c r="AO237" s="783">
        <v>332353.966915895</v>
      </c>
      <c r="AP237" s="783">
        <v>410350.27408992802</v>
      </c>
      <c r="AQ237" s="783">
        <v>880340.64791520103</v>
      </c>
      <c r="AR237" s="783">
        <v>2317370.44920603</v>
      </c>
      <c r="AS237" s="783">
        <v>3242717.4526391798</v>
      </c>
      <c r="AT237" s="783">
        <v>4132788.26445725</v>
      </c>
      <c r="AU237" s="783">
        <v>3275345.2203065199</v>
      </c>
      <c r="AV237" s="783">
        <v>2495749.7230177601</v>
      </c>
      <c r="AW237" s="783">
        <v>1110997.33071784</v>
      </c>
      <c r="AX237" s="783">
        <v>569326.55425064301</v>
      </c>
      <c r="AY237" s="783">
        <v>363347.92823370598</v>
      </c>
      <c r="AZ237" s="783">
        <v>320936.45656830102</v>
      </c>
      <c r="BA237" s="783">
        <v>330263.09832753497</v>
      </c>
      <c r="BB237" s="783">
        <v>406840.27031424898</v>
      </c>
      <c r="BC237" s="783">
        <v>872606.64655980095</v>
      </c>
      <c r="BD237" s="783">
        <v>2302833.6290633501</v>
      </c>
      <c r="BE237" s="783">
        <v>3220703.6581197302</v>
      </c>
    </row>
    <row r="238" spans="1:57" x14ac:dyDescent="0.25">
      <c r="A238" s="783" t="s">
        <v>549</v>
      </c>
      <c r="B238" s="783" t="s">
        <v>109</v>
      </c>
      <c r="C238" s="784" t="s">
        <v>715</v>
      </c>
      <c r="D238" s="783">
        <v>0</v>
      </c>
      <c r="E238" s="783">
        <v>0</v>
      </c>
      <c r="F238" s="783">
        <v>0</v>
      </c>
      <c r="G238" s="783">
        <v>0</v>
      </c>
      <c r="H238" s="783">
        <v>0</v>
      </c>
      <c r="I238" s="783">
        <v>0</v>
      </c>
      <c r="J238" s="783">
        <v>0</v>
      </c>
      <c r="K238" s="783">
        <v>0</v>
      </c>
      <c r="L238" s="783">
        <v>0</v>
      </c>
      <c r="M238" s="783">
        <v>0</v>
      </c>
      <c r="N238" s="783">
        <v>0</v>
      </c>
      <c r="O238" s="783">
        <v>0</v>
      </c>
      <c r="P238" s="783">
        <v>0</v>
      </c>
      <c r="Q238" s="783">
        <v>0</v>
      </c>
      <c r="R238" s="783">
        <v>0</v>
      </c>
      <c r="S238" s="783">
        <v>0</v>
      </c>
      <c r="T238" s="783">
        <v>0</v>
      </c>
      <c r="U238" s="783">
        <v>0</v>
      </c>
      <c r="V238" s="783">
        <v>0</v>
      </c>
      <c r="W238" s="783">
        <v>0</v>
      </c>
      <c r="X238" s="783">
        <v>0</v>
      </c>
      <c r="Y238" s="783">
        <v>0</v>
      </c>
      <c r="Z238" s="783">
        <v>0</v>
      </c>
      <c r="AA238" s="783">
        <v>0</v>
      </c>
      <c r="AB238" s="783">
        <v>0</v>
      </c>
      <c r="AC238" s="783">
        <v>0</v>
      </c>
      <c r="AD238" s="783">
        <v>0</v>
      </c>
      <c r="AE238" s="783">
        <v>0</v>
      </c>
      <c r="AF238" s="783">
        <v>0</v>
      </c>
      <c r="AG238" s="783">
        <v>0</v>
      </c>
      <c r="AH238" s="783">
        <v>0</v>
      </c>
      <c r="AI238" s="783">
        <v>0</v>
      </c>
      <c r="AJ238" s="783">
        <v>0</v>
      </c>
      <c r="AK238" s="783">
        <v>0</v>
      </c>
      <c r="AL238" s="783">
        <v>0</v>
      </c>
      <c r="AM238" s="783">
        <v>0</v>
      </c>
      <c r="AN238" s="783">
        <v>0</v>
      </c>
      <c r="AO238" s="783">
        <v>0</v>
      </c>
      <c r="AP238" s="783">
        <v>0</v>
      </c>
      <c r="AQ238" s="783">
        <v>0</v>
      </c>
      <c r="AR238" s="783">
        <v>0</v>
      </c>
      <c r="AS238" s="783">
        <v>0</v>
      </c>
      <c r="AT238" s="783">
        <v>0</v>
      </c>
      <c r="AU238" s="783">
        <v>0</v>
      </c>
      <c r="AV238" s="783">
        <v>0</v>
      </c>
      <c r="AW238" s="783">
        <v>0</v>
      </c>
      <c r="AX238" s="783">
        <v>0</v>
      </c>
      <c r="AY238" s="783">
        <v>0</v>
      </c>
      <c r="AZ238" s="783">
        <v>0</v>
      </c>
      <c r="BA238" s="783">
        <v>0</v>
      </c>
      <c r="BB238" s="783">
        <v>0</v>
      </c>
      <c r="BC238" s="783">
        <v>0</v>
      </c>
      <c r="BD238" s="783">
        <v>0</v>
      </c>
      <c r="BE238" s="783">
        <v>0</v>
      </c>
    </row>
    <row r="239" spans="1:57" s="788" customFormat="1" x14ac:dyDescent="0.25">
      <c r="A239" s="783" t="s">
        <v>549</v>
      </c>
      <c r="B239" s="786"/>
      <c r="C239" s="787" t="s">
        <v>716</v>
      </c>
      <c r="D239" s="783">
        <v>14331.348747965099</v>
      </c>
      <c r="E239" s="783">
        <v>9870.5814599207497</v>
      </c>
      <c r="F239" s="783">
        <v>10554.2039476545</v>
      </c>
      <c r="G239" s="783">
        <v>9372.3727717076599</v>
      </c>
      <c r="H239" s="783">
        <v>7968.1179916522296</v>
      </c>
      <c r="I239" s="783">
        <v>4085.6159857880002</v>
      </c>
      <c r="J239" s="783">
        <v>2846.9302912538601</v>
      </c>
      <c r="K239" s="783">
        <v>4179.4478248575797</v>
      </c>
      <c r="L239" s="783">
        <v>8219.9478063399401</v>
      </c>
      <c r="M239" s="783">
        <v>10242.1670523096</v>
      </c>
      <c r="N239" s="783">
        <v>11629.286487662001</v>
      </c>
      <c r="O239" s="783">
        <v>15026.075254904399</v>
      </c>
      <c r="P239" s="783">
        <v>16155.498646428499</v>
      </c>
      <c r="Q239" s="783">
        <v>16206.182096083799</v>
      </c>
      <c r="R239" s="783">
        <v>15137.3935276877</v>
      </c>
      <c r="S239" s="783">
        <v>12114.468390477699</v>
      </c>
      <c r="T239" s="783">
        <v>9432.59630740373</v>
      </c>
      <c r="U239" s="783">
        <v>5072.8351904223</v>
      </c>
      <c r="V239" s="783">
        <v>3072.2757757059699</v>
      </c>
      <c r="W239" s="783">
        <v>4429.6043723721596</v>
      </c>
      <c r="X239" s="783">
        <v>8700.1559706312</v>
      </c>
      <c r="Y239" s="783">
        <v>11175.7892280578</v>
      </c>
      <c r="Z239" s="783">
        <v>12892.962799754299</v>
      </c>
      <c r="AA239" s="783">
        <v>16546.291075505</v>
      </c>
      <c r="AB239" s="788">
        <v>3.6781999999999999</v>
      </c>
      <c r="AC239" s="788">
        <v>3.6781999999999999</v>
      </c>
      <c r="AD239" s="788">
        <v>3.6781999999999999</v>
      </c>
      <c r="AE239" s="788">
        <v>3.6781999999999999</v>
      </c>
      <c r="AF239" s="788">
        <v>3.6781999999999999</v>
      </c>
      <c r="AG239" s="788">
        <v>3.6781999999999999</v>
      </c>
      <c r="AH239" s="788">
        <v>3.6781999999999999</v>
      </c>
      <c r="AI239" s="788">
        <v>3.6781999999999999</v>
      </c>
      <c r="AJ239" s="788">
        <v>3.6781999999999999</v>
      </c>
      <c r="AK239" s="788">
        <v>3.6781999999999999</v>
      </c>
      <c r="AL239" s="788">
        <v>3.6781999999999999</v>
      </c>
      <c r="AM239" s="788">
        <v>3.6781999999999999</v>
      </c>
      <c r="AN239" s="788">
        <v>3.6781999999999999</v>
      </c>
      <c r="AO239" s="788">
        <v>3.6781999999999999</v>
      </c>
      <c r="AP239" s="788">
        <v>3.6781999999999999</v>
      </c>
      <c r="AQ239" s="788">
        <v>3.6781999999999999</v>
      </c>
      <c r="AR239" s="788">
        <v>3.6781999999999999</v>
      </c>
      <c r="AS239" s="788">
        <v>3.6781999999999999</v>
      </c>
      <c r="AT239" s="788">
        <v>3.6781999999999999</v>
      </c>
      <c r="AU239" s="788">
        <v>3.6781999999999999</v>
      </c>
      <c r="AV239" s="788">
        <v>3.6781999999999999</v>
      </c>
      <c r="AW239" s="788">
        <v>3.6781999999999999</v>
      </c>
      <c r="AX239" s="788">
        <v>3.6781999999999999</v>
      </c>
      <c r="AY239" s="788">
        <v>3.6781999999999999</v>
      </c>
      <c r="AZ239" s="788">
        <v>3.6781999999999999</v>
      </c>
      <c r="BA239" s="788">
        <v>3.6781999999999999</v>
      </c>
      <c r="BB239" s="788">
        <v>3.6781999999999999</v>
      </c>
      <c r="BC239" s="788">
        <v>3.6781999999999999</v>
      </c>
      <c r="BD239" s="788">
        <v>3.6781999999999999</v>
      </c>
      <c r="BE239" s="788">
        <v>3.6781999999999999</v>
      </c>
    </row>
    <row r="240" spans="1:57" s="788" customFormat="1" x14ac:dyDescent="0.25">
      <c r="A240" s="783" t="s">
        <v>549</v>
      </c>
      <c r="B240" s="786"/>
      <c r="C240" s="787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 s="788">
        <v>0</v>
      </c>
      <c r="AC240" s="788">
        <v>0</v>
      </c>
      <c r="AD240" s="788">
        <v>0</v>
      </c>
      <c r="AE240" s="788">
        <v>0</v>
      </c>
      <c r="AF240" s="788">
        <v>0</v>
      </c>
      <c r="AG240" s="788">
        <v>0</v>
      </c>
      <c r="AH240" s="788">
        <v>0</v>
      </c>
      <c r="AI240" s="788">
        <v>0</v>
      </c>
      <c r="AJ240" s="788">
        <v>0</v>
      </c>
      <c r="AK240" s="788">
        <v>0</v>
      </c>
      <c r="AL240" s="788">
        <v>0</v>
      </c>
      <c r="AM240" s="788">
        <v>0</v>
      </c>
      <c r="AN240" s="788">
        <v>0</v>
      </c>
      <c r="AO240" s="788">
        <v>0</v>
      </c>
      <c r="AP240" s="788">
        <v>0</v>
      </c>
      <c r="AQ240" s="788">
        <v>0</v>
      </c>
      <c r="AR240" s="788">
        <v>0</v>
      </c>
      <c r="AS240" s="788">
        <v>0</v>
      </c>
      <c r="AT240" s="788">
        <v>0</v>
      </c>
      <c r="AU240" s="788">
        <v>0</v>
      </c>
      <c r="AV240" s="788">
        <v>0</v>
      </c>
      <c r="AW240" s="788">
        <v>0</v>
      </c>
      <c r="AX240" s="788">
        <v>0</v>
      </c>
      <c r="AY240" s="788">
        <v>0</v>
      </c>
      <c r="AZ240" s="788">
        <v>0</v>
      </c>
      <c r="BA240" s="788">
        <v>0</v>
      </c>
      <c r="BB240" s="788">
        <v>0</v>
      </c>
      <c r="BC240" s="788">
        <v>0</v>
      </c>
      <c r="BD240" s="788">
        <v>0</v>
      </c>
      <c r="BE240" s="788">
        <v>0</v>
      </c>
    </row>
    <row r="241" spans="1:59" x14ac:dyDescent="0.25">
      <c r="A241" s="783" t="s">
        <v>549</v>
      </c>
      <c r="C241" s="784" t="s">
        <v>717</v>
      </c>
      <c r="D241" s="783">
        <v>79133.468282352202</v>
      </c>
      <c r="E241" s="783">
        <v>81464.763786705196</v>
      </c>
      <c r="F241" s="783">
        <v>95041.3507784596</v>
      </c>
      <c r="G241" s="783">
        <v>101239.98564465799</v>
      </c>
      <c r="H241" s="783">
        <v>119467.42030651501</v>
      </c>
      <c r="I241" s="783">
        <v>71735.458268443806</v>
      </c>
      <c r="J241" s="783">
        <v>41627.499551519701</v>
      </c>
      <c r="K241" s="783">
        <v>51296.073607833299</v>
      </c>
      <c r="L241" s="783">
        <v>94106.754390155402</v>
      </c>
      <c r="M241" s="783">
        <v>81674.118427215304</v>
      </c>
      <c r="N241" s="783">
        <v>85176.064042721497</v>
      </c>
      <c r="O241" s="783">
        <v>86030.683886418497</v>
      </c>
      <c r="P241" s="783">
        <v>81532.119691590502</v>
      </c>
      <c r="Q241" s="783">
        <v>88413.140018452905</v>
      </c>
      <c r="R241" s="783">
        <v>100241.261668091</v>
      </c>
      <c r="S241" s="783">
        <v>102908.00928647</v>
      </c>
      <c r="T241" s="783">
        <v>117967.411171589</v>
      </c>
      <c r="U241" s="783">
        <v>71109.0262877942</v>
      </c>
      <c r="V241" s="783">
        <v>41790.9755550353</v>
      </c>
      <c r="W241" s="783">
        <v>51506.119647960099</v>
      </c>
      <c r="X241" s="783">
        <v>94433.6856304549</v>
      </c>
      <c r="Y241" s="783">
        <v>82743.634578439407</v>
      </c>
      <c r="Z241" s="783">
        <v>87045.344659980095</v>
      </c>
      <c r="AA241" s="783">
        <v>88017.333998435803</v>
      </c>
      <c r="AB241" s="783">
        <v>1192897.5247162799</v>
      </c>
      <c r="AC241" s="783">
        <v>1227727.4745484199</v>
      </c>
      <c r="AD241" s="783">
        <v>1518949.42486262</v>
      </c>
      <c r="AE241" s="783">
        <v>3259803.6402017698</v>
      </c>
      <c r="AF241" s="783">
        <v>8564521.3216860406</v>
      </c>
      <c r="AG241" s="783">
        <v>11990257.3032127</v>
      </c>
      <c r="AH241" s="783">
        <v>15266545.457579801</v>
      </c>
      <c r="AI241" s="783">
        <v>11891735.1166075</v>
      </c>
      <c r="AJ241" s="783">
        <v>9073710.6260092594</v>
      </c>
      <c r="AK241" s="783">
        <v>4105370.6798580498</v>
      </c>
      <c r="AL241" s="783">
        <v>2104334.0058767502</v>
      </c>
      <c r="AM241" s="783">
        <v>1343593.1660568099</v>
      </c>
      <c r="AN241" s="783">
        <v>1187067.34931087</v>
      </c>
      <c r="AO241" s="783">
        <v>1222464.36111004</v>
      </c>
      <c r="AP241" s="783">
        <v>1509350.37815757</v>
      </c>
      <c r="AQ241" s="783">
        <v>3238068.9711616901</v>
      </c>
      <c r="AR241" s="783">
        <v>8523751.9862696193</v>
      </c>
      <c r="AS241" s="783">
        <v>11927363.3342974</v>
      </c>
      <c r="AT241" s="783">
        <v>15201221.7943266</v>
      </c>
      <c r="AU241" s="783">
        <v>12047374.789331401</v>
      </c>
      <c r="AV241" s="783">
        <v>9179866.6312039196</v>
      </c>
      <c r="AW241" s="783">
        <v>4086470.3818463502</v>
      </c>
      <c r="AX241" s="783">
        <v>2094096.9318447099</v>
      </c>
      <c r="AY241" s="783">
        <v>1336466.3496292101</v>
      </c>
      <c r="AZ241" s="783">
        <v>1180468.4745495201</v>
      </c>
      <c r="BA241" s="783">
        <v>1214773.72826833</v>
      </c>
      <c r="BB241" s="783">
        <v>1496439.88226987</v>
      </c>
      <c r="BC241" s="783">
        <v>3209621.7673762599</v>
      </c>
      <c r="BD241" s="783">
        <v>8470282.6544208098</v>
      </c>
      <c r="BE241" s="783">
        <v>11846392.1952959</v>
      </c>
    </row>
    <row r="242" spans="1:59" s="811" customFormat="1" x14ac:dyDescent="0.25">
      <c r="C242" s="812" t="s">
        <v>724</v>
      </c>
      <c r="AB242" s="811">
        <v>0</v>
      </c>
      <c r="AC242" s="811">
        <v>0</v>
      </c>
      <c r="AD242" s="811">
        <v>0</v>
      </c>
      <c r="AE242" s="811">
        <v>0</v>
      </c>
      <c r="AF242" s="811">
        <v>0</v>
      </c>
      <c r="AG242" s="811">
        <v>0</v>
      </c>
      <c r="AH242" s="811">
        <v>0</v>
      </c>
      <c r="AI242" s="811">
        <v>0</v>
      </c>
      <c r="AJ242" s="811">
        <v>0</v>
      </c>
      <c r="AK242" s="811">
        <v>0</v>
      </c>
      <c r="AL242" s="811">
        <v>0</v>
      </c>
      <c r="AM242" s="811">
        <v>0</v>
      </c>
      <c r="AN242" s="811">
        <v>0</v>
      </c>
      <c r="AO242" s="811">
        <v>0</v>
      </c>
      <c r="AP242" s="811">
        <v>0</v>
      </c>
      <c r="AQ242" s="811">
        <v>0</v>
      </c>
      <c r="AR242" s="811">
        <v>0</v>
      </c>
      <c r="AS242" s="811">
        <v>0</v>
      </c>
      <c r="AT242" s="811">
        <v>0</v>
      </c>
      <c r="AU242" s="811">
        <v>0</v>
      </c>
      <c r="AV242" s="811">
        <v>0</v>
      </c>
      <c r="AW242" s="811">
        <v>0</v>
      </c>
      <c r="AX242" s="811">
        <v>0</v>
      </c>
      <c r="AY242" s="811">
        <v>0</v>
      </c>
      <c r="AZ242" s="811">
        <v>0</v>
      </c>
      <c r="BA242" s="811">
        <v>0</v>
      </c>
      <c r="BB242" s="811">
        <v>0</v>
      </c>
      <c r="BC242" s="811">
        <v>0</v>
      </c>
      <c r="BD242" s="811">
        <v>0</v>
      </c>
      <c r="BE242" s="811">
        <v>0</v>
      </c>
    </row>
    <row r="243" spans="1:59" x14ac:dyDescent="0.25">
      <c r="A243" s="783" t="s">
        <v>62</v>
      </c>
      <c r="C243" s="784" t="s">
        <v>693</v>
      </c>
      <c r="D243" s="783">
        <v>300330</v>
      </c>
      <c r="E243" s="783">
        <v>300090</v>
      </c>
      <c r="F243" s="783">
        <v>299489</v>
      </c>
      <c r="G243" s="783">
        <v>299810</v>
      </c>
      <c r="H243" s="783">
        <v>300127</v>
      </c>
      <c r="I243" s="783">
        <v>301386</v>
      </c>
      <c r="J243" s="783">
        <v>301961</v>
      </c>
      <c r="K243" s="783">
        <v>302059</v>
      </c>
      <c r="L243" s="783">
        <v>302452</v>
      </c>
      <c r="M243" s="783">
        <v>301944</v>
      </c>
      <c r="N243" s="783">
        <v>301506</v>
      </c>
      <c r="O243" s="783">
        <v>301073</v>
      </c>
      <c r="P243" s="783">
        <v>300710</v>
      </c>
      <c r="Q243" s="783">
        <v>300510</v>
      </c>
      <c r="R243" s="783">
        <v>299946</v>
      </c>
      <c r="S243" s="783">
        <v>300309</v>
      </c>
      <c r="T243" s="783">
        <v>300666</v>
      </c>
      <c r="U243" s="783">
        <v>301963</v>
      </c>
      <c r="V243" s="783">
        <v>302625</v>
      </c>
      <c r="W243" s="783">
        <v>302797</v>
      </c>
      <c r="X243" s="783">
        <v>303205</v>
      </c>
      <c r="Y243" s="783">
        <v>302767</v>
      </c>
      <c r="Z243" s="783">
        <v>302286</v>
      </c>
      <c r="AA243" s="783">
        <v>302118</v>
      </c>
      <c r="AB243" s="783">
        <v>1192897.5247162799</v>
      </c>
      <c r="AC243" s="783">
        <v>1227727.4745484199</v>
      </c>
      <c r="AD243" s="783">
        <v>1518949.42486262</v>
      </c>
      <c r="AE243" s="783">
        <v>3259803.6402017698</v>
      </c>
      <c r="AF243" s="783">
        <v>8564521.3216860406</v>
      </c>
      <c r="AG243" s="783">
        <v>11990257.3032127</v>
      </c>
      <c r="AH243" s="783">
        <v>15266545.457579801</v>
      </c>
      <c r="AI243" s="783">
        <v>11891735.1166075</v>
      </c>
      <c r="AJ243" s="783">
        <v>9073710.6260092594</v>
      </c>
      <c r="AK243" s="783">
        <v>4105370.6798580498</v>
      </c>
      <c r="AL243" s="783">
        <v>2104334.0058767502</v>
      </c>
      <c r="AM243" s="783">
        <v>1343593.1660568099</v>
      </c>
      <c r="AN243" s="783">
        <v>1187067.34931087</v>
      </c>
      <c r="AO243" s="783">
        <v>1222464.36111004</v>
      </c>
      <c r="AP243" s="783">
        <v>1509350.37815757</v>
      </c>
      <c r="AQ243" s="783">
        <v>3238068.9711616901</v>
      </c>
      <c r="AR243" s="783">
        <v>8523751.9862696193</v>
      </c>
      <c r="AS243" s="783">
        <v>11927363.3342974</v>
      </c>
      <c r="AT243" s="783">
        <v>15201221.7943266</v>
      </c>
      <c r="AU243" s="783">
        <v>12047374.789331401</v>
      </c>
      <c r="AV243" s="783">
        <v>9179866.6312039196</v>
      </c>
      <c r="AW243" s="783">
        <v>4086470.3818463502</v>
      </c>
      <c r="AX243" s="783">
        <v>2094096.9318447099</v>
      </c>
      <c r="AY243" s="783">
        <v>1336466.3496292101</v>
      </c>
      <c r="AZ243" s="783">
        <v>1180468.4745495201</v>
      </c>
      <c r="BA243" s="783">
        <v>1214773.72826833</v>
      </c>
      <c r="BB243" s="783">
        <v>1496439.88226987</v>
      </c>
      <c r="BC243" s="783">
        <v>3209621.7673762599</v>
      </c>
      <c r="BD243" s="783">
        <v>8470282.6544208098</v>
      </c>
      <c r="BE243" s="783">
        <v>11846392.1952959</v>
      </c>
    </row>
    <row r="244" spans="1:59" x14ac:dyDescent="0.25">
      <c r="A244" s="783" t="s">
        <v>62</v>
      </c>
      <c r="C244" s="784" t="s">
        <v>694</v>
      </c>
      <c r="D244" s="783">
        <v>0</v>
      </c>
      <c r="E244" s="783">
        <v>0</v>
      </c>
      <c r="F244" s="783">
        <v>0</v>
      </c>
      <c r="G244" s="783">
        <v>0</v>
      </c>
      <c r="H244" s="783">
        <v>0</v>
      </c>
      <c r="I244" s="783">
        <v>0</v>
      </c>
      <c r="J244" s="783">
        <v>0</v>
      </c>
      <c r="K244" s="783">
        <v>0</v>
      </c>
      <c r="L244" s="783">
        <v>0</v>
      </c>
      <c r="M244" s="783">
        <v>0</v>
      </c>
      <c r="N244" s="783">
        <v>0</v>
      </c>
      <c r="O244" s="783">
        <v>0</v>
      </c>
      <c r="P244" s="783">
        <v>0</v>
      </c>
      <c r="Q244" s="783">
        <v>0</v>
      </c>
      <c r="R244" s="783">
        <v>0</v>
      </c>
      <c r="S244" s="783">
        <v>0</v>
      </c>
      <c r="T244" s="783">
        <v>0</v>
      </c>
      <c r="U244" s="783">
        <v>0</v>
      </c>
      <c r="V244" s="783">
        <v>0</v>
      </c>
      <c r="W244" s="783">
        <v>0</v>
      </c>
      <c r="X244" s="783">
        <v>0</v>
      </c>
      <c r="Y244" s="783">
        <v>0</v>
      </c>
      <c r="Z244" s="783">
        <v>0</v>
      </c>
      <c r="AA244" s="783">
        <v>0</v>
      </c>
    </row>
    <row r="245" spans="1:59" s="786" customFormat="1" x14ac:dyDescent="0.25">
      <c r="A245" s="783" t="s">
        <v>62</v>
      </c>
      <c r="B245" s="783"/>
      <c r="C245" s="785" t="s">
        <v>695</v>
      </c>
      <c r="D245" s="786">
        <v>0.65</v>
      </c>
      <c r="E245" s="786">
        <v>0.65</v>
      </c>
      <c r="F245" s="786">
        <v>0.65</v>
      </c>
      <c r="G245" s="786">
        <v>0.65</v>
      </c>
      <c r="H245" s="786">
        <v>0.65</v>
      </c>
      <c r="I245" s="786">
        <v>0.65</v>
      </c>
      <c r="J245" s="786">
        <v>0.65</v>
      </c>
      <c r="K245" s="786">
        <v>0.65</v>
      </c>
      <c r="L245" s="786">
        <v>0.65</v>
      </c>
      <c r="M245" s="786">
        <v>0.65</v>
      </c>
      <c r="N245" s="786">
        <v>0.65</v>
      </c>
      <c r="O245" s="786">
        <v>0.65</v>
      </c>
      <c r="P245" s="786">
        <v>0.65</v>
      </c>
      <c r="Q245" s="786">
        <v>0.65</v>
      </c>
      <c r="R245" s="786">
        <v>0.65</v>
      </c>
      <c r="S245" s="786">
        <v>0.65</v>
      </c>
      <c r="T245" s="786">
        <v>0.65</v>
      </c>
      <c r="U245" s="786">
        <v>0.65</v>
      </c>
      <c r="V245" s="786">
        <v>0.65</v>
      </c>
      <c r="W245" s="786">
        <v>0.65</v>
      </c>
      <c r="X245" s="786">
        <v>0.65</v>
      </c>
      <c r="Y245" s="786">
        <v>0.65</v>
      </c>
      <c r="Z245" s="786">
        <v>0.65</v>
      </c>
      <c r="AA245" s="786">
        <v>0.65</v>
      </c>
      <c r="AB245" s="786">
        <v>0</v>
      </c>
      <c r="AC245" s="786">
        <v>0</v>
      </c>
      <c r="AD245" s="786">
        <v>0</v>
      </c>
      <c r="AE245" s="786">
        <v>0</v>
      </c>
      <c r="AF245" s="786">
        <v>0</v>
      </c>
      <c r="AG245" s="786">
        <v>0</v>
      </c>
      <c r="AH245" s="786">
        <v>0</v>
      </c>
      <c r="AI245" s="786">
        <v>0</v>
      </c>
      <c r="AJ245" s="786">
        <v>0</v>
      </c>
      <c r="AK245" s="786">
        <v>0</v>
      </c>
      <c r="AL245" s="786">
        <v>0</v>
      </c>
      <c r="AM245" s="786">
        <v>0</v>
      </c>
      <c r="AN245" s="786">
        <v>0</v>
      </c>
      <c r="AO245" s="786">
        <v>0</v>
      </c>
      <c r="AP245" s="786">
        <v>0</v>
      </c>
      <c r="AQ245" s="786">
        <v>0</v>
      </c>
      <c r="AR245" s="786">
        <v>0</v>
      </c>
      <c r="AS245" s="786">
        <v>0</v>
      </c>
      <c r="AT245" s="786">
        <v>0</v>
      </c>
      <c r="AU245" s="786">
        <v>0</v>
      </c>
      <c r="AV245" s="786">
        <v>0</v>
      </c>
      <c r="AW245" s="786">
        <v>0</v>
      </c>
      <c r="AX245" s="786">
        <v>0</v>
      </c>
      <c r="AY245" s="786">
        <v>0</v>
      </c>
      <c r="AZ245" s="786">
        <v>0</v>
      </c>
      <c r="BA245" s="786">
        <v>0</v>
      </c>
      <c r="BB245" s="786">
        <v>0</v>
      </c>
      <c r="BC245" s="786">
        <v>0</v>
      </c>
      <c r="BD245" s="786">
        <v>0</v>
      </c>
      <c r="BE245" s="786">
        <v>0</v>
      </c>
    </row>
    <row r="246" spans="1:59" x14ac:dyDescent="0.25">
      <c r="A246" s="783" t="s">
        <v>62</v>
      </c>
      <c r="C246" s="784" t="s">
        <v>696</v>
      </c>
      <c r="D246" s="786">
        <v>0</v>
      </c>
      <c r="E246" s="786">
        <v>0</v>
      </c>
      <c r="F246" s="786">
        <v>0</v>
      </c>
      <c r="G246" s="786">
        <v>0</v>
      </c>
      <c r="H246" s="786">
        <v>0</v>
      </c>
      <c r="I246" s="786">
        <v>0</v>
      </c>
      <c r="J246" s="786">
        <v>0</v>
      </c>
      <c r="K246" s="786">
        <v>0</v>
      </c>
      <c r="L246" s="786">
        <v>0</v>
      </c>
      <c r="M246" s="786">
        <v>0</v>
      </c>
      <c r="N246" s="786">
        <v>0</v>
      </c>
      <c r="O246" s="786">
        <v>0</v>
      </c>
      <c r="P246" s="786">
        <v>0</v>
      </c>
      <c r="Q246" s="786">
        <v>0</v>
      </c>
      <c r="R246" s="786">
        <v>0</v>
      </c>
      <c r="S246" s="786">
        <v>0</v>
      </c>
      <c r="T246" s="786">
        <v>0</v>
      </c>
      <c r="U246" s="786">
        <v>0</v>
      </c>
      <c r="V246" s="786">
        <v>0</v>
      </c>
      <c r="W246" s="786">
        <v>0</v>
      </c>
      <c r="X246" s="786">
        <v>0</v>
      </c>
      <c r="Y246" s="786">
        <v>0</v>
      </c>
      <c r="Z246" s="786">
        <v>0</v>
      </c>
      <c r="AA246" s="786">
        <v>0</v>
      </c>
      <c r="AB246" s="783">
        <v>0</v>
      </c>
      <c r="AC246" s="783">
        <v>0</v>
      </c>
      <c r="AD246" s="783">
        <v>0</v>
      </c>
      <c r="AE246" s="783">
        <v>0</v>
      </c>
      <c r="AF246" s="783">
        <v>0</v>
      </c>
      <c r="AG246" s="783">
        <v>0</v>
      </c>
      <c r="AH246" s="783">
        <v>0</v>
      </c>
      <c r="AI246" s="783">
        <v>0</v>
      </c>
      <c r="AJ246" s="783">
        <v>0</v>
      </c>
      <c r="AK246" s="783">
        <v>0</v>
      </c>
      <c r="AL246" s="783">
        <v>0</v>
      </c>
      <c r="AM246" s="783">
        <v>0</v>
      </c>
      <c r="AN246" s="783">
        <v>0</v>
      </c>
      <c r="AO246" s="783">
        <v>0</v>
      </c>
      <c r="AP246" s="783">
        <v>0</v>
      </c>
      <c r="AQ246" s="783">
        <v>0</v>
      </c>
      <c r="AR246" s="783">
        <v>0</v>
      </c>
      <c r="AS246" s="783">
        <v>0</v>
      </c>
      <c r="AT246" s="783">
        <v>0</v>
      </c>
      <c r="AU246" s="783">
        <v>0</v>
      </c>
      <c r="AV246" s="783">
        <v>0</v>
      </c>
      <c r="AW246" s="783">
        <v>0</v>
      </c>
      <c r="AX246" s="783">
        <v>0</v>
      </c>
      <c r="AY246" s="783">
        <v>0</v>
      </c>
      <c r="AZ246" s="783">
        <v>0</v>
      </c>
      <c r="BA246" s="783">
        <v>0</v>
      </c>
      <c r="BB246" s="783">
        <v>0</v>
      </c>
      <c r="BC246" s="783">
        <v>0</v>
      </c>
      <c r="BD246" s="783">
        <v>0</v>
      </c>
      <c r="BE246" s="783">
        <v>0</v>
      </c>
    </row>
    <row r="247" spans="1:59" x14ac:dyDescent="0.25">
      <c r="A247" s="783" t="s">
        <v>62</v>
      </c>
      <c r="C247" s="784" t="s">
        <v>1062</v>
      </c>
      <c r="D247" s="783">
        <v>31</v>
      </c>
      <c r="E247" s="783">
        <v>31</v>
      </c>
      <c r="F247" s="783">
        <v>30</v>
      </c>
      <c r="G247" s="783">
        <v>31</v>
      </c>
      <c r="H247" s="783">
        <v>30</v>
      </c>
      <c r="I247" s="783">
        <v>31</v>
      </c>
      <c r="J247" s="783">
        <v>31</v>
      </c>
      <c r="K247" s="783">
        <v>28</v>
      </c>
      <c r="L247" s="783">
        <v>31</v>
      </c>
      <c r="M247" s="783">
        <v>30</v>
      </c>
      <c r="N247" s="783">
        <v>31</v>
      </c>
      <c r="O247" s="783">
        <v>30</v>
      </c>
      <c r="P247" s="783">
        <v>31</v>
      </c>
      <c r="Q247" s="783">
        <v>31</v>
      </c>
      <c r="R247" s="783">
        <v>30</v>
      </c>
      <c r="S247" s="783">
        <v>31</v>
      </c>
      <c r="T247" s="783">
        <v>30</v>
      </c>
      <c r="U247" s="783">
        <v>31</v>
      </c>
      <c r="V247" s="783">
        <v>31</v>
      </c>
      <c r="W247" s="783">
        <v>28</v>
      </c>
      <c r="X247" s="783">
        <v>31</v>
      </c>
      <c r="Y247" s="783">
        <v>30</v>
      </c>
      <c r="Z247" s="783">
        <v>31</v>
      </c>
      <c r="AA247" s="783">
        <v>30</v>
      </c>
    </row>
    <row r="248" spans="1:59" x14ac:dyDescent="0.25">
      <c r="A248" s="783" t="s">
        <v>62</v>
      </c>
      <c r="C248" s="784" t="s">
        <v>1063</v>
      </c>
      <c r="D248" s="783">
        <v>31</v>
      </c>
      <c r="E248" s="783">
        <v>31</v>
      </c>
      <c r="F248" s="783">
        <v>30</v>
      </c>
      <c r="G248" s="783">
        <v>31</v>
      </c>
      <c r="H248" s="783">
        <v>30</v>
      </c>
      <c r="I248" s="783">
        <v>31</v>
      </c>
      <c r="J248" s="783">
        <v>31</v>
      </c>
      <c r="K248" s="783">
        <v>28</v>
      </c>
      <c r="L248" s="783">
        <v>31</v>
      </c>
      <c r="M248" s="783">
        <v>30</v>
      </c>
      <c r="N248" s="783">
        <v>31</v>
      </c>
      <c r="O248" s="783">
        <v>30</v>
      </c>
      <c r="P248" s="783">
        <v>31</v>
      </c>
      <c r="Q248" s="783">
        <v>31</v>
      </c>
      <c r="R248" s="783">
        <v>30</v>
      </c>
      <c r="S248" s="783">
        <v>31</v>
      </c>
      <c r="T248" s="783">
        <v>30</v>
      </c>
      <c r="U248" s="783">
        <v>31</v>
      </c>
      <c r="V248" s="783">
        <v>31</v>
      </c>
      <c r="W248" s="783">
        <v>28</v>
      </c>
      <c r="X248" s="783">
        <v>31</v>
      </c>
      <c r="Y248" s="783">
        <v>30</v>
      </c>
      <c r="Z248" s="783">
        <v>31</v>
      </c>
      <c r="AA248" s="783">
        <v>30</v>
      </c>
      <c r="AB248" s="783">
        <v>0</v>
      </c>
      <c r="AC248" s="783">
        <v>0</v>
      </c>
      <c r="AD248" s="783">
        <v>0</v>
      </c>
      <c r="AE248" s="783">
        <v>0</v>
      </c>
      <c r="AF248" s="783">
        <v>0</v>
      </c>
      <c r="AG248" s="783">
        <v>0</v>
      </c>
      <c r="AH248" s="783">
        <v>0</v>
      </c>
      <c r="AI248" s="783">
        <v>0</v>
      </c>
      <c r="AJ248" s="783">
        <v>0</v>
      </c>
      <c r="AK248" s="783">
        <v>0</v>
      </c>
      <c r="AL248" s="783">
        <v>0</v>
      </c>
      <c r="AM248" s="783">
        <v>0</v>
      </c>
      <c r="AN248" s="783">
        <v>0</v>
      </c>
      <c r="AO248" s="783">
        <v>0</v>
      </c>
      <c r="AP248" s="783">
        <v>0</v>
      </c>
      <c r="AQ248" s="783">
        <v>0</v>
      </c>
      <c r="AR248" s="783">
        <v>0</v>
      </c>
      <c r="AS248" s="783">
        <v>0</v>
      </c>
      <c r="AT248" s="783">
        <v>0</v>
      </c>
      <c r="AU248" s="783">
        <v>0</v>
      </c>
      <c r="AV248" s="783">
        <v>0</v>
      </c>
      <c r="AW248" s="783">
        <v>0</v>
      </c>
      <c r="AX248" s="783">
        <v>0</v>
      </c>
      <c r="AY248" s="783">
        <v>0</v>
      </c>
      <c r="AZ248" s="783">
        <v>0</v>
      </c>
      <c r="BA248" s="783">
        <v>0</v>
      </c>
      <c r="BB248" s="783">
        <v>0</v>
      </c>
      <c r="BC248" s="783">
        <v>0</v>
      </c>
      <c r="BD248" s="783">
        <v>0</v>
      </c>
      <c r="BE248" s="783">
        <v>0</v>
      </c>
    </row>
    <row r="249" spans="1:59" s="788" customFormat="1" x14ac:dyDescent="0.25">
      <c r="A249" s="783" t="s">
        <v>62</v>
      </c>
      <c r="B249" s="783" t="s">
        <v>964</v>
      </c>
      <c r="C249" s="787" t="s">
        <v>697</v>
      </c>
      <c r="D249" s="783">
        <v>6051649.5</v>
      </c>
      <c r="E249" s="783">
        <v>6046813.5</v>
      </c>
      <c r="F249" s="783">
        <v>5840035.5</v>
      </c>
      <c r="G249" s="783">
        <v>6041171.5</v>
      </c>
      <c r="H249" s="783">
        <v>5852476.5</v>
      </c>
      <c r="I249" s="783">
        <v>6072927.8999999901</v>
      </c>
      <c r="J249" s="783">
        <v>6084514.1499999901</v>
      </c>
      <c r="K249" s="783">
        <v>5497473.7999999998</v>
      </c>
      <c r="L249" s="783">
        <v>6094407.7999999998</v>
      </c>
      <c r="M249" s="783">
        <v>5887908</v>
      </c>
      <c r="N249" s="783">
        <v>6075345.8999999901</v>
      </c>
      <c r="O249" s="783">
        <v>5870923.5</v>
      </c>
      <c r="P249" s="783">
        <v>6059306.5</v>
      </c>
      <c r="Q249" s="783">
        <v>6055276.5</v>
      </c>
      <c r="R249" s="783">
        <v>5848947</v>
      </c>
      <c r="S249" s="783">
        <v>6051226.3499999996</v>
      </c>
      <c r="T249" s="783">
        <v>5862987</v>
      </c>
      <c r="U249" s="783">
        <v>6084554.4500000002</v>
      </c>
      <c r="V249" s="783">
        <v>6097893.75</v>
      </c>
      <c r="W249" s="783">
        <v>5510905.4000000004</v>
      </c>
      <c r="X249" s="783">
        <v>6109580.75</v>
      </c>
      <c r="Y249" s="783">
        <v>5903956.5</v>
      </c>
      <c r="Z249" s="783">
        <v>6091062.8999999901</v>
      </c>
      <c r="AA249" s="783">
        <v>5891301</v>
      </c>
      <c r="AB249" s="788">
        <v>0</v>
      </c>
      <c r="AC249" s="788">
        <v>0</v>
      </c>
      <c r="AD249" s="788">
        <v>0</v>
      </c>
      <c r="AE249" s="788">
        <v>0</v>
      </c>
      <c r="AF249" s="788">
        <v>0</v>
      </c>
      <c r="AG249" s="788">
        <v>0</v>
      </c>
      <c r="AH249" s="788">
        <v>0</v>
      </c>
      <c r="AI249" s="788">
        <v>0</v>
      </c>
      <c r="AJ249" s="788">
        <v>0</v>
      </c>
      <c r="AK249" s="788">
        <v>0</v>
      </c>
      <c r="AL249" s="788">
        <v>0</v>
      </c>
      <c r="AM249" s="788">
        <v>0</v>
      </c>
      <c r="AN249" s="788">
        <v>0</v>
      </c>
      <c r="AO249" s="788">
        <v>0</v>
      </c>
      <c r="AP249" s="788">
        <v>0</v>
      </c>
      <c r="AQ249" s="788">
        <v>0</v>
      </c>
      <c r="AR249" s="788">
        <v>0</v>
      </c>
      <c r="AS249" s="788">
        <v>0</v>
      </c>
      <c r="AT249" s="788">
        <v>0</v>
      </c>
      <c r="AU249" s="788">
        <v>0</v>
      </c>
      <c r="AV249" s="788">
        <v>0</v>
      </c>
      <c r="AW249" s="788">
        <v>0</v>
      </c>
      <c r="AX249" s="788">
        <v>0</v>
      </c>
      <c r="AY249" s="788">
        <v>0</v>
      </c>
      <c r="AZ249" s="788">
        <v>0</v>
      </c>
      <c r="BA249" s="788">
        <v>0</v>
      </c>
      <c r="BB249" s="788">
        <v>0</v>
      </c>
      <c r="BC249" s="788">
        <v>0</v>
      </c>
      <c r="BD249" s="788">
        <v>0</v>
      </c>
      <c r="BE249" s="788">
        <v>0</v>
      </c>
      <c r="BG249" s="783">
        <f>SUM(F249:K249)/0.65</f>
        <v>54443998.999999963</v>
      </c>
    </row>
    <row r="250" spans="1:59" x14ac:dyDescent="0.25">
      <c r="A250" s="783" t="s">
        <v>62</v>
      </c>
      <c r="B250" s="783" t="s">
        <v>965</v>
      </c>
      <c r="C250" s="784" t="s">
        <v>698</v>
      </c>
      <c r="D250" s="783">
        <v>0</v>
      </c>
      <c r="E250" s="783">
        <v>0</v>
      </c>
      <c r="F250" s="783">
        <v>0</v>
      </c>
      <c r="G250" s="783">
        <v>0</v>
      </c>
      <c r="H250" s="783">
        <v>0</v>
      </c>
      <c r="I250" s="783">
        <v>0</v>
      </c>
      <c r="J250" s="783">
        <v>0</v>
      </c>
      <c r="K250" s="783">
        <v>0</v>
      </c>
      <c r="L250" s="783">
        <v>0</v>
      </c>
      <c r="M250" s="783">
        <v>0</v>
      </c>
      <c r="N250" s="783">
        <v>0</v>
      </c>
      <c r="O250" s="783">
        <v>0</v>
      </c>
      <c r="P250" s="783">
        <v>0</v>
      </c>
      <c r="Q250" s="783">
        <v>0</v>
      </c>
      <c r="R250" s="783">
        <v>0</v>
      </c>
      <c r="S250" s="783">
        <v>0</v>
      </c>
      <c r="T250" s="783">
        <v>0</v>
      </c>
      <c r="U250" s="783">
        <v>0</v>
      </c>
      <c r="V250" s="783">
        <v>0</v>
      </c>
      <c r="W250" s="783">
        <v>0</v>
      </c>
      <c r="X250" s="783">
        <v>0</v>
      </c>
      <c r="Y250" s="783">
        <v>0</v>
      </c>
      <c r="Z250" s="783">
        <v>0</v>
      </c>
      <c r="AA250" s="783">
        <v>0</v>
      </c>
      <c r="AB250" s="783">
        <v>0</v>
      </c>
      <c r="AC250" s="783">
        <v>0</v>
      </c>
      <c r="AD250" s="783">
        <v>0</v>
      </c>
      <c r="AE250" s="783">
        <v>0</v>
      </c>
      <c r="AF250" s="783">
        <v>0</v>
      </c>
      <c r="AG250" s="783">
        <v>0</v>
      </c>
      <c r="AH250" s="783">
        <v>0</v>
      </c>
      <c r="AI250" s="783">
        <v>0</v>
      </c>
      <c r="AJ250" s="783">
        <v>0</v>
      </c>
      <c r="AK250" s="783">
        <v>0</v>
      </c>
      <c r="AL250" s="783">
        <v>0</v>
      </c>
      <c r="AM250" s="783">
        <v>0</v>
      </c>
      <c r="AN250" s="783">
        <v>0</v>
      </c>
      <c r="AO250" s="783">
        <v>0</v>
      </c>
      <c r="AP250" s="783">
        <v>0</v>
      </c>
      <c r="AQ250" s="783">
        <v>0</v>
      </c>
      <c r="AR250" s="783">
        <v>0</v>
      </c>
      <c r="AS250" s="783">
        <v>0</v>
      </c>
      <c r="AT250" s="783">
        <v>0</v>
      </c>
      <c r="AU250" s="783">
        <v>0</v>
      </c>
      <c r="AV250" s="783">
        <v>0</v>
      </c>
      <c r="AW250" s="783">
        <v>0</v>
      </c>
      <c r="AX250" s="783">
        <v>0</v>
      </c>
      <c r="AY250" s="783">
        <v>0</v>
      </c>
      <c r="AZ250" s="783">
        <v>0</v>
      </c>
      <c r="BA250" s="783">
        <v>0</v>
      </c>
      <c r="BB250" s="783">
        <v>0</v>
      </c>
      <c r="BC250" s="783">
        <v>0</v>
      </c>
      <c r="BD250" s="783">
        <v>0</v>
      </c>
      <c r="BE250" s="783">
        <v>0</v>
      </c>
    </row>
    <row r="251" spans="1:59" x14ac:dyDescent="0.25">
      <c r="A251" s="783" t="s">
        <v>62</v>
      </c>
      <c r="B251" s="783" t="s">
        <v>89</v>
      </c>
      <c r="C251" s="784" t="s">
        <v>699</v>
      </c>
      <c r="D251" s="783">
        <v>6051649.5</v>
      </c>
      <c r="E251" s="783">
        <v>6046813.5</v>
      </c>
      <c r="F251" s="783">
        <v>5840035.5</v>
      </c>
      <c r="G251" s="783">
        <v>6041171.5</v>
      </c>
      <c r="H251" s="783">
        <v>5852476.5</v>
      </c>
      <c r="I251" s="783">
        <v>6072927.8999999901</v>
      </c>
      <c r="J251" s="783">
        <v>6084514.1499999901</v>
      </c>
      <c r="K251" s="783">
        <v>5497473.7999999998</v>
      </c>
      <c r="L251" s="783">
        <v>6094407.7999999998</v>
      </c>
      <c r="M251" s="783">
        <v>5887908</v>
      </c>
      <c r="N251" s="783">
        <v>6075345.8999999901</v>
      </c>
      <c r="O251" s="783">
        <v>5870923.5</v>
      </c>
      <c r="P251" s="783">
        <v>6059306.5</v>
      </c>
      <c r="Q251" s="783">
        <v>6055276.5</v>
      </c>
      <c r="R251" s="783">
        <v>5848947</v>
      </c>
      <c r="S251" s="783">
        <v>6051226.3499999996</v>
      </c>
      <c r="T251" s="783">
        <v>5862987</v>
      </c>
      <c r="U251" s="783">
        <v>6084554.4500000002</v>
      </c>
      <c r="V251" s="783">
        <v>6097893.75</v>
      </c>
      <c r="W251" s="783">
        <v>5510905.4000000004</v>
      </c>
      <c r="X251" s="783">
        <v>6109580.75</v>
      </c>
      <c r="Y251" s="783">
        <v>5903956.5</v>
      </c>
      <c r="Z251" s="783">
        <v>6091062.8999999901</v>
      </c>
      <c r="AA251" s="783">
        <v>5891301</v>
      </c>
    </row>
    <row r="252" spans="1:59" x14ac:dyDescent="0.25">
      <c r="A252" s="783" t="s">
        <v>62</v>
      </c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 s="783">
        <v>0</v>
      </c>
      <c r="AC252" s="783">
        <v>0</v>
      </c>
      <c r="AD252" s="783">
        <v>0</v>
      </c>
      <c r="AE252" s="783">
        <v>0</v>
      </c>
      <c r="AF252" s="783">
        <v>0</v>
      </c>
      <c r="AG252" s="783">
        <v>0</v>
      </c>
      <c r="AH252" s="783">
        <v>0</v>
      </c>
      <c r="AI252" s="783">
        <v>0</v>
      </c>
      <c r="AJ252" s="783">
        <v>0</v>
      </c>
      <c r="AK252" s="783">
        <v>0</v>
      </c>
      <c r="AL252" s="783">
        <v>0</v>
      </c>
      <c r="AM252" s="783">
        <v>0</v>
      </c>
      <c r="AN252" s="783">
        <v>0</v>
      </c>
      <c r="AO252" s="783">
        <v>0</v>
      </c>
      <c r="AP252" s="783">
        <v>0</v>
      </c>
      <c r="AQ252" s="783">
        <v>0</v>
      </c>
      <c r="AR252" s="783">
        <v>0</v>
      </c>
      <c r="AS252" s="783">
        <v>0</v>
      </c>
      <c r="AT252" s="783">
        <v>0</v>
      </c>
      <c r="AU252" s="783">
        <v>0</v>
      </c>
      <c r="AV252" s="783">
        <v>0</v>
      </c>
      <c r="AW252" s="783">
        <v>0</v>
      </c>
      <c r="AX252" s="783">
        <v>0</v>
      </c>
      <c r="AY252" s="783">
        <v>0</v>
      </c>
      <c r="AZ252" s="783">
        <v>0</v>
      </c>
      <c r="BA252" s="783">
        <v>0</v>
      </c>
      <c r="BB252" s="783">
        <v>0</v>
      </c>
      <c r="BC252" s="783">
        <v>0</v>
      </c>
      <c r="BD252" s="783">
        <v>0</v>
      </c>
      <c r="BE252" s="783">
        <v>0</v>
      </c>
    </row>
    <row r="253" spans="1:59" x14ac:dyDescent="0.25">
      <c r="A253" s="783" t="s">
        <v>62</v>
      </c>
      <c r="C253" s="784" t="s">
        <v>700</v>
      </c>
      <c r="D253" s="783">
        <v>325171.12003007298</v>
      </c>
      <c r="E253" s="783">
        <v>333066.22558151098</v>
      </c>
      <c r="F253" s="783">
        <v>415684.77807482198</v>
      </c>
      <c r="G253" s="783">
        <v>874443.50657560397</v>
      </c>
      <c r="H253" s="783">
        <v>2366748.9171698298</v>
      </c>
      <c r="I253" s="783">
        <v>3307624.7132563102</v>
      </c>
      <c r="J253" s="783">
        <v>4167254.77211795</v>
      </c>
      <c r="K253" s="783">
        <v>3244848.1916121002</v>
      </c>
      <c r="L253" s="783">
        <v>2475347.8194618402</v>
      </c>
      <c r="M253" s="783">
        <v>1121699.7124856799</v>
      </c>
      <c r="N253" s="783">
        <v>575488.76058497303</v>
      </c>
      <c r="O253" s="783">
        <v>368320.892779093</v>
      </c>
      <c r="P253" s="783">
        <v>325951.29463391198</v>
      </c>
      <c r="Q253" s="783">
        <v>335594.75261021499</v>
      </c>
      <c r="R253" s="783">
        <v>415354.36227440002</v>
      </c>
      <c r="S253" s="783">
        <v>890728.91557793401</v>
      </c>
      <c r="T253" s="783">
        <v>2335542.91704399</v>
      </c>
      <c r="U253" s="783">
        <v>3269892.43104938</v>
      </c>
      <c r="V253" s="783">
        <v>4158443.4173183101</v>
      </c>
      <c r="W253" s="783">
        <v>3239165.8583967998</v>
      </c>
      <c r="X253" s="783">
        <v>2471122.3817170402</v>
      </c>
      <c r="Y253" s="783">
        <v>1118905.9770170101</v>
      </c>
      <c r="Z253" s="783">
        <v>573888.09168786602</v>
      </c>
      <c r="AA253" s="783">
        <v>366911.61487805302</v>
      </c>
    </row>
    <row r="254" spans="1:59" x14ac:dyDescent="0.25">
      <c r="A254" s="783" t="s">
        <v>62</v>
      </c>
      <c r="C254" s="784" t="s">
        <v>701</v>
      </c>
      <c r="D254" s="783">
        <v>0</v>
      </c>
      <c r="E254" s="783">
        <v>0</v>
      </c>
      <c r="F254" s="783">
        <v>0</v>
      </c>
      <c r="G254" s="783">
        <v>0</v>
      </c>
      <c r="H254" s="783">
        <v>0</v>
      </c>
      <c r="I254" s="783">
        <v>0</v>
      </c>
      <c r="J254" s="783">
        <v>0</v>
      </c>
      <c r="K254" s="783">
        <v>0</v>
      </c>
      <c r="L254" s="783">
        <v>0</v>
      </c>
      <c r="M254" s="783">
        <v>0</v>
      </c>
      <c r="N254" s="783">
        <v>0</v>
      </c>
      <c r="O254" s="783">
        <v>0</v>
      </c>
      <c r="P254" s="783">
        <v>0</v>
      </c>
      <c r="Q254" s="783">
        <v>0</v>
      </c>
      <c r="R254" s="783">
        <v>0</v>
      </c>
      <c r="S254" s="783">
        <v>0</v>
      </c>
      <c r="T254" s="783">
        <v>0</v>
      </c>
      <c r="U254" s="783">
        <v>0</v>
      </c>
      <c r="V254" s="783">
        <v>0</v>
      </c>
      <c r="W254" s="783">
        <v>0</v>
      </c>
      <c r="X254" s="783">
        <v>0</v>
      </c>
      <c r="Y254" s="783">
        <v>0</v>
      </c>
      <c r="Z254" s="783">
        <v>0</v>
      </c>
      <c r="AA254" s="783">
        <v>0</v>
      </c>
      <c r="AB254" s="783">
        <v>764066.08420774899</v>
      </c>
      <c r="AC254" s="783">
        <v>763025.95319620497</v>
      </c>
      <c r="AD254" s="783">
        <v>1102924.3034631</v>
      </c>
      <c r="AE254" s="783">
        <v>2598967.59884308</v>
      </c>
      <c r="AF254" s="783">
        <v>8043477.2247543205</v>
      </c>
      <c r="AG254" s="783">
        <v>12970005.781039299</v>
      </c>
      <c r="AH254" s="783">
        <v>16789310.029143602</v>
      </c>
      <c r="AI254" s="783">
        <v>13457298.0663193</v>
      </c>
      <c r="AJ254" s="783">
        <v>9928195.5905203093</v>
      </c>
      <c r="AK254" s="783">
        <v>4412777.4319329299</v>
      </c>
      <c r="AL254" s="783">
        <v>2202546.88363752</v>
      </c>
      <c r="AM254" s="783">
        <v>963293.96552805405</v>
      </c>
      <c r="AN254" s="783">
        <v>754430.362684794</v>
      </c>
      <c r="AO254" s="783">
        <v>762032.87051933305</v>
      </c>
      <c r="AP254" s="783">
        <v>1128545.79182109</v>
      </c>
      <c r="AQ254" s="783">
        <v>2658702.0785465301</v>
      </c>
      <c r="AR254" s="783">
        <v>8198546.6611337997</v>
      </c>
      <c r="AS254" s="783">
        <v>13195796.8547669</v>
      </c>
      <c r="AT254" s="783">
        <v>17149495.025227901</v>
      </c>
      <c r="AU254" s="783">
        <v>14323281.449642699</v>
      </c>
      <c r="AV254" s="783">
        <v>10002587.5823019</v>
      </c>
      <c r="AW254" s="783">
        <v>4484718.2246332197</v>
      </c>
      <c r="AX254" s="783">
        <v>2233465.6013230602</v>
      </c>
      <c r="AY254" s="783">
        <v>978604.63841302297</v>
      </c>
      <c r="AZ254" s="783">
        <v>752228.56307252403</v>
      </c>
      <c r="BA254" s="783">
        <v>742202.75905024703</v>
      </c>
      <c r="BB254" s="783">
        <v>1132807.49166297</v>
      </c>
      <c r="BC254" s="783">
        <v>2669988.3030898999</v>
      </c>
      <c r="BD254" s="783">
        <v>5939905.9246231103</v>
      </c>
      <c r="BE254" s="783">
        <v>9781455.2560352907</v>
      </c>
    </row>
    <row r="255" spans="1:59" x14ac:dyDescent="0.25">
      <c r="A255" s="783" t="s">
        <v>62</v>
      </c>
      <c r="B255" s="786"/>
      <c r="C255" s="784" t="s">
        <v>702</v>
      </c>
      <c r="D255" s="788">
        <v>3.6781999999999999</v>
      </c>
      <c r="E255" s="788">
        <v>3.6781999999999999</v>
      </c>
      <c r="F255" s="788">
        <v>3.6781999999999999</v>
      </c>
      <c r="G255" s="788">
        <v>3.6781999999999999</v>
      </c>
      <c r="H255" s="788">
        <v>3.6781999999999999</v>
      </c>
      <c r="I255" s="788">
        <v>3.6781999999999999</v>
      </c>
      <c r="J255" s="788">
        <v>3.6781999999999999</v>
      </c>
      <c r="K255" s="788">
        <v>3.6781999999999999</v>
      </c>
      <c r="L255" s="788">
        <v>3.6781999999999999</v>
      </c>
      <c r="M255" s="788">
        <v>3.6781999999999999</v>
      </c>
      <c r="N255" s="788">
        <v>3.6781999999999999</v>
      </c>
      <c r="O255" s="788">
        <v>3.6781999999999999</v>
      </c>
      <c r="P255" s="788">
        <v>3.6781999999999999</v>
      </c>
      <c r="Q255" s="788">
        <v>3.6781999999999999</v>
      </c>
      <c r="R255" s="788">
        <v>3.6781999999999999</v>
      </c>
      <c r="S255" s="788">
        <v>3.6781999999999999</v>
      </c>
      <c r="T255" s="788">
        <v>3.6781999999999999</v>
      </c>
      <c r="U255" s="788">
        <v>3.6781999999999999</v>
      </c>
      <c r="V255" s="788">
        <v>3.6781999999999999</v>
      </c>
      <c r="W255" s="788">
        <v>3.6781999999999999</v>
      </c>
      <c r="X255" s="788">
        <v>3.6781999999999999</v>
      </c>
      <c r="Y255" s="788">
        <v>3.6781999999999999</v>
      </c>
      <c r="Z255" s="788">
        <v>3.6781999999999999</v>
      </c>
      <c r="AA255" s="788">
        <v>3.6781999999999999</v>
      </c>
      <c r="AB255" s="783">
        <v>292665.85058020998</v>
      </c>
      <c r="AC255" s="783">
        <v>299262.87224820099</v>
      </c>
      <c r="AD255" s="783">
        <v>297331.06635293999</v>
      </c>
      <c r="AE255" s="783">
        <v>305251.63873589598</v>
      </c>
      <c r="AF255" s="783">
        <v>303255.34346538398</v>
      </c>
      <c r="AG255" s="783">
        <v>307316.54647111299</v>
      </c>
      <c r="AH255" s="783">
        <v>314657.43411917897</v>
      </c>
      <c r="AI255" s="783">
        <v>313867.40553595498</v>
      </c>
      <c r="AJ255" s="783">
        <v>320751.82270578801</v>
      </c>
      <c r="AK255" s="783">
        <v>320510.20104490698</v>
      </c>
      <c r="AL255" s="783">
        <v>318574.40257421799</v>
      </c>
      <c r="AM255" s="783">
        <v>322304.53374172398</v>
      </c>
      <c r="AN255" s="783">
        <v>326816.47181044298</v>
      </c>
      <c r="AO255" s="783">
        <v>333590.57754177402</v>
      </c>
      <c r="AP255" s="783">
        <v>331568.839187312</v>
      </c>
      <c r="AQ255" s="783">
        <v>339703.61854207201</v>
      </c>
      <c r="AR255" s="783">
        <v>337506.81020055799</v>
      </c>
      <c r="AS255" s="783">
        <v>341717.50788770098</v>
      </c>
      <c r="AT255" s="783">
        <v>350637.35635466402</v>
      </c>
      <c r="AU255" s="783">
        <v>350273.13068708603</v>
      </c>
      <c r="AV255" s="783">
        <v>357263.49178458902</v>
      </c>
      <c r="AW255" s="783">
        <v>357038.15174166398</v>
      </c>
      <c r="AX255" s="783">
        <v>355063.13766931102</v>
      </c>
      <c r="AY255" s="783">
        <v>358889.15477145999</v>
      </c>
      <c r="AZ255" s="783">
        <v>363550.02670482098</v>
      </c>
      <c r="BA255" s="783">
        <v>370504.223198222</v>
      </c>
      <c r="BB255" s="783">
        <v>368378.48623450199</v>
      </c>
      <c r="BC255" s="783">
        <v>376741.155305147</v>
      </c>
      <c r="BD255" s="783">
        <v>374438.52415141999</v>
      </c>
      <c r="BE255" s="783">
        <v>380141.72774632002</v>
      </c>
    </row>
    <row r="256" spans="1:59" x14ac:dyDescent="0.25">
      <c r="A256" s="783" t="s">
        <v>62</v>
      </c>
      <c r="C256" s="784" t="s">
        <v>703</v>
      </c>
      <c r="D256" s="788">
        <v>0</v>
      </c>
      <c r="E256" s="788">
        <v>0</v>
      </c>
      <c r="F256" s="788">
        <v>0</v>
      </c>
      <c r="G256" s="788">
        <v>0</v>
      </c>
      <c r="H256" s="788">
        <v>0</v>
      </c>
      <c r="I256" s="788">
        <v>0</v>
      </c>
      <c r="J256" s="788">
        <v>0</v>
      </c>
      <c r="K256" s="788">
        <v>0</v>
      </c>
      <c r="L256" s="788">
        <v>0</v>
      </c>
      <c r="M256" s="788">
        <v>0</v>
      </c>
      <c r="N256" s="788">
        <v>0</v>
      </c>
      <c r="O256" s="788">
        <v>0</v>
      </c>
      <c r="P256" s="788">
        <v>0</v>
      </c>
      <c r="Q256" s="788">
        <v>0</v>
      </c>
      <c r="R256" s="788">
        <v>0</v>
      </c>
      <c r="S256" s="788">
        <v>0</v>
      </c>
      <c r="T256" s="788">
        <v>0</v>
      </c>
      <c r="U256" s="788">
        <v>0</v>
      </c>
      <c r="V256" s="788">
        <v>0</v>
      </c>
      <c r="W256" s="788">
        <v>0</v>
      </c>
      <c r="X256" s="788">
        <v>0</v>
      </c>
      <c r="Y256" s="788">
        <v>0</v>
      </c>
      <c r="Z256" s="788">
        <v>0</v>
      </c>
      <c r="AA256" s="788">
        <v>0</v>
      </c>
      <c r="AB256" s="783">
        <v>104498.26756427799</v>
      </c>
      <c r="AC256" s="783">
        <v>104956.133910423</v>
      </c>
      <c r="AD256" s="783">
        <v>100897.54971466699</v>
      </c>
      <c r="AE256" s="783">
        <v>104845.244671896</v>
      </c>
      <c r="AF256" s="783">
        <v>112624.768790038</v>
      </c>
      <c r="AG256" s="783">
        <v>110305.636150505</v>
      </c>
      <c r="AH256" s="783">
        <v>107867.090589696</v>
      </c>
      <c r="AI256" s="783">
        <v>107195.72196675101</v>
      </c>
      <c r="AJ256" s="783">
        <v>108249.176698239</v>
      </c>
      <c r="AK256" s="783">
        <v>104771.419863285</v>
      </c>
      <c r="AL256" s="783">
        <v>102154.91466741401</v>
      </c>
      <c r="AM256" s="783">
        <v>101163.69351503599</v>
      </c>
      <c r="AN256" s="783">
        <v>103129.401366173</v>
      </c>
      <c r="AO256" s="783">
        <v>103622.321818946</v>
      </c>
      <c r="AP256" s="783">
        <v>98448.579396384404</v>
      </c>
      <c r="AQ256" s="783">
        <v>101966.42436359701</v>
      </c>
      <c r="AR256" s="783">
        <v>109979.932283599</v>
      </c>
      <c r="AS256" s="783">
        <v>107759.203307729</v>
      </c>
      <c r="AT256" s="783">
        <v>109342.244574108</v>
      </c>
      <c r="AU256" s="783">
        <v>109258.745018649</v>
      </c>
      <c r="AV256" s="783">
        <v>110199.127997131</v>
      </c>
      <c r="AW256" s="783">
        <v>105755.536640754</v>
      </c>
      <c r="AX256" s="783">
        <v>103531.167938445</v>
      </c>
      <c r="AY256" s="783">
        <v>103298.36774790401</v>
      </c>
      <c r="AZ256" s="783">
        <v>105455.48068670501</v>
      </c>
      <c r="BA256" s="783">
        <v>105910.03041494401</v>
      </c>
      <c r="BB256" s="783">
        <v>99457.019431468798</v>
      </c>
      <c r="BC256" s="783">
        <v>102655.41339381201</v>
      </c>
      <c r="BD256" s="783">
        <v>111310.81535534799</v>
      </c>
      <c r="BE256" s="783">
        <v>109082.27618017999</v>
      </c>
    </row>
    <row r="257" spans="1:57" x14ac:dyDescent="0.25">
      <c r="A257" s="783" t="s">
        <v>62</v>
      </c>
      <c r="C257" s="784" t="s">
        <v>704</v>
      </c>
      <c r="D257" s="783">
        <v>1196044.4136946099</v>
      </c>
      <c r="E257" s="783">
        <v>1225084.19093391</v>
      </c>
      <c r="F257" s="783">
        <v>1528971.7507148101</v>
      </c>
      <c r="G257" s="783">
        <v>3216378.1058863802</v>
      </c>
      <c r="H257" s="783">
        <v>8705375.8671340607</v>
      </c>
      <c r="I257" s="783">
        <v>12166105.2202993</v>
      </c>
      <c r="J257" s="783">
        <v>15327996.502804199</v>
      </c>
      <c r="K257" s="783">
        <v>11935200.6183876</v>
      </c>
      <c r="L257" s="783">
        <v>9104824.34954454</v>
      </c>
      <c r="M257" s="783">
        <v>4125835.8824648201</v>
      </c>
      <c r="N257" s="783">
        <v>2116762.7591836401</v>
      </c>
      <c r="O257" s="783">
        <v>1354757.9078200599</v>
      </c>
      <c r="P257" s="783">
        <v>1198914.0519224501</v>
      </c>
      <c r="Q257" s="783">
        <v>1234384.61905089</v>
      </c>
      <c r="R257" s="783">
        <v>1527756.41531769</v>
      </c>
      <c r="S257" s="783">
        <v>3276279.09727875</v>
      </c>
      <c r="T257" s="783">
        <v>8590593.9574711993</v>
      </c>
      <c r="U257" s="783">
        <v>12027318.339885799</v>
      </c>
      <c r="V257" s="783">
        <v>15295586.577580201</v>
      </c>
      <c r="W257" s="783">
        <v>11914299.8603551</v>
      </c>
      <c r="X257" s="783">
        <v>9089282.3444316108</v>
      </c>
      <c r="Y257" s="783">
        <v>4115559.96466396</v>
      </c>
      <c r="Z257" s="783">
        <v>2110875.1788463001</v>
      </c>
      <c r="AA257" s="783">
        <v>1349574.3018444499</v>
      </c>
      <c r="AB257" s="783">
        <v>1161230.20235223</v>
      </c>
      <c r="AC257" s="783">
        <v>1167244.95935483</v>
      </c>
      <c r="AD257" s="783">
        <v>1501152.91953071</v>
      </c>
      <c r="AE257" s="783">
        <v>3009064.4822508702</v>
      </c>
      <c r="AF257" s="783">
        <v>8459357.3370097503</v>
      </c>
      <c r="AG257" s="783">
        <v>13387627.9636609</v>
      </c>
      <c r="AH257" s="783">
        <v>17211834.553852499</v>
      </c>
      <c r="AI257" s="783">
        <v>13878361.193822</v>
      </c>
      <c r="AJ257" s="783">
        <v>10357196.5899243</v>
      </c>
      <c r="AK257" s="783">
        <v>4838059.0528411204</v>
      </c>
      <c r="AL257" s="783">
        <v>2623276.2008791598</v>
      </c>
      <c r="AM257" s="783">
        <v>1386762.19278481</v>
      </c>
      <c r="AN257" s="783">
        <v>1184376.2358614099</v>
      </c>
      <c r="AO257" s="783">
        <v>1199245.7698800501</v>
      </c>
      <c r="AP257" s="783">
        <v>1558563.21040479</v>
      </c>
      <c r="AQ257" s="783">
        <v>3100372.1214522002</v>
      </c>
      <c r="AR257" s="783">
        <v>8646033.4036179595</v>
      </c>
      <c r="AS257" s="783">
        <v>13645273.5659623</v>
      </c>
      <c r="AT257" s="783">
        <v>17609474.626156699</v>
      </c>
      <c r="AU257" s="783">
        <v>14782813.3253484</v>
      </c>
      <c r="AV257" s="783">
        <v>10470050.202083601</v>
      </c>
      <c r="AW257" s="783">
        <v>4947511.9130156301</v>
      </c>
      <c r="AX257" s="783">
        <v>2692059.9069308098</v>
      </c>
      <c r="AY257" s="783">
        <v>1440792.16093238</v>
      </c>
      <c r="AZ257" s="783">
        <v>1221234.0704640499</v>
      </c>
      <c r="BA257" s="783">
        <v>1218617.01266341</v>
      </c>
      <c r="BB257" s="783">
        <v>1600642.9973289401</v>
      </c>
      <c r="BC257" s="783">
        <v>3149384.8717888598</v>
      </c>
      <c r="BD257" s="783">
        <v>6425655.2641298799</v>
      </c>
      <c r="BE257" s="783">
        <v>10270679.2599617</v>
      </c>
    </row>
    <row r="258" spans="1:57" x14ac:dyDescent="0.25">
      <c r="A258" s="783" t="s">
        <v>62</v>
      </c>
      <c r="C258" s="784" t="s">
        <v>705</v>
      </c>
      <c r="D258" s="783">
        <v>0</v>
      </c>
      <c r="E258" s="783">
        <v>0</v>
      </c>
      <c r="F258" s="783">
        <v>0</v>
      </c>
      <c r="G258" s="783">
        <v>0</v>
      </c>
      <c r="H258" s="783">
        <v>0</v>
      </c>
      <c r="I258" s="783">
        <v>0</v>
      </c>
      <c r="J258" s="783">
        <v>0</v>
      </c>
      <c r="K258" s="783">
        <v>0</v>
      </c>
      <c r="L258" s="783">
        <v>0</v>
      </c>
      <c r="M258" s="783">
        <v>0</v>
      </c>
      <c r="N258" s="783">
        <v>0</v>
      </c>
      <c r="O258" s="783">
        <v>0</v>
      </c>
      <c r="P258" s="783">
        <v>0</v>
      </c>
      <c r="Q258" s="783">
        <v>0</v>
      </c>
      <c r="R258" s="783">
        <v>0</v>
      </c>
      <c r="S258" s="783">
        <v>0</v>
      </c>
      <c r="T258" s="783">
        <v>0</v>
      </c>
      <c r="U258" s="783">
        <v>0</v>
      </c>
      <c r="V258" s="783">
        <v>0</v>
      </c>
      <c r="W258" s="783">
        <v>0</v>
      </c>
      <c r="X258" s="783">
        <v>0</v>
      </c>
      <c r="Y258" s="783">
        <v>0</v>
      </c>
      <c r="Z258" s="783">
        <v>0</v>
      </c>
      <c r="AA258" s="783">
        <v>0</v>
      </c>
    </row>
    <row r="259" spans="1:57" x14ac:dyDescent="0.25">
      <c r="A259" s="783" t="s">
        <v>62</v>
      </c>
      <c r="B259" s="783" t="s">
        <v>374</v>
      </c>
      <c r="C259" s="784" t="s">
        <v>706</v>
      </c>
      <c r="D259" s="783">
        <v>1196044.4136946099</v>
      </c>
      <c r="E259" s="783">
        <v>1225084.19093391</v>
      </c>
      <c r="F259" s="783">
        <v>1528971.7507148101</v>
      </c>
      <c r="G259" s="783">
        <v>3216378.1058863802</v>
      </c>
      <c r="H259" s="783">
        <v>8705375.8671340607</v>
      </c>
      <c r="I259" s="783">
        <v>12166105.2202993</v>
      </c>
      <c r="J259" s="783">
        <v>15327996.502804199</v>
      </c>
      <c r="K259" s="783">
        <v>11935200.6183876</v>
      </c>
      <c r="L259" s="783">
        <v>9104824.34954454</v>
      </c>
      <c r="M259" s="783">
        <v>4125835.8824648201</v>
      </c>
      <c r="N259" s="783">
        <v>2116762.7591836401</v>
      </c>
      <c r="O259" s="783">
        <v>1354757.9078200599</v>
      </c>
      <c r="P259" s="783">
        <v>1198914.0519224501</v>
      </c>
      <c r="Q259" s="783">
        <v>1234384.61905089</v>
      </c>
      <c r="R259" s="783">
        <v>1527756.41531769</v>
      </c>
      <c r="S259" s="783">
        <v>3276279.09727875</v>
      </c>
      <c r="T259" s="783">
        <v>8590593.9574711993</v>
      </c>
      <c r="U259" s="783">
        <v>12027318.339885799</v>
      </c>
      <c r="V259" s="783">
        <v>15295586.577580201</v>
      </c>
      <c r="W259" s="783">
        <v>11914299.8603551</v>
      </c>
      <c r="X259" s="783">
        <v>9089282.3444316108</v>
      </c>
      <c r="Y259" s="783">
        <v>4115559.96466396</v>
      </c>
      <c r="Z259" s="783">
        <v>2110875.1788463001</v>
      </c>
      <c r="AA259" s="783">
        <v>1349574.3018444499</v>
      </c>
      <c r="AB259" s="783">
        <v>8433987.2270685192</v>
      </c>
      <c r="AC259" s="783">
        <v>8472675.8839032594</v>
      </c>
      <c r="AD259" s="783">
        <v>8891259.8443933297</v>
      </c>
      <c r="AE259" s="783">
        <v>12344113.2724526</v>
      </c>
      <c r="AF259" s="783">
        <v>22909758.658695702</v>
      </c>
      <c r="AG259" s="783">
        <v>31485430.8668737</v>
      </c>
      <c r="AH259" s="783">
        <v>38599647.761432298</v>
      </c>
      <c r="AI259" s="783">
        <v>31302423.1104296</v>
      </c>
      <c r="AJ259" s="783">
        <v>25564547.0659336</v>
      </c>
      <c r="AK259" s="783">
        <v>14870942.2326991</v>
      </c>
      <c r="AL259" s="783">
        <v>10843276.2567559</v>
      </c>
      <c r="AM259" s="783">
        <v>8645738.8588416204</v>
      </c>
      <c r="AN259" s="783">
        <v>8476470.4351722803</v>
      </c>
      <c r="AO259" s="783">
        <v>8524863.0309900995</v>
      </c>
      <c r="AP259" s="783">
        <v>8963972.58856236</v>
      </c>
      <c r="AQ259" s="783">
        <v>12439699.892613901</v>
      </c>
      <c r="AR259" s="783">
        <v>23081112.889887501</v>
      </c>
      <c r="AS259" s="783">
        <v>31706740.200259801</v>
      </c>
      <c r="AT259" s="783">
        <v>38958683.070483297</v>
      </c>
      <c r="AU259" s="783">
        <v>32585243.914679799</v>
      </c>
      <c r="AV259" s="783">
        <v>25810577.8332875</v>
      </c>
      <c r="AW259" s="783">
        <v>14987858.7948619</v>
      </c>
      <c r="AX259" s="783">
        <v>10929267.1887755</v>
      </c>
      <c r="AY259" s="783">
        <v>8719376.5105616003</v>
      </c>
      <c r="AZ259" s="783">
        <v>8534536.3950135708</v>
      </c>
      <c r="BA259" s="783">
        <v>8564491.6909317505</v>
      </c>
      <c r="BB259" s="783">
        <v>9020344.3795988094</v>
      </c>
      <c r="BC259" s="783">
        <v>12488435.1391651</v>
      </c>
      <c r="BD259" s="783">
        <v>20834565.418550599</v>
      </c>
      <c r="BE259" s="783">
        <v>28279445.205257699</v>
      </c>
    </row>
    <row r="260" spans="1:57" s="880" customFormat="1" x14ac:dyDescent="0.25">
      <c r="A260" s="783" t="s">
        <v>62</v>
      </c>
      <c r="B260" s="783"/>
      <c r="C260" s="881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57" x14ac:dyDescent="0.25">
      <c r="A261" s="783" t="s">
        <v>62</v>
      </c>
      <c r="C261" s="784" t="s">
        <v>707</v>
      </c>
      <c r="D261" s="786">
        <v>0</v>
      </c>
      <c r="E261" s="786">
        <v>0</v>
      </c>
      <c r="F261" s="786">
        <v>0</v>
      </c>
      <c r="G261" s="786">
        <v>0</v>
      </c>
      <c r="H261" s="786">
        <v>0</v>
      </c>
      <c r="I261" s="786">
        <v>0</v>
      </c>
      <c r="J261" s="786">
        <v>0</v>
      </c>
      <c r="K261" s="786">
        <v>0</v>
      </c>
      <c r="L261" s="786">
        <v>0</v>
      </c>
      <c r="M261" s="786">
        <v>0</v>
      </c>
      <c r="N261" s="786">
        <v>0</v>
      </c>
      <c r="O261" s="786">
        <v>0</v>
      </c>
      <c r="P261" s="786">
        <v>0</v>
      </c>
      <c r="Q261" s="786">
        <v>0</v>
      </c>
      <c r="R261" s="786">
        <v>0</v>
      </c>
      <c r="S261" s="786">
        <v>0</v>
      </c>
      <c r="T261" s="786">
        <v>0</v>
      </c>
      <c r="U261" s="786">
        <v>0</v>
      </c>
      <c r="V261" s="786">
        <v>0</v>
      </c>
      <c r="W261" s="786">
        <v>0</v>
      </c>
      <c r="X261" s="786">
        <v>0</v>
      </c>
      <c r="Y261" s="786">
        <v>0</v>
      </c>
      <c r="Z261" s="786">
        <v>0</v>
      </c>
      <c r="AA261" s="786">
        <v>0</v>
      </c>
      <c r="AB261" s="783">
        <v>1</v>
      </c>
      <c r="AC261" s="783">
        <v>1</v>
      </c>
      <c r="AD261" s="783">
        <v>1</v>
      </c>
      <c r="AE261" s="783">
        <v>1</v>
      </c>
      <c r="AF261" s="783">
        <v>1</v>
      </c>
      <c r="AG261" s="783">
        <v>1</v>
      </c>
      <c r="AH261" s="783">
        <v>1</v>
      </c>
      <c r="AI261" s="783">
        <v>1</v>
      </c>
      <c r="AJ261" s="783">
        <v>1</v>
      </c>
      <c r="AK261" s="783">
        <v>1</v>
      </c>
      <c r="AL261" s="783">
        <v>1</v>
      </c>
      <c r="AM261" s="783">
        <v>1</v>
      </c>
      <c r="AN261" s="783">
        <v>1</v>
      </c>
      <c r="AO261" s="783">
        <v>1</v>
      </c>
      <c r="AP261" s="783">
        <v>1</v>
      </c>
      <c r="AQ261" s="783">
        <v>1</v>
      </c>
      <c r="AR261" s="783">
        <v>1</v>
      </c>
      <c r="AS261" s="783">
        <v>1</v>
      </c>
      <c r="AT261" s="783">
        <v>1</v>
      </c>
      <c r="AU261" s="783">
        <v>1</v>
      </c>
      <c r="AV261" s="783">
        <v>1</v>
      </c>
      <c r="AW261" s="783">
        <v>1</v>
      </c>
      <c r="AX261" s="783">
        <v>1</v>
      </c>
      <c r="AY261" s="783">
        <v>1</v>
      </c>
      <c r="AZ261" s="783">
        <v>1</v>
      </c>
      <c r="BA261" s="783">
        <v>1</v>
      </c>
      <c r="BB261" s="783">
        <v>1</v>
      </c>
      <c r="BC261" s="783">
        <v>1</v>
      </c>
      <c r="BD261" s="783">
        <v>1</v>
      </c>
      <c r="BE261" s="783">
        <v>1</v>
      </c>
    </row>
    <row r="262" spans="1:57" x14ac:dyDescent="0.25">
      <c r="A262" s="783" t="s">
        <v>62</v>
      </c>
      <c r="B262" s="783" t="s">
        <v>520</v>
      </c>
      <c r="C262" s="784" t="s">
        <v>708</v>
      </c>
      <c r="D262" s="783">
        <v>0</v>
      </c>
      <c r="E262" s="783">
        <v>0</v>
      </c>
      <c r="F262" s="783">
        <v>0</v>
      </c>
      <c r="G262" s="783">
        <v>0</v>
      </c>
      <c r="H262" s="783">
        <v>0</v>
      </c>
      <c r="I262" s="783">
        <v>0</v>
      </c>
      <c r="J262" s="783">
        <v>0</v>
      </c>
      <c r="K262" s="783">
        <v>0</v>
      </c>
      <c r="L262" s="783">
        <v>0</v>
      </c>
      <c r="M262" s="783">
        <v>0</v>
      </c>
      <c r="N262" s="783">
        <v>0</v>
      </c>
      <c r="O262" s="783">
        <v>0</v>
      </c>
      <c r="P262" s="783">
        <v>0</v>
      </c>
      <c r="Q262" s="783">
        <v>0</v>
      </c>
      <c r="R262" s="783">
        <v>0</v>
      </c>
      <c r="S262" s="783">
        <v>0</v>
      </c>
      <c r="T262" s="783">
        <v>0</v>
      </c>
      <c r="U262" s="783">
        <v>0</v>
      </c>
      <c r="V262" s="783">
        <v>0</v>
      </c>
      <c r="W262" s="783">
        <v>0</v>
      </c>
      <c r="X262" s="783">
        <v>0</v>
      </c>
      <c r="Y262" s="783">
        <v>0</v>
      </c>
      <c r="Z262" s="783">
        <v>0</v>
      </c>
      <c r="AA262" s="783">
        <v>0</v>
      </c>
      <c r="AB262" s="783">
        <v>0</v>
      </c>
      <c r="AC262" s="783">
        <v>0</v>
      </c>
      <c r="AD262" s="783">
        <v>0</v>
      </c>
      <c r="AE262" s="783">
        <v>0</v>
      </c>
      <c r="AF262" s="783">
        <v>0</v>
      </c>
      <c r="AG262" s="783">
        <v>0</v>
      </c>
      <c r="AH262" s="783">
        <v>0</v>
      </c>
      <c r="AI262" s="783">
        <v>0</v>
      </c>
      <c r="AJ262" s="783">
        <v>0</v>
      </c>
      <c r="AK262" s="783">
        <v>0</v>
      </c>
      <c r="AL262" s="783">
        <v>0</v>
      </c>
      <c r="AM262" s="783">
        <v>0</v>
      </c>
      <c r="AN262" s="783">
        <v>0</v>
      </c>
      <c r="AO262" s="783">
        <v>0</v>
      </c>
      <c r="AP262" s="783">
        <v>0</v>
      </c>
      <c r="AQ262" s="783">
        <v>0</v>
      </c>
      <c r="AR262" s="783">
        <v>0</v>
      </c>
      <c r="AS262" s="783">
        <v>0</v>
      </c>
      <c r="AT262" s="783">
        <v>0</v>
      </c>
      <c r="AU262" s="783">
        <v>0</v>
      </c>
      <c r="AV262" s="783">
        <v>0</v>
      </c>
      <c r="AW262" s="783">
        <v>0</v>
      </c>
      <c r="AX262" s="783">
        <v>0</v>
      </c>
      <c r="AY262" s="783">
        <v>0</v>
      </c>
      <c r="AZ262" s="783">
        <v>0</v>
      </c>
      <c r="BA262" s="783">
        <v>0</v>
      </c>
      <c r="BB262" s="783">
        <v>0</v>
      </c>
      <c r="BC262" s="783">
        <v>0</v>
      </c>
      <c r="BD262" s="783">
        <v>0</v>
      </c>
      <c r="BE262" s="783">
        <v>0</v>
      </c>
    </row>
    <row r="263" spans="1:57" s="786" customFormat="1" x14ac:dyDescent="0.25">
      <c r="A263" s="783" t="s">
        <v>62</v>
      </c>
      <c r="B263" s="783"/>
      <c r="C263" s="785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 s="786">
        <v>285</v>
      </c>
      <c r="AC263" s="786">
        <v>285</v>
      </c>
      <c r="AD263" s="786">
        <v>285</v>
      </c>
      <c r="AE263" s="786">
        <v>285</v>
      </c>
      <c r="AF263" s="786">
        <v>285</v>
      </c>
      <c r="AG263" s="786">
        <v>285</v>
      </c>
      <c r="AH263" s="786">
        <v>285</v>
      </c>
      <c r="AI263" s="786">
        <v>285</v>
      </c>
      <c r="AJ263" s="786">
        <v>285</v>
      </c>
      <c r="AK263" s="786">
        <v>285</v>
      </c>
      <c r="AL263" s="786">
        <v>285</v>
      </c>
      <c r="AM263" s="786">
        <v>285</v>
      </c>
      <c r="AN263" s="786">
        <v>285</v>
      </c>
      <c r="AO263" s="786">
        <v>285</v>
      </c>
      <c r="AP263" s="786">
        <v>285</v>
      </c>
      <c r="AQ263" s="786">
        <v>285</v>
      </c>
      <c r="AR263" s="786">
        <v>285</v>
      </c>
      <c r="AS263" s="786">
        <v>285</v>
      </c>
      <c r="AT263" s="786">
        <v>285</v>
      </c>
      <c r="AU263" s="786">
        <v>285</v>
      </c>
      <c r="AV263" s="786">
        <v>285</v>
      </c>
      <c r="AW263" s="786">
        <v>285</v>
      </c>
      <c r="AX263" s="786">
        <v>285</v>
      </c>
      <c r="AY263" s="786">
        <v>285</v>
      </c>
      <c r="AZ263" s="786">
        <v>285</v>
      </c>
      <c r="BA263" s="786">
        <v>285</v>
      </c>
      <c r="BB263" s="786">
        <v>285</v>
      </c>
      <c r="BC263" s="786">
        <v>285</v>
      </c>
      <c r="BD263" s="786">
        <v>285</v>
      </c>
      <c r="BE263" s="786">
        <v>285</v>
      </c>
    </row>
    <row r="264" spans="1:57" s="786" customFormat="1" x14ac:dyDescent="0.25">
      <c r="A264" s="783" t="s">
        <v>62</v>
      </c>
      <c r="B264" s="783"/>
      <c r="C264" s="785" t="s">
        <v>709</v>
      </c>
      <c r="D264" s="783">
        <v>0</v>
      </c>
      <c r="E264" s="783">
        <v>0</v>
      </c>
      <c r="F264" s="783">
        <v>0</v>
      </c>
      <c r="G264" s="783">
        <v>0</v>
      </c>
      <c r="H264" s="783">
        <v>0</v>
      </c>
      <c r="I264" s="783">
        <v>0</v>
      </c>
      <c r="J264" s="783">
        <v>0</v>
      </c>
      <c r="K264" s="783">
        <v>0</v>
      </c>
      <c r="L264" s="783">
        <v>0</v>
      </c>
      <c r="M264" s="783">
        <v>0</v>
      </c>
      <c r="N264" s="783">
        <v>0</v>
      </c>
      <c r="O264" s="783">
        <v>0</v>
      </c>
      <c r="P264" s="783">
        <v>0</v>
      </c>
      <c r="Q264" s="783">
        <v>0</v>
      </c>
      <c r="R264" s="783">
        <v>0</v>
      </c>
      <c r="S264" s="783">
        <v>0</v>
      </c>
      <c r="T264" s="783">
        <v>0</v>
      </c>
      <c r="U264" s="783">
        <v>0</v>
      </c>
      <c r="V264" s="783">
        <v>0</v>
      </c>
      <c r="W264" s="783">
        <v>0</v>
      </c>
      <c r="X264" s="783">
        <v>0</v>
      </c>
      <c r="Y264" s="783">
        <v>0</v>
      </c>
      <c r="Z264" s="783">
        <v>0</v>
      </c>
      <c r="AA264" s="783">
        <v>0</v>
      </c>
      <c r="AB264" s="786">
        <v>0</v>
      </c>
      <c r="AC264" s="786">
        <v>0</v>
      </c>
      <c r="AD264" s="786">
        <v>0</v>
      </c>
      <c r="AE264" s="786">
        <v>0</v>
      </c>
      <c r="AF264" s="786">
        <v>0</v>
      </c>
      <c r="AG264" s="786">
        <v>0</v>
      </c>
      <c r="AH264" s="786">
        <v>0</v>
      </c>
      <c r="AI264" s="786">
        <v>0</v>
      </c>
      <c r="AJ264" s="786">
        <v>0</v>
      </c>
      <c r="AK264" s="786">
        <v>0</v>
      </c>
      <c r="AL264" s="786">
        <v>0</v>
      </c>
      <c r="AM264" s="786">
        <v>0</v>
      </c>
      <c r="AN264" s="786">
        <v>0</v>
      </c>
      <c r="AO264" s="786">
        <v>0</v>
      </c>
      <c r="AP264" s="786">
        <v>0</v>
      </c>
      <c r="AQ264" s="786">
        <v>0</v>
      </c>
      <c r="AR264" s="786">
        <v>0</v>
      </c>
      <c r="AS264" s="786">
        <v>0</v>
      </c>
      <c r="AT264" s="786">
        <v>0</v>
      </c>
      <c r="AU264" s="786">
        <v>0</v>
      </c>
      <c r="AV264" s="786">
        <v>0</v>
      </c>
      <c r="AW264" s="786">
        <v>0</v>
      </c>
      <c r="AX264" s="786">
        <v>0</v>
      </c>
      <c r="AY264" s="786">
        <v>0</v>
      </c>
      <c r="AZ264" s="786">
        <v>0</v>
      </c>
      <c r="BA264" s="786">
        <v>0</v>
      </c>
      <c r="BB264" s="786">
        <v>0</v>
      </c>
      <c r="BC264" s="786">
        <v>0</v>
      </c>
      <c r="BD264" s="786">
        <v>0</v>
      </c>
      <c r="BE264" s="786">
        <v>0</v>
      </c>
    </row>
    <row r="265" spans="1:57" x14ac:dyDescent="0.25">
      <c r="A265" s="783" t="s">
        <v>62</v>
      </c>
      <c r="C265" s="784" t="s">
        <v>710</v>
      </c>
      <c r="D265" s="788">
        <v>0</v>
      </c>
      <c r="E265" s="788">
        <v>0</v>
      </c>
      <c r="F265" s="788">
        <v>0</v>
      </c>
      <c r="G265" s="788">
        <v>0</v>
      </c>
      <c r="H265" s="788">
        <v>0</v>
      </c>
      <c r="I265" s="788">
        <v>0</v>
      </c>
      <c r="J265" s="788">
        <v>0</v>
      </c>
      <c r="K265" s="788">
        <v>0</v>
      </c>
      <c r="L265" s="788">
        <v>0</v>
      </c>
      <c r="M265" s="788">
        <v>0</v>
      </c>
      <c r="N265" s="788">
        <v>0</v>
      </c>
      <c r="O265" s="788">
        <v>0</v>
      </c>
      <c r="P265" s="788">
        <v>0</v>
      </c>
      <c r="Q265" s="788">
        <v>0</v>
      </c>
      <c r="R265" s="788">
        <v>0</v>
      </c>
      <c r="S265" s="788">
        <v>0</v>
      </c>
      <c r="T265" s="788">
        <v>0</v>
      </c>
      <c r="U265" s="788">
        <v>0</v>
      </c>
      <c r="V265" s="788">
        <v>0</v>
      </c>
      <c r="W265" s="788">
        <v>0</v>
      </c>
      <c r="X265" s="788">
        <v>0</v>
      </c>
      <c r="Y265" s="788">
        <v>0</v>
      </c>
      <c r="Z265" s="788">
        <v>0</v>
      </c>
      <c r="AA265" s="788">
        <v>0</v>
      </c>
      <c r="AB265" s="783">
        <v>285</v>
      </c>
      <c r="AC265" s="783">
        <v>285</v>
      </c>
      <c r="AD265" s="783">
        <v>285</v>
      </c>
      <c r="AE265" s="783">
        <v>285</v>
      </c>
      <c r="AF265" s="783">
        <v>285</v>
      </c>
      <c r="AG265" s="783">
        <v>285</v>
      </c>
      <c r="AH265" s="783">
        <v>285</v>
      </c>
      <c r="AI265" s="783">
        <v>285</v>
      </c>
      <c r="AJ265" s="783">
        <v>285</v>
      </c>
      <c r="AK265" s="783">
        <v>285</v>
      </c>
      <c r="AL265" s="783">
        <v>285</v>
      </c>
      <c r="AM265" s="783">
        <v>285</v>
      </c>
      <c r="AN265" s="783">
        <v>285</v>
      </c>
      <c r="AO265" s="783">
        <v>285</v>
      </c>
      <c r="AP265" s="783">
        <v>285</v>
      </c>
      <c r="AQ265" s="783">
        <v>285</v>
      </c>
      <c r="AR265" s="783">
        <v>285</v>
      </c>
      <c r="AS265" s="783">
        <v>285</v>
      </c>
      <c r="AT265" s="783">
        <v>285</v>
      </c>
      <c r="AU265" s="783">
        <v>285</v>
      </c>
      <c r="AV265" s="783">
        <v>285</v>
      </c>
      <c r="AW265" s="783">
        <v>285</v>
      </c>
      <c r="AX265" s="783">
        <v>285</v>
      </c>
      <c r="AY265" s="783">
        <v>285</v>
      </c>
      <c r="AZ265" s="783">
        <v>285</v>
      </c>
      <c r="BA265" s="783">
        <v>285</v>
      </c>
      <c r="BB265" s="783">
        <v>285</v>
      </c>
      <c r="BC265" s="783">
        <v>285</v>
      </c>
      <c r="BD265" s="783">
        <v>285</v>
      </c>
      <c r="BE265" s="783">
        <v>285</v>
      </c>
    </row>
    <row r="266" spans="1:57" x14ac:dyDescent="0.25">
      <c r="A266" s="783" t="s">
        <v>62</v>
      </c>
      <c r="B266" s="783" t="s">
        <v>154</v>
      </c>
      <c r="C266" s="784" t="s">
        <v>711</v>
      </c>
      <c r="D266" s="783">
        <v>0</v>
      </c>
      <c r="E266" s="783">
        <v>0</v>
      </c>
      <c r="F266" s="783">
        <v>0</v>
      </c>
      <c r="G266" s="783">
        <v>0</v>
      </c>
      <c r="H266" s="783">
        <v>0</v>
      </c>
      <c r="I266" s="783">
        <v>0</v>
      </c>
      <c r="J266" s="783">
        <v>0</v>
      </c>
      <c r="K266" s="783">
        <v>0</v>
      </c>
      <c r="L266" s="783">
        <v>0</v>
      </c>
      <c r="M266" s="783">
        <v>0</v>
      </c>
      <c r="N266" s="783">
        <v>0</v>
      </c>
      <c r="O266" s="783">
        <v>0</v>
      </c>
      <c r="P266" s="783">
        <v>0</v>
      </c>
      <c r="Q266" s="783">
        <v>0</v>
      </c>
      <c r="R266" s="783">
        <v>0</v>
      </c>
      <c r="S266" s="783">
        <v>0</v>
      </c>
      <c r="T266" s="783">
        <v>0</v>
      </c>
      <c r="U266" s="783">
        <v>0</v>
      </c>
      <c r="V266" s="783">
        <v>0</v>
      </c>
      <c r="W266" s="783">
        <v>0</v>
      </c>
      <c r="X266" s="783">
        <v>0</v>
      </c>
      <c r="Y266" s="783">
        <v>0</v>
      </c>
      <c r="Z266" s="783">
        <v>0</v>
      </c>
      <c r="AA266" s="783">
        <v>0</v>
      </c>
      <c r="AB266" s="783">
        <v>0</v>
      </c>
      <c r="AC266" s="783">
        <v>0</v>
      </c>
      <c r="AD266" s="783">
        <v>0</v>
      </c>
      <c r="AE266" s="783">
        <v>0</v>
      </c>
      <c r="AF266" s="783">
        <v>0</v>
      </c>
      <c r="AG266" s="783">
        <v>0</v>
      </c>
      <c r="AH266" s="783">
        <v>0</v>
      </c>
      <c r="AI266" s="783">
        <v>0</v>
      </c>
      <c r="AJ266" s="783">
        <v>0</v>
      </c>
      <c r="AK266" s="783">
        <v>0</v>
      </c>
      <c r="AL266" s="783">
        <v>0</v>
      </c>
      <c r="AM266" s="783">
        <v>0</v>
      </c>
      <c r="AN266" s="783">
        <v>0</v>
      </c>
      <c r="AO266" s="783">
        <v>0</v>
      </c>
      <c r="AP266" s="783">
        <v>0</v>
      </c>
      <c r="AQ266" s="783">
        <v>0</v>
      </c>
      <c r="AR266" s="783">
        <v>0</v>
      </c>
      <c r="AS266" s="783">
        <v>0</v>
      </c>
      <c r="AT266" s="783">
        <v>0</v>
      </c>
      <c r="AU266" s="783">
        <v>0</v>
      </c>
      <c r="AV266" s="783">
        <v>0</v>
      </c>
      <c r="AW266" s="783">
        <v>0</v>
      </c>
      <c r="AX266" s="783">
        <v>0</v>
      </c>
      <c r="AY266" s="783">
        <v>0</v>
      </c>
      <c r="AZ266" s="783">
        <v>0</v>
      </c>
      <c r="BA266" s="783">
        <v>0</v>
      </c>
      <c r="BB266" s="783">
        <v>0</v>
      </c>
      <c r="BC266" s="783">
        <v>0</v>
      </c>
      <c r="BD266" s="783">
        <v>0</v>
      </c>
      <c r="BE266" s="783">
        <v>0</v>
      </c>
    </row>
    <row r="267" spans="1:57" x14ac:dyDescent="0.25">
      <c r="A267" s="783" t="s">
        <v>62</v>
      </c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 s="783">
        <v>285</v>
      </c>
      <c r="AC267" s="783">
        <v>285</v>
      </c>
      <c r="AD267" s="783">
        <v>285</v>
      </c>
      <c r="AE267" s="783">
        <v>285</v>
      </c>
      <c r="AF267" s="783">
        <v>285</v>
      </c>
      <c r="AG267" s="783">
        <v>285</v>
      </c>
      <c r="AH267" s="783">
        <v>285</v>
      </c>
      <c r="AI267" s="783">
        <v>285</v>
      </c>
      <c r="AJ267" s="783">
        <v>285</v>
      </c>
      <c r="AK267" s="783">
        <v>285</v>
      </c>
      <c r="AL267" s="783">
        <v>285</v>
      </c>
      <c r="AM267" s="783">
        <v>285</v>
      </c>
      <c r="AN267" s="783">
        <v>285</v>
      </c>
      <c r="AO267" s="783">
        <v>285</v>
      </c>
      <c r="AP267" s="783">
        <v>285</v>
      </c>
      <c r="AQ267" s="783">
        <v>285</v>
      </c>
      <c r="AR267" s="783">
        <v>285</v>
      </c>
      <c r="AS267" s="783">
        <v>285</v>
      </c>
      <c r="AT267" s="783">
        <v>285</v>
      </c>
      <c r="AU267" s="783">
        <v>285</v>
      </c>
      <c r="AV267" s="783">
        <v>285</v>
      </c>
      <c r="AW267" s="783">
        <v>285</v>
      </c>
      <c r="AX267" s="783">
        <v>285</v>
      </c>
      <c r="AY267" s="783">
        <v>285</v>
      </c>
      <c r="AZ267" s="783">
        <v>285</v>
      </c>
      <c r="BA267" s="783">
        <v>285</v>
      </c>
      <c r="BB267" s="783">
        <v>285</v>
      </c>
      <c r="BC267" s="783">
        <v>285</v>
      </c>
      <c r="BD267" s="783">
        <v>285</v>
      </c>
      <c r="BE267" s="783">
        <v>285</v>
      </c>
    </row>
    <row r="268" spans="1:57" x14ac:dyDescent="0.25">
      <c r="A268" s="783" t="s">
        <v>62</v>
      </c>
      <c r="B268" s="783" t="s">
        <v>521</v>
      </c>
      <c r="C268" s="784" t="s">
        <v>712</v>
      </c>
      <c r="D268" s="783">
        <v>0</v>
      </c>
      <c r="E268" s="783">
        <v>0</v>
      </c>
      <c r="F268" s="783">
        <v>0</v>
      </c>
      <c r="G268" s="783">
        <v>0</v>
      </c>
      <c r="H268" s="783">
        <v>0</v>
      </c>
      <c r="I268" s="783">
        <v>0</v>
      </c>
      <c r="J268" s="783">
        <v>0</v>
      </c>
      <c r="K268" s="783">
        <v>0</v>
      </c>
      <c r="L268" s="783">
        <v>0</v>
      </c>
      <c r="M268" s="783">
        <v>0</v>
      </c>
      <c r="N268" s="783">
        <v>0</v>
      </c>
      <c r="O268" s="783">
        <v>0</v>
      </c>
      <c r="P268" s="783">
        <v>0</v>
      </c>
      <c r="Q268" s="783">
        <v>0</v>
      </c>
      <c r="R268" s="783">
        <v>0</v>
      </c>
      <c r="S268" s="783">
        <v>0</v>
      </c>
      <c r="T268" s="783">
        <v>0</v>
      </c>
      <c r="U268" s="783">
        <v>0</v>
      </c>
      <c r="V268" s="783">
        <v>0</v>
      </c>
      <c r="W268" s="783">
        <v>0</v>
      </c>
      <c r="X268" s="783">
        <v>0</v>
      </c>
      <c r="Y268" s="783">
        <v>0</v>
      </c>
      <c r="Z268" s="783">
        <v>0</v>
      </c>
      <c r="AA268" s="783">
        <v>0</v>
      </c>
    </row>
    <row r="269" spans="1:57" x14ac:dyDescent="0.25">
      <c r="A269" s="783" t="s">
        <v>62</v>
      </c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 s="783">
        <v>0</v>
      </c>
      <c r="AC269" s="783">
        <v>0</v>
      </c>
      <c r="AD269" s="783">
        <v>0</v>
      </c>
      <c r="AE269" s="783">
        <v>0</v>
      </c>
      <c r="AF269" s="783">
        <v>300</v>
      </c>
      <c r="AG269" s="783">
        <v>300</v>
      </c>
      <c r="AH269" s="783">
        <v>300</v>
      </c>
      <c r="AI269" s="783">
        <v>300</v>
      </c>
      <c r="AJ269" s="783">
        <v>300</v>
      </c>
      <c r="AK269" s="783">
        <v>0</v>
      </c>
      <c r="AL269" s="783">
        <v>0</v>
      </c>
      <c r="AM269" s="783">
        <v>0</v>
      </c>
      <c r="AN269" s="783">
        <v>0</v>
      </c>
      <c r="AO269" s="783">
        <v>0</v>
      </c>
      <c r="AP269" s="783">
        <v>0</v>
      </c>
      <c r="AQ269" s="783">
        <v>0</v>
      </c>
      <c r="AR269" s="783">
        <v>300</v>
      </c>
      <c r="AS269" s="783">
        <v>300</v>
      </c>
      <c r="AT269" s="783">
        <v>300</v>
      </c>
      <c r="AU269" s="783">
        <v>300</v>
      </c>
      <c r="AV269" s="783">
        <v>300</v>
      </c>
      <c r="AW269" s="783">
        <v>0</v>
      </c>
      <c r="AX269" s="783">
        <v>0</v>
      </c>
      <c r="AY269" s="783">
        <v>0</v>
      </c>
      <c r="AZ269" s="783">
        <v>0</v>
      </c>
      <c r="BA269" s="783">
        <v>0</v>
      </c>
      <c r="BB269" s="783">
        <v>0</v>
      </c>
      <c r="BC269" s="783">
        <v>0</v>
      </c>
      <c r="BD269" s="783">
        <v>300</v>
      </c>
      <c r="BE269" s="783">
        <v>300</v>
      </c>
    </row>
    <row r="270" spans="1:57" x14ac:dyDescent="0.25">
      <c r="A270" s="783" t="s">
        <v>62</v>
      </c>
      <c r="B270" s="783" t="s">
        <v>107</v>
      </c>
      <c r="C270" s="784" t="s">
        <v>713</v>
      </c>
      <c r="D270" s="783">
        <v>232098.672623386</v>
      </c>
      <c r="E270" s="783">
        <v>460086.91389787698</v>
      </c>
      <c r="F270" s="783">
        <v>1199676.49106409</v>
      </c>
      <c r="G270" s="783">
        <v>2639513.4398192</v>
      </c>
      <c r="H270" s="783">
        <v>8123829.4417645596</v>
      </c>
      <c r="I270" s="783">
        <v>12558668.541523799</v>
      </c>
      <c r="J270" s="783">
        <v>16393414.6907438</v>
      </c>
      <c r="K270" s="783">
        <v>12775822.041276</v>
      </c>
      <c r="L270" s="783">
        <v>9641817.5518248398</v>
      </c>
      <c r="M270" s="783">
        <v>4149094.5239081802</v>
      </c>
      <c r="N270" s="783">
        <v>2165194.3810947398</v>
      </c>
      <c r="O270" s="783">
        <v>933685.93086722796</v>
      </c>
      <c r="P270" s="783">
        <v>683265.730376594</v>
      </c>
      <c r="Q270" s="783">
        <v>731343.98088990804</v>
      </c>
      <c r="R270" s="783">
        <v>1078858.8596003901</v>
      </c>
      <c r="S270" s="783">
        <v>2604940.5086449301</v>
      </c>
      <c r="T270" s="783">
        <v>8508418.8202580493</v>
      </c>
      <c r="U270" s="783">
        <v>12826061.648902301</v>
      </c>
      <c r="V270" s="783">
        <v>16580999.3027914</v>
      </c>
      <c r="W270" s="783">
        <v>13085112.559859701</v>
      </c>
      <c r="X270" s="783">
        <v>9963596.9283163492</v>
      </c>
      <c r="Y270" s="783">
        <v>4091038.9654080798</v>
      </c>
      <c r="Z270" s="783">
        <v>2046685.2615040501</v>
      </c>
      <c r="AA270" s="783">
        <v>840874.74800317595</v>
      </c>
      <c r="AB270" s="783">
        <v>0</v>
      </c>
      <c r="AC270" s="783">
        <v>0</v>
      </c>
      <c r="AD270" s="783">
        <v>0</v>
      </c>
      <c r="AE270" s="783">
        <v>0</v>
      </c>
      <c r="AF270" s="783">
        <v>0</v>
      </c>
      <c r="AG270" s="783">
        <v>0</v>
      </c>
      <c r="AH270" s="783">
        <v>0</v>
      </c>
      <c r="AI270" s="783">
        <v>0</v>
      </c>
      <c r="AJ270" s="783">
        <v>0</v>
      </c>
      <c r="AK270" s="783">
        <v>0</v>
      </c>
      <c r="AL270" s="783">
        <v>0</v>
      </c>
      <c r="AM270" s="783">
        <v>0</v>
      </c>
      <c r="AN270" s="783">
        <v>0</v>
      </c>
      <c r="AO270" s="783">
        <v>0</v>
      </c>
      <c r="AP270" s="783">
        <v>0</v>
      </c>
      <c r="AQ270" s="783">
        <v>0</v>
      </c>
      <c r="AR270" s="783">
        <v>0</v>
      </c>
      <c r="AS270" s="783">
        <v>0</v>
      </c>
      <c r="AT270" s="783">
        <v>0</v>
      </c>
      <c r="AU270" s="783">
        <v>0</v>
      </c>
      <c r="AV270" s="783">
        <v>0</v>
      </c>
      <c r="AW270" s="783">
        <v>0</v>
      </c>
      <c r="AX270" s="783">
        <v>0</v>
      </c>
      <c r="AY270" s="783">
        <v>0</v>
      </c>
      <c r="AZ270" s="783">
        <v>0</v>
      </c>
      <c r="BA270" s="783">
        <v>0</v>
      </c>
      <c r="BB270" s="783">
        <v>0</v>
      </c>
      <c r="BC270" s="783">
        <v>0</v>
      </c>
      <c r="BD270" s="783">
        <v>0</v>
      </c>
      <c r="BE270" s="783">
        <v>0</v>
      </c>
    </row>
    <row r="271" spans="1:57" s="788" customFormat="1" x14ac:dyDescent="0.25">
      <c r="A271" s="783" t="s">
        <v>62</v>
      </c>
      <c r="B271" s="783" t="s">
        <v>614</v>
      </c>
      <c r="C271" s="787" t="s">
        <v>714</v>
      </c>
      <c r="D271" s="783">
        <v>922156.43229200004</v>
      </c>
      <c r="E271" s="783">
        <v>659180.87843599997</v>
      </c>
      <c r="F271" s="783">
        <v>850190.29945650895</v>
      </c>
      <c r="G271" s="783">
        <v>899542.40406413795</v>
      </c>
      <c r="H271" s="783">
        <v>941034.68517788104</v>
      </c>
      <c r="I271" s="783">
        <v>954510.23928923695</v>
      </c>
      <c r="J271" s="783">
        <v>1382237.01213204</v>
      </c>
      <c r="K271" s="783">
        <v>1386065.03442958</v>
      </c>
      <c r="L271" s="783">
        <v>1395517.1902940799</v>
      </c>
      <c r="M271" s="783">
        <v>1396384.7824021401</v>
      </c>
      <c r="N271" s="783">
        <v>1398388.5409418801</v>
      </c>
      <c r="O271" s="783">
        <v>1422352.7886515299</v>
      </c>
      <c r="P271" s="783">
        <v>1440094.3714584101</v>
      </c>
      <c r="Q271" s="783">
        <v>1443966.18174979</v>
      </c>
      <c r="R271" s="783">
        <v>1445756.35667444</v>
      </c>
      <c r="S271" s="783">
        <v>1445219.8078194601</v>
      </c>
      <c r="T271" s="783">
        <v>1446050.87581762</v>
      </c>
      <c r="U271" s="783">
        <v>1448328.83805385</v>
      </c>
      <c r="V271" s="783">
        <v>1728510.8940026099</v>
      </c>
      <c r="W271" s="783">
        <v>1730006.76998609</v>
      </c>
      <c r="X271" s="783">
        <v>1737588.2662211701</v>
      </c>
      <c r="Y271" s="783">
        <v>1735656.8590982801</v>
      </c>
      <c r="Z271" s="783">
        <v>1735226.8052904899</v>
      </c>
      <c r="AA271" s="783">
        <v>1740851.90495349</v>
      </c>
      <c r="AB271" s="788">
        <v>0.36030000000000001</v>
      </c>
      <c r="AC271" s="788">
        <v>0.36030000000000001</v>
      </c>
      <c r="AD271" s="788">
        <v>0.36030000000000001</v>
      </c>
      <c r="AE271" s="788">
        <v>0.36030000000000001</v>
      </c>
      <c r="AF271" s="788">
        <v>0.36030000000000001</v>
      </c>
      <c r="AG271" s="788">
        <v>0.36030000000000001</v>
      </c>
      <c r="AH271" s="788">
        <v>0.36030000000000001</v>
      </c>
      <c r="AI271" s="788">
        <v>0.36030000000000001</v>
      </c>
      <c r="AJ271" s="788">
        <v>0.36030000000000001</v>
      </c>
      <c r="AK271" s="788">
        <v>0.36030000000000001</v>
      </c>
      <c r="AL271" s="788">
        <v>0.36030000000000001</v>
      </c>
      <c r="AM271" s="788">
        <v>0.36030000000000001</v>
      </c>
      <c r="AN271" s="788">
        <v>0.36030000000000001</v>
      </c>
      <c r="AO271" s="788">
        <v>0.36030000000000001</v>
      </c>
      <c r="AP271" s="788">
        <v>0.36030000000000001</v>
      </c>
      <c r="AQ271" s="788">
        <v>0.36030000000000001</v>
      </c>
      <c r="AR271" s="788">
        <v>0.36030000000000001</v>
      </c>
      <c r="AS271" s="788">
        <v>0.36030000000000001</v>
      </c>
      <c r="AT271" s="788">
        <v>0.36030000000000001</v>
      </c>
      <c r="AU271" s="788">
        <v>0.36030000000000001</v>
      </c>
      <c r="AV271" s="788">
        <v>0.36030000000000001</v>
      </c>
      <c r="AW271" s="788">
        <v>0.36030000000000001</v>
      </c>
      <c r="AX271" s="788">
        <v>0.36030000000000001</v>
      </c>
      <c r="AY271" s="788">
        <v>0.36030000000000001</v>
      </c>
      <c r="AZ271" s="788">
        <v>0.36030000000000001</v>
      </c>
      <c r="BA271" s="788">
        <v>0.36030000000000001</v>
      </c>
      <c r="BB271" s="788">
        <v>0.36030000000000001</v>
      </c>
      <c r="BC271" s="788">
        <v>0.36030000000000001</v>
      </c>
      <c r="BD271" s="788">
        <v>0.36030000000000001</v>
      </c>
      <c r="BE271" s="788">
        <v>0.36030000000000001</v>
      </c>
    </row>
    <row r="272" spans="1:57" s="788" customFormat="1" x14ac:dyDescent="0.25">
      <c r="A272" s="783" t="s">
        <v>62</v>
      </c>
      <c r="B272" s="783" t="s">
        <v>109</v>
      </c>
      <c r="C272" s="787" t="s">
        <v>715</v>
      </c>
      <c r="D272" s="783">
        <v>206163.56250749101</v>
      </c>
      <c r="E272" s="783">
        <v>29410.349886244901</v>
      </c>
      <c r="F272" s="783">
        <v>135252.81996610499</v>
      </c>
      <c r="G272" s="783">
        <v>154859.27537962201</v>
      </c>
      <c r="H272" s="783">
        <v>134330.62785614</v>
      </c>
      <c r="I272" s="783">
        <v>101598.75200959</v>
      </c>
      <c r="J272" s="783">
        <v>21976.081245320602</v>
      </c>
      <c r="K272" s="783">
        <v>21923.1384931102</v>
      </c>
      <c r="L272" s="783">
        <v>21997.2348931749</v>
      </c>
      <c r="M272" s="783">
        <v>21499.243525061898</v>
      </c>
      <c r="N272" s="783">
        <v>21042.4296098329</v>
      </c>
      <c r="O272" s="783">
        <v>20642.289334381399</v>
      </c>
      <c r="P272" s="783">
        <v>18459.0744804239</v>
      </c>
      <c r="Q272" s="783">
        <v>18617.8607489448</v>
      </c>
      <c r="R272" s="783">
        <v>17944.236448139101</v>
      </c>
      <c r="S272" s="783">
        <v>18638.3176878023</v>
      </c>
      <c r="T272" s="783">
        <v>19967.740219232299</v>
      </c>
      <c r="U272" s="783">
        <v>19489.765388380401</v>
      </c>
      <c r="V272" s="783">
        <v>20906.393411966299</v>
      </c>
      <c r="W272" s="783">
        <v>20838.923150152801</v>
      </c>
      <c r="X272" s="783">
        <v>20923.551450975101</v>
      </c>
      <c r="Y272" s="783">
        <v>20350.157685354501</v>
      </c>
      <c r="Z272" s="783">
        <v>19926.167941565102</v>
      </c>
      <c r="AA272" s="783">
        <v>19644.118075477301</v>
      </c>
      <c r="AB272" s="788">
        <v>0</v>
      </c>
      <c r="AC272" s="788">
        <v>0</v>
      </c>
      <c r="AD272" s="788">
        <v>0</v>
      </c>
      <c r="AE272" s="788">
        <v>0</v>
      </c>
      <c r="AF272" s="788">
        <v>0</v>
      </c>
      <c r="AG272" s="788">
        <v>0</v>
      </c>
      <c r="AH272" s="788">
        <v>0</v>
      </c>
      <c r="AI272" s="788">
        <v>0</v>
      </c>
      <c r="AJ272" s="788">
        <v>0</v>
      </c>
      <c r="AK272" s="788">
        <v>0</v>
      </c>
      <c r="AL272" s="788">
        <v>0</v>
      </c>
      <c r="AM272" s="788">
        <v>0</v>
      </c>
      <c r="AN272" s="788">
        <v>0</v>
      </c>
      <c r="AO272" s="788">
        <v>0</v>
      </c>
      <c r="AP272" s="788">
        <v>0</v>
      </c>
      <c r="AQ272" s="788">
        <v>0</v>
      </c>
      <c r="AR272" s="788">
        <v>0</v>
      </c>
      <c r="AS272" s="788">
        <v>0</v>
      </c>
      <c r="AT272" s="788">
        <v>0</v>
      </c>
      <c r="AU272" s="788">
        <v>0</v>
      </c>
      <c r="AV272" s="788">
        <v>0</v>
      </c>
      <c r="AW272" s="788">
        <v>0</v>
      </c>
      <c r="AX272" s="788">
        <v>0</v>
      </c>
      <c r="AY272" s="788">
        <v>0</v>
      </c>
      <c r="AZ272" s="788">
        <v>0</v>
      </c>
      <c r="BA272" s="788">
        <v>0</v>
      </c>
      <c r="BB272" s="788">
        <v>0</v>
      </c>
      <c r="BC272" s="788">
        <v>0</v>
      </c>
      <c r="BD272" s="788">
        <v>0</v>
      </c>
      <c r="BE272" s="788">
        <v>0</v>
      </c>
    </row>
    <row r="273" spans="1:57" x14ac:dyDescent="0.25">
      <c r="A273" s="783" t="s">
        <v>62</v>
      </c>
      <c r="B273" s="786"/>
      <c r="C273" s="784" t="s">
        <v>716</v>
      </c>
      <c r="D273" s="783">
        <v>1360418.6674228699</v>
      </c>
      <c r="E273" s="783">
        <v>1148678.1422201199</v>
      </c>
      <c r="F273" s="783">
        <v>2185119.61048671</v>
      </c>
      <c r="G273" s="783">
        <v>3693915.1192629598</v>
      </c>
      <c r="H273" s="783">
        <v>9199194.75479858</v>
      </c>
      <c r="I273" s="783">
        <v>13614777.5328226</v>
      </c>
      <c r="J273" s="783">
        <v>17797627.7841211</v>
      </c>
      <c r="K273" s="783">
        <v>14183810.214198699</v>
      </c>
      <c r="L273" s="783">
        <v>11059331.9770121</v>
      </c>
      <c r="M273" s="783">
        <v>5566978.5498353904</v>
      </c>
      <c r="N273" s="783">
        <v>3584625.3516464601</v>
      </c>
      <c r="O273" s="783">
        <v>2376681.0088531398</v>
      </c>
      <c r="P273" s="783">
        <v>2141819.1763154301</v>
      </c>
      <c r="Q273" s="783">
        <v>2193928.0233886498</v>
      </c>
      <c r="R273" s="783">
        <v>2542559.4527229699</v>
      </c>
      <c r="S273" s="783">
        <v>4068798.6341522001</v>
      </c>
      <c r="T273" s="783">
        <v>9974437.4362949003</v>
      </c>
      <c r="U273" s="783">
        <v>14293880.2523445</v>
      </c>
      <c r="V273" s="783">
        <v>18330416.590206001</v>
      </c>
      <c r="W273" s="783">
        <v>14835958.252995901</v>
      </c>
      <c r="X273" s="783">
        <v>11722108.745988499</v>
      </c>
      <c r="Y273" s="783">
        <v>5847045.9821917098</v>
      </c>
      <c r="Z273" s="783">
        <v>3801838.2347361199</v>
      </c>
      <c r="AA273" s="783">
        <v>2601370.7710321499</v>
      </c>
      <c r="AB273" s="783">
        <v>0</v>
      </c>
      <c r="AC273" s="783">
        <v>0</v>
      </c>
      <c r="AD273" s="783">
        <v>0</v>
      </c>
      <c r="AE273" s="783">
        <v>0</v>
      </c>
      <c r="AF273" s="783">
        <v>108.09</v>
      </c>
      <c r="AG273" s="783">
        <v>108.09</v>
      </c>
      <c r="AH273" s="783">
        <v>108.09</v>
      </c>
      <c r="AI273" s="783">
        <v>108.09</v>
      </c>
      <c r="AJ273" s="783">
        <v>108.09</v>
      </c>
      <c r="AK273" s="783">
        <v>0</v>
      </c>
      <c r="AL273" s="783">
        <v>0</v>
      </c>
      <c r="AM273" s="783">
        <v>0</v>
      </c>
      <c r="AN273" s="783">
        <v>0</v>
      </c>
      <c r="AO273" s="783">
        <v>0</v>
      </c>
      <c r="AP273" s="783">
        <v>0</v>
      </c>
      <c r="AQ273" s="783">
        <v>0</v>
      </c>
      <c r="AR273" s="783">
        <v>108.09</v>
      </c>
      <c r="AS273" s="783">
        <v>108.09</v>
      </c>
      <c r="AT273" s="783">
        <v>108.09</v>
      </c>
      <c r="AU273" s="783">
        <v>108.09</v>
      </c>
      <c r="AV273" s="783">
        <v>108.09</v>
      </c>
      <c r="AW273" s="783">
        <v>0</v>
      </c>
      <c r="AX273" s="783">
        <v>0</v>
      </c>
      <c r="AY273" s="783">
        <v>0</v>
      </c>
      <c r="AZ273" s="783">
        <v>0</v>
      </c>
      <c r="BA273" s="783">
        <v>0</v>
      </c>
      <c r="BB273" s="783">
        <v>0</v>
      </c>
      <c r="BC273" s="783">
        <v>0</v>
      </c>
      <c r="BD273" s="783">
        <v>108.09</v>
      </c>
      <c r="BE273" s="783">
        <v>108.09</v>
      </c>
    </row>
    <row r="274" spans="1:57" x14ac:dyDescent="0.25">
      <c r="A274" s="783" t="s">
        <v>62</v>
      </c>
      <c r="B274" s="786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 s="783">
        <v>0</v>
      </c>
      <c r="AC274" s="783">
        <v>0</v>
      </c>
      <c r="AD274" s="783">
        <v>0</v>
      </c>
      <c r="AE274" s="783">
        <v>0</v>
      </c>
      <c r="AF274" s="783">
        <v>0</v>
      </c>
      <c r="AG274" s="783">
        <v>0</v>
      </c>
      <c r="AH274" s="783">
        <v>0</v>
      </c>
      <c r="AI274" s="783">
        <v>0</v>
      </c>
      <c r="AJ274" s="783">
        <v>0</v>
      </c>
      <c r="AK274" s="783">
        <v>0</v>
      </c>
      <c r="AL274" s="783">
        <v>0</v>
      </c>
      <c r="AM274" s="783">
        <v>0</v>
      </c>
      <c r="AN274" s="783">
        <v>0</v>
      </c>
      <c r="AO274" s="783">
        <v>0</v>
      </c>
      <c r="AP274" s="783">
        <v>0</v>
      </c>
      <c r="AQ274" s="783">
        <v>0</v>
      </c>
      <c r="AR274" s="783">
        <v>0</v>
      </c>
      <c r="AS274" s="783">
        <v>0</v>
      </c>
      <c r="AT274" s="783">
        <v>0</v>
      </c>
      <c r="AU274" s="783">
        <v>0</v>
      </c>
      <c r="AV274" s="783">
        <v>0</v>
      </c>
      <c r="AW274" s="783">
        <v>0</v>
      </c>
      <c r="AX274" s="783">
        <v>0</v>
      </c>
      <c r="AY274" s="783">
        <v>0</v>
      </c>
      <c r="AZ274" s="783">
        <v>0</v>
      </c>
      <c r="BA274" s="783">
        <v>0</v>
      </c>
      <c r="BB274" s="783">
        <v>0</v>
      </c>
      <c r="BC274" s="783">
        <v>0</v>
      </c>
      <c r="BD274" s="783">
        <v>0</v>
      </c>
      <c r="BE274" s="783">
        <v>0</v>
      </c>
    </row>
    <row r="275" spans="1:57" x14ac:dyDescent="0.25">
      <c r="A275" s="783" t="s">
        <v>62</v>
      </c>
      <c r="C275" s="784" t="s">
        <v>717</v>
      </c>
      <c r="D275" s="783">
        <v>8608112.5811174903</v>
      </c>
      <c r="E275" s="783">
        <v>8420575.8331540301</v>
      </c>
      <c r="F275" s="783">
        <v>9554126.8612015191</v>
      </c>
      <c r="G275" s="783">
        <v>12951464.7251493</v>
      </c>
      <c r="H275" s="783">
        <v>23757047.1219326</v>
      </c>
      <c r="I275" s="783">
        <v>31853810.653122</v>
      </c>
      <c r="J275" s="783">
        <v>39210138.436925396</v>
      </c>
      <c r="K275" s="783">
        <v>31616484.6325863</v>
      </c>
      <c r="L275" s="783">
        <v>26258564.126556601</v>
      </c>
      <c r="M275" s="783">
        <v>15580722.432300201</v>
      </c>
      <c r="N275" s="783">
        <v>11776734.010830101</v>
      </c>
      <c r="O275" s="783">
        <v>9602362.4166732002</v>
      </c>
      <c r="P275" s="783">
        <v>9400039.7282378897</v>
      </c>
      <c r="Q275" s="783">
        <v>9483589.1424395405</v>
      </c>
      <c r="R275" s="783">
        <v>9919262.8680406697</v>
      </c>
      <c r="S275" s="783">
        <v>13396304.081430901</v>
      </c>
      <c r="T275" s="783">
        <v>24428018.393766101</v>
      </c>
      <c r="U275" s="783">
        <v>32405753.042230301</v>
      </c>
      <c r="V275" s="783">
        <v>39723896.917786203</v>
      </c>
      <c r="W275" s="783">
        <v>32261163.513351001</v>
      </c>
      <c r="X275" s="783">
        <v>26920971.840420101</v>
      </c>
      <c r="Y275" s="783">
        <v>15866562.446855601</v>
      </c>
      <c r="Z275" s="783">
        <v>12003776.3135824</v>
      </c>
      <c r="AA275" s="783">
        <v>9842246.0728766005</v>
      </c>
      <c r="AB275" s="783">
        <v>0</v>
      </c>
      <c r="AC275" s="783">
        <v>0</v>
      </c>
      <c r="AD275" s="783">
        <v>0</v>
      </c>
      <c r="AE275" s="783">
        <v>0</v>
      </c>
      <c r="AF275" s="783">
        <v>108.09</v>
      </c>
      <c r="AG275" s="783">
        <v>108.09</v>
      </c>
      <c r="AH275" s="783">
        <v>108.09</v>
      </c>
      <c r="AI275" s="783">
        <v>108.09</v>
      </c>
      <c r="AJ275" s="783">
        <v>108.09</v>
      </c>
      <c r="AK275" s="783">
        <v>0</v>
      </c>
      <c r="AL275" s="783">
        <v>0</v>
      </c>
      <c r="AM275" s="783">
        <v>0</v>
      </c>
      <c r="AN275" s="783">
        <v>0</v>
      </c>
      <c r="AO275" s="783">
        <v>0</v>
      </c>
      <c r="AP275" s="783">
        <v>0</v>
      </c>
      <c r="AQ275" s="783">
        <v>0</v>
      </c>
      <c r="AR275" s="783">
        <v>108.09</v>
      </c>
      <c r="AS275" s="783">
        <v>108.09</v>
      </c>
      <c r="AT275" s="783">
        <v>108.09</v>
      </c>
      <c r="AU275" s="783">
        <v>108.09</v>
      </c>
      <c r="AV275" s="783">
        <v>108.09</v>
      </c>
      <c r="AW275" s="783">
        <v>0</v>
      </c>
      <c r="AX275" s="783">
        <v>0</v>
      </c>
      <c r="AY275" s="783">
        <v>0</v>
      </c>
      <c r="AZ275" s="783">
        <v>0</v>
      </c>
      <c r="BA275" s="783">
        <v>0</v>
      </c>
      <c r="BB275" s="783">
        <v>0</v>
      </c>
      <c r="BC275" s="783">
        <v>0</v>
      </c>
      <c r="BD275" s="783">
        <v>108.09</v>
      </c>
      <c r="BE275" s="783">
        <v>108.09</v>
      </c>
    </row>
    <row r="276" spans="1:57" s="811" customFormat="1" x14ac:dyDescent="0.25">
      <c r="C276" s="812" t="s">
        <v>725</v>
      </c>
    </row>
    <row r="277" spans="1:57" s="786" customFormat="1" x14ac:dyDescent="0.25">
      <c r="A277" s="783" t="s">
        <v>553</v>
      </c>
      <c r="B277" s="783"/>
      <c r="C277" s="785" t="s">
        <v>693</v>
      </c>
      <c r="D277" s="783">
        <v>1</v>
      </c>
      <c r="E277" s="783">
        <v>1</v>
      </c>
      <c r="F277" s="783">
        <v>1</v>
      </c>
      <c r="G277" s="783">
        <v>1</v>
      </c>
      <c r="H277" s="783">
        <v>1</v>
      </c>
      <c r="I277" s="783">
        <v>1</v>
      </c>
      <c r="J277" s="783">
        <v>1</v>
      </c>
      <c r="K277" s="783">
        <v>1</v>
      </c>
      <c r="L277" s="783">
        <v>1</v>
      </c>
      <c r="M277" s="783">
        <v>1</v>
      </c>
      <c r="N277" s="783">
        <v>1</v>
      </c>
      <c r="O277" s="783">
        <v>1</v>
      </c>
      <c r="P277" s="783">
        <v>1</v>
      </c>
      <c r="Q277" s="783">
        <v>1</v>
      </c>
      <c r="R277" s="783">
        <v>1</v>
      </c>
      <c r="S277" s="783">
        <v>1</v>
      </c>
      <c r="T277" s="783">
        <v>1</v>
      </c>
      <c r="U277" s="783">
        <v>1</v>
      </c>
      <c r="V277" s="783">
        <v>1</v>
      </c>
      <c r="W277" s="783">
        <v>1</v>
      </c>
      <c r="X277" s="783">
        <v>1</v>
      </c>
      <c r="Y277" s="783">
        <v>1</v>
      </c>
      <c r="Z277" s="783">
        <v>1</v>
      </c>
      <c r="AA277" s="783">
        <v>1</v>
      </c>
      <c r="AB277" s="786">
        <v>0</v>
      </c>
      <c r="AC277" s="786">
        <v>0</v>
      </c>
      <c r="AD277" s="786">
        <v>0</v>
      </c>
      <c r="AE277" s="786">
        <v>0</v>
      </c>
      <c r="AF277" s="786">
        <v>0</v>
      </c>
      <c r="AG277" s="786">
        <v>0</v>
      </c>
      <c r="AH277" s="786">
        <v>0</v>
      </c>
      <c r="AI277" s="786">
        <v>0</v>
      </c>
      <c r="AJ277" s="786">
        <v>0</v>
      </c>
      <c r="AK277" s="786">
        <v>0</v>
      </c>
      <c r="AL277" s="786">
        <v>0</v>
      </c>
      <c r="AM277" s="786">
        <v>0</v>
      </c>
      <c r="AN277" s="786">
        <v>0</v>
      </c>
      <c r="AO277" s="786">
        <v>0</v>
      </c>
      <c r="AP277" s="786">
        <v>0</v>
      </c>
      <c r="AQ277" s="786">
        <v>0</v>
      </c>
      <c r="AR277" s="786">
        <v>0</v>
      </c>
      <c r="AS277" s="786">
        <v>0</v>
      </c>
      <c r="AT277" s="786">
        <v>0</v>
      </c>
      <c r="AU277" s="786">
        <v>0</v>
      </c>
      <c r="AV277" s="786">
        <v>0</v>
      </c>
      <c r="AW277" s="786">
        <v>0</v>
      </c>
      <c r="AX277" s="786">
        <v>0</v>
      </c>
      <c r="AY277" s="786">
        <v>0</v>
      </c>
      <c r="AZ277" s="786">
        <v>0</v>
      </c>
      <c r="BA277" s="786">
        <v>0</v>
      </c>
      <c r="BB277" s="786">
        <v>0</v>
      </c>
      <c r="BC277" s="786">
        <v>0</v>
      </c>
      <c r="BD277" s="786">
        <v>0</v>
      </c>
      <c r="BE277" s="786">
        <v>0</v>
      </c>
    </row>
    <row r="278" spans="1:57" x14ac:dyDescent="0.25">
      <c r="A278" s="783" t="s">
        <v>553</v>
      </c>
      <c r="C278" s="784" t="s">
        <v>694</v>
      </c>
      <c r="D278" s="783">
        <v>0</v>
      </c>
      <c r="E278" s="783">
        <v>0</v>
      </c>
      <c r="F278" s="783">
        <v>0</v>
      </c>
      <c r="G278" s="783">
        <v>0</v>
      </c>
      <c r="H278" s="783">
        <v>0</v>
      </c>
      <c r="I278" s="783">
        <v>0</v>
      </c>
      <c r="J278" s="783">
        <v>0</v>
      </c>
      <c r="K278" s="783">
        <v>0</v>
      </c>
      <c r="L278" s="783">
        <v>0</v>
      </c>
      <c r="M278" s="783">
        <v>0</v>
      </c>
      <c r="N278" s="783">
        <v>0</v>
      </c>
      <c r="O278" s="783">
        <v>0</v>
      </c>
      <c r="P278" s="783">
        <v>0</v>
      </c>
      <c r="Q278" s="783">
        <v>0</v>
      </c>
      <c r="R278" s="783">
        <v>0</v>
      </c>
      <c r="S278" s="783">
        <v>0</v>
      </c>
      <c r="T278" s="783">
        <v>0</v>
      </c>
      <c r="U278" s="783">
        <v>0</v>
      </c>
      <c r="V278" s="783">
        <v>0</v>
      </c>
      <c r="W278" s="783">
        <v>0</v>
      </c>
      <c r="X278" s="783">
        <v>0</v>
      </c>
      <c r="Y278" s="783">
        <v>0</v>
      </c>
      <c r="Z278" s="783">
        <v>0</v>
      </c>
      <c r="AA278" s="783">
        <v>0</v>
      </c>
      <c r="AB278" s="783">
        <v>0</v>
      </c>
      <c r="AC278" s="783">
        <v>0</v>
      </c>
      <c r="AD278" s="783">
        <v>0</v>
      </c>
      <c r="AE278" s="783">
        <v>0</v>
      </c>
      <c r="AF278" s="783">
        <v>0</v>
      </c>
      <c r="AG278" s="783">
        <v>0</v>
      </c>
      <c r="AH278" s="783">
        <v>0</v>
      </c>
      <c r="AI278" s="783">
        <v>0</v>
      </c>
      <c r="AJ278" s="783">
        <v>0</v>
      </c>
      <c r="AK278" s="783">
        <v>0</v>
      </c>
      <c r="AL278" s="783">
        <v>0</v>
      </c>
      <c r="AM278" s="783">
        <v>0</v>
      </c>
      <c r="AN278" s="783">
        <v>0</v>
      </c>
      <c r="AO278" s="783">
        <v>0</v>
      </c>
      <c r="AP278" s="783">
        <v>0</v>
      </c>
      <c r="AQ278" s="783">
        <v>0</v>
      </c>
      <c r="AR278" s="783">
        <v>0</v>
      </c>
      <c r="AS278" s="783">
        <v>0</v>
      </c>
      <c r="AT278" s="783">
        <v>0</v>
      </c>
      <c r="AU278" s="783">
        <v>0</v>
      </c>
      <c r="AV278" s="783">
        <v>0</v>
      </c>
      <c r="AW278" s="783">
        <v>0</v>
      </c>
      <c r="AX278" s="783">
        <v>0</v>
      </c>
      <c r="AY278" s="783">
        <v>0</v>
      </c>
      <c r="AZ278" s="783">
        <v>0</v>
      </c>
      <c r="BA278" s="783">
        <v>0</v>
      </c>
      <c r="BB278" s="783">
        <v>0</v>
      </c>
      <c r="BC278" s="783">
        <v>0</v>
      </c>
      <c r="BD278" s="783">
        <v>0</v>
      </c>
      <c r="BE278" s="783">
        <v>0</v>
      </c>
    </row>
    <row r="279" spans="1:57" x14ac:dyDescent="0.25">
      <c r="A279" s="783" t="s">
        <v>553</v>
      </c>
      <c r="C279" s="784" t="s">
        <v>695</v>
      </c>
      <c r="D279" s="786">
        <v>285</v>
      </c>
      <c r="E279" s="786">
        <v>285</v>
      </c>
      <c r="F279" s="786">
        <v>285</v>
      </c>
      <c r="G279" s="786">
        <v>285</v>
      </c>
      <c r="H279" s="786">
        <v>285</v>
      </c>
      <c r="I279" s="786">
        <v>285</v>
      </c>
      <c r="J279" s="786">
        <v>285</v>
      </c>
      <c r="K279" s="786">
        <v>285</v>
      </c>
      <c r="L279" s="786">
        <v>285</v>
      </c>
      <c r="M279" s="786">
        <v>285</v>
      </c>
      <c r="N279" s="786">
        <v>285</v>
      </c>
      <c r="O279" s="786">
        <v>285</v>
      </c>
      <c r="P279" s="786">
        <v>285</v>
      </c>
      <c r="Q279" s="786">
        <v>285</v>
      </c>
      <c r="R279" s="786">
        <v>285</v>
      </c>
      <c r="S279" s="786">
        <v>285</v>
      </c>
      <c r="T279" s="786">
        <v>285</v>
      </c>
      <c r="U279" s="786">
        <v>285</v>
      </c>
      <c r="V279" s="786">
        <v>285</v>
      </c>
      <c r="W279" s="786">
        <v>285</v>
      </c>
      <c r="X279" s="786">
        <v>285</v>
      </c>
      <c r="Y279" s="786">
        <v>285</v>
      </c>
      <c r="Z279" s="786">
        <v>285</v>
      </c>
      <c r="AA279" s="786">
        <v>285</v>
      </c>
    </row>
    <row r="280" spans="1:57" x14ac:dyDescent="0.25">
      <c r="A280" s="783" t="s">
        <v>553</v>
      </c>
      <c r="C280" s="784" t="s">
        <v>696</v>
      </c>
      <c r="D280" s="786">
        <v>0</v>
      </c>
      <c r="E280" s="786">
        <v>0</v>
      </c>
      <c r="F280" s="786">
        <v>0</v>
      </c>
      <c r="G280" s="786">
        <v>0</v>
      </c>
      <c r="H280" s="786">
        <v>0</v>
      </c>
      <c r="I280" s="786">
        <v>0</v>
      </c>
      <c r="J280" s="786">
        <v>0</v>
      </c>
      <c r="K280" s="786">
        <v>0</v>
      </c>
      <c r="L280" s="786">
        <v>0</v>
      </c>
      <c r="M280" s="786">
        <v>0</v>
      </c>
      <c r="N280" s="786">
        <v>0</v>
      </c>
      <c r="O280" s="786">
        <v>0</v>
      </c>
      <c r="P280" s="786">
        <v>0</v>
      </c>
      <c r="Q280" s="786">
        <v>0</v>
      </c>
      <c r="R280" s="786">
        <v>0</v>
      </c>
      <c r="S280" s="786">
        <v>0</v>
      </c>
      <c r="T280" s="786">
        <v>0</v>
      </c>
      <c r="U280" s="786">
        <v>0</v>
      </c>
      <c r="V280" s="786">
        <v>0</v>
      </c>
      <c r="W280" s="786">
        <v>0</v>
      </c>
      <c r="X280" s="786">
        <v>0</v>
      </c>
      <c r="Y280" s="786">
        <v>0</v>
      </c>
      <c r="Z280" s="786">
        <v>0</v>
      </c>
      <c r="AA280" s="786">
        <v>0</v>
      </c>
      <c r="AB280" s="783">
        <v>2000</v>
      </c>
      <c r="AC280" s="783">
        <v>2000</v>
      </c>
      <c r="AD280" s="783">
        <v>2000</v>
      </c>
      <c r="AE280" s="783">
        <v>2000</v>
      </c>
      <c r="AF280" s="783">
        <v>2000</v>
      </c>
      <c r="AG280" s="783">
        <v>2000</v>
      </c>
      <c r="AH280" s="783">
        <v>2000</v>
      </c>
      <c r="AI280" s="783">
        <v>2000</v>
      </c>
      <c r="AJ280" s="783">
        <v>2000</v>
      </c>
      <c r="AK280" s="783">
        <v>2000</v>
      </c>
      <c r="AL280" s="783">
        <v>2000</v>
      </c>
      <c r="AM280" s="783">
        <v>2000</v>
      </c>
      <c r="AN280" s="783">
        <v>2000</v>
      </c>
      <c r="AO280" s="783">
        <v>2000</v>
      </c>
      <c r="AP280" s="783">
        <v>2000</v>
      </c>
      <c r="AQ280" s="783">
        <v>2000</v>
      </c>
      <c r="AR280" s="783">
        <v>2000</v>
      </c>
      <c r="AS280" s="783">
        <v>2000</v>
      </c>
      <c r="AT280" s="783">
        <v>2000</v>
      </c>
      <c r="AU280" s="783">
        <v>2000</v>
      </c>
      <c r="AV280" s="783">
        <v>2000</v>
      </c>
      <c r="AW280" s="783">
        <v>2000</v>
      </c>
      <c r="AX280" s="783">
        <v>2000</v>
      </c>
      <c r="AY280" s="783">
        <v>2000</v>
      </c>
      <c r="AZ280" s="783">
        <v>2000</v>
      </c>
      <c r="BA280" s="783">
        <v>2000</v>
      </c>
      <c r="BB280" s="783">
        <v>2000</v>
      </c>
      <c r="BC280" s="783">
        <v>2000</v>
      </c>
      <c r="BD280" s="783">
        <v>2000</v>
      </c>
      <c r="BE280" s="783">
        <v>2000</v>
      </c>
    </row>
    <row r="281" spans="1:57" s="788" customFormat="1" x14ac:dyDescent="0.25">
      <c r="A281" s="783" t="s">
        <v>553</v>
      </c>
      <c r="B281" s="783"/>
      <c r="C281" s="787" t="s">
        <v>1062</v>
      </c>
      <c r="D281" s="783">
        <v>1</v>
      </c>
      <c r="E281" s="783">
        <v>1</v>
      </c>
      <c r="F281" s="783">
        <v>1</v>
      </c>
      <c r="G281" s="783">
        <v>1</v>
      </c>
      <c r="H281" s="783">
        <v>1</v>
      </c>
      <c r="I281" s="783">
        <v>1</v>
      </c>
      <c r="J281" s="783">
        <v>1</v>
      </c>
      <c r="K281" s="783">
        <v>1</v>
      </c>
      <c r="L281" s="783">
        <v>1</v>
      </c>
      <c r="M281" s="783">
        <v>1</v>
      </c>
      <c r="N281" s="783">
        <v>1</v>
      </c>
      <c r="O281" s="783">
        <v>1</v>
      </c>
      <c r="P281" s="783">
        <v>1</v>
      </c>
      <c r="Q281" s="783">
        <v>1</v>
      </c>
      <c r="R281" s="783">
        <v>1</v>
      </c>
      <c r="S281" s="783">
        <v>1</v>
      </c>
      <c r="T281" s="783">
        <v>1</v>
      </c>
      <c r="U281" s="783">
        <v>1</v>
      </c>
      <c r="V281" s="783">
        <v>1</v>
      </c>
      <c r="W281" s="783">
        <v>1</v>
      </c>
      <c r="X281" s="783">
        <v>1</v>
      </c>
      <c r="Y281" s="783">
        <v>1</v>
      </c>
      <c r="Z281" s="783">
        <v>1</v>
      </c>
      <c r="AA281" s="783">
        <v>1</v>
      </c>
      <c r="AB281" s="788">
        <v>6.56</v>
      </c>
      <c r="AC281" s="788">
        <v>6.56</v>
      </c>
      <c r="AD281" s="788">
        <v>6.56</v>
      </c>
      <c r="AE281" s="788">
        <v>6.56</v>
      </c>
      <c r="AF281" s="788">
        <v>6.56</v>
      </c>
      <c r="AG281" s="788">
        <v>6.56</v>
      </c>
      <c r="AH281" s="788">
        <v>6.56</v>
      </c>
      <c r="AI281" s="788">
        <v>6.56</v>
      </c>
      <c r="AJ281" s="788">
        <v>6.56</v>
      </c>
      <c r="AK281" s="788">
        <v>6.56</v>
      </c>
      <c r="AL281" s="788">
        <v>6.56</v>
      </c>
      <c r="AM281" s="788">
        <v>6.56</v>
      </c>
      <c r="AN281" s="788">
        <v>6.56</v>
      </c>
      <c r="AO281" s="788">
        <v>6.56</v>
      </c>
      <c r="AP281" s="788">
        <v>6.56</v>
      </c>
      <c r="AQ281" s="788">
        <v>6.56</v>
      </c>
      <c r="AR281" s="788">
        <v>6.56</v>
      </c>
      <c r="AS281" s="788">
        <v>6.56</v>
      </c>
      <c r="AT281" s="788">
        <v>6.56</v>
      </c>
      <c r="AU281" s="788">
        <v>6.56</v>
      </c>
      <c r="AV281" s="788">
        <v>6.56</v>
      </c>
      <c r="AW281" s="788">
        <v>6.56</v>
      </c>
      <c r="AX281" s="788">
        <v>6.56</v>
      </c>
      <c r="AY281" s="788">
        <v>6.56</v>
      </c>
      <c r="AZ281" s="788">
        <v>6.56</v>
      </c>
      <c r="BA281" s="788">
        <v>6.56</v>
      </c>
      <c r="BB281" s="788">
        <v>6.56</v>
      </c>
      <c r="BC281" s="788">
        <v>6.56</v>
      </c>
      <c r="BD281" s="788">
        <v>6.56</v>
      </c>
      <c r="BE281" s="788">
        <v>6.56</v>
      </c>
    </row>
    <row r="282" spans="1:57" x14ac:dyDescent="0.25">
      <c r="A282" s="783" t="s">
        <v>553</v>
      </c>
      <c r="C282" s="784" t="s">
        <v>1063</v>
      </c>
      <c r="D282" s="783">
        <v>1</v>
      </c>
      <c r="E282" s="783">
        <v>1</v>
      </c>
      <c r="F282" s="783">
        <v>1</v>
      </c>
      <c r="G282" s="783">
        <v>1</v>
      </c>
      <c r="H282" s="783">
        <v>1</v>
      </c>
      <c r="I282" s="783">
        <v>1</v>
      </c>
      <c r="J282" s="783">
        <v>1</v>
      </c>
      <c r="K282" s="783">
        <v>1</v>
      </c>
      <c r="L282" s="783">
        <v>1</v>
      </c>
      <c r="M282" s="783">
        <v>1</v>
      </c>
      <c r="N282" s="783">
        <v>1</v>
      </c>
      <c r="O282" s="783">
        <v>1</v>
      </c>
      <c r="P282" s="783">
        <v>1</v>
      </c>
      <c r="Q282" s="783">
        <v>1</v>
      </c>
      <c r="R282" s="783">
        <v>1</v>
      </c>
      <c r="S282" s="783">
        <v>1</v>
      </c>
      <c r="T282" s="783">
        <v>1</v>
      </c>
      <c r="U282" s="783">
        <v>1</v>
      </c>
      <c r="V282" s="783">
        <v>1</v>
      </c>
      <c r="W282" s="783">
        <v>1</v>
      </c>
      <c r="X282" s="783">
        <v>1</v>
      </c>
      <c r="Y282" s="783">
        <v>1</v>
      </c>
      <c r="Z282" s="783">
        <v>1</v>
      </c>
      <c r="AA282" s="783">
        <v>1</v>
      </c>
      <c r="AB282" s="783">
        <v>13120</v>
      </c>
      <c r="AC282" s="783">
        <v>13120</v>
      </c>
      <c r="AD282" s="783">
        <v>13120</v>
      </c>
      <c r="AE282" s="783">
        <v>13120</v>
      </c>
      <c r="AF282" s="783">
        <v>13120</v>
      </c>
      <c r="AG282" s="783">
        <v>13120</v>
      </c>
      <c r="AH282" s="783">
        <v>13120</v>
      </c>
      <c r="AI282" s="783">
        <v>13120</v>
      </c>
      <c r="AJ282" s="783">
        <v>13120</v>
      </c>
      <c r="AK282" s="783">
        <v>13120</v>
      </c>
      <c r="AL282" s="783">
        <v>13120</v>
      </c>
      <c r="AM282" s="783">
        <v>13120</v>
      </c>
      <c r="AN282" s="783">
        <v>13120</v>
      </c>
      <c r="AO282" s="783">
        <v>13120</v>
      </c>
      <c r="AP282" s="783">
        <v>13120</v>
      </c>
      <c r="AQ282" s="783">
        <v>13120</v>
      </c>
      <c r="AR282" s="783">
        <v>13120</v>
      </c>
      <c r="AS282" s="783">
        <v>13120</v>
      </c>
      <c r="AT282" s="783">
        <v>13120</v>
      </c>
      <c r="AU282" s="783">
        <v>13120</v>
      </c>
      <c r="AV282" s="783">
        <v>13120</v>
      </c>
      <c r="AW282" s="783">
        <v>13120</v>
      </c>
      <c r="AX282" s="783">
        <v>13120</v>
      </c>
      <c r="AY282" s="783">
        <v>13120</v>
      </c>
      <c r="AZ282" s="783">
        <v>13120</v>
      </c>
      <c r="BA282" s="783">
        <v>13120</v>
      </c>
      <c r="BB282" s="783">
        <v>13120</v>
      </c>
      <c r="BC282" s="783">
        <v>13120</v>
      </c>
      <c r="BD282" s="783">
        <v>13120</v>
      </c>
      <c r="BE282" s="783">
        <v>13120</v>
      </c>
    </row>
    <row r="283" spans="1:57" x14ac:dyDescent="0.25">
      <c r="A283" s="783" t="s">
        <v>553</v>
      </c>
      <c r="B283" s="783" t="s">
        <v>964</v>
      </c>
      <c r="C283" s="784" t="s">
        <v>697</v>
      </c>
      <c r="D283" s="783">
        <v>285</v>
      </c>
      <c r="E283" s="783">
        <v>285</v>
      </c>
      <c r="F283" s="783">
        <v>285</v>
      </c>
      <c r="G283" s="783">
        <v>285</v>
      </c>
      <c r="H283" s="783">
        <v>285</v>
      </c>
      <c r="I283" s="783">
        <v>285</v>
      </c>
      <c r="J283" s="783">
        <v>285</v>
      </c>
      <c r="K283" s="783">
        <v>285</v>
      </c>
      <c r="L283" s="783">
        <v>285</v>
      </c>
      <c r="M283" s="783">
        <v>285</v>
      </c>
      <c r="N283" s="783">
        <v>285</v>
      </c>
      <c r="O283" s="783">
        <v>285</v>
      </c>
      <c r="P283" s="783">
        <v>285</v>
      </c>
      <c r="Q283" s="783">
        <v>285</v>
      </c>
      <c r="R283" s="783">
        <v>285</v>
      </c>
      <c r="S283" s="783">
        <v>285</v>
      </c>
      <c r="T283" s="783">
        <v>285</v>
      </c>
      <c r="U283" s="783">
        <v>285</v>
      </c>
      <c r="V283" s="783">
        <v>285</v>
      </c>
      <c r="W283" s="783">
        <v>285</v>
      </c>
      <c r="X283" s="783">
        <v>285</v>
      </c>
      <c r="Y283" s="783">
        <v>285</v>
      </c>
      <c r="Z283" s="783">
        <v>285</v>
      </c>
      <c r="AA283" s="783">
        <v>285</v>
      </c>
    </row>
    <row r="284" spans="1:57" x14ac:dyDescent="0.25">
      <c r="A284" s="783" t="s">
        <v>553</v>
      </c>
      <c r="B284" s="783" t="s">
        <v>965</v>
      </c>
      <c r="C284" s="784" t="s">
        <v>698</v>
      </c>
      <c r="D284" s="783">
        <v>0</v>
      </c>
      <c r="E284" s="783">
        <v>0</v>
      </c>
      <c r="F284" s="783">
        <v>0</v>
      </c>
      <c r="G284" s="783">
        <v>0</v>
      </c>
      <c r="H284" s="783">
        <v>0</v>
      </c>
      <c r="I284" s="783">
        <v>0</v>
      </c>
      <c r="J284" s="783">
        <v>0</v>
      </c>
      <c r="K284" s="783">
        <v>0</v>
      </c>
      <c r="L284" s="783">
        <v>0</v>
      </c>
      <c r="M284" s="783">
        <v>0</v>
      </c>
      <c r="N284" s="783">
        <v>0</v>
      </c>
      <c r="O284" s="783">
        <v>0</v>
      </c>
      <c r="P284" s="783">
        <v>0</v>
      </c>
      <c r="Q284" s="783">
        <v>0</v>
      </c>
      <c r="R284" s="783">
        <v>0</v>
      </c>
      <c r="S284" s="783">
        <v>0</v>
      </c>
      <c r="T284" s="783">
        <v>0</v>
      </c>
      <c r="U284" s="783">
        <v>0</v>
      </c>
      <c r="V284" s="783">
        <v>0</v>
      </c>
      <c r="W284" s="783">
        <v>0</v>
      </c>
      <c r="X284" s="783">
        <v>0</v>
      </c>
      <c r="Y284" s="783">
        <v>0</v>
      </c>
      <c r="Z284" s="783">
        <v>0</v>
      </c>
      <c r="AA284" s="783">
        <v>0</v>
      </c>
      <c r="AB284" s="783">
        <v>0</v>
      </c>
      <c r="AC284" s="783">
        <v>0</v>
      </c>
      <c r="AD284" s="783">
        <v>0</v>
      </c>
      <c r="AE284" s="783">
        <v>0</v>
      </c>
      <c r="AF284" s="783">
        <v>0</v>
      </c>
      <c r="AG284" s="783">
        <v>0</v>
      </c>
      <c r="AH284" s="783">
        <v>0</v>
      </c>
      <c r="AI284" s="783">
        <v>0</v>
      </c>
      <c r="AJ284" s="783">
        <v>0</v>
      </c>
      <c r="AK284" s="783">
        <v>0</v>
      </c>
      <c r="AL284" s="783">
        <v>0</v>
      </c>
      <c r="AM284" s="783">
        <v>0</v>
      </c>
      <c r="AN284" s="783">
        <v>0</v>
      </c>
      <c r="AO284" s="783">
        <v>0</v>
      </c>
      <c r="AP284" s="783">
        <v>0</v>
      </c>
      <c r="AQ284" s="783">
        <v>0</v>
      </c>
      <c r="AR284" s="783">
        <v>0</v>
      </c>
      <c r="AS284" s="783">
        <v>0</v>
      </c>
      <c r="AT284" s="783">
        <v>0</v>
      </c>
      <c r="AU284" s="783">
        <v>0</v>
      </c>
      <c r="AV284" s="783">
        <v>0</v>
      </c>
      <c r="AW284" s="783">
        <v>0</v>
      </c>
      <c r="AX284" s="783">
        <v>0</v>
      </c>
      <c r="AY284" s="783">
        <v>0</v>
      </c>
      <c r="AZ284" s="783">
        <v>0</v>
      </c>
      <c r="BA284" s="783">
        <v>0</v>
      </c>
      <c r="BB284" s="783">
        <v>0</v>
      </c>
      <c r="BC284" s="783">
        <v>0</v>
      </c>
      <c r="BD284" s="783">
        <v>0</v>
      </c>
      <c r="BE284" s="783">
        <v>0</v>
      </c>
    </row>
    <row r="285" spans="1:57" x14ac:dyDescent="0.25">
      <c r="A285" s="783" t="s">
        <v>553</v>
      </c>
      <c r="B285" s="783" t="s">
        <v>89</v>
      </c>
      <c r="C285" s="784" t="s">
        <v>699</v>
      </c>
      <c r="D285" s="783">
        <v>285</v>
      </c>
      <c r="E285" s="783">
        <v>285</v>
      </c>
      <c r="F285" s="783">
        <v>285</v>
      </c>
      <c r="G285" s="783">
        <v>285</v>
      </c>
      <c r="H285" s="783">
        <v>285</v>
      </c>
      <c r="I285" s="783">
        <v>285</v>
      </c>
      <c r="J285" s="783">
        <v>285</v>
      </c>
      <c r="K285" s="783">
        <v>285</v>
      </c>
      <c r="L285" s="783">
        <v>285</v>
      </c>
      <c r="M285" s="783">
        <v>285</v>
      </c>
      <c r="N285" s="783">
        <v>285</v>
      </c>
      <c r="O285" s="783">
        <v>285</v>
      </c>
      <c r="P285" s="783">
        <v>285</v>
      </c>
      <c r="Q285" s="783">
        <v>285</v>
      </c>
      <c r="R285" s="783">
        <v>285</v>
      </c>
      <c r="S285" s="783">
        <v>285</v>
      </c>
      <c r="T285" s="783">
        <v>285</v>
      </c>
      <c r="U285" s="783">
        <v>285</v>
      </c>
      <c r="V285" s="783">
        <v>285</v>
      </c>
      <c r="W285" s="783">
        <v>285</v>
      </c>
      <c r="X285" s="783">
        <v>285</v>
      </c>
      <c r="Y285" s="783">
        <v>285</v>
      </c>
      <c r="Z285" s="783">
        <v>285</v>
      </c>
      <c r="AA285" s="783">
        <v>285</v>
      </c>
    </row>
    <row r="286" spans="1:57" x14ac:dyDescent="0.25">
      <c r="A286" s="783" t="s">
        <v>553</v>
      </c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 s="783">
        <v>0</v>
      </c>
      <c r="AC286" s="783">
        <v>0</v>
      </c>
      <c r="AD286" s="783">
        <v>0</v>
      </c>
      <c r="AE286" s="783">
        <v>0</v>
      </c>
      <c r="AF286" s="783">
        <v>1036.32824825288</v>
      </c>
      <c r="AG286" s="783">
        <v>1193.6259762591401</v>
      </c>
      <c r="AH286" s="783">
        <v>1213.5248341700301</v>
      </c>
      <c r="AI286" s="783">
        <v>1248.73199568011</v>
      </c>
      <c r="AJ286" s="783">
        <v>1207.3744863443801</v>
      </c>
      <c r="AK286" s="783">
        <v>0</v>
      </c>
      <c r="AL286" s="783">
        <v>0</v>
      </c>
      <c r="AM286" s="783">
        <v>0</v>
      </c>
      <c r="AN286" s="783">
        <v>0</v>
      </c>
      <c r="AO286" s="783">
        <v>0</v>
      </c>
      <c r="AP286" s="783">
        <v>0</v>
      </c>
      <c r="AQ286" s="783">
        <v>0</v>
      </c>
      <c r="AR286" s="783">
        <v>1061.3598698398901</v>
      </c>
      <c r="AS286" s="783">
        <v>1220.8091251392</v>
      </c>
      <c r="AT286" s="783">
        <v>1244.8855780527199</v>
      </c>
      <c r="AU286" s="783">
        <v>1311.9180256946099</v>
      </c>
      <c r="AV286" s="783">
        <v>1202.35464598676</v>
      </c>
      <c r="AW286" s="783">
        <v>0</v>
      </c>
      <c r="AX286" s="783">
        <v>0</v>
      </c>
      <c r="AY286" s="783">
        <v>0</v>
      </c>
      <c r="AZ286" s="783">
        <v>0</v>
      </c>
      <c r="BA286" s="783">
        <v>0</v>
      </c>
      <c r="BB286" s="783">
        <v>0</v>
      </c>
      <c r="BC286" s="783">
        <v>0</v>
      </c>
      <c r="BD286" s="783">
        <v>773.81698568981199</v>
      </c>
      <c r="BE286" s="783">
        <v>911.11660317227995</v>
      </c>
    </row>
    <row r="287" spans="1:57" x14ac:dyDescent="0.25">
      <c r="A287" s="783" t="s">
        <v>553</v>
      </c>
      <c r="C287" s="784" t="s">
        <v>700</v>
      </c>
      <c r="D287" s="783">
        <v>0</v>
      </c>
      <c r="E287" s="783">
        <v>0</v>
      </c>
      <c r="F287" s="783">
        <v>0</v>
      </c>
      <c r="G287" s="783">
        <v>0</v>
      </c>
      <c r="H287" s="783">
        <v>300</v>
      </c>
      <c r="I287" s="783">
        <v>300</v>
      </c>
      <c r="J287" s="783">
        <v>300</v>
      </c>
      <c r="K287" s="783">
        <v>300</v>
      </c>
      <c r="L287" s="783">
        <v>300</v>
      </c>
      <c r="M287" s="783">
        <v>0</v>
      </c>
      <c r="N287" s="783">
        <v>0</v>
      </c>
      <c r="O287" s="783">
        <v>0</v>
      </c>
      <c r="P287" s="783">
        <v>0</v>
      </c>
      <c r="Q287" s="783">
        <v>0</v>
      </c>
      <c r="R287" s="783">
        <v>0</v>
      </c>
      <c r="S287" s="783">
        <v>0</v>
      </c>
      <c r="T287" s="783">
        <v>300</v>
      </c>
      <c r="U287" s="783">
        <v>300</v>
      </c>
      <c r="V287" s="783">
        <v>300</v>
      </c>
      <c r="W287" s="783">
        <v>300</v>
      </c>
      <c r="X287" s="783">
        <v>300</v>
      </c>
      <c r="Y287" s="783">
        <v>0</v>
      </c>
      <c r="Z287" s="783">
        <v>0</v>
      </c>
      <c r="AA287" s="783">
        <v>0</v>
      </c>
      <c r="AB287" s="783">
        <v>562.49322588516202</v>
      </c>
      <c r="AC287" s="783">
        <v>576.018957387206</v>
      </c>
      <c r="AD287" s="783">
        <v>496.94982088066899</v>
      </c>
      <c r="AE287" s="783">
        <v>343.210785863946</v>
      </c>
      <c r="AF287" s="783">
        <v>201.090285942886</v>
      </c>
      <c r="AG287" s="783">
        <v>136.72312495965201</v>
      </c>
      <c r="AH287" s="783">
        <v>111.937513872952</v>
      </c>
      <c r="AI287" s="783">
        <v>137.968174038592</v>
      </c>
      <c r="AJ287" s="783">
        <v>175.529024985912</v>
      </c>
      <c r="AK287" s="783">
        <v>286.67383875954903</v>
      </c>
      <c r="AL287" s="783">
        <v>423.22818476796698</v>
      </c>
      <c r="AM287" s="783">
        <v>586.45048143389499</v>
      </c>
      <c r="AN287" s="783">
        <v>634.03516242374405</v>
      </c>
      <c r="AO287" s="783">
        <v>647.26115311329295</v>
      </c>
      <c r="AP287" s="783">
        <v>548.95230477170196</v>
      </c>
      <c r="AQ287" s="783">
        <v>374.80698175503801</v>
      </c>
      <c r="AR287" s="783">
        <v>220.79935774017099</v>
      </c>
      <c r="AS287" s="783">
        <v>150.111957760396</v>
      </c>
      <c r="AT287" s="783">
        <v>123.069940669435</v>
      </c>
      <c r="AU287" s="783">
        <v>149.602445383972</v>
      </c>
      <c r="AV287" s="783">
        <v>194.95500842538701</v>
      </c>
      <c r="AW287" s="783">
        <v>313.61516685710302</v>
      </c>
      <c r="AX287" s="783">
        <v>468.10356773094497</v>
      </c>
      <c r="AY287" s="783">
        <v>655.12127105103002</v>
      </c>
      <c r="AZ287" s="783">
        <v>710.04149919273095</v>
      </c>
      <c r="BA287" s="783">
        <v>726.30225589453005</v>
      </c>
      <c r="BB287" s="783">
        <v>606.33068338188696</v>
      </c>
      <c r="BC287" s="783">
        <v>410.24432085515701</v>
      </c>
      <c r="BD287" s="783">
        <v>270.55088849567602</v>
      </c>
      <c r="BE287" s="783">
        <v>186.27117318017301</v>
      </c>
    </row>
    <row r="288" spans="1:57" x14ac:dyDescent="0.25">
      <c r="A288" s="783" t="s">
        <v>553</v>
      </c>
      <c r="C288" s="784" t="s">
        <v>701</v>
      </c>
      <c r="D288" s="783">
        <v>0</v>
      </c>
      <c r="E288" s="783">
        <v>0</v>
      </c>
      <c r="F288" s="783">
        <v>0</v>
      </c>
      <c r="G288" s="783">
        <v>0</v>
      </c>
      <c r="H288" s="783">
        <v>0</v>
      </c>
      <c r="I288" s="783">
        <v>0</v>
      </c>
      <c r="J288" s="783">
        <v>0</v>
      </c>
      <c r="K288" s="783">
        <v>0</v>
      </c>
      <c r="L288" s="783">
        <v>0</v>
      </c>
      <c r="M288" s="783">
        <v>0</v>
      </c>
      <c r="N288" s="783">
        <v>0</v>
      </c>
      <c r="O288" s="783">
        <v>0</v>
      </c>
      <c r="P288" s="783">
        <v>0</v>
      </c>
      <c r="Q288" s="783">
        <v>0</v>
      </c>
      <c r="R288" s="783">
        <v>0</v>
      </c>
      <c r="S288" s="783">
        <v>0</v>
      </c>
      <c r="T288" s="783">
        <v>0</v>
      </c>
      <c r="U288" s="783">
        <v>0</v>
      </c>
      <c r="V288" s="783">
        <v>0</v>
      </c>
      <c r="W288" s="783">
        <v>0</v>
      </c>
      <c r="X288" s="783">
        <v>0</v>
      </c>
      <c r="Y288" s="783">
        <v>0</v>
      </c>
      <c r="Z288" s="783">
        <v>0</v>
      </c>
      <c r="AA288" s="783">
        <v>0</v>
      </c>
      <c r="AB288" s="783">
        <v>0</v>
      </c>
      <c r="AC288" s="783">
        <v>0</v>
      </c>
      <c r="AD288" s="783">
        <v>0</v>
      </c>
      <c r="AE288" s="783">
        <v>0</v>
      </c>
      <c r="AF288" s="783">
        <v>14.510668220811899</v>
      </c>
      <c r="AG288" s="783">
        <v>10.1513966038095</v>
      </c>
      <c r="AH288" s="783">
        <v>7.7965915807763402</v>
      </c>
      <c r="AI288" s="783">
        <v>9.9469244985315495</v>
      </c>
      <c r="AJ288" s="783">
        <v>13.1642545638437</v>
      </c>
      <c r="AK288" s="783">
        <v>0</v>
      </c>
      <c r="AL288" s="783">
        <v>0</v>
      </c>
      <c r="AM288" s="783">
        <v>0</v>
      </c>
      <c r="AN288" s="783">
        <v>0</v>
      </c>
      <c r="AO288" s="783">
        <v>0</v>
      </c>
      <c r="AP288" s="783">
        <v>0</v>
      </c>
      <c r="AQ288" s="783">
        <v>0</v>
      </c>
      <c r="AR288" s="783">
        <v>14.2376803399663</v>
      </c>
      <c r="AS288" s="783">
        <v>9.9693425235084501</v>
      </c>
      <c r="AT288" s="783">
        <v>7.9371773420723502</v>
      </c>
      <c r="AU288" s="783">
        <v>10.0073797724831</v>
      </c>
      <c r="AV288" s="783">
        <v>13.246415734012301</v>
      </c>
      <c r="AW288" s="783">
        <v>0</v>
      </c>
      <c r="AX288" s="783">
        <v>0</v>
      </c>
      <c r="AY288" s="783">
        <v>0</v>
      </c>
      <c r="AZ288" s="783">
        <v>0</v>
      </c>
      <c r="BA288" s="783">
        <v>0</v>
      </c>
      <c r="BB288" s="783">
        <v>0</v>
      </c>
      <c r="BC288" s="783">
        <v>0</v>
      </c>
      <c r="BD288" s="783">
        <v>14.500936665662</v>
      </c>
      <c r="BE288" s="783">
        <v>10.160724589346099</v>
      </c>
    </row>
    <row r="289" spans="1:57" x14ac:dyDescent="0.25">
      <c r="A289" s="783" t="s">
        <v>553</v>
      </c>
      <c r="B289" s="786"/>
      <c r="C289" s="784" t="s">
        <v>702</v>
      </c>
      <c r="D289" s="788">
        <v>0.36030000000000001</v>
      </c>
      <c r="E289" s="788">
        <v>0.36030000000000001</v>
      </c>
      <c r="F289" s="788">
        <v>0.36030000000000001</v>
      </c>
      <c r="G289" s="788">
        <v>0.36030000000000001</v>
      </c>
      <c r="H289" s="788">
        <v>0.36030000000000001</v>
      </c>
      <c r="I289" s="788">
        <v>0.36030000000000001</v>
      </c>
      <c r="J289" s="788">
        <v>0.36030000000000001</v>
      </c>
      <c r="K289" s="788">
        <v>0.36030000000000001</v>
      </c>
      <c r="L289" s="788">
        <v>0.36030000000000001</v>
      </c>
      <c r="M289" s="788">
        <v>0.36030000000000001</v>
      </c>
      <c r="N289" s="788">
        <v>0.36030000000000001</v>
      </c>
      <c r="O289" s="788">
        <v>0.36030000000000001</v>
      </c>
      <c r="P289" s="788">
        <v>0.36030000000000001</v>
      </c>
      <c r="Q289" s="788">
        <v>0.36030000000000001</v>
      </c>
      <c r="R289" s="788">
        <v>0.36030000000000001</v>
      </c>
      <c r="S289" s="788">
        <v>0.36030000000000001</v>
      </c>
      <c r="T289" s="788">
        <v>0.36030000000000001</v>
      </c>
      <c r="U289" s="788">
        <v>0.36030000000000001</v>
      </c>
      <c r="V289" s="788">
        <v>0.36030000000000001</v>
      </c>
      <c r="W289" s="788">
        <v>0.36030000000000001</v>
      </c>
      <c r="X289" s="788">
        <v>0.36030000000000001</v>
      </c>
      <c r="Y289" s="788">
        <v>0.36030000000000001</v>
      </c>
      <c r="Z289" s="788">
        <v>0.36030000000000001</v>
      </c>
      <c r="AA289" s="788">
        <v>0.36030000000000001</v>
      </c>
      <c r="AB289" s="783">
        <v>562.49322588516202</v>
      </c>
      <c r="AC289" s="783">
        <v>576.018957387206</v>
      </c>
      <c r="AD289" s="783">
        <v>496.94982088066899</v>
      </c>
      <c r="AE289" s="783">
        <v>343.210785863946</v>
      </c>
      <c r="AF289" s="783">
        <v>1251.92920241658</v>
      </c>
      <c r="AG289" s="783">
        <v>1340.5004978226</v>
      </c>
      <c r="AH289" s="783">
        <v>1333.2589396237599</v>
      </c>
      <c r="AI289" s="783">
        <v>1396.64709421723</v>
      </c>
      <c r="AJ289" s="783">
        <v>1396.0677658941399</v>
      </c>
      <c r="AK289" s="783">
        <v>286.67383875954903</v>
      </c>
      <c r="AL289" s="783">
        <v>423.22818476796698</v>
      </c>
      <c r="AM289" s="783">
        <v>586.45048143389499</v>
      </c>
      <c r="AN289" s="783">
        <v>634.03516242374405</v>
      </c>
      <c r="AO289" s="783">
        <v>647.26115311329295</v>
      </c>
      <c r="AP289" s="783">
        <v>548.95230477170196</v>
      </c>
      <c r="AQ289" s="783">
        <v>374.80698175503801</v>
      </c>
      <c r="AR289" s="783">
        <v>1296.3969079200299</v>
      </c>
      <c r="AS289" s="783">
        <v>1380.8904254231099</v>
      </c>
      <c r="AT289" s="783">
        <v>1375.89269606423</v>
      </c>
      <c r="AU289" s="783">
        <v>1471.5278508510601</v>
      </c>
      <c r="AV289" s="783">
        <v>1410.55607014616</v>
      </c>
      <c r="AW289" s="783">
        <v>313.61516685710302</v>
      </c>
      <c r="AX289" s="783">
        <v>468.10356773094497</v>
      </c>
      <c r="AY289" s="783">
        <v>655.12127105103002</v>
      </c>
      <c r="AZ289" s="783">
        <v>710.04149919273095</v>
      </c>
      <c r="BA289" s="783">
        <v>726.30225589453005</v>
      </c>
      <c r="BB289" s="783">
        <v>606.33068338188696</v>
      </c>
      <c r="BC289" s="783">
        <v>410.24432085515701</v>
      </c>
      <c r="BD289" s="783">
        <v>1058.8688108511501</v>
      </c>
      <c r="BE289" s="783">
        <v>1107.5485009418001</v>
      </c>
    </row>
    <row r="290" spans="1:57" x14ac:dyDescent="0.25">
      <c r="A290" s="783" t="s">
        <v>553</v>
      </c>
      <c r="C290" s="784" t="s">
        <v>703</v>
      </c>
      <c r="D290" s="788">
        <v>0</v>
      </c>
      <c r="E290" s="788">
        <v>0</v>
      </c>
      <c r="F290" s="788">
        <v>0</v>
      </c>
      <c r="G290" s="788">
        <v>0</v>
      </c>
      <c r="H290" s="788">
        <v>0</v>
      </c>
      <c r="I290" s="788">
        <v>0</v>
      </c>
      <c r="J290" s="788">
        <v>0</v>
      </c>
      <c r="K290" s="788">
        <v>0</v>
      </c>
      <c r="L290" s="788">
        <v>0</v>
      </c>
      <c r="M290" s="788">
        <v>0</v>
      </c>
      <c r="N290" s="788">
        <v>0</v>
      </c>
      <c r="O290" s="788">
        <v>0</v>
      </c>
      <c r="P290" s="788">
        <v>0</v>
      </c>
      <c r="Q290" s="788">
        <v>0</v>
      </c>
      <c r="R290" s="788">
        <v>0</v>
      </c>
      <c r="S290" s="788">
        <v>0</v>
      </c>
      <c r="T290" s="788">
        <v>0</v>
      </c>
      <c r="U290" s="788">
        <v>0</v>
      </c>
      <c r="V290" s="788">
        <v>0</v>
      </c>
      <c r="W290" s="788">
        <v>0</v>
      </c>
      <c r="X290" s="788">
        <v>0</v>
      </c>
      <c r="Y290" s="788">
        <v>0</v>
      </c>
      <c r="Z290" s="788">
        <v>0</v>
      </c>
      <c r="AA290" s="788">
        <v>0</v>
      </c>
    </row>
    <row r="291" spans="1:57" x14ac:dyDescent="0.25">
      <c r="A291" s="783" t="s">
        <v>553</v>
      </c>
      <c r="C291" s="784" t="s">
        <v>704</v>
      </c>
      <c r="D291" s="783">
        <v>0</v>
      </c>
      <c r="E291" s="783">
        <v>0</v>
      </c>
      <c r="F291" s="783">
        <v>0</v>
      </c>
      <c r="G291" s="783">
        <v>0</v>
      </c>
      <c r="H291" s="783">
        <v>108.09</v>
      </c>
      <c r="I291" s="783">
        <v>108.09</v>
      </c>
      <c r="J291" s="783">
        <v>108.09</v>
      </c>
      <c r="K291" s="783">
        <v>108.09</v>
      </c>
      <c r="L291" s="783">
        <v>108.09</v>
      </c>
      <c r="M291" s="783">
        <v>0</v>
      </c>
      <c r="N291" s="783">
        <v>0</v>
      </c>
      <c r="O291" s="783">
        <v>0</v>
      </c>
      <c r="P291" s="783">
        <v>0</v>
      </c>
      <c r="Q291" s="783">
        <v>0</v>
      </c>
      <c r="R291" s="783">
        <v>0</v>
      </c>
      <c r="S291" s="783">
        <v>0</v>
      </c>
      <c r="T291" s="783">
        <v>108.09</v>
      </c>
      <c r="U291" s="783">
        <v>108.09</v>
      </c>
      <c r="V291" s="783">
        <v>108.09</v>
      </c>
      <c r="W291" s="783">
        <v>108.09</v>
      </c>
      <c r="X291" s="783">
        <v>108.09</v>
      </c>
      <c r="Y291" s="783">
        <v>0</v>
      </c>
      <c r="Z291" s="783">
        <v>0</v>
      </c>
      <c r="AA291" s="783">
        <v>0</v>
      </c>
      <c r="AB291" s="783">
        <v>13967.4932258851</v>
      </c>
      <c r="AC291" s="783">
        <v>13981.018957387199</v>
      </c>
      <c r="AD291" s="783">
        <v>13901.9498208806</v>
      </c>
      <c r="AE291" s="783">
        <v>13748.210785863899</v>
      </c>
      <c r="AF291" s="783">
        <v>14765.019202416501</v>
      </c>
      <c r="AG291" s="783">
        <v>14853.590497822601</v>
      </c>
      <c r="AH291" s="783">
        <v>14846.3489396237</v>
      </c>
      <c r="AI291" s="783">
        <v>14909.7370942172</v>
      </c>
      <c r="AJ291" s="783">
        <v>14909.157765894101</v>
      </c>
      <c r="AK291" s="783">
        <v>13691.6738387595</v>
      </c>
      <c r="AL291" s="783">
        <v>13828.228184767901</v>
      </c>
      <c r="AM291" s="783">
        <v>13991.4504814338</v>
      </c>
      <c r="AN291" s="783">
        <v>14039.035162423699</v>
      </c>
      <c r="AO291" s="783">
        <v>14052.261153113201</v>
      </c>
      <c r="AP291" s="783">
        <v>13953.952304771699</v>
      </c>
      <c r="AQ291" s="783">
        <v>13779.806981755</v>
      </c>
      <c r="AR291" s="783">
        <v>14809.48690792</v>
      </c>
      <c r="AS291" s="783">
        <v>14893.9804254231</v>
      </c>
      <c r="AT291" s="783">
        <v>14888.9826960642</v>
      </c>
      <c r="AU291" s="783">
        <v>14984.617850851</v>
      </c>
      <c r="AV291" s="783">
        <v>14923.6460701461</v>
      </c>
      <c r="AW291" s="783">
        <v>13718.6151668571</v>
      </c>
      <c r="AX291" s="783">
        <v>13873.103567730899</v>
      </c>
      <c r="AY291" s="783">
        <v>14060.121271051001</v>
      </c>
      <c r="AZ291" s="783">
        <v>14115.041499192699</v>
      </c>
      <c r="BA291" s="783">
        <v>14131.302255894499</v>
      </c>
      <c r="BB291" s="783">
        <v>14011.330683381801</v>
      </c>
      <c r="BC291" s="783">
        <v>13815.244320855099</v>
      </c>
      <c r="BD291" s="783">
        <v>14571.9588108511</v>
      </c>
      <c r="BE291" s="783">
        <v>14620.638500941801</v>
      </c>
    </row>
    <row r="292" spans="1:57" s="880" customFormat="1" x14ac:dyDescent="0.25">
      <c r="A292" s="783" t="s">
        <v>553</v>
      </c>
      <c r="B292" s="783"/>
      <c r="C292" s="882" t="s">
        <v>705</v>
      </c>
      <c r="D292" s="783">
        <v>0</v>
      </c>
      <c r="E292" s="783">
        <v>0</v>
      </c>
      <c r="F292" s="783">
        <v>0</v>
      </c>
      <c r="G292" s="783">
        <v>0</v>
      </c>
      <c r="H292" s="783">
        <v>0</v>
      </c>
      <c r="I292" s="783">
        <v>0</v>
      </c>
      <c r="J292" s="783">
        <v>0</v>
      </c>
      <c r="K292" s="783">
        <v>0</v>
      </c>
      <c r="L292" s="783">
        <v>0</v>
      </c>
      <c r="M292" s="783">
        <v>0</v>
      </c>
      <c r="N292" s="783">
        <v>0</v>
      </c>
      <c r="O292" s="783">
        <v>0</v>
      </c>
      <c r="P292" s="783">
        <v>0</v>
      </c>
      <c r="Q292" s="783">
        <v>0</v>
      </c>
      <c r="R292" s="783">
        <v>0</v>
      </c>
      <c r="S292" s="783">
        <v>0</v>
      </c>
      <c r="T292" s="783">
        <v>0</v>
      </c>
      <c r="U292" s="783">
        <v>0</v>
      </c>
      <c r="V292" s="783">
        <v>0</v>
      </c>
      <c r="W292" s="783">
        <v>0</v>
      </c>
      <c r="X292" s="783">
        <v>0</v>
      </c>
      <c r="Y292" s="783">
        <v>0</v>
      </c>
      <c r="Z292" s="783">
        <v>0</v>
      </c>
      <c r="AA292" s="783">
        <v>0</v>
      </c>
    </row>
    <row r="293" spans="1:57" x14ac:dyDescent="0.25">
      <c r="A293" s="783" t="s">
        <v>553</v>
      </c>
      <c r="B293" s="783" t="s">
        <v>374</v>
      </c>
      <c r="C293" s="784" t="s">
        <v>706</v>
      </c>
      <c r="D293" s="783">
        <v>0</v>
      </c>
      <c r="E293" s="783">
        <v>0</v>
      </c>
      <c r="F293" s="783">
        <v>0</v>
      </c>
      <c r="G293" s="783">
        <v>0</v>
      </c>
      <c r="H293" s="783">
        <v>108.09</v>
      </c>
      <c r="I293" s="783">
        <v>108.09</v>
      </c>
      <c r="J293" s="783">
        <v>108.09</v>
      </c>
      <c r="K293" s="783">
        <v>108.09</v>
      </c>
      <c r="L293" s="783">
        <v>108.09</v>
      </c>
      <c r="M293" s="783">
        <v>0</v>
      </c>
      <c r="N293" s="783">
        <v>0</v>
      </c>
      <c r="O293" s="783">
        <v>0</v>
      </c>
      <c r="P293" s="783">
        <v>0</v>
      </c>
      <c r="Q293" s="783">
        <v>0</v>
      </c>
      <c r="R293" s="783">
        <v>0</v>
      </c>
      <c r="S293" s="783">
        <v>0</v>
      </c>
      <c r="T293" s="783">
        <v>108.09</v>
      </c>
      <c r="U293" s="783">
        <v>108.09</v>
      </c>
      <c r="V293" s="783">
        <v>108.09</v>
      </c>
      <c r="W293" s="783">
        <v>108.09</v>
      </c>
      <c r="X293" s="783">
        <v>108.09</v>
      </c>
      <c r="Y293" s="783">
        <v>0</v>
      </c>
      <c r="Z293" s="783">
        <v>0</v>
      </c>
      <c r="AA293" s="783">
        <v>0</v>
      </c>
      <c r="AB293" s="783">
        <v>80</v>
      </c>
      <c r="AC293" s="783">
        <v>81</v>
      </c>
      <c r="AD293" s="783">
        <v>83</v>
      </c>
      <c r="AE293" s="783">
        <v>84</v>
      </c>
      <c r="AF293" s="783">
        <v>84</v>
      </c>
      <c r="AG293" s="783">
        <v>86</v>
      </c>
      <c r="AH293" s="783">
        <v>76</v>
      </c>
      <c r="AI293" s="783">
        <v>76</v>
      </c>
      <c r="AJ293" s="783">
        <v>77</v>
      </c>
      <c r="AK293" s="783">
        <v>78</v>
      </c>
      <c r="AL293" s="783">
        <v>79</v>
      </c>
      <c r="AM293" s="783">
        <v>80</v>
      </c>
      <c r="AN293" s="783">
        <v>80</v>
      </c>
      <c r="AO293" s="783">
        <v>81</v>
      </c>
      <c r="AP293" s="783">
        <v>83</v>
      </c>
      <c r="AQ293" s="783">
        <v>84</v>
      </c>
      <c r="AR293" s="783">
        <v>84</v>
      </c>
      <c r="AS293" s="783">
        <v>85</v>
      </c>
      <c r="AT293" s="783">
        <v>76</v>
      </c>
      <c r="AU293" s="783">
        <v>76</v>
      </c>
      <c r="AV293" s="783">
        <v>77</v>
      </c>
      <c r="AW293" s="783">
        <v>78</v>
      </c>
      <c r="AX293" s="783">
        <v>78</v>
      </c>
      <c r="AY293" s="783">
        <v>79</v>
      </c>
      <c r="AZ293" s="783">
        <v>80</v>
      </c>
      <c r="BA293" s="783">
        <v>81</v>
      </c>
      <c r="BB293" s="783">
        <v>82</v>
      </c>
      <c r="BC293" s="783">
        <v>84</v>
      </c>
      <c r="BD293" s="783">
        <v>84</v>
      </c>
      <c r="BE293" s="783">
        <v>85</v>
      </c>
    </row>
    <row r="294" spans="1:57" x14ac:dyDescent="0.25">
      <c r="A294" s="783" t="s">
        <v>553</v>
      </c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 s="783">
        <v>0</v>
      </c>
      <c r="AC294" s="783">
        <v>0</v>
      </c>
      <c r="AD294" s="783">
        <v>0</v>
      </c>
      <c r="AE294" s="783">
        <v>0</v>
      </c>
      <c r="AF294" s="783">
        <v>0</v>
      </c>
      <c r="AG294" s="783">
        <v>0</v>
      </c>
      <c r="AH294" s="783">
        <v>0</v>
      </c>
      <c r="AI294" s="783">
        <v>0</v>
      </c>
      <c r="AJ294" s="783">
        <v>0</v>
      </c>
      <c r="AK294" s="783">
        <v>0</v>
      </c>
      <c r="AL294" s="783">
        <v>0</v>
      </c>
      <c r="AM294" s="783">
        <v>0</v>
      </c>
      <c r="AN294" s="783">
        <v>0</v>
      </c>
      <c r="AO294" s="783">
        <v>0</v>
      </c>
      <c r="AP294" s="783">
        <v>0</v>
      </c>
      <c r="AQ294" s="783">
        <v>0</v>
      </c>
      <c r="AR294" s="783">
        <v>0</v>
      </c>
      <c r="AS294" s="783">
        <v>0</v>
      </c>
      <c r="AT294" s="783">
        <v>0</v>
      </c>
      <c r="AU294" s="783">
        <v>0</v>
      </c>
      <c r="AV294" s="783">
        <v>0</v>
      </c>
      <c r="AW294" s="783">
        <v>0</v>
      </c>
      <c r="AX294" s="783">
        <v>0</v>
      </c>
      <c r="AY294" s="783">
        <v>0</v>
      </c>
      <c r="AZ294" s="783">
        <v>0</v>
      </c>
      <c r="BA294" s="783">
        <v>0</v>
      </c>
      <c r="BB294" s="783">
        <v>0</v>
      </c>
      <c r="BC294" s="783">
        <v>0</v>
      </c>
      <c r="BD294" s="783">
        <v>0</v>
      </c>
      <c r="BE294" s="783">
        <v>0</v>
      </c>
    </row>
    <row r="295" spans="1:57" s="786" customFormat="1" x14ac:dyDescent="0.25">
      <c r="A295" s="783" t="s">
        <v>553</v>
      </c>
      <c r="B295" s="783"/>
      <c r="C295" s="785" t="s">
        <v>707</v>
      </c>
      <c r="D295" s="786">
        <v>0</v>
      </c>
      <c r="E295" s="786">
        <v>0</v>
      </c>
      <c r="F295" s="786">
        <v>0</v>
      </c>
      <c r="G295" s="786">
        <v>0</v>
      </c>
      <c r="H295" s="786">
        <v>0</v>
      </c>
      <c r="I295" s="786">
        <v>0</v>
      </c>
      <c r="J295" s="786">
        <v>0</v>
      </c>
      <c r="K295" s="786">
        <v>0</v>
      </c>
      <c r="L295" s="786">
        <v>0</v>
      </c>
      <c r="M295" s="786">
        <v>0</v>
      </c>
      <c r="N295" s="786">
        <v>0</v>
      </c>
      <c r="O295" s="786">
        <v>0</v>
      </c>
      <c r="P295" s="786">
        <v>0</v>
      </c>
      <c r="Q295" s="786">
        <v>0</v>
      </c>
      <c r="R295" s="786">
        <v>0</v>
      </c>
      <c r="S295" s="786">
        <v>0</v>
      </c>
      <c r="T295" s="786">
        <v>0</v>
      </c>
      <c r="U295" s="786">
        <v>0</v>
      </c>
      <c r="V295" s="786">
        <v>0</v>
      </c>
      <c r="W295" s="786">
        <v>0</v>
      </c>
      <c r="X295" s="786">
        <v>0</v>
      </c>
      <c r="Y295" s="786">
        <v>0</v>
      </c>
      <c r="Z295" s="786">
        <v>0</v>
      </c>
      <c r="AA295" s="786">
        <v>0</v>
      </c>
      <c r="AB295" s="786">
        <v>750</v>
      </c>
      <c r="AC295" s="786">
        <v>750</v>
      </c>
      <c r="AD295" s="786">
        <v>750</v>
      </c>
      <c r="AE295" s="786">
        <v>750</v>
      </c>
      <c r="AF295" s="786">
        <v>750</v>
      </c>
      <c r="AG295" s="786">
        <v>750</v>
      </c>
      <c r="AH295" s="786">
        <v>750</v>
      </c>
      <c r="AI295" s="786">
        <v>750</v>
      </c>
      <c r="AJ295" s="786">
        <v>750</v>
      </c>
      <c r="AK295" s="786">
        <v>750</v>
      </c>
      <c r="AL295" s="786">
        <v>750</v>
      </c>
      <c r="AM295" s="786">
        <v>750</v>
      </c>
      <c r="AN295" s="786">
        <v>750</v>
      </c>
      <c r="AO295" s="786">
        <v>750</v>
      </c>
      <c r="AP295" s="786">
        <v>750</v>
      </c>
      <c r="AQ295" s="786">
        <v>750</v>
      </c>
      <c r="AR295" s="786">
        <v>750</v>
      </c>
      <c r="AS295" s="786">
        <v>750</v>
      </c>
      <c r="AT295" s="786">
        <v>750</v>
      </c>
      <c r="AU295" s="786">
        <v>750</v>
      </c>
      <c r="AV295" s="786">
        <v>750</v>
      </c>
      <c r="AW295" s="786">
        <v>750</v>
      </c>
      <c r="AX295" s="786">
        <v>750</v>
      </c>
      <c r="AY295" s="786">
        <v>750</v>
      </c>
      <c r="AZ295" s="786">
        <v>750</v>
      </c>
      <c r="BA295" s="786">
        <v>750</v>
      </c>
      <c r="BB295" s="786">
        <v>750</v>
      </c>
      <c r="BC295" s="786">
        <v>750</v>
      </c>
      <c r="BD295" s="786">
        <v>750</v>
      </c>
      <c r="BE295" s="786">
        <v>750</v>
      </c>
    </row>
    <row r="296" spans="1:57" s="786" customFormat="1" x14ac:dyDescent="0.25">
      <c r="A296" s="783" t="s">
        <v>553</v>
      </c>
      <c r="B296" s="783" t="s">
        <v>520</v>
      </c>
      <c r="C296" s="785" t="s">
        <v>708</v>
      </c>
      <c r="D296" s="783">
        <v>0</v>
      </c>
      <c r="E296" s="783">
        <v>0</v>
      </c>
      <c r="F296" s="783">
        <v>0</v>
      </c>
      <c r="G296" s="783">
        <v>0</v>
      </c>
      <c r="H296" s="783">
        <v>0</v>
      </c>
      <c r="I296" s="783">
        <v>0</v>
      </c>
      <c r="J296" s="783">
        <v>0</v>
      </c>
      <c r="K296" s="783">
        <v>0</v>
      </c>
      <c r="L296" s="783">
        <v>0</v>
      </c>
      <c r="M296" s="783">
        <v>0</v>
      </c>
      <c r="N296" s="783">
        <v>0</v>
      </c>
      <c r="O296" s="783">
        <v>0</v>
      </c>
      <c r="P296" s="783">
        <v>0</v>
      </c>
      <c r="Q296" s="783">
        <v>0</v>
      </c>
      <c r="R296" s="783">
        <v>0</v>
      </c>
      <c r="S296" s="783">
        <v>0</v>
      </c>
      <c r="T296" s="783">
        <v>0</v>
      </c>
      <c r="U296" s="783">
        <v>0</v>
      </c>
      <c r="V296" s="783">
        <v>0</v>
      </c>
      <c r="W296" s="783">
        <v>0</v>
      </c>
      <c r="X296" s="783">
        <v>0</v>
      </c>
      <c r="Y296" s="783">
        <v>0</v>
      </c>
      <c r="Z296" s="783">
        <v>0</v>
      </c>
      <c r="AA296" s="783">
        <v>0</v>
      </c>
      <c r="AB296" s="786">
        <v>0</v>
      </c>
      <c r="AC296" s="786">
        <v>0</v>
      </c>
      <c r="AD296" s="786">
        <v>0</v>
      </c>
      <c r="AE296" s="786">
        <v>0</v>
      </c>
      <c r="AF296" s="786">
        <v>0</v>
      </c>
      <c r="AG296" s="786">
        <v>0</v>
      </c>
      <c r="AH296" s="786">
        <v>0</v>
      </c>
      <c r="AI296" s="786">
        <v>0</v>
      </c>
      <c r="AJ296" s="786">
        <v>0</v>
      </c>
      <c r="AK296" s="786">
        <v>0</v>
      </c>
      <c r="AL296" s="786">
        <v>0</v>
      </c>
      <c r="AM296" s="786">
        <v>0</v>
      </c>
      <c r="AN296" s="786">
        <v>0</v>
      </c>
      <c r="AO296" s="786">
        <v>0</v>
      </c>
      <c r="AP296" s="786">
        <v>0</v>
      </c>
      <c r="AQ296" s="786">
        <v>0</v>
      </c>
      <c r="AR296" s="786">
        <v>0</v>
      </c>
      <c r="AS296" s="786">
        <v>0</v>
      </c>
      <c r="AT296" s="786">
        <v>0</v>
      </c>
      <c r="AU296" s="786">
        <v>0</v>
      </c>
      <c r="AV296" s="786">
        <v>0</v>
      </c>
      <c r="AW296" s="786">
        <v>0</v>
      </c>
      <c r="AX296" s="786">
        <v>0</v>
      </c>
      <c r="AY296" s="786">
        <v>0</v>
      </c>
      <c r="AZ296" s="786">
        <v>0</v>
      </c>
      <c r="BA296" s="786">
        <v>0</v>
      </c>
      <c r="BB296" s="786">
        <v>0</v>
      </c>
      <c r="BC296" s="786">
        <v>0</v>
      </c>
      <c r="BD296" s="786">
        <v>0</v>
      </c>
      <c r="BE296" s="786">
        <v>0</v>
      </c>
    </row>
    <row r="297" spans="1:57" x14ac:dyDescent="0.25">
      <c r="A297" s="783" t="s">
        <v>553</v>
      </c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 s="783">
        <v>60000</v>
      </c>
      <c r="AC297" s="783">
        <v>60750</v>
      </c>
      <c r="AD297" s="783">
        <v>62250</v>
      </c>
      <c r="AE297" s="783">
        <v>63000</v>
      </c>
      <c r="AF297" s="783">
        <v>63000</v>
      </c>
      <c r="AG297" s="783">
        <v>64500</v>
      </c>
      <c r="AH297" s="783">
        <v>57000</v>
      </c>
      <c r="AI297" s="783">
        <v>57000</v>
      </c>
      <c r="AJ297" s="783">
        <v>57750</v>
      </c>
      <c r="AK297" s="783">
        <v>58500</v>
      </c>
      <c r="AL297" s="783">
        <v>59250</v>
      </c>
      <c r="AM297" s="783">
        <v>60000</v>
      </c>
      <c r="AN297" s="783">
        <v>60000</v>
      </c>
      <c r="AO297" s="783">
        <v>60750</v>
      </c>
      <c r="AP297" s="783">
        <v>62250</v>
      </c>
      <c r="AQ297" s="783">
        <v>63000</v>
      </c>
      <c r="AR297" s="783">
        <v>63000</v>
      </c>
      <c r="AS297" s="783">
        <v>63750</v>
      </c>
      <c r="AT297" s="783">
        <v>57000</v>
      </c>
      <c r="AU297" s="783">
        <v>57000</v>
      </c>
      <c r="AV297" s="783">
        <v>57750</v>
      </c>
      <c r="AW297" s="783">
        <v>58500</v>
      </c>
      <c r="AX297" s="783">
        <v>58500</v>
      </c>
      <c r="AY297" s="783">
        <v>59250</v>
      </c>
      <c r="AZ297" s="783">
        <v>60000</v>
      </c>
      <c r="BA297" s="783">
        <v>60750</v>
      </c>
      <c r="BB297" s="783">
        <v>61500</v>
      </c>
      <c r="BC297" s="783">
        <v>63000</v>
      </c>
      <c r="BD297" s="783">
        <v>63000</v>
      </c>
      <c r="BE297" s="783">
        <v>63750</v>
      </c>
    </row>
    <row r="298" spans="1:57" x14ac:dyDescent="0.25">
      <c r="A298" s="783" t="s">
        <v>553</v>
      </c>
      <c r="B298" s="783" t="s">
        <v>1078</v>
      </c>
      <c r="C298" s="784" t="s">
        <v>709</v>
      </c>
      <c r="D298" s="783">
        <v>2418.1006097560999</v>
      </c>
      <c r="E298" s="783">
        <v>2418.1006097560999</v>
      </c>
      <c r="F298" s="783">
        <v>2418.1006097560999</v>
      </c>
      <c r="G298" s="783">
        <v>2418.1006097560999</v>
      </c>
      <c r="H298" s="783">
        <v>2418.1006097560999</v>
      </c>
      <c r="I298" s="783">
        <v>2418.1006097560999</v>
      </c>
      <c r="J298" s="783">
        <v>2000</v>
      </c>
      <c r="K298" s="783">
        <v>2000</v>
      </c>
      <c r="L298" s="783">
        <v>2000</v>
      </c>
      <c r="M298" s="783">
        <v>2000</v>
      </c>
      <c r="N298" s="783">
        <v>2000</v>
      </c>
      <c r="O298" s="783">
        <v>2000</v>
      </c>
      <c r="P298" s="783">
        <v>2000</v>
      </c>
      <c r="Q298" s="783">
        <v>2000</v>
      </c>
      <c r="R298" s="783">
        <v>2000</v>
      </c>
      <c r="S298" s="783">
        <v>2000</v>
      </c>
      <c r="T298" s="783">
        <v>2000</v>
      </c>
      <c r="U298" s="783">
        <v>2000</v>
      </c>
      <c r="V298" s="783">
        <v>2000</v>
      </c>
      <c r="W298" s="783">
        <v>2000</v>
      </c>
      <c r="X298" s="783">
        <v>2000</v>
      </c>
      <c r="Y298" s="783">
        <v>2000</v>
      </c>
      <c r="Z298" s="783">
        <v>2000</v>
      </c>
      <c r="AA298" s="783">
        <v>2000</v>
      </c>
      <c r="AB298" s="783">
        <v>0</v>
      </c>
      <c r="AC298" s="783">
        <v>0</v>
      </c>
      <c r="AD298" s="783">
        <v>0</v>
      </c>
      <c r="AE298" s="783">
        <v>0</v>
      </c>
      <c r="AF298" s="783">
        <v>0</v>
      </c>
      <c r="AG298" s="783">
        <v>0</v>
      </c>
      <c r="AH298" s="783">
        <v>0</v>
      </c>
      <c r="AI298" s="783">
        <v>0</v>
      </c>
      <c r="AJ298" s="783">
        <v>0</v>
      </c>
      <c r="AK298" s="783">
        <v>0</v>
      </c>
      <c r="AL298" s="783">
        <v>0</v>
      </c>
      <c r="AM298" s="783">
        <v>0</v>
      </c>
      <c r="AN298" s="783">
        <v>0</v>
      </c>
      <c r="AO298" s="783">
        <v>0</v>
      </c>
      <c r="AP298" s="783">
        <v>0</v>
      </c>
      <c r="AQ298" s="783">
        <v>0</v>
      </c>
      <c r="AR298" s="783">
        <v>0</v>
      </c>
      <c r="AS298" s="783">
        <v>0</v>
      </c>
      <c r="AT298" s="783">
        <v>0</v>
      </c>
      <c r="AU298" s="783">
        <v>0</v>
      </c>
      <c r="AV298" s="783">
        <v>0</v>
      </c>
      <c r="AW298" s="783">
        <v>0</v>
      </c>
      <c r="AX298" s="783">
        <v>0</v>
      </c>
      <c r="AY298" s="783">
        <v>0</v>
      </c>
      <c r="AZ298" s="783">
        <v>0</v>
      </c>
      <c r="BA298" s="783">
        <v>0</v>
      </c>
      <c r="BB298" s="783">
        <v>0</v>
      </c>
      <c r="BC298" s="783">
        <v>0</v>
      </c>
      <c r="BD298" s="783">
        <v>0</v>
      </c>
      <c r="BE298" s="783">
        <v>0</v>
      </c>
    </row>
    <row r="299" spans="1:57" x14ac:dyDescent="0.25">
      <c r="A299" s="783" t="s">
        <v>553</v>
      </c>
      <c r="C299" s="784" t="s">
        <v>710</v>
      </c>
      <c r="D299" s="788">
        <v>6.56</v>
      </c>
      <c r="E299" s="788">
        <v>6.56</v>
      </c>
      <c r="F299" s="788">
        <v>6.56</v>
      </c>
      <c r="G299" s="788">
        <v>6.56</v>
      </c>
      <c r="H299" s="788">
        <v>6.56</v>
      </c>
      <c r="I299" s="788">
        <v>6.56</v>
      </c>
      <c r="J299" s="788">
        <v>6.56</v>
      </c>
      <c r="K299" s="788">
        <v>6.56</v>
      </c>
      <c r="L299" s="788">
        <v>6.56</v>
      </c>
      <c r="M299" s="788">
        <v>6.56</v>
      </c>
      <c r="N299" s="788">
        <v>6.56</v>
      </c>
      <c r="O299" s="788">
        <v>6.56</v>
      </c>
      <c r="P299" s="788">
        <v>6.56</v>
      </c>
      <c r="Q299" s="788">
        <v>6.56</v>
      </c>
      <c r="R299" s="788">
        <v>6.56</v>
      </c>
      <c r="S299" s="788">
        <v>6.56</v>
      </c>
      <c r="T299" s="788">
        <v>6.56</v>
      </c>
      <c r="U299" s="788">
        <v>6.56</v>
      </c>
      <c r="V299" s="788">
        <v>6.56</v>
      </c>
      <c r="W299" s="788">
        <v>6.56</v>
      </c>
      <c r="X299" s="788">
        <v>6.56</v>
      </c>
      <c r="Y299" s="788">
        <v>6.56</v>
      </c>
      <c r="Z299" s="788">
        <v>6.56</v>
      </c>
      <c r="AA299" s="788">
        <v>6.56</v>
      </c>
      <c r="AB299" s="783">
        <v>60000</v>
      </c>
      <c r="AC299" s="783">
        <v>60750</v>
      </c>
      <c r="AD299" s="783">
        <v>62250</v>
      </c>
      <c r="AE299" s="783">
        <v>63000</v>
      </c>
      <c r="AF299" s="783">
        <v>63000</v>
      </c>
      <c r="AG299" s="783">
        <v>64500</v>
      </c>
      <c r="AH299" s="783">
        <v>57000</v>
      </c>
      <c r="AI299" s="783">
        <v>57000</v>
      </c>
      <c r="AJ299" s="783">
        <v>57750</v>
      </c>
      <c r="AK299" s="783">
        <v>58500</v>
      </c>
      <c r="AL299" s="783">
        <v>59250</v>
      </c>
      <c r="AM299" s="783">
        <v>60000</v>
      </c>
      <c r="AN299" s="783">
        <v>60000</v>
      </c>
      <c r="AO299" s="783">
        <v>60750</v>
      </c>
      <c r="AP299" s="783">
        <v>62250</v>
      </c>
      <c r="AQ299" s="783">
        <v>63000</v>
      </c>
      <c r="AR299" s="783">
        <v>63000</v>
      </c>
      <c r="AS299" s="783">
        <v>63750</v>
      </c>
      <c r="AT299" s="783">
        <v>57000</v>
      </c>
      <c r="AU299" s="783">
        <v>57000</v>
      </c>
      <c r="AV299" s="783">
        <v>57750</v>
      </c>
      <c r="AW299" s="783">
        <v>58500</v>
      </c>
      <c r="AX299" s="783">
        <v>58500</v>
      </c>
      <c r="AY299" s="783">
        <v>59250</v>
      </c>
      <c r="AZ299" s="783">
        <v>60000</v>
      </c>
      <c r="BA299" s="783">
        <v>60750</v>
      </c>
      <c r="BB299" s="783">
        <v>61500</v>
      </c>
      <c r="BC299" s="783">
        <v>63000</v>
      </c>
      <c r="BD299" s="783">
        <v>63000</v>
      </c>
      <c r="BE299" s="783">
        <v>63750</v>
      </c>
    </row>
    <row r="300" spans="1:57" x14ac:dyDescent="0.25">
      <c r="A300" s="783" t="s">
        <v>553</v>
      </c>
      <c r="C300" s="784" t="s">
        <v>1086</v>
      </c>
      <c r="D300" s="783">
        <v>15862.74</v>
      </c>
      <c r="E300" s="783">
        <v>15862.74</v>
      </c>
      <c r="F300" s="783">
        <v>15862.74</v>
      </c>
      <c r="G300" s="783">
        <v>15862.74</v>
      </c>
      <c r="H300" s="783">
        <v>15862.74</v>
      </c>
      <c r="I300" s="783">
        <v>15862.74</v>
      </c>
      <c r="J300" s="783">
        <v>13120</v>
      </c>
      <c r="K300" s="783">
        <v>13120</v>
      </c>
      <c r="L300" s="783">
        <v>13120</v>
      </c>
      <c r="M300" s="783">
        <v>13120</v>
      </c>
      <c r="N300" s="783">
        <v>13120</v>
      </c>
      <c r="O300" s="783">
        <v>13120</v>
      </c>
      <c r="P300" s="783">
        <v>13120</v>
      </c>
      <c r="Q300" s="783">
        <v>13120</v>
      </c>
      <c r="R300" s="783">
        <v>13120</v>
      </c>
      <c r="S300" s="783">
        <v>13120</v>
      </c>
      <c r="T300" s="783">
        <v>13120</v>
      </c>
      <c r="U300" s="783">
        <v>13120</v>
      </c>
      <c r="V300" s="783">
        <v>13120</v>
      </c>
      <c r="W300" s="783">
        <v>13120</v>
      </c>
      <c r="X300" s="783">
        <v>13120</v>
      </c>
      <c r="Y300" s="783">
        <v>13120</v>
      </c>
      <c r="Z300" s="783">
        <v>13120</v>
      </c>
      <c r="AA300" s="783">
        <v>13120</v>
      </c>
    </row>
    <row r="301" spans="1:57" x14ac:dyDescent="0.25">
      <c r="A301" s="783" t="s">
        <v>553</v>
      </c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 s="783">
        <v>697651.41479952401</v>
      </c>
      <c r="AC301" s="783">
        <v>761919.06070960197</v>
      </c>
      <c r="AD301" s="783">
        <v>765072.84688850294</v>
      </c>
      <c r="AE301" s="783">
        <v>932858.155114252</v>
      </c>
      <c r="AF301" s="783">
        <v>1153996.52176266</v>
      </c>
      <c r="AG301" s="783">
        <v>1281472.4800239501</v>
      </c>
      <c r="AH301" s="783">
        <v>1472777.0438479399</v>
      </c>
      <c r="AI301" s="783">
        <v>1307612.01945811</v>
      </c>
      <c r="AJ301" s="783">
        <v>1241984.8292850701</v>
      </c>
      <c r="AK301" s="783">
        <v>957464.76140942797</v>
      </c>
      <c r="AL301" s="783">
        <v>858133.87274464895</v>
      </c>
      <c r="AM301" s="783">
        <v>763978.75213464606</v>
      </c>
      <c r="AN301" s="783">
        <v>713000.96795308299</v>
      </c>
      <c r="AO301" s="783">
        <v>777268.613863162</v>
      </c>
      <c r="AP301" s="783">
        <v>780422.40004206297</v>
      </c>
      <c r="AQ301" s="783">
        <v>948739.50938385504</v>
      </c>
      <c r="AR301" s="783">
        <v>1169877.87603227</v>
      </c>
      <c r="AS301" s="783">
        <v>1297353.8342935501</v>
      </c>
      <c r="AT301" s="783">
        <v>1488012.53034271</v>
      </c>
      <c r="AU301" s="783">
        <v>1322847.50595288</v>
      </c>
      <c r="AV301" s="783">
        <v>1257220.3157798401</v>
      </c>
      <c r="AW301" s="783">
        <v>972436.18474345701</v>
      </c>
      <c r="AX301" s="783">
        <v>873105.29607867706</v>
      </c>
      <c r="AY301" s="783">
        <v>778950.17546867405</v>
      </c>
      <c r="AZ301" s="783">
        <v>727494.89843441802</v>
      </c>
      <c r="BA301" s="783">
        <v>791762.54434449703</v>
      </c>
      <c r="BB301" s="783">
        <v>794916.33052339801</v>
      </c>
      <c r="BC301" s="783">
        <v>960509.00780577003</v>
      </c>
      <c r="BD301" s="783">
        <v>1181647.37445417</v>
      </c>
      <c r="BE301" s="783">
        <v>1309123.3327154701</v>
      </c>
    </row>
    <row r="302" spans="1:57" x14ac:dyDescent="0.25">
      <c r="A302" s="783" t="s">
        <v>553</v>
      </c>
      <c r="B302" s="783" t="s">
        <v>521</v>
      </c>
      <c r="C302" s="784" t="s">
        <v>712</v>
      </c>
      <c r="D302" s="783">
        <v>0</v>
      </c>
      <c r="E302" s="783">
        <v>0</v>
      </c>
      <c r="F302" s="783">
        <v>0</v>
      </c>
      <c r="G302" s="783">
        <v>0</v>
      </c>
      <c r="H302" s="783">
        <v>0</v>
      </c>
      <c r="I302" s="783">
        <v>0</v>
      </c>
      <c r="J302" s="783">
        <v>0</v>
      </c>
      <c r="K302" s="783">
        <v>0</v>
      </c>
      <c r="L302" s="783">
        <v>0</v>
      </c>
      <c r="M302" s="783">
        <v>0</v>
      </c>
      <c r="N302" s="783">
        <v>0</v>
      </c>
      <c r="O302" s="783">
        <v>0</v>
      </c>
      <c r="P302" s="783">
        <v>0</v>
      </c>
      <c r="Q302" s="783">
        <v>0</v>
      </c>
      <c r="R302" s="783">
        <v>0</v>
      </c>
      <c r="S302" s="783">
        <v>0</v>
      </c>
      <c r="T302" s="783">
        <v>0</v>
      </c>
      <c r="U302" s="783">
        <v>0</v>
      </c>
      <c r="V302" s="783">
        <v>0</v>
      </c>
      <c r="W302" s="783">
        <v>0</v>
      </c>
      <c r="X302" s="783">
        <v>0</v>
      </c>
      <c r="Y302" s="783">
        <v>0</v>
      </c>
      <c r="Z302" s="783">
        <v>0</v>
      </c>
      <c r="AA302" s="783">
        <v>0</v>
      </c>
      <c r="AB302" s="783">
        <v>0</v>
      </c>
      <c r="AC302" s="783">
        <v>0</v>
      </c>
      <c r="AD302" s="783">
        <v>0</v>
      </c>
      <c r="AE302" s="783">
        <v>0</v>
      </c>
      <c r="AF302" s="783">
        <v>0</v>
      </c>
      <c r="AG302" s="783">
        <v>0</v>
      </c>
      <c r="AH302" s="783">
        <v>0</v>
      </c>
      <c r="AI302" s="783">
        <v>0</v>
      </c>
      <c r="AJ302" s="783">
        <v>0</v>
      </c>
      <c r="AK302" s="783">
        <v>0</v>
      </c>
      <c r="AL302" s="783">
        <v>0</v>
      </c>
      <c r="AM302" s="783">
        <v>0</v>
      </c>
      <c r="AN302" s="783">
        <v>0</v>
      </c>
      <c r="AO302" s="783">
        <v>0</v>
      </c>
      <c r="AP302" s="783">
        <v>0</v>
      </c>
      <c r="AQ302" s="783">
        <v>0</v>
      </c>
      <c r="AR302" s="783">
        <v>0</v>
      </c>
      <c r="AS302" s="783">
        <v>0</v>
      </c>
      <c r="AT302" s="783">
        <v>0</v>
      </c>
      <c r="AU302" s="783">
        <v>0</v>
      </c>
      <c r="AV302" s="783">
        <v>0</v>
      </c>
      <c r="AW302" s="783">
        <v>0</v>
      </c>
      <c r="AX302" s="783">
        <v>0</v>
      </c>
      <c r="AY302" s="783">
        <v>0</v>
      </c>
      <c r="AZ302" s="783">
        <v>0</v>
      </c>
      <c r="BA302" s="783">
        <v>0</v>
      </c>
      <c r="BB302" s="783">
        <v>0</v>
      </c>
      <c r="BC302" s="783">
        <v>0</v>
      </c>
      <c r="BD302" s="783">
        <v>0</v>
      </c>
      <c r="BE302" s="783">
        <v>0</v>
      </c>
    </row>
    <row r="303" spans="1:57" s="788" customFormat="1" x14ac:dyDescent="0.25">
      <c r="A303" s="783" t="s">
        <v>553</v>
      </c>
      <c r="B303" s="783"/>
      <c r="C303" s="787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 s="788">
        <v>3.7999999999999999E-2</v>
      </c>
      <c r="AC303" s="788">
        <v>3.7999999999999999E-2</v>
      </c>
      <c r="AD303" s="788">
        <v>3.7999999999999999E-2</v>
      </c>
      <c r="AE303" s="788">
        <v>3.7999999999999999E-2</v>
      </c>
      <c r="AF303" s="788">
        <v>3.7999999999999999E-2</v>
      </c>
      <c r="AG303" s="788">
        <v>3.7999999999999999E-2</v>
      </c>
      <c r="AH303" s="788">
        <v>3.7999999999999999E-2</v>
      </c>
      <c r="AI303" s="788">
        <v>3.7999999999999999E-2</v>
      </c>
      <c r="AJ303" s="788">
        <v>3.7999999999999999E-2</v>
      </c>
      <c r="AK303" s="788">
        <v>3.7999999999999999E-2</v>
      </c>
      <c r="AL303" s="788">
        <v>3.7999999999999999E-2</v>
      </c>
      <c r="AM303" s="788">
        <v>3.7999999999999999E-2</v>
      </c>
      <c r="AN303" s="788">
        <v>3.7999999999999999E-2</v>
      </c>
      <c r="AO303" s="788">
        <v>3.7999999999999999E-2</v>
      </c>
      <c r="AP303" s="788">
        <v>3.7999999999999999E-2</v>
      </c>
      <c r="AQ303" s="788">
        <v>3.7999999999999999E-2</v>
      </c>
      <c r="AR303" s="788">
        <v>3.7999999999999999E-2</v>
      </c>
      <c r="AS303" s="788">
        <v>3.7999999999999999E-2</v>
      </c>
      <c r="AT303" s="788">
        <v>3.7999999999999999E-2</v>
      </c>
      <c r="AU303" s="788">
        <v>3.7999999999999999E-2</v>
      </c>
      <c r="AV303" s="788">
        <v>3.7999999999999999E-2</v>
      </c>
      <c r="AW303" s="788">
        <v>3.7999999999999999E-2</v>
      </c>
      <c r="AX303" s="788">
        <v>3.7999999999999999E-2</v>
      </c>
      <c r="AY303" s="788">
        <v>3.7999999999999999E-2</v>
      </c>
      <c r="AZ303" s="788">
        <v>3.7999999999999999E-2</v>
      </c>
      <c r="BA303" s="788">
        <v>3.7999999999999999E-2</v>
      </c>
      <c r="BB303" s="788">
        <v>3.7999999999999999E-2</v>
      </c>
      <c r="BC303" s="788">
        <v>3.7999999999999999E-2</v>
      </c>
      <c r="BD303" s="788">
        <v>3.7999999999999999E-2</v>
      </c>
      <c r="BE303" s="788">
        <v>3.7999999999999999E-2</v>
      </c>
    </row>
    <row r="304" spans="1:57" s="788" customFormat="1" x14ac:dyDescent="0.25">
      <c r="A304" s="783" t="s">
        <v>553</v>
      </c>
      <c r="B304" s="783" t="s">
        <v>107</v>
      </c>
      <c r="C304" s="787" t="s">
        <v>713</v>
      </c>
      <c r="D304" s="783">
        <v>0</v>
      </c>
      <c r="E304" s="783">
        <v>0</v>
      </c>
      <c r="F304" s="783">
        <v>0</v>
      </c>
      <c r="G304" s="783">
        <v>0</v>
      </c>
      <c r="H304" s="783">
        <v>1029.7454093456199</v>
      </c>
      <c r="I304" s="783">
        <v>1139.0653079103299</v>
      </c>
      <c r="J304" s="783">
        <v>1180.1592837875901</v>
      </c>
      <c r="K304" s="783">
        <v>1181.1790216535901</v>
      </c>
      <c r="L304" s="783">
        <v>1168.54093909772</v>
      </c>
      <c r="M304" s="783">
        <v>0</v>
      </c>
      <c r="N304" s="783">
        <v>0</v>
      </c>
      <c r="O304" s="783">
        <v>0</v>
      </c>
      <c r="P304" s="783">
        <v>0</v>
      </c>
      <c r="Q304" s="783">
        <v>0</v>
      </c>
      <c r="R304" s="783">
        <v>0</v>
      </c>
      <c r="S304" s="783">
        <v>0</v>
      </c>
      <c r="T304" s="783">
        <v>1092.90462078429</v>
      </c>
      <c r="U304" s="783">
        <v>1176.7416133122899</v>
      </c>
      <c r="V304" s="783">
        <v>1196.19273166526</v>
      </c>
      <c r="W304" s="783">
        <v>1211.8965003850701</v>
      </c>
      <c r="X304" s="783">
        <v>1209.6038223804801</v>
      </c>
      <c r="Y304" s="783">
        <v>0</v>
      </c>
      <c r="Z304" s="783">
        <v>0</v>
      </c>
      <c r="AA304" s="783">
        <v>0</v>
      </c>
      <c r="AB304" s="788">
        <v>0</v>
      </c>
      <c r="AC304" s="788">
        <v>0</v>
      </c>
      <c r="AD304" s="788">
        <v>0</v>
      </c>
      <c r="AE304" s="788">
        <v>0</v>
      </c>
      <c r="AF304" s="788">
        <v>0</v>
      </c>
      <c r="AG304" s="788">
        <v>0</v>
      </c>
      <c r="AH304" s="788">
        <v>0</v>
      </c>
      <c r="AI304" s="788">
        <v>0</v>
      </c>
      <c r="AJ304" s="788">
        <v>0</v>
      </c>
      <c r="AK304" s="788">
        <v>0</v>
      </c>
      <c r="AL304" s="788">
        <v>0</v>
      </c>
      <c r="AM304" s="788">
        <v>0</v>
      </c>
      <c r="AN304" s="788">
        <v>0</v>
      </c>
      <c r="AO304" s="788">
        <v>0</v>
      </c>
      <c r="AP304" s="788">
        <v>0</v>
      </c>
      <c r="AQ304" s="788">
        <v>0</v>
      </c>
      <c r="AR304" s="788">
        <v>0</v>
      </c>
      <c r="AS304" s="788">
        <v>0</v>
      </c>
      <c r="AT304" s="788">
        <v>0</v>
      </c>
      <c r="AU304" s="788">
        <v>0</v>
      </c>
      <c r="AV304" s="788">
        <v>0</v>
      </c>
      <c r="AW304" s="788">
        <v>0</v>
      </c>
      <c r="AX304" s="788">
        <v>0</v>
      </c>
      <c r="AY304" s="788">
        <v>0</v>
      </c>
      <c r="AZ304" s="788">
        <v>0</v>
      </c>
      <c r="BA304" s="788">
        <v>0</v>
      </c>
      <c r="BB304" s="788">
        <v>0</v>
      </c>
      <c r="BC304" s="788">
        <v>0</v>
      </c>
      <c r="BD304" s="788">
        <v>0</v>
      </c>
      <c r="BE304" s="788">
        <v>0</v>
      </c>
    </row>
    <row r="305" spans="1:57" x14ac:dyDescent="0.25">
      <c r="A305" s="783" t="s">
        <v>553</v>
      </c>
      <c r="B305" s="783" t="s">
        <v>614</v>
      </c>
      <c r="C305" s="784" t="s">
        <v>714</v>
      </c>
      <c r="D305" s="783">
        <v>2338.6079857555901</v>
      </c>
      <c r="E305" s="783">
        <v>1651.8721767137699</v>
      </c>
      <c r="F305" s="783">
        <v>1701.1222111398699</v>
      </c>
      <c r="G305" s="783">
        <v>1225.1617427521401</v>
      </c>
      <c r="H305" s="783">
        <v>744.88056613809101</v>
      </c>
      <c r="I305" s="783">
        <v>511.73348412058999</v>
      </c>
      <c r="J305" s="783">
        <v>494.793404272994</v>
      </c>
      <c r="K305" s="783">
        <v>622.75012898987404</v>
      </c>
      <c r="L305" s="783">
        <v>772.88325841703602</v>
      </c>
      <c r="M305" s="783">
        <v>1303.90156448415</v>
      </c>
      <c r="N305" s="783">
        <v>1887.6517360514999</v>
      </c>
      <c r="O305" s="783">
        <v>2597.2232494393802</v>
      </c>
      <c r="P305" s="783">
        <v>2832.8509609195598</v>
      </c>
      <c r="Q305" s="783">
        <v>2813.5933848637701</v>
      </c>
      <c r="R305" s="783">
        <v>2460.6569982198398</v>
      </c>
      <c r="S305" s="783">
        <v>1642.03468217009</v>
      </c>
      <c r="T305" s="783">
        <v>937.86778441803995</v>
      </c>
      <c r="U305" s="783">
        <v>643.562454784029</v>
      </c>
      <c r="V305" s="783">
        <v>613.42601560592595</v>
      </c>
      <c r="W305" s="783">
        <v>765.049895603918</v>
      </c>
      <c r="X305" s="783">
        <v>945.07617446133804</v>
      </c>
      <c r="Y305" s="783">
        <v>1608.01471663907</v>
      </c>
      <c r="Z305" s="783">
        <v>2360.1721608971202</v>
      </c>
      <c r="AA305" s="783">
        <v>3233.8782233685401</v>
      </c>
      <c r="AB305" s="783">
        <v>26510.753762381901</v>
      </c>
      <c r="AC305" s="783">
        <v>28952.9243069648</v>
      </c>
      <c r="AD305" s="783">
        <v>29072.768181763098</v>
      </c>
      <c r="AE305" s="783">
        <v>35448.609894341498</v>
      </c>
      <c r="AF305" s="783">
        <v>43851.867826980997</v>
      </c>
      <c r="AG305" s="783">
        <v>48695.954240910098</v>
      </c>
      <c r="AH305" s="783">
        <v>55965.5276662217</v>
      </c>
      <c r="AI305" s="783">
        <v>49689.256739408098</v>
      </c>
      <c r="AJ305" s="783">
        <v>47195.423512832604</v>
      </c>
      <c r="AK305" s="783">
        <v>36383.660933558203</v>
      </c>
      <c r="AL305" s="783">
        <v>32609.087164296601</v>
      </c>
      <c r="AM305" s="783">
        <v>29031.192581116498</v>
      </c>
      <c r="AN305" s="783">
        <v>27094.036782217099</v>
      </c>
      <c r="AO305" s="783">
        <v>29536.2073268001</v>
      </c>
      <c r="AP305" s="783">
        <v>29656.0512015983</v>
      </c>
      <c r="AQ305" s="783">
        <v>36052.101356586398</v>
      </c>
      <c r="AR305" s="783">
        <v>44455.359289226202</v>
      </c>
      <c r="AS305" s="783">
        <v>49299.445703154903</v>
      </c>
      <c r="AT305" s="783">
        <v>56544.476153022901</v>
      </c>
      <c r="AU305" s="783">
        <v>50268.2052262094</v>
      </c>
      <c r="AV305" s="783">
        <v>47774.371999633899</v>
      </c>
      <c r="AW305" s="783">
        <v>36952.575020251301</v>
      </c>
      <c r="AX305" s="783">
        <v>33178.001250989699</v>
      </c>
      <c r="AY305" s="783">
        <v>29600.106667809599</v>
      </c>
      <c r="AZ305" s="783">
        <v>27644.806140507801</v>
      </c>
      <c r="BA305" s="783">
        <v>30086.976685090802</v>
      </c>
      <c r="BB305" s="783">
        <v>30206.8205598891</v>
      </c>
      <c r="BC305" s="783">
        <v>36499.342296619201</v>
      </c>
      <c r="BD305" s="783">
        <v>44902.600229258402</v>
      </c>
      <c r="BE305" s="783">
        <v>49746.686643187801</v>
      </c>
    </row>
    <row r="306" spans="1:57" x14ac:dyDescent="0.25">
      <c r="A306" s="783" t="s">
        <v>553</v>
      </c>
      <c r="B306" s="783" t="s">
        <v>109</v>
      </c>
      <c r="C306" s="784" t="s">
        <v>715</v>
      </c>
      <c r="D306" s="783">
        <v>0</v>
      </c>
      <c r="E306" s="783">
        <v>0</v>
      </c>
      <c r="F306" s="783">
        <v>0</v>
      </c>
      <c r="G306" s="783">
        <v>0</v>
      </c>
      <c r="H306" s="783">
        <v>17.027234306303999</v>
      </c>
      <c r="I306" s="783">
        <v>9.2149588436441192</v>
      </c>
      <c r="J306" s="783">
        <v>1.5820545500858501</v>
      </c>
      <c r="K306" s="783">
        <v>2.0268872870337602</v>
      </c>
      <c r="L306" s="783">
        <v>2.6659568469804702</v>
      </c>
      <c r="M306" s="783">
        <v>0</v>
      </c>
      <c r="N306" s="783">
        <v>0</v>
      </c>
      <c r="O306" s="783">
        <v>0</v>
      </c>
      <c r="P306" s="783">
        <v>0</v>
      </c>
      <c r="Q306" s="783">
        <v>0</v>
      </c>
      <c r="R306" s="783">
        <v>0</v>
      </c>
      <c r="S306" s="783">
        <v>0</v>
      </c>
      <c r="T306" s="783">
        <v>2.56485206161461</v>
      </c>
      <c r="U306" s="783">
        <v>1.78811069165285</v>
      </c>
      <c r="V306" s="783">
        <v>1.5082369517088501</v>
      </c>
      <c r="W306" s="783">
        <v>1.93002680885877</v>
      </c>
      <c r="X306" s="783">
        <v>2.54016777223756</v>
      </c>
      <c r="Y306" s="783">
        <v>0</v>
      </c>
      <c r="Z306" s="783">
        <v>0</v>
      </c>
      <c r="AA306" s="783">
        <v>0</v>
      </c>
      <c r="AB306" s="783">
        <v>0</v>
      </c>
      <c r="AC306" s="783">
        <v>0</v>
      </c>
      <c r="AD306" s="783">
        <v>0</v>
      </c>
      <c r="AE306" s="783">
        <v>0</v>
      </c>
      <c r="AF306" s="783">
        <v>0</v>
      </c>
      <c r="AG306" s="783">
        <v>0</v>
      </c>
      <c r="AH306" s="783">
        <v>0</v>
      </c>
      <c r="AI306" s="783">
        <v>0</v>
      </c>
      <c r="AJ306" s="783">
        <v>0</v>
      </c>
      <c r="AK306" s="783">
        <v>0</v>
      </c>
      <c r="AL306" s="783">
        <v>0</v>
      </c>
      <c r="AM306" s="783">
        <v>0</v>
      </c>
      <c r="AN306" s="783">
        <v>0</v>
      </c>
      <c r="AO306" s="783">
        <v>0</v>
      </c>
      <c r="AP306" s="783">
        <v>0</v>
      </c>
      <c r="AQ306" s="783">
        <v>0</v>
      </c>
      <c r="AR306" s="783">
        <v>0</v>
      </c>
      <c r="AS306" s="783">
        <v>0</v>
      </c>
      <c r="AT306" s="783">
        <v>0</v>
      </c>
      <c r="AU306" s="783">
        <v>0</v>
      </c>
      <c r="AV306" s="783">
        <v>0</v>
      </c>
      <c r="AW306" s="783">
        <v>0</v>
      </c>
      <c r="AX306" s="783">
        <v>0</v>
      </c>
      <c r="AY306" s="783">
        <v>0</v>
      </c>
      <c r="AZ306" s="783">
        <v>0</v>
      </c>
      <c r="BA306" s="783">
        <v>0</v>
      </c>
      <c r="BB306" s="783">
        <v>0</v>
      </c>
      <c r="BC306" s="783">
        <v>0</v>
      </c>
      <c r="BD306" s="783">
        <v>0</v>
      </c>
      <c r="BE306" s="783">
        <v>0</v>
      </c>
    </row>
    <row r="307" spans="1:57" x14ac:dyDescent="0.25">
      <c r="A307" s="783" t="s">
        <v>553</v>
      </c>
      <c r="B307" s="786"/>
      <c r="C307" s="784" t="s">
        <v>716</v>
      </c>
      <c r="D307" s="783">
        <v>2338.6079857555901</v>
      </c>
      <c r="E307" s="783">
        <v>1651.8721767137699</v>
      </c>
      <c r="F307" s="783">
        <v>1701.1222111398699</v>
      </c>
      <c r="G307" s="783">
        <v>1225.1617427521401</v>
      </c>
      <c r="H307" s="783">
        <v>1791.6532097900199</v>
      </c>
      <c r="I307" s="783">
        <v>1660.01375087457</v>
      </c>
      <c r="J307" s="783">
        <v>1676.53474261067</v>
      </c>
      <c r="K307" s="783">
        <v>1805.9560379304901</v>
      </c>
      <c r="L307" s="783">
        <v>1944.0901543617399</v>
      </c>
      <c r="M307" s="783">
        <v>1303.90156448415</v>
      </c>
      <c r="N307" s="783">
        <v>1887.6517360514999</v>
      </c>
      <c r="O307" s="783">
        <v>2597.2232494393802</v>
      </c>
      <c r="P307" s="783">
        <v>2832.8509609195598</v>
      </c>
      <c r="Q307" s="783">
        <v>2813.5933848637701</v>
      </c>
      <c r="R307" s="783">
        <v>2460.6569982198398</v>
      </c>
      <c r="S307" s="783">
        <v>1642.03468217009</v>
      </c>
      <c r="T307" s="783">
        <v>2033.3372572639501</v>
      </c>
      <c r="U307" s="783">
        <v>1822.0921787879699</v>
      </c>
      <c r="V307" s="783">
        <v>1811.1269842229001</v>
      </c>
      <c r="W307" s="783">
        <v>1978.87642279785</v>
      </c>
      <c r="X307" s="783">
        <v>2157.2201646140602</v>
      </c>
      <c r="Y307" s="783">
        <v>1608.01471663907</v>
      </c>
      <c r="Z307" s="783">
        <v>2360.1721608971202</v>
      </c>
      <c r="AA307" s="783">
        <v>3233.8782233685401</v>
      </c>
      <c r="AB307" s="783">
        <v>26510.753762381901</v>
      </c>
      <c r="AC307" s="783">
        <v>28952.9243069648</v>
      </c>
      <c r="AD307" s="783">
        <v>29072.768181763098</v>
      </c>
      <c r="AE307" s="783">
        <v>35448.609894341498</v>
      </c>
      <c r="AF307" s="783">
        <v>43851.867826980997</v>
      </c>
      <c r="AG307" s="783">
        <v>48695.954240910098</v>
      </c>
      <c r="AH307" s="783">
        <v>55965.5276662217</v>
      </c>
      <c r="AI307" s="783">
        <v>49689.256739408098</v>
      </c>
      <c r="AJ307" s="783">
        <v>47195.423512832604</v>
      </c>
      <c r="AK307" s="783">
        <v>36383.660933558203</v>
      </c>
      <c r="AL307" s="783">
        <v>32609.087164296601</v>
      </c>
      <c r="AM307" s="783">
        <v>29031.192581116498</v>
      </c>
      <c r="AN307" s="783">
        <v>27094.036782217099</v>
      </c>
      <c r="AO307" s="783">
        <v>29536.2073268001</v>
      </c>
      <c r="AP307" s="783">
        <v>29656.0512015983</v>
      </c>
      <c r="AQ307" s="783">
        <v>36052.101356586398</v>
      </c>
      <c r="AR307" s="783">
        <v>44455.359289226202</v>
      </c>
      <c r="AS307" s="783">
        <v>49299.445703154903</v>
      </c>
      <c r="AT307" s="783">
        <v>56544.476153022901</v>
      </c>
      <c r="AU307" s="783">
        <v>50268.2052262094</v>
      </c>
      <c r="AV307" s="783">
        <v>47774.371999633899</v>
      </c>
      <c r="AW307" s="783">
        <v>36952.575020251301</v>
      </c>
      <c r="AX307" s="783">
        <v>33178.001250989699</v>
      </c>
      <c r="AY307" s="783">
        <v>29600.106667809599</v>
      </c>
      <c r="AZ307" s="783">
        <v>27644.806140507801</v>
      </c>
      <c r="BA307" s="783">
        <v>30086.976685090802</v>
      </c>
      <c r="BB307" s="783">
        <v>30206.8205598891</v>
      </c>
      <c r="BC307" s="783">
        <v>36499.342296619201</v>
      </c>
      <c r="BD307" s="783">
        <v>44902.600229258402</v>
      </c>
      <c r="BE307" s="783">
        <v>49746.686643187801</v>
      </c>
    </row>
    <row r="308" spans="1:57" x14ac:dyDescent="0.25">
      <c r="A308" s="783" t="s">
        <v>553</v>
      </c>
      <c r="B308" s="786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57" s="786" customFormat="1" x14ac:dyDescent="0.25">
      <c r="A309" s="783" t="s">
        <v>553</v>
      </c>
      <c r="B309" s="783"/>
      <c r="C309" s="785" t="s">
        <v>717</v>
      </c>
      <c r="D309" s="783">
        <v>18486.347985755601</v>
      </c>
      <c r="E309" s="783">
        <v>17799.612176713701</v>
      </c>
      <c r="F309" s="783">
        <v>17848.8622111398</v>
      </c>
      <c r="G309" s="783">
        <v>17372.901742752099</v>
      </c>
      <c r="H309" s="783">
        <v>18047.48320979</v>
      </c>
      <c r="I309" s="783">
        <v>17915.843750874501</v>
      </c>
      <c r="J309" s="783">
        <v>15189.6247426106</v>
      </c>
      <c r="K309" s="783">
        <v>15319.0460379304</v>
      </c>
      <c r="L309" s="783">
        <v>15457.1801543617</v>
      </c>
      <c r="M309" s="783">
        <v>14708.9015644841</v>
      </c>
      <c r="N309" s="783">
        <v>15292.651736051501</v>
      </c>
      <c r="O309" s="783">
        <v>16002.223249439299</v>
      </c>
      <c r="P309" s="783">
        <v>16237.850960919501</v>
      </c>
      <c r="Q309" s="783">
        <v>16218.5933848637</v>
      </c>
      <c r="R309" s="783">
        <v>15865.6569982198</v>
      </c>
      <c r="S309" s="783">
        <v>15047.03468217</v>
      </c>
      <c r="T309" s="783">
        <v>15546.4272572639</v>
      </c>
      <c r="U309" s="783">
        <v>15335.1821787879</v>
      </c>
      <c r="V309" s="783">
        <v>15324.2169842229</v>
      </c>
      <c r="W309" s="783">
        <v>15491.966422797799</v>
      </c>
      <c r="X309" s="783">
        <v>15670.310164614</v>
      </c>
      <c r="Y309" s="783">
        <v>15013.014716639</v>
      </c>
      <c r="Z309" s="783">
        <v>15765.1721608971</v>
      </c>
      <c r="AA309" s="783">
        <v>16638.878223368501</v>
      </c>
      <c r="AB309" s="786">
        <v>550</v>
      </c>
      <c r="AC309" s="786">
        <v>550</v>
      </c>
      <c r="AD309" s="786">
        <v>550</v>
      </c>
      <c r="AE309" s="786">
        <v>550</v>
      </c>
      <c r="AF309" s="786">
        <v>550</v>
      </c>
      <c r="AG309" s="786">
        <v>550</v>
      </c>
      <c r="AH309" s="786">
        <v>550</v>
      </c>
      <c r="AI309" s="786">
        <v>550</v>
      </c>
      <c r="AJ309" s="786">
        <v>550</v>
      </c>
      <c r="AK309" s="786">
        <v>550</v>
      </c>
      <c r="AL309" s="786">
        <v>550</v>
      </c>
      <c r="AM309" s="786">
        <v>550</v>
      </c>
      <c r="AN309" s="786">
        <v>550</v>
      </c>
      <c r="AO309" s="786">
        <v>550</v>
      </c>
      <c r="AP309" s="786">
        <v>550</v>
      </c>
      <c r="AQ309" s="786">
        <v>550</v>
      </c>
      <c r="AR309" s="786">
        <v>550</v>
      </c>
      <c r="AS309" s="786">
        <v>550</v>
      </c>
      <c r="AT309" s="786">
        <v>550</v>
      </c>
      <c r="AU309" s="786">
        <v>550</v>
      </c>
      <c r="AV309" s="786">
        <v>550</v>
      </c>
      <c r="AW309" s="786">
        <v>550</v>
      </c>
      <c r="AX309" s="786">
        <v>550</v>
      </c>
      <c r="AY309" s="786">
        <v>550</v>
      </c>
      <c r="AZ309" s="786">
        <v>550</v>
      </c>
      <c r="BA309" s="786">
        <v>550</v>
      </c>
      <c r="BB309" s="786">
        <v>550</v>
      </c>
      <c r="BC309" s="786">
        <v>550</v>
      </c>
      <c r="BD309" s="786">
        <v>550</v>
      </c>
      <c r="BE309" s="786">
        <v>550</v>
      </c>
    </row>
    <row r="310" spans="1:57" s="811" customFormat="1" x14ac:dyDescent="0.25">
      <c r="B310" s="811" t="s">
        <v>520</v>
      </c>
      <c r="C310" s="812" t="s">
        <v>726</v>
      </c>
      <c r="AB310" s="811">
        <v>44000</v>
      </c>
      <c r="AC310" s="811">
        <v>44550</v>
      </c>
      <c r="AD310" s="811">
        <v>45650</v>
      </c>
      <c r="AE310" s="811">
        <v>46200</v>
      </c>
      <c r="AF310" s="811">
        <v>46200</v>
      </c>
      <c r="AG310" s="811">
        <v>47300</v>
      </c>
      <c r="AH310" s="811">
        <v>41800</v>
      </c>
      <c r="AI310" s="811">
        <v>41800</v>
      </c>
      <c r="AJ310" s="811">
        <v>42350</v>
      </c>
      <c r="AK310" s="811">
        <v>42900</v>
      </c>
      <c r="AL310" s="811">
        <v>43450</v>
      </c>
      <c r="AM310" s="811">
        <v>44000</v>
      </c>
      <c r="AN310" s="811">
        <v>44000</v>
      </c>
      <c r="AO310" s="811">
        <v>44550</v>
      </c>
      <c r="AP310" s="811">
        <v>45650</v>
      </c>
      <c r="AQ310" s="811">
        <v>46200</v>
      </c>
      <c r="AR310" s="811">
        <v>46200</v>
      </c>
      <c r="AS310" s="811">
        <v>46750</v>
      </c>
      <c r="AT310" s="811">
        <v>41800</v>
      </c>
      <c r="AU310" s="811">
        <v>41800</v>
      </c>
      <c r="AV310" s="811">
        <v>42350</v>
      </c>
      <c r="AW310" s="811">
        <v>42900</v>
      </c>
      <c r="AX310" s="811">
        <v>42900</v>
      </c>
      <c r="AY310" s="811">
        <v>43450</v>
      </c>
      <c r="AZ310" s="811">
        <v>44000</v>
      </c>
      <c r="BA310" s="811">
        <v>44550</v>
      </c>
      <c r="BB310" s="811">
        <v>45100</v>
      </c>
      <c r="BC310" s="811">
        <v>46200</v>
      </c>
      <c r="BD310" s="811">
        <v>46200</v>
      </c>
      <c r="BE310" s="811">
        <v>46750</v>
      </c>
    </row>
    <row r="311" spans="1:57" x14ac:dyDescent="0.25">
      <c r="A311" s="783" t="s">
        <v>610</v>
      </c>
      <c r="C311" s="784" t="s">
        <v>693</v>
      </c>
      <c r="D311" s="783">
        <v>82</v>
      </c>
      <c r="E311" s="783">
        <v>83</v>
      </c>
      <c r="F311" s="783">
        <v>84</v>
      </c>
      <c r="G311" s="783">
        <v>85</v>
      </c>
      <c r="H311" s="783">
        <v>86</v>
      </c>
      <c r="I311" s="783">
        <v>87</v>
      </c>
      <c r="J311" s="783">
        <v>77</v>
      </c>
      <c r="K311" s="783">
        <v>77</v>
      </c>
      <c r="L311" s="783">
        <v>78</v>
      </c>
      <c r="M311" s="783">
        <v>79</v>
      </c>
      <c r="N311" s="783">
        <v>79</v>
      </c>
      <c r="O311" s="783">
        <v>80</v>
      </c>
      <c r="P311" s="783">
        <v>80</v>
      </c>
      <c r="Q311" s="783">
        <v>82</v>
      </c>
      <c r="R311" s="783">
        <v>83</v>
      </c>
      <c r="S311" s="783">
        <v>84</v>
      </c>
      <c r="T311" s="783">
        <v>85</v>
      </c>
      <c r="U311" s="783">
        <v>86</v>
      </c>
      <c r="V311" s="783">
        <v>76</v>
      </c>
      <c r="W311" s="783">
        <v>76</v>
      </c>
      <c r="X311" s="783">
        <v>77</v>
      </c>
      <c r="Y311" s="783">
        <v>78</v>
      </c>
      <c r="Z311" s="783">
        <v>79</v>
      </c>
      <c r="AA311" s="783">
        <v>80</v>
      </c>
    </row>
    <row r="312" spans="1:57" x14ac:dyDescent="0.25">
      <c r="A312" s="783" t="s">
        <v>610</v>
      </c>
      <c r="C312" s="784" t="s">
        <v>694</v>
      </c>
      <c r="D312" s="783">
        <v>0</v>
      </c>
      <c r="E312" s="783">
        <v>0</v>
      </c>
      <c r="F312" s="783">
        <v>0</v>
      </c>
      <c r="G312" s="783">
        <v>0</v>
      </c>
      <c r="H312" s="783">
        <v>0</v>
      </c>
      <c r="I312" s="783">
        <v>0</v>
      </c>
      <c r="J312" s="783">
        <v>0</v>
      </c>
      <c r="K312" s="783">
        <v>0</v>
      </c>
      <c r="L312" s="783">
        <v>0</v>
      </c>
      <c r="M312" s="783">
        <v>0</v>
      </c>
      <c r="N312" s="783">
        <v>0</v>
      </c>
      <c r="O312" s="783">
        <v>0</v>
      </c>
      <c r="P312" s="783">
        <v>0</v>
      </c>
      <c r="Q312" s="783">
        <v>0</v>
      </c>
      <c r="R312" s="783">
        <v>0</v>
      </c>
      <c r="S312" s="783">
        <v>0</v>
      </c>
      <c r="T312" s="783">
        <v>0</v>
      </c>
      <c r="U312" s="783">
        <v>0</v>
      </c>
      <c r="V312" s="783">
        <v>0</v>
      </c>
      <c r="W312" s="783">
        <v>0</v>
      </c>
      <c r="X312" s="783">
        <v>0</v>
      </c>
      <c r="Y312" s="783">
        <v>0</v>
      </c>
      <c r="Z312" s="783">
        <v>0</v>
      </c>
      <c r="AA312" s="783">
        <v>0</v>
      </c>
      <c r="AB312" s="783">
        <v>81900</v>
      </c>
      <c r="AC312" s="783">
        <v>81900</v>
      </c>
      <c r="AD312" s="783">
        <v>81900</v>
      </c>
      <c r="AE312" s="783">
        <v>81900</v>
      </c>
      <c r="AF312" s="783">
        <v>81900</v>
      </c>
      <c r="AG312" s="783">
        <v>81900</v>
      </c>
      <c r="AH312" s="783">
        <v>81900</v>
      </c>
      <c r="AI312" s="783">
        <v>81900</v>
      </c>
      <c r="AJ312" s="783">
        <v>81900</v>
      </c>
      <c r="AK312" s="783">
        <v>81900</v>
      </c>
      <c r="AL312" s="783">
        <v>81900</v>
      </c>
      <c r="AM312" s="783">
        <v>81900</v>
      </c>
      <c r="AN312" s="783">
        <v>81900</v>
      </c>
      <c r="AO312" s="783">
        <v>81900</v>
      </c>
      <c r="AP312" s="783">
        <v>81900</v>
      </c>
      <c r="AQ312" s="783">
        <v>81900</v>
      </c>
      <c r="AR312" s="783">
        <v>81900</v>
      </c>
      <c r="AS312" s="783">
        <v>81900</v>
      </c>
      <c r="AT312" s="783">
        <v>81900</v>
      </c>
      <c r="AU312" s="783">
        <v>81900</v>
      </c>
      <c r="AV312" s="783">
        <v>81900</v>
      </c>
      <c r="AW312" s="783">
        <v>81900</v>
      </c>
      <c r="AX312" s="783">
        <v>81900</v>
      </c>
      <c r="AY312" s="783">
        <v>81900</v>
      </c>
      <c r="AZ312" s="783">
        <v>81900</v>
      </c>
      <c r="BA312" s="783">
        <v>81900</v>
      </c>
      <c r="BB312" s="783">
        <v>81900</v>
      </c>
      <c r="BC312" s="783">
        <v>81900</v>
      </c>
      <c r="BD312" s="783">
        <v>81900</v>
      </c>
      <c r="BE312" s="783">
        <v>81900</v>
      </c>
    </row>
    <row r="313" spans="1:57" s="788" customFormat="1" x14ac:dyDescent="0.25">
      <c r="A313" s="783" t="s">
        <v>610</v>
      </c>
      <c r="B313" s="783"/>
      <c r="C313" s="787" t="s">
        <v>695</v>
      </c>
      <c r="D313" s="786">
        <v>750</v>
      </c>
      <c r="E313" s="786">
        <v>750</v>
      </c>
      <c r="F313" s="786">
        <v>750</v>
      </c>
      <c r="G313" s="786">
        <v>750</v>
      </c>
      <c r="H313" s="786">
        <v>750</v>
      </c>
      <c r="I313" s="786">
        <v>750</v>
      </c>
      <c r="J313" s="786">
        <v>750</v>
      </c>
      <c r="K313" s="786">
        <v>750</v>
      </c>
      <c r="L313" s="786">
        <v>750</v>
      </c>
      <c r="M313" s="786">
        <v>750</v>
      </c>
      <c r="N313" s="786">
        <v>750</v>
      </c>
      <c r="O313" s="786">
        <v>750</v>
      </c>
      <c r="P313" s="786">
        <v>750</v>
      </c>
      <c r="Q313" s="786">
        <v>750</v>
      </c>
      <c r="R313" s="786">
        <v>750</v>
      </c>
      <c r="S313" s="786">
        <v>750</v>
      </c>
      <c r="T313" s="786">
        <v>750</v>
      </c>
      <c r="U313" s="786">
        <v>750</v>
      </c>
      <c r="V313" s="786">
        <v>750</v>
      </c>
      <c r="W313" s="786">
        <v>750</v>
      </c>
      <c r="X313" s="786">
        <v>750</v>
      </c>
      <c r="Y313" s="786">
        <v>750</v>
      </c>
      <c r="Z313" s="786">
        <v>750</v>
      </c>
      <c r="AA313" s="786">
        <v>750</v>
      </c>
      <c r="AB313" s="788">
        <v>4.8899999999999997</v>
      </c>
      <c r="AC313" s="788">
        <v>4.8899999999999997</v>
      </c>
      <c r="AD313" s="788">
        <v>4.8899999999999997</v>
      </c>
      <c r="AE313" s="788">
        <v>4.8899999999999997</v>
      </c>
      <c r="AF313" s="788">
        <v>4.8899999999999997</v>
      </c>
      <c r="AG313" s="788">
        <v>4.8899999999999997</v>
      </c>
      <c r="AH313" s="788">
        <v>4.8899999999999997</v>
      </c>
      <c r="AI313" s="788">
        <v>4.8899999999999997</v>
      </c>
      <c r="AJ313" s="788">
        <v>4.8899999999999997</v>
      </c>
      <c r="AK313" s="788">
        <v>4.8899999999999997</v>
      </c>
      <c r="AL313" s="788">
        <v>4.8899999999999997</v>
      </c>
      <c r="AM313" s="788">
        <v>4.8899999999999997</v>
      </c>
      <c r="AN313" s="788">
        <v>4.8899999999999997</v>
      </c>
      <c r="AO313" s="788">
        <v>4.8899999999999997</v>
      </c>
      <c r="AP313" s="788">
        <v>4.8899999999999997</v>
      </c>
      <c r="AQ313" s="788">
        <v>4.8899999999999997</v>
      </c>
      <c r="AR313" s="788">
        <v>4.8899999999999997</v>
      </c>
      <c r="AS313" s="788">
        <v>4.8899999999999997</v>
      </c>
      <c r="AT313" s="788">
        <v>4.8899999999999997</v>
      </c>
      <c r="AU313" s="788">
        <v>4.8899999999999997</v>
      </c>
      <c r="AV313" s="788">
        <v>4.8899999999999997</v>
      </c>
      <c r="AW313" s="788">
        <v>4.8899999999999997</v>
      </c>
      <c r="AX313" s="788">
        <v>4.8899999999999997</v>
      </c>
      <c r="AY313" s="788">
        <v>4.8899999999999997</v>
      </c>
      <c r="AZ313" s="788">
        <v>4.8899999999999997</v>
      </c>
      <c r="BA313" s="788">
        <v>4.8899999999999997</v>
      </c>
      <c r="BB313" s="788">
        <v>4.8899999999999997</v>
      </c>
      <c r="BC313" s="788">
        <v>4.8899999999999997</v>
      </c>
      <c r="BD313" s="788">
        <v>4.8899999999999997</v>
      </c>
      <c r="BE313" s="788">
        <v>4.8899999999999997</v>
      </c>
    </row>
    <row r="314" spans="1:57" x14ac:dyDescent="0.25">
      <c r="A314" s="783" t="s">
        <v>610</v>
      </c>
      <c r="C314" s="784" t="s">
        <v>696</v>
      </c>
      <c r="D314" s="786">
        <v>0</v>
      </c>
      <c r="E314" s="786">
        <v>0</v>
      </c>
      <c r="F314" s="786">
        <v>0</v>
      </c>
      <c r="G314" s="786">
        <v>0</v>
      </c>
      <c r="H314" s="786">
        <v>0</v>
      </c>
      <c r="I314" s="786">
        <v>0</v>
      </c>
      <c r="J314" s="786">
        <v>0</v>
      </c>
      <c r="K314" s="786">
        <v>0</v>
      </c>
      <c r="L314" s="786">
        <v>0</v>
      </c>
      <c r="M314" s="786">
        <v>0</v>
      </c>
      <c r="N314" s="786">
        <v>0</v>
      </c>
      <c r="O314" s="786">
        <v>0</v>
      </c>
      <c r="P314" s="786">
        <v>0</v>
      </c>
      <c r="Q314" s="786">
        <v>0</v>
      </c>
      <c r="R314" s="786">
        <v>0</v>
      </c>
      <c r="S314" s="786">
        <v>0</v>
      </c>
      <c r="T314" s="786">
        <v>0</v>
      </c>
      <c r="U314" s="786">
        <v>0</v>
      </c>
      <c r="V314" s="786">
        <v>0</v>
      </c>
      <c r="W314" s="786">
        <v>0</v>
      </c>
      <c r="X314" s="786">
        <v>0</v>
      </c>
      <c r="Y314" s="786">
        <v>0</v>
      </c>
      <c r="Z314" s="786">
        <v>0</v>
      </c>
      <c r="AA314" s="786">
        <v>0</v>
      </c>
      <c r="AB314" s="783">
        <v>400491</v>
      </c>
      <c r="AC314" s="783">
        <v>400491</v>
      </c>
      <c r="AD314" s="783">
        <v>400491</v>
      </c>
      <c r="AE314" s="783">
        <v>400491</v>
      </c>
      <c r="AF314" s="783">
        <v>400491</v>
      </c>
      <c r="AG314" s="783">
        <v>400491</v>
      </c>
      <c r="AH314" s="783">
        <v>400491</v>
      </c>
      <c r="AI314" s="783">
        <v>400491</v>
      </c>
      <c r="AJ314" s="783">
        <v>400491</v>
      </c>
      <c r="AK314" s="783">
        <v>400491</v>
      </c>
      <c r="AL314" s="783">
        <v>400491</v>
      </c>
      <c r="AM314" s="783">
        <v>400491</v>
      </c>
      <c r="AN314" s="783">
        <v>400491</v>
      </c>
      <c r="AO314" s="783">
        <v>400491</v>
      </c>
      <c r="AP314" s="783">
        <v>400491</v>
      </c>
      <c r="AQ314" s="783">
        <v>400491</v>
      </c>
      <c r="AR314" s="783">
        <v>400491</v>
      </c>
      <c r="AS314" s="783">
        <v>400491</v>
      </c>
      <c r="AT314" s="783">
        <v>400491</v>
      </c>
      <c r="AU314" s="783">
        <v>400491</v>
      </c>
      <c r="AV314" s="783">
        <v>400491</v>
      </c>
      <c r="AW314" s="783">
        <v>400491</v>
      </c>
      <c r="AX314" s="783">
        <v>400491</v>
      </c>
      <c r="AY314" s="783">
        <v>400491</v>
      </c>
      <c r="AZ314" s="783">
        <v>400491</v>
      </c>
      <c r="BA314" s="783">
        <v>400491</v>
      </c>
      <c r="BB314" s="783">
        <v>400491</v>
      </c>
      <c r="BC314" s="783">
        <v>400491</v>
      </c>
      <c r="BD314" s="783">
        <v>400491</v>
      </c>
      <c r="BE314" s="783">
        <v>400491</v>
      </c>
    </row>
    <row r="315" spans="1:57" x14ac:dyDescent="0.25">
      <c r="A315" s="783" t="s">
        <v>610</v>
      </c>
      <c r="C315" s="784" t="s">
        <v>1062</v>
      </c>
      <c r="D315" s="783">
        <v>1</v>
      </c>
      <c r="E315" s="783">
        <v>1</v>
      </c>
      <c r="F315" s="783">
        <v>1</v>
      </c>
      <c r="G315" s="783">
        <v>1</v>
      </c>
      <c r="H315" s="783">
        <v>1</v>
      </c>
      <c r="I315" s="783">
        <v>1</v>
      </c>
      <c r="J315" s="783">
        <v>1</v>
      </c>
      <c r="K315" s="783">
        <v>1</v>
      </c>
      <c r="L315" s="783">
        <v>1</v>
      </c>
      <c r="M315" s="783">
        <v>1</v>
      </c>
      <c r="N315" s="783">
        <v>1</v>
      </c>
      <c r="O315" s="783">
        <v>1</v>
      </c>
      <c r="P315" s="783">
        <v>1</v>
      </c>
      <c r="Q315" s="783">
        <v>1</v>
      </c>
      <c r="R315" s="783">
        <v>1</v>
      </c>
      <c r="S315" s="783">
        <v>1</v>
      </c>
      <c r="T315" s="783">
        <v>1</v>
      </c>
      <c r="U315" s="783">
        <v>1</v>
      </c>
      <c r="V315" s="783">
        <v>1</v>
      </c>
      <c r="W315" s="783">
        <v>1</v>
      </c>
      <c r="X315" s="783">
        <v>1</v>
      </c>
      <c r="Y315" s="783">
        <v>1</v>
      </c>
      <c r="Z315" s="783">
        <v>1</v>
      </c>
      <c r="AA315" s="783">
        <v>1</v>
      </c>
    </row>
    <row r="316" spans="1:57" x14ac:dyDescent="0.25">
      <c r="A316" s="783" t="s">
        <v>610</v>
      </c>
      <c r="C316" s="784" t="s">
        <v>1063</v>
      </c>
      <c r="D316" s="783">
        <v>1</v>
      </c>
      <c r="E316" s="783">
        <v>1</v>
      </c>
      <c r="F316" s="783">
        <v>1</v>
      </c>
      <c r="G316" s="783">
        <v>1</v>
      </c>
      <c r="H316" s="783">
        <v>1</v>
      </c>
      <c r="I316" s="783">
        <v>1</v>
      </c>
      <c r="J316" s="783">
        <v>1</v>
      </c>
      <c r="K316" s="783">
        <v>1</v>
      </c>
      <c r="L316" s="783">
        <v>1</v>
      </c>
      <c r="M316" s="783">
        <v>1</v>
      </c>
      <c r="N316" s="783">
        <v>1</v>
      </c>
      <c r="O316" s="783">
        <v>1</v>
      </c>
      <c r="P316" s="783">
        <v>1</v>
      </c>
      <c r="Q316" s="783">
        <v>1</v>
      </c>
      <c r="R316" s="783">
        <v>1</v>
      </c>
      <c r="S316" s="783">
        <v>1</v>
      </c>
      <c r="T316" s="783">
        <v>1</v>
      </c>
      <c r="U316" s="783">
        <v>1</v>
      </c>
      <c r="V316" s="783">
        <v>1</v>
      </c>
      <c r="W316" s="783">
        <v>1</v>
      </c>
      <c r="X316" s="783">
        <v>1</v>
      </c>
      <c r="Y316" s="783">
        <v>1</v>
      </c>
      <c r="Z316" s="783">
        <v>1</v>
      </c>
      <c r="AA316" s="783">
        <v>1</v>
      </c>
      <c r="AB316" s="783">
        <v>5325</v>
      </c>
      <c r="AC316" s="783">
        <v>5325</v>
      </c>
      <c r="AD316" s="783">
        <v>5325</v>
      </c>
      <c r="AE316" s="783">
        <v>5325</v>
      </c>
      <c r="AF316" s="783">
        <v>5325</v>
      </c>
      <c r="AG316" s="783">
        <v>5325</v>
      </c>
      <c r="AH316" s="783">
        <v>5325</v>
      </c>
      <c r="AI316" s="783">
        <v>5325</v>
      </c>
      <c r="AJ316" s="783">
        <v>5325</v>
      </c>
      <c r="AK316" s="783">
        <v>5325</v>
      </c>
      <c r="AL316" s="783">
        <v>5325</v>
      </c>
      <c r="AM316" s="783">
        <v>5325</v>
      </c>
      <c r="AN316" s="783">
        <v>5325</v>
      </c>
      <c r="AO316" s="783">
        <v>5325</v>
      </c>
      <c r="AP316" s="783">
        <v>5325</v>
      </c>
      <c r="AQ316" s="783">
        <v>5325</v>
      </c>
      <c r="AR316" s="783">
        <v>5325</v>
      </c>
      <c r="AS316" s="783">
        <v>5325</v>
      </c>
      <c r="AT316" s="783">
        <v>5325</v>
      </c>
      <c r="AU316" s="783">
        <v>5325</v>
      </c>
      <c r="AV316" s="783">
        <v>5325</v>
      </c>
      <c r="AW316" s="783">
        <v>5325</v>
      </c>
      <c r="AX316" s="783">
        <v>5325</v>
      </c>
      <c r="AY316" s="783">
        <v>5325</v>
      </c>
      <c r="AZ316" s="783">
        <v>5325</v>
      </c>
      <c r="BA316" s="783">
        <v>5325</v>
      </c>
      <c r="BB316" s="783">
        <v>5325</v>
      </c>
      <c r="BC316" s="783">
        <v>5325</v>
      </c>
      <c r="BD316" s="783">
        <v>5325</v>
      </c>
      <c r="BE316" s="783">
        <v>5325</v>
      </c>
    </row>
    <row r="317" spans="1:57" x14ac:dyDescent="0.25">
      <c r="A317" s="783" t="s">
        <v>610</v>
      </c>
      <c r="B317" s="783" t="s">
        <v>964</v>
      </c>
      <c r="C317" s="784" t="s">
        <v>697</v>
      </c>
      <c r="D317" s="783">
        <v>61500</v>
      </c>
      <c r="E317" s="783">
        <v>62250</v>
      </c>
      <c r="F317" s="783">
        <v>63000</v>
      </c>
      <c r="G317" s="783">
        <v>63750</v>
      </c>
      <c r="H317" s="783">
        <v>64500</v>
      </c>
      <c r="I317" s="783">
        <v>65250</v>
      </c>
      <c r="J317" s="783">
        <v>57750</v>
      </c>
      <c r="K317" s="783">
        <v>57750</v>
      </c>
      <c r="L317" s="783">
        <v>58500</v>
      </c>
      <c r="M317" s="783">
        <v>59250</v>
      </c>
      <c r="N317" s="783">
        <v>59250</v>
      </c>
      <c r="O317" s="783">
        <v>60000</v>
      </c>
      <c r="P317" s="783">
        <v>60000</v>
      </c>
      <c r="Q317" s="783">
        <v>61500</v>
      </c>
      <c r="R317" s="783">
        <v>62250</v>
      </c>
      <c r="S317" s="783">
        <v>63000</v>
      </c>
      <c r="T317" s="783">
        <v>63750</v>
      </c>
      <c r="U317" s="783">
        <v>64500</v>
      </c>
      <c r="V317" s="783">
        <v>57000</v>
      </c>
      <c r="W317" s="783">
        <v>57000</v>
      </c>
      <c r="X317" s="783">
        <v>57750</v>
      </c>
      <c r="Y317" s="783">
        <v>58500</v>
      </c>
      <c r="Z317" s="783">
        <v>59250</v>
      </c>
      <c r="AA317" s="783">
        <v>60000</v>
      </c>
    </row>
    <row r="318" spans="1:57" x14ac:dyDescent="0.25">
      <c r="A318" s="783" t="s">
        <v>610</v>
      </c>
      <c r="B318" s="783" t="s">
        <v>965</v>
      </c>
      <c r="C318" s="784" t="s">
        <v>698</v>
      </c>
      <c r="D318" s="783">
        <v>0</v>
      </c>
      <c r="E318" s="783">
        <v>0</v>
      </c>
      <c r="F318" s="783">
        <v>0</v>
      </c>
      <c r="G318" s="783">
        <v>0</v>
      </c>
      <c r="H318" s="783">
        <v>0</v>
      </c>
      <c r="I318" s="783">
        <v>0</v>
      </c>
      <c r="J318" s="783">
        <v>0</v>
      </c>
      <c r="K318" s="783">
        <v>0</v>
      </c>
      <c r="L318" s="783">
        <v>0</v>
      </c>
      <c r="M318" s="783">
        <v>0</v>
      </c>
      <c r="N318" s="783">
        <v>0</v>
      </c>
      <c r="O318" s="783">
        <v>0</v>
      </c>
      <c r="P318" s="783">
        <v>0</v>
      </c>
      <c r="Q318" s="783">
        <v>0</v>
      </c>
      <c r="R318" s="783">
        <v>0</v>
      </c>
      <c r="S318" s="783">
        <v>0</v>
      </c>
      <c r="T318" s="783">
        <v>0</v>
      </c>
      <c r="U318" s="783">
        <v>0</v>
      </c>
      <c r="V318" s="783">
        <v>0</v>
      </c>
      <c r="W318" s="783">
        <v>0</v>
      </c>
      <c r="X318" s="783">
        <v>0</v>
      </c>
      <c r="Y318" s="783">
        <v>0</v>
      </c>
      <c r="Z318" s="783">
        <v>0</v>
      </c>
      <c r="AA318" s="783">
        <v>0</v>
      </c>
      <c r="AB318" s="783">
        <v>0</v>
      </c>
      <c r="AC318" s="783">
        <v>0</v>
      </c>
      <c r="AD318" s="783">
        <v>0</v>
      </c>
      <c r="AE318" s="783">
        <v>0</v>
      </c>
      <c r="AF318" s="783">
        <v>0</v>
      </c>
      <c r="AG318" s="783">
        <v>0</v>
      </c>
      <c r="AH318" s="783">
        <v>0</v>
      </c>
      <c r="AI318" s="783">
        <v>0</v>
      </c>
      <c r="AJ318" s="783">
        <v>0</v>
      </c>
      <c r="AK318" s="783">
        <v>0</v>
      </c>
      <c r="AL318" s="783">
        <v>0</v>
      </c>
      <c r="AM318" s="783">
        <v>0</v>
      </c>
      <c r="AN318" s="783">
        <v>0</v>
      </c>
      <c r="AO318" s="783">
        <v>0</v>
      </c>
      <c r="AP318" s="783">
        <v>0</v>
      </c>
      <c r="AQ318" s="783">
        <v>0</v>
      </c>
      <c r="AR318" s="783">
        <v>0</v>
      </c>
      <c r="AS318" s="783">
        <v>0</v>
      </c>
      <c r="AT318" s="783">
        <v>0</v>
      </c>
      <c r="AU318" s="783">
        <v>0</v>
      </c>
      <c r="AV318" s="783">
        <v>0</v>
      </c>
      <c r="AW318" s="783">
        <v>0</v>
      </c>
      <c r="AX318" s="783">
        <v>0</v>
      </c>
      <c r="AY318" s="783">
        <v>0</v>
      </c>
      <c r="AZ318" s="783">
        <v>0</v>
      </c>
      <c r="BA318" s="783">
        <v>0</v>
      </c>
      <c r="BB318" s="783">
        <v>0</v>
      </c>
      <c r="BC318" s="783">
        <v>0</v>
      </c>
      <c r="BD318" s="783">
        <v>0</v>
      </c>
      <c r="BE318" s="783">
        <v>0</v>
      </c>
    </row>
    <row r="319" spans="1:57" x14ac:dyDescent="0.25">
      <c r="A319" s="783" t="s">
        <v>610</v>
      </c>
      <c r="B319" s="783" t="s">
        <v>89</v>
      </c>
      <c r="C319" s="784" t="s">
        <v>699</v>
      </c>
      <c r="D319" s="783">
        <v>61500</v>
      </c>
      <c r="E319" s="783">
        <v>62250</v>
      </c>
      <c r="F319" s="783">
        <v>63000</v>
      </c>
      <c r="G319" s="783">
        <v>63750</v>
      </c>
      <c r="H319" s="783">
        <v>64500</v>
      </c>
      <c r="I319" s="783">
        <v>65250</v>
      </c>
      <c r="J319" s="783">
        <v>57750</v>
      </c>
      <c r="K319" s="783">
        <v>57750</v>
      </c>
      <c r="L319" s="783">
        <v>58500</v>
      </c>
      <c r="M319" s="783">
        <v>59250</v>
      </c>
      <c r="N319" s="783">
        <v>59250</v>
      </c>
      <c r="O319" s="783">
        <v>60000</v>
      </c>
      <c r="P319" s="783">
        <v>60000</v>
      </c>
      <c r="Q319" s="783">
        <v>61500</v>
      </c>
      <c r="R319" s="783">
        <v>62250</v>
      </c>
      <c r="S319" s="783">
        <v>63000</v>
      </c>
      <c r="T319" s="783">
        <v>63750</v>
      </c>
      <c r="U319" s="783">
        <v>64500</v>
      </c>
      <c r="V319" s="783">
        <v>57000</v>
      </c>
      <c r="W319" s="783">
        <v>57000</v>
      </c>
      <c r="X319" s="783">
        <v>57750</v>
      </c>
      <c r="Y319" s="783">
        <v>58500</v>
      </c>
      <c r="Z319" s="783">
        <v>59250</v>
      </c>
      <c r="AA319" s="783">
        <v>60000</v>
      </c>
      <c r="AB319" s="783">
        <v>3199.8153158292598</v>
      </c>
      <c r="AC319" s="783">
        <v>3271.942798179</v>
      </c>
      <c r="AD319" s="783">
        <v>3250.82170708275</v>
      </c>
      <c r="AE319" s="783">
        <v>3337.4200197006198</v>
      </c>
      <c r="AF319" s="783">
        <v>3315.5938443240302</v>
      </c>
      <c r="AG319" s="783">
        <v>3359.9963584973102</v>
      </c>
      <c r="AH319" s="783">
        <v>3440.2567806869702</v>
      </c>
      <c r="AI319" s="783">
        <v>3431.6191294012701</v>
      </c>
      <c r="AJ319" s="783">
        <v>3506.8888045509898</v>
      </c>
      <c r="AK319" s="783">
        <v>3504.2470727275199</v>
      </c>
      <c r="AL319" s="783">
        <v>3483.08232944576</v>
      </c>
      <c r="AM319" s="783">
        <v>3523.8651225737299</v>
      </c>
      <c r="AN319" s="783">
        <v>3573.1956765407799</v>
      </c>
      <c r="AO319" s="783">
        <v>3647.25927920296</v>
      </c>
      <c r="AP319" s="783">
        <v>3625.1549259332501</v>
      </c>
      <c r="AQ319" s="783">
        <v>3714.0952362518101</v>
      </c>
      <c r="AR319" s="783">
        <v>3690.07678325095</v>
      </c>
      <c r="AS319" s="783">
        <v>3736.1137736375599</v>
      </c>
      <c r="AT319" s="783">
        <v>3833.6375116578301</v>
      </c>
      <c r="AU319" s="783">
        <v>3829.6553085165101</v>
      </c>
      <c r="AV319" s="783">
        <v>3906.0833046719399</v>
      </c>
      <c r="AW319" s="783">
        <v>3903.6195853169402</v>
      </c>
      <c r="AX319" s="783">
        <v>3882.0260845201601</v>
      </c>
      <c r="AY319" s="783">
        <v>3923.8572311941298</v>
      </c>
      <c r="AZ319" s="783">
        <v>3974.8161297739198</v>
      </c>
      <c r="BA319" s="783">
        <v>4050.8487260086999</v>
      </c>
      <c r="BB319" s="783">
        <v>4027.6073205613202</v>
      </c>
      <c r="BC319" s="783">
        <v>4119.0392266768204</v>
      </c>
      <c r="BD319" s="783">
        <v>4093.86377686675</v>
      </c>
      <c r="BE319" s="783">
        <v>4156.2188421265901</v>
      </c>
    </row>
    <row r="320" spans="1:57" x14ac:dyDescent="0.25">
      <c r="A320" s="783" t="s">
        <v>610</v>
      </c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 s="783">
        <v>0</v>
      </c>
      <c r="AC320" s="783">
        <v>0</v>
      </c>
      <c r="AD320" s="783">
        <v>0</v>
      </c>
      <c r="AE320" s="783">
        <v>0</v>
      </c>
      <c r="AF320" s="783">
        <v>0</v>
      </c>
      <c r="AG320" s="783">
        <v>0</v>
      </c>
      <c r="AH320" s="783">
        <v>0</v>
      </c>
      <c r="AI320" s="783">
        <v>0</v>
      </c>
      <c r="AJ320" s="783">
        <v>0</v>
      </c>
      <c r="AK320" s="783">
        <v>0</v>
      </c>
      <c r="AL320" s="783">
        <v>0</v>
      </c>
      <c r="AM320" s="783">
        <v>0</v>
      </c>
      <c r="AN320" s="783">
        <v>0</v>
      </c>
      <c r="AO320" s="783">
        <v>0</v>
      </c>
      <c r="AP320" s="783">
        <v>0</v>
      </c>
      <c r="AQ320" s="783">
        <v>0</v>
      </c>
      <c r="AR320" s="783">
        <v>0</v>
      </c>
      <c r="AS320" s="783">
        <v>0</v>
      </c>
      <c r="AT320" s="783">
        <v>0</v>
      </c>
      <c r="AU320" s="783">
        <v>0</v>
      </c>
      <c r="AV320" s="783">
        <v>0</v>
      </c>
      <c r="AW320" s="783">
        <v>0</v>
      </c>
      <c r="AX320" s="783">
        <v>0</v>
      </c>
      <c r="AY320" s="783">
        <v>0</v>
      </c>
      <c r="AZ320" s="783">
        <v>0</v>
      </c>
      <c r="BA320" s="783">
        <v>0</v>
      </c>
      <c r="BB320" s="783">
        <v>0</v>
      </c>
      <c r="BC320" s="783">
        <v>0</v>
      </c>
      <c r="BD320" s="783">
        <v>0</v>
      </c>
      <c r="BE320" s="783">
        <v>0</v>
      </c>
    </row>
    <row r="321" spans="1:57" x14ac:dyDescent="0.25">
      <c r="A321" s="783" t="s">
        <v>610</v>
      </c>
      <c r="C321" s="784" t="s">
        <v>700</v>
      </c>
      <c r="D321" s="783">
        <v>594648.72063416603</v>
      </c>
      <c r="E321" s="783">
        <v>658916.36654424504</v>
      </c>
      <c r="F321" s="783">
        <v>662070.15272314602</v>
      </c>
      <c r="G321" s="783">
        <v>819203.15673233895</v>
      </c>
      <c r="H321" s="783">
        <v>1040341.52338075</v>
      </c>
      <c r="I321" s="783">
        <v>1167817.4816420299</v>
      </c>
      <c r="J321" s="783">
        <v>1374315.98201345</v>
      </c>
      <c r="K321" s="783">
        <v>1209150.9576236201</v>
      </c>
      <c r="L321" s="783">
        <v>1143523.7674505899</v>
      </c>
      <c r="M321" s="783">
        <v>885458.35012849898</v>
      </c>
      <c r="N321" s="783">
        <v>786127.46146371996</v>
      </c>
      <c r="O321" s="783">
        <v>691972.34085371695</v>
      </c>
      <c r="P321" s="783">
        <v>658813.85195347597</v>
      </c>
      <c r="Q321" s="783">
        <v>723081.49786355405</v>
      </c>
      <c r="R321" s="783">
        <v>726235.28404245595</v>
      </c>
      <c r="S321" s="783">
        <v>910832.60652091797</v>
      </c>
      <c r="T321" s="783">
        <v>1131970.97316932</v>
      </c>
      <c r="U321" s="783">
        <v>1259446.9314306099</v>
      </c>
      <c r="V321" s="783">
        <v>1455077.4923592401</v>
      </c>
      <c r="W321" s="783">
        <v>1289912.4679694199</v>
      </c>
      <c r="X321" s="783">
        <v>1224285.27779638</v>
      </c>
      <c r="Y321" s="783">
        <v>940187.841122051</v>
      </c>
      <c r="Z321" s="783">
        <v>840856.95245727</v>
      </c>
      <c r="AA321" s="783">
        <v>746701.83184726699</v>
      </c>
      <c r="AB321" s="783">
        <v>3199.8153158292598</v>
      </c>
      <c r="AC321" s="783">
        <v>3271.942798179</v>
      </c>
      <c r="AD321" s="783">
        <v>3250.82170708275</v>
      </c>
      <c r="AE321" s="783">
        <v>3337.4200197006198</v>
      </c>
      <c r="AF321" s="783">
        <v>3315.5938443240302</v>
      </c>
      <c r="AG321" s="783">
        <v>3359.9963584973102</v>
      </c>
      <c r="AH321" s="783">
        <v>3440.2567806869702</v>
      </c>
      <c r="AI321" s="783">
        <v>3431.6191294012701</v>
      </c>
      <c r="AJ321" s="783">
        <v>3506.8888045509898</v>
      </c>
      <c r="AK321" s="783">
        <v>3504.2470727275199</v>
      </c>
      <c r="AL321" s="783">
        <v>3483.08232944576</v>
      </c>
      <c r="AM321" s="783">
        <v>3523.8651225737299</v>
      </c>
      <c r="AN321" s="783">
        <v>3573.1956765407799</v>
      </c>
      <c r="AO321" s="783">
        <v>3647.25927920296</v>
      </c>
      <c r="AP321" s="783">
        <v>3625.1549259332501</v>
      </c>
      <c r="AQ321" s="783">
        <v>3714.0952362518101</v>
      </c>
      <c r="AR321" s="783">
        <v>3690.07678325095</v>
      </c>
      <c r="AS321" s="783">
        <v>3736.1137736375599</v>
      </c>
      <c r="AT321" s="783">
        <v>3833.6375116578301</v>
      </c>
      <c r="AU321" s="783">
        <v>3829.6553085165101</v>
      </c>
      <c r="AV321" s="783">
        <v>3906.0833046719399</v>
      </c>
      <c r="AW321" s="783">
        <v>3903.6195853169402</v>
      </c>
      <c r="AX321" s="783">
        <v>3882.0260845201601</v>
      </c>
      <c r="AY321" s="783">
        <v>3923.8572311941298</v>
      </c>
      <c r="AZ321" s="783">
        <v>3974.8161297739198</v>
      </c>
      <c r="BA321" s="783">
        <v>4050.8487260086999</v>
      </c>
      <c r="BB321" s="783">
        <v>4027.6073205613202</v>
      </c>
      <c r="BC321" s="783">
        <v>4119.0392266768204</v>
      </c>
      <c r="BD321" s="783">
        <v>4093.86377686675</v>
      </c>
      <c r="BE321" s="783">
        <v>4156.2188421265901</v>
      </c>
    </row>
    <row r="322" spans="1:57" x14ac:dyDescent="0.25">
      <c r="A322" s="783" t="s">
        <v>610</v>
      </c>
      <c r="C322" s="784" t="s">
        <v>701</v>
      </c>
      <c r="D322" s="783">
        <v>0</v>
      </c>
      <c r="E322" s="783">
        <v>0</v>
      </c>
      <c r="F322" s="783">
        <v>0</v>
      </c>
      <c r="G322" s="783">
        <v>0</v>
      </c>
      <c r="H322" s="783">
        <v>0</v>
      </c>
      <c r="I322" s="783">
        <v>0</v>
      </c>
      <c r="J322" s="783">
        <v>0</v>
      </c>
      <c r="K322" s="783">
        <v>0</v>
      </c>
      <c r="L322" s="783">
        <v>0</v>
      </c>
      <c r="M322" s="783">
        <v>0</v>
      </c>
      <c r="N322" s="783">
        <v>0</v>
      </c>
      <c r="O322" s="783">
        <v>0</v>
      </c>
      <c r="P322" s="783">
        <v>0</v>
      </c>
      <c r="Q322" s="783">
        <v>0</v>
      </c>
      <c r="R322" s="783">
        <v>0</v>
      </c>
      <c r="S322" s="783">
        <v>0</v>
      </c>
      <c r="T322" s="783">
        <v>0</v>
      </c>
      <c r="U322" s="783">
        <v>0</v>
      </c>
      <c r="V322" s="783">
        <v>0</v>
      </c>
      <c r="W322" s="783">
        <v>0</v>
      </c>
      <c r="X322" s="783">
        <v>0</v>
      </c>
      <c r="Y322" s="783">
        <v>0</v>
      </c>
      <c r="Z322" s="783">
        <v>0</v>
      </c>
      <c r="AA322" s="783">
        <v>0</v>
      </c>
    </row>
    <row r="323" spans="1:57" x14ac:dyDescent="0.25">
      <c r="A323" s="783" t="s">
        <v>610</v>
      </c>
      <c r="B323" s="786"/>
      <c r="C323" s="784" t="s">
        <v>702</v>
      </c>
      <c r="D323" s="788">
        <v>3.7999999999999999E-2</v>
      </c>
      <c r="E323" s="788">
        <v>3.7999999999999999E-2</v>
      </c>
      <c r="F323" s="788">
        <v>3.7999999999999999E-2</v>
      </c>
      <c r="G323" s="788">
        <v>3.7999999999999999E-2</v>
      </c>
      <c r="H323" s="788">
        <v>3.7999999999999999E-2</v>
      </c>
      <c r="I323" s="788">
        <v>3.7999999999999999E-2</v>
      </c>
      <c r="J323" s="788">
        <v>3.7999999999999999E-2</v>
      </c>
      <c r="K323" s="788">
        <v>3.7999999999999999E-2</v>
      </c>
      <c r="L323" s="788">
        <v>3.7999999999999999E-2</v>
      </c>
      <c r="M323" s="788">
        <v>3.7999999999999999E-2</v>
      </c>
      <c r="N323" s="788">
        <v>3.7999999999999999E-2</v>
      </c>
      <c r="O323" s="788">
        <v>3.7999999999999999E-2</v>
      </c>
      <c r="P323" s="788">
        <v>3.7999999999999999E-2</v>
      </c>
      <c r="Q323" s="788">
        <v>3.7999999999999999E-2</v>
      </c>
      <c r="R323" s="788">
        <v>3.7999999999999999E-2</v>
      </c>
      <c r="S323" s="788">
        <v>3.7999999999999999E-2</v>
      </c>
      <c r="T323" s="788">
        <v>3.7999999999999999E-2</v>
      </c>
      <c r="U323" s="788">
        <v>3.7999999999999999E-2</v>
      </c>
      <c r="V323" s="788">
        <v>3.7999999999999999E-2</v>
      </c>
      <c r="W323" s="788">
        <v>3.7999999999999999E-2</v>
      </c>
      <c r="X323" s="788">
        <v>3.7999999999999999E-2</v>
      </c>
      <c r="Y323" s="788">
        <v>3.7999999999999999E-2</v>
      </c>
      <c r="Z323" s="788">
        <v>3.7999999999999999E-2</v>
      </c>
      <c r="AA323" s="788">
        <v>3.7999999999999999E-2</v>
      </c>
      <c r="AB323" s="783">
        <v>539526.56907821097</v>
      </c>
      <c r="AC323" s="783">
        <v>543340.86710514303</v>
      </c>
      <c r="AD323" s="783">
        <v>546039.58988884499</v>
      </c>
      <c r="AE323" s="783">
        <v>553802.02991404198</v>
      </c>
      <c r="AF323" s="783">
        <v>562183.46167130501</v>
      </c>
      <c r="AG323" s="783">
        <v>569671.95059940696</v>
      </c>
      <c r="AH323" s="783">
        <v>564021.78444690804</v>
      </c>
      <c r="AI323" s="783">
        <v>557736.87586880894</v>
      </c>
      <c r="AJ323" s="783">
        <v>556618.31231738301</v>
      </c>
      <c r="AK323" s="783">
        <v>547103.90800628497</v>
      </c>
      <c r="AL323" s="783">
        <v>544608.16949374205</v>
      </c>
      <c r="AM323" s="783">
        <v>542371.05770369002</v>
      </c>
      <c r="AN323" s="783">
        <v>540483.23245875805</v>
      </c>
      <c r="AO323" s="783">
        <v>544299.466606003</v>
      </c>
      <c r="AP323" s="783">
        <v>546997.20612753101</v>
      </c>
      <c r="AQ323" s="783">
        <v>554782.19659283804</v>
      </c>
      <c r="AR323" s="783">
        <v>563161.43607247702</v>
      </c>
      <c r="AS323" s="783">
        <v>569351.559476792</v>
      </c>
      <c r="AT323" s="783">
        <v>564994.11366468004</v>
      </c>
      <c r="AU323" s="783">
        <v>558713.86053472594</v>
      </c>
      <c r="AV323" s="783">
        <v>557596.45530430495</v>
      </c>
      <c r="AW323" s="783">
        <v>548072.19460556796</v>
      </c>
      <c r="AX323" s="783">
        <v>544276.02733550896</v>
      </c>
      <c r="AY323" s="783">
        <v>542039.96389900299</v>
      </c>
      <c r="AZ323" s="783">
        <v>541435.62227028096</v>
      </c>
      <c r="BA323" s="783">
        <v>545253.82541109901</v>
      </c>
      <c r="BB323" s="783">
        <v>546650.42788045004</v>
      </c>
      <c r="BC323" s="783">
        <v>555634.381523296</v>
      </c>
      <c r="BD323" s="783">
        <v>564012.464006125</v>
      </c>
      <c r="BE323" s="783">
        <v>570218.90548531397</v>
      </c>
    </row>
    <row r="324" spans="1:57" s="880" customFormat="1" x14ac:dyDescent="0.25">
      <c r="A324" s="783" t="s">
        <v>610</v>
      </c>
      <c r="B324" s="783"/>
      <c r="C324" s="882" t="s">
        <v>703</v>
      </c>
      <c r="D324" s="788">
        <v>0</v>
      </c>
      <c r="E324" s="788">
        <v>0</v>
      </c>
      <c r="F324" s="788">
        <v>0</v>
      </c>
      <c r="G324" s="788">
        <v>0</v>
      </c>
      <c r="H324" s="788">
        <v>0</v>
      </c>
      <c r="I324" s="788">
        <v>0</v>
      </c>
      <c r="J324" s="788">
        <v>0</v>
      </c>
      <c r="K324" s="788">
        <v>0</v>
      </c>
      <c r="L324" s="788">
        <v>0</v>
      </c>
      <c r="M324" s="788">
        <v>0</v>
      </c>
      <c r="N324" s="788">
        <v>0</v>
      </c>
      <c r="O324" s="788">
        <v>0</v>
      </c>
      <c r="P324" s="788">
        <v>0</v>
      </c>
      <c r="Q324" s="788">
        <v>0</v>
      </c>
      <c r="R324" s="788">
        <v>0</v>
      </c>
      <c r="S324" s="788">
        <v>0</v>
      </c>
      <c r="T324" s="788">
        <v>0</v>
      </c>
      <c r="U324" s="788">
        <v>0</v>
      </c>
      <c r="V324" s="788">
        <v>0</v>
      </c>
      <c r="W324" s="788">
        <v>0</v>
      </c>
      <c r="X324" s="788">
        <v>0</v>
      </c>
      <c r="Y324" s="788">
        <v>0</v>
      </c>
      <c r="Z324" s="788">
        <v>0</v>
      </c>
      <c r="AA324" s="788">
        <v>0</v>
      </c>
    </row>
    <row r="325" spans="1:57" x14ac:dyDescent="0.25">
      <c r="A325" s="783" t="s">
        <v>610</v>
      </c>
      <c r="C325" s="784" t="s">
        <v>704</v>
      </c>
      <c r="D325" s="783">
        <v>22596.651384098299</v>
      </c>
      <c r="E325" s="783">
        <v>25038.8219286813</v>
      </c>
      <c r="F325" s="783">
        <v>25158.6658034795</v>
      </c>
      <c r="G325" s="783">
        <v>31129.719955828801</v>
      </c>
      <c r="H325" s="783">
        <v>39532.9778884685</v>
      </c>
      <c r="I325" s="783">
        <v>44377.064302397099</v>
      </c>
      <c r="J325" s="783">
        <v>52224.007316511001</v>
      </c>
      <c r="K325" s="783">
        <v>45947.7363896975</v>
      </c>
      <c r="L325" s="783">
        <v>43453.903163122399</v>
      </c>
      <c r="M325" s="783">
        <v>33647.417304882903</v>
      </c>
      <c r="N325" s="783">
        <v>29872.843535621301</v>
      </c>
      <c r="O325" s="783">
        <v>26294.948952441198</v>
      </c>
      <c r="P325" s="783">
        <v>25034.926374232</v>
      </c>
      <c r="Q325" s="783">
        <v>27477.096918815001</v>
      </c>
      <c r="R325" s="783">
        <v>27596.940793613299</v>
      </c>
      <c r="S325" s="783">
        <v>34611.639047794801</v>
      </c>
      <c r="T325" s="783">
        <v>43014.896980434103</v>
      </c>
      <c r="U325" s="783">
        <v>47858.983394363102</v>
      </c>
      <c r="V325" s="783">
        <v>55292.944709651099</v>
      </c>
      <c r="W325" s="783">
        <v>49016.673782837897</v>
      </c>
      <c r="X325" s="783">
        <v>46522.840556262403</v>
      </c>
      <c r="Y325" s="783">
        <v>35727.137962637898</v>
      </c>
      <c r="Z325" s="783">
        <v>31952.564193376202</v>
      </c>
      <c r="AA325" s="783">
        <v>28374.669610196099</v>
      </c>
      <c r="AB325" s="783">
        <v>1</v>
      </c>
      <c r="AC325" s="783">
        <v>1</v>
      </c>
      <c r="AD325" s="783">
        <v>1</v>
      </c>
      <c r="AE325" s="783">
        <v>1</v>
      </c>
      <c r="AF325" s="783">
        <v>1</v>
      </c>
      <c r="AG325" s="783">
        <v>1</v>
      </c>
      <c r="AH325" s="783">
        <v>1</v>
      </c>
      <c r="AI325" s="783">
        <v>1</v>
      </c>
      <c r="AJ325" s="783">
        <v>1</v>
      </c>
      <c r="AK325" s="783">
        <v>1</v>
      </c>
      <c r="AL325" s="783">
        <v>1</v>
      </c>
      <c r="AM325" s="783">
        <v>1</v>
      </c>
      <c r="AN325" s="783">
        <v>1</v>
      </c>
      <c r="AO325" s="783">
        <v>1</v>
      </c>
      <c r="AP325" s="783">
        <v>1</v>
      </c>
      <c r="AQ325" s="783">
        <v>1</v>
      </c>
      <c r="AR325" s="783">
        <v>1</v>
      </c>
      <c r="AS325" s="783">
        <v>1</v>
      </c>
      <c r="AT325" s="783">
        <v>1</v>
      </c>
      <c r="AU325" s="783">
        <v>1</v>
      </c>
      <c r="AV325" s="783">
        <v>1</v>
      </c>
      <c r="AW325" s="783">
        <v>1</v>
      </c>
      <c r="AX325" s="783">
        <v>1</v>
      </c>
      <c r="AY325" s="783">
        <v>1</v>
      </c>
      <c r="AZ325" s="783">
        <v>1</v>
      </c>
      <c r="BA325" s="783">
        <v>1</v>
      </c>
      <c r="BB325" s="783">
        <v>1</v>
      </c>
      <c r="BC325" s="783">
        <v>1</v>
      </c>
      <c r="BD325" s="783">
        <v>1</v>
      </c>
      <c r="BE325" s="783">
        <v>1</v>
      </c>
    </row>
    <row r="326" spans="1:57" x14ac:dyDescent="0.25">
      <c r="A326" s="783" t="s">
        <v>610</v>
      </c>
      <c r="C326" s="784" t="s">
        <v>705</v>
      </c>
      <c r="D326" s="783">
        <v>0</v>
      </c>
      <c r="E326" s="783">
        <v>0</v>
      </c>
      <c r="F326" s="783">
        <v>0</v>
      </c>
      <c r="G326" s="783">
        <v>0</v>
      </c>
      <c r="H326" s="783">
        <v>0</v>
      </c>
      <c r="I326" s="783">
        <v>0</v>
      </c>
      <c r="J326" s="783">
        <v>0</v>
      </c>
      <c r="K326" s="783">
        <v>0</v>
      </c>
      <c r="L326" s="783">
        <v>0</v>
      </c>
      <c r="M326" s="783">
        <v>0</v>
      </c>
      <c r="N326" s="783">
        <v>0</v>
      </c>
      <c r="O326" s="783">
        <v>0</v>
      </c>
      <c r="P326" s="783">
        <v>0</v>
      </c>
      <c r="Q326" s="783">
        <v>0</v>
      </c>
      <c r="R326" s="783">
        <v>0</v>
      </c>
      <c r="S326" s="783">
        <v>0</v>
      </c>
      <c r="T326" s="783">
        <v>0</v>
      </c>
      <c r="U326" s="783">
        <v>0</v>
      </c>
      <c r="V326" s="783">
        <v>0</v>
      </c>
      <c r="W326" s="783">
        <v>0</v>
      </c>
      <c r="X326" s="783">
        <v>0</v>
      </c>
      <c r="Y326" s="783">
        <v>0</v>
      </c>
      <c r="Z326" s="783">
        <v>0</v>
      </c>
      <c r="AA326" s="783">
        <v>0</v>
      </c>
      <c r="AB326" s="783">
        <v>0</v>
      </c>
      <c r="AC326" s="783">
        <v>0</v>
      </c>
      <c r="AD326" s="783">
        <v>0</v>
      </c>
      <c r="AE326" s="783">
        <v>0</v>
      </c>
      <c r="AF326" s="783">
        <v>0</v>
      </c>
      <c r="AG326" s="783">
        <v>0</v>
      </c>
      <c r="AH326" s="783">
        <v>0</v>
      </c>
      <c r="AI326" s="783">
        <v>0</v>
      </c>
      <c r="AJ326" s="783">
        <v>0</v>
      </c>
      <c r="AK326" s="783">
        <v>0</v>
      </c>
      <c r="AL326" s="783">
        <v>0</v>
      </c>
      <c r="AM326" s="783">
        <v>0</v>
      </c>
      <c r="AN326" s="783">
        <v>0</v>
      </c>
      <c r="AO326" s="783">
        <v>0</v>
      </c>
      <c r="AP326" s="783">
        <v>0</v>
      </c>
      <c r="AQ326" s="783">
        <v>0</v>
      </c>
      <c r="AR326" s="783">
        <v>0</v>
      </c>
      <c r="AS326" s="783">
        <v>0</v>
      </c>
      <c r="AT326" s="783">
        <v>0</v>
      </c>
      <c r="AU326" s="783">
        <v>0</v>
      </c>
      <c r="AV326" s="783">
        <v>0</v>
      </c>
      <c r="AW326" s="783">
        <v>0</v>
      </c>
      <c r="AX326" s="783">
        <v>0</v>
      </c>
      <c r="AY326" s="783">
        <v>0</v>
      </c>
      <c r="AZ326" s="783">
        <v>0</v>
      </c>
      <c r="BA326" s="783">
        <v>0</v>
      </c>
      <c r="BB326" s="783">
        <v>0</v>
      </c>
      <c r="BC326" s="783">
        <v>0</v>
      </c>
      <c r="BD326" s="783">
        <v>0</v>
      </c>
      <c r="BE326" s="783">
        <v>0</v>
      </c>
    </row>
    <row r="327" spans="1:57" s="786" customFormat="1" x14ac:dyDescent="0.25">
      <c r="A327" s="783" t="s">
        <v>610</v>
      </c>
      <c r="B327" s="783" t="s">
        <v>374</v>
      </c>
      <c r="C327" s="785" t="s">
        <v>706</v>
      </c>
      <c r="D327" s="783">
        <v>22596.651384098299</v>
      </c>
      <c r="E327" s="783">
        <v>25038.8219286813</v>
      </c>
      <c r="F327" s="783">
        <v>25158.6658034795</v>
      </c>
      <c r="G327" s="783">
        <v>31129.719955828801</v>
      </c>
      <c r="H327" s="783">
        <v>39532.9778884685</v>
      </c>
      <c r="I327" s="783">
        <v>44377.064302397099</v>
      </c>
      <c r="J327" s="783">
        <v>52224.007316511001</v>
      </c>
      <c r="K327" s="783">
        <v>45947.7363896975</v>
      </c>
      <c r="L327" s="783">
        <v>43453.903163122399</v>
      </c>
      <c r="M327" s="783">
        <v>33647.417304882903</v>
      </c>
      <c r="N327" s="783">
        <v>29872.843535621301</v>
      </c>
      <c r="O327" s="783">
        <v>26294.948952441198</v>
      </c>
      <c r="P327" s="783">
        <v>25034.926374232</v>
      </c>
      <c r="Q327" s="783">
        <v>27477.096918815001</v>
      </c>
      <c r="R327" s="783">
        <v>27596.940793613299</v>
      </c>
      <c r="S327" s="783">
        <v>34611.639047794801</v>
      </c>
      <c r="T327" s="783">
        <v>43014.896980434103</v>
      </c>
      <c r="U327" s="783">
        <v>47858.983394363102</v>
      </c>
      <c r="V327" s="783">
        <v>55292.944709651099</v>
      </c>
      <c r="W327" s="783">
        <v>49016.673782837897</v>
      </c>
      <c r="X327" s="783">
        <v>46522.840556262403</v>
      </c>
      <c r="Y327" s="783">
        <v>35727.137962637898</v>
      </c>
      <c r="Z327" s="783">
        <v>31952.564193376202</v>
      </c>
      <c r="AA327" s="783">
        <v>28374.669610196099</v>
      </c>
      <c r="AB327" s="786">
        <v>750</v>
      </c>
      <c r="AC327" s="786">
        <v>750</v>
      </c>
      <c r="AD327" s="786">
        <v>750</v>
      </c>
      <c r="AE327" s="786">
        <v>750</v>
      </c>
      <c r="AF327" s="786">
        <v>750</v>
      </c>
      <c r="AG327" s="786">
        <v>750</v>
      </c>
      <c r="AH327" s="786">
        <v>750</v>
      </c>
      <c r="AI327" s="786">
        <v>750</v>
      </c>
      <c r="AJ327" s="786">
        <v>750</v>
      </c>
      <c r="AK327" s="786">
        <v>750</v>
      </c>
      <c r="AL327" s="786">
        <v>750</v>
      </c>
      <c r="AM327" s="786">
        <v>750</v>
      </c>
      <c r="AN327" s="786">
        <v>750</v>
      </c>
      <c r="AO327" s="786">
        <v>750</v>
      </c>
      <c r="AP327" s="786">
        <v>750</v>
      </c>
      <c r="AQ327" s="786">
        <v>750</v>
      </c>
      <c r="AR327" s="786">
        <v>750</v>
      </c>
      <c r="AS327" s="786">
        <v>750</v>
      </c>
      <c r="AT327" s="786">
        <v>750</v>
      </c>
      <c r="AU327" s="786">
        <v>750</v>
      </c>
      <c r="AV327" s="786">
        <v>750</v>
      </c>
      <c r="AW327" s="786">
        <v>750</v>
      </c>
      <c r="AX327" s="786">
        <v>750</v>
      </c>
      <c r="AY327" s="786">
        <v>750</v>
      </c>
      <c r="AZ327" s="786">
        <v>750</v>
      </c>
      <c r="BA327" s="786">
        <v>750</v>
      </c>
      <c r="BB327" s="786">
        <v>750</v>
      </c>
      <c r="BC327" s="786">
        <v>750</v>
      </c>
      <c r="BD327" s="786">
        <v>750</v>
      </c>
      <c r="BE327" s="786">
        <v>750</v>
      </c>
    </row>
    <row r="328" spans="1:57" s="786" customFormat="1" x14ac:dyDescent="0.25">
      <c r="A328" s="783" t="s">
        <v>610</v>
      </c>
      <c r="B328" s="783"/>
      <c r="C328" s="785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 s="786">
        <v>0</v>
      </c>
      <c r="AC328" s="786">
        <v>0</v>
      </c>
      <c r="AD328" s="786">
        <v>0</v>
      </c>
      <c r="AE328" s="786">
        <v>0</v>
      </c>
      <c r="AF328" s="786">
        <v>0</v>
      </c>
      <c r="AG328" s="786">
        <v>0</v>
      </c>
      <c r="AH328" s="786">
        <v>0</v>
      </c>
      <c r="AI328" s="786">
        <v>0</v>
      </c>
      <c r="AJ328" s="786">
        <v>0</v>
      </c>
      <c r="AK328" s="786">
        <v>0</v>
      </c>
      <c r="AL328" s="786">
        <v>0</v>
      </c>
      <c r="AM328" s="786">
        <v>0</v>
      </c>
      <c r="AN328" s="786">
        <v>0</v>
      </c>
      <c r="AO328" s="786">
        <v>0</v>
      </c>
      <c r="AP328" s="786">
        <v>0</v>
      </c>
      <c r="AQ328" s="786">
        <v>0</v>
      </c>
      <c r="AR328" s="786">
        <v>0</v>
      </c>
      <c r="AS328" s="786">
        <v>0</v>
      </c>
      <c r="AT328" s="786">
        <v>0</v>
      </c>
      <c r="AU328" s="786">
        <v>0</v>
      </c>
      <c r="AV328" s="786">
        <v>0</v>
      </c>
      <c r="AW328" s="786">
        <v>0</v>
      </c>
      <c r="AX328" s="786">
        <v>0</v>
      </c>
      <c r="AY328" s="786">
        <v>0</v>
      </c>
      <c r="AZ328" s="786">
        <v>0</v>
      </c>
      <c r="BA328" s="786">
        <v>0</v>
      </c>
      <c r="BB328" s="786">
        <v>0</v>
      </c>
      <c r="BC328" s="786">
        <v>0</v>
      </c>
      <c r="BD328" s="786">
        <v>0</v>
      </c>
      <c r="BE328" s="786">
        <v>0</v>
      </c>
    </row>
    <row r="329" spans="1:57" x14ac:dyDescent="0.25">
      <c r="A329" s="783" t="s">
        <v>610</v>
      </c>
      <c r="C329" s="784" t="s">
        <v>707</v>
      </c>
      <c r="D329" s="786">
        <v>550</v>
      </c>
      <c r="E329" s="786">
        <v>550</v>
      </c>
      <c r="F329" s="786">
        <v>550</v>
      </c>
      <c r="G329" s="786">
        <v>550</v>
      </c>
      <c r="H329" s="786">
        <v>550</v>
      </c>
      <c r="I329" s="786">
        <v>550</v>
      </c>
      <c r="J329" s="786">
        <v>550</v>
      </c>
      <c r="K329" s="786">
        <v>550</v>
      </c>
      <c r="L329" s="786">
        <v>550</v>
      </c>
      <c r="M329" s="786">
        <v>550</v>
      </c>
      <c r="N329" s="786">
        <v>550</v>
      </c>
      <c r="O329" s="786">
        <v>550</v>
      </c>
      <c r="P329" s="786">
        <v>550</v>
      </c>
      <c r="Q329" s="786">
        <v>550</v>
      </c>
      <c r="R329" s="786">
        <v>550</v>
      </c>
      <c r="S329" s="786">
        <v>550</v>
      </c>
      <c r="T329" s="786">
        <v>550</v>
      </c>
      <c r="U329" s="786">
        <v>550</v>
      </c>
      <c r="V329" s="786">
        <v>550</v>
      </c>
      <c r="W329" s="786">
        <v>550</v>
      </c>
      <c r="X329" s="786">
        <v>550</v>
      </c>
      <c r="Y329" s="786">
        <v>550</v>
      </c>
      <c r="Z329" s="786">
        <v>550</v>
      </c>
      <c r="AA329" s="786">
        <v>550</v>
      </c>
      <c r="AB329" s="783">
        <v>750</v>
      </c>
      <c r="AC329" s="783">
        <v>750</v>
      </c>
      <c r="AD329" s="783">
        <v>750</v>
      </c>
      <c r="AE329" s="783">
        <v>750</v>
      </c>
      <c r="AF329" s="783">
        <v>750</v>
      </c>
      <c r="AG329" s="783">
        <v>750</v>
      </c>
      <c r="AH329" s="783">
        <v>750</v>
      </c>
      <c r="AI329" s="783">
        <v>750</v>
      </c>
      <c r="AJ329" s="783">
        <v>750</v>
      </c>
      <c r="AK329" s="783">
        <v>750</v>
      </c>
      <c r="AL329" s="783">
        <v>750</v>
      </c>
      <c r="AM329" s="783">
        <v>750</v>
      </c>
      <c r="AN329" s="783">
        <v>750</v>
      </c>
      <c r="AO329" s="783">
        <v>750</v>
      </c>
      <c r="AP329" s="783">
        <v>750</v>
      </c>
      <c r="AQ329" s="783">
        <v>750</v>
      </c>
      <c r="AR329" s="783">
        <v>750</v>
      </c>
      <c r="AS329" s="783">
        <v>750</v>
      </c>
      <c r="AT329" s="783">
        <v>750</v>
      </c>
      <c r="AU329" s="783">
        <v>750</v>
      </c>
      <c r="AV329" s="783">
        <v>750</v>
      </c>
      <c r="AW329" s="783">
        <v>750</v>
      </c>
      <c r="AX329" s="783">
        <v>750</v>
      </c>
      <c r="AY329" s="783">
        <v>750</v>
      </c>
      <c r="AZ329" s="783">
        <v>750</v>
      </c>
      <c r="BA329" s="783">
        <v>750</v>
      </c>
      <c r="BB329" s="783">
        <v>750</v>
      </c>
      <c r="BC329" s="783">
        <v>750</v>
      </c>
      <c r="BD329" s="783">
        <v>750</v>
      </c>
      <c r="BE329" s="783">
        <v>750</v>
      </c>
    </row>
    <row r="330" spans="1:57" x14ac:dyDescent="0.25">
      <c r="A330" s="783" t="s">
        <v>610</v>
      </c>
      <c r="B330" s="783" t="s">
        <v>520</v>
      </c>
      <c r="C330" s="784" t="s">
        <v>708</v>
      </c>
      <c r="D330" s="783">
        <v>45100</v>
      </c>
      <c r="E330" s="783">
        <v>45650</v>
      </c>
      <c r="F330" s="783">
        <v>46200</v>
      </c>
      <c r="G330" s="783">
        <v>46750</v>
      </c>
      <c r="H330" s="783">
        <v>47300</v>
      </c>
      <c r="I330" s="783">
        <v>47850</v>
      </c>
      <c r="J330" s="783">
        <v>42350</v>
      </c>
      <c r="K330" s="783">
        <v>42350</v>
      </c>
      <c r="L330" s="783">
        <v>42900</v>
      </c>
      <c r="M330" s="783">
        <v>43450</v>
      </c>
      <c r="N330" s="783">
        <v>43450</v>
      </c>
      <c r="O330" s="783">
        <v>44000</v>
      </c>
      <c r="P330" s="783">
        <v>44000</v>
      </c>
      <c r="Q330" s="783">
        <v>45100</v>
      </c>
      <c r="R330" s="783">
        <v>45650</v>
      </c>
      <c r="S330" s="783">
        <v>46200</v>
      </c>
      <c r="T330" s="783">
        <v>46750</v>
      </c>
      <c r="U330" s="783">
        <v>47300</v>
      </c>
      <c r="V330" s="783">
        <v>41800</v>
      </c>
      <c r="W330" s="783">
        <v>41800</v>
      </c>
      <c r="X330" s="783">
        <v>42350</v>
      </c>
      <c r="Y330" s="783">
        <v>42900</v>
      </c>
      <c r="Z330" s="783">
        <v>43450</v>
      </c>
      <c r="AA330" s="783">
        <v>44000</v>
      </c>
      <c r="AB330" s="783">
        <v>0</v>
      </c>
      <c r="AC330" s="783">
        <v>0</v>
      </c>
      <c r="AD330" s="783">
        <v>0</v>
      </c>
      <c r="AE330" s="783">
        <v>0</v>
      </c>
      <c r="AF330" s="783">
        <v>0</v>
      </c>
      <c r="AG330" s="783">
        <v>0</v>
      </c>
      <c r="AH330" s="783">
        <v>0</v>
      </c>
      <c r="AI330" s="783">
        <v>0</v>
      </c>
      <c r="AJ330" s="783">
        <v>0</v>
      </c>
      <c r="AK330" s="783">
        <v>0</v>
      </c>
      <c r="AL330" s="783">
        <v>0</v>
      </c>
      <c r="AM330" s="783">
        <v>0</v>
      </c>
      <c r="AN330" s="783">
        <v>0</v>
      </c>
      <c r="AO330" s="783">
        <v>0</v>
      </c>
      <c r="AP330" s="783">
        <v>0</v>
      </c>
      <c r="AQ330" s="783">
        <v>0</v>
      </c>
      <c r="AR330" s="783">
        <v>0</v>
      </c>
      <c r="AS330" s="783">
        <v>0</v>
      </c>
      <c r="AT330" s="783">
        <v>0</v>
      </c>
      <c r="AU330" s="783">
        <v>0</v>
      </c>
      <c r="AV330" s="783">
        <v>0</v>
      </c>
      <c r="AW330" s="783">
        <v>0</v>
      </c>
      <c r="AX330" s="783">
        <v>0</v>
      </c>
      <c r="AY330" s="783">
        <v>0</v>
      </c>
      <c r="AZ330" s="783">
        <v>0</v>
      </c>
      <c r="BA330" s="783">
        <v>0</v>
      </c>
      <c r="BB330" s="783">
        <v>0</v>
      </c>
      <c r="BC330" s="783">
        <v>0</v>
      </c>
      <c r="BD330" s="783">
        <v>0</v>
      </c>
      <c r="BE330" s="783">
        <v>0</v>
      </c>
    </row>
    <row r="331" spans="1:57" x14ac:dyDescent="0.25">
      <c r="A331" s="783" t="s">
        <v>610</v>
      </c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 s="783">
        <v>750</v>
      </c>
      <c r="AC331" s="783">
        <v>750</v>
      </c>
      <c r="AD331" s="783">
        <v>750</v>
      </c>
      <c r="AE331" s="783">
        <v>750</v>
      </c>
      <c r="AF331" s="783">
        <v>750</v>
      </c>
      <c r="AG331" s="783">
        <v>750</v>
      </c>
      <c r="AH331" s="783">
        <v>750</v>
      </c>
      <c r="AI331" s="783">
        <v>750</v>
      </c>
      <c r="AJ331" s="783">
        <v>750</v>
      </c>
      <c r="AK331" s="783">
        <v>750</v>
      </c>
      <c r="AL331" s="783">
        <v>750</v>
      </c>
      <c r="AM331" s="783">
        <v>750</v>
      </c>
      <c r="AN331" s="783">
        <v>750</v>
      </c>
      <c r="AO331" s="783">
        <v>750</v>
      </c>
      <c r="AP331" s="783">
        <v>750</v>
      </c>
      <c r="AQ331" s="783">
        <v>750</v>
      </c>
      <c r="AR331" s="783">
        <v>750</v>
      </c>
      <c r="AS331" s="783">
        <v>750</v>
      </c>
      <c r="AT331" s="783">
        <v>750</v>
      </c>
      <c r="AU331" s="783">
        <v>750</v>
      </c>
      <c r="AV331" s="783">
        <v>750</v>
      </c>
      <c r="AW331" s="783">
        <v>750</v>
      </c>
      <c r="AX331" s="783">
        <v>750</v>
      </c>
      <c r="AY331" s="783">
        <v>750</v>
      </c>
      <c r="AZ331" s="783">
        <v>750</v>
      </c>
      <c r="BA331" s="783">
        <v>750</v>
      </c>
      <c r="BB331" s="783">
        <v>750</v>
      </c>
      <c r="BC331" s="783">
        <v>750</v>
      </c>
      <c r="BD331" s="783">
        <v>750</v>
      </c>
      <c r="BE331" s="783">
        <v>750</v>
      </c>
    </row>
    <row r="332" spans="1:57" x14ac:dyDescent="0.25">
      <c r="A332" s="783" t="s">
        <v>610</v>
      </c>
      <c r="C332" s="784" t="s">
        <v>709</v>
      </c>
      <c r="D332" s="783">
        <v>76484.800000000003</v>
      </c>
      <c r="E332" s="783">
        <v>76484.800000000003</v>
      </c>
      <c r="F332" s="783">
        <v>76484.800000000003</v>
      </c>
      <c r="G332" s="783">
        <v>76484.800000000003</v>
      </c>
      <c r="H332" s="783">
        <v>77880.2</v>
      </c>
      <c r="I332" s="783">
        <v>77511.100000000006</v>
      </c>
      <c r="J332" s="783">
        <v>77511.100000000006</v>
      </c>
      <c r="K332" s="783">
        <v>76359.995193785493</v>
      </c>
      <c r="L332" s="783">
        <v>76045.751763863504</v>
      </c>
      <c r="M332" s="783">
        <v>76045.751763863504</v>
      </c>
      <c r="N332" s="783">
        <v>76045.751763863504</v>
      </c>
      <c r="O332" s="783">
        <v>76045.751763863504</v>
      </c>
      <c r="P332" s="783">
        <v>76045.751763863504</v>
      </c>
      <c r="Q332" s="783">
        <v>76045.751763863504</v>
      </c>
      <c r="R332" s="783">
        <v>76045.751763863504</v>
      </c>
      <c r="S332" s="783">
        <v>76045.751763863504</v>
      </c>
      <c r="T332" s="783">
        <v>76416.404729126094</v>
      </c>
      <c r="U332" s="783">
        <v>76416.404729126094</v>
      </c>
      <c r="V332" s="783">
        <v>80936.407444342505</v>
      </c>
      <c r="W332" s="783">
        <v>80936.407444342505</v>
      </c>
      <c r="X332" s="783">
        <v>80020.897288775494</v>
      </c>
      <c r="Y332" s="783">
        <v>80020.897288775494</v>
      </c>
      <c r="Z332" s="783">
        <v>80020.897288775494</v>
      </c>
      <c r="AA332" s="783">
        <v>80020.897288775494</v>
      </c>
    </row>
    <row r="333" spans="1:57" x14ac:dyDescent="0.25">
      <c r="A333" s="783" t="s">
        <v>610</v>
      </c>
      <c r="C333" s="784" t="s">
        <v>710</v>
      </c>
      <c r="D333" s="788">
        <v>4.8899999999999997</v>
      </c>
      <c r="E333" s="788">
        <v>4.8899999999999997</v>
      </c>
      <c r="F333" s="788">
        <v>4.8899999999999997</v>
      </c>
      <c r="G333" s="788">
        <v>4.8899999999999997</v>
      </c>
      <c r="H333" s="788">
        <v>4.8899999999999997</v>
      </c>
      <c r="I333" s="788">
        <v>4.8899999999999997</v>
      </c>
      <c r="J333" s="788">
        <v>4.8899999999999997</v>
      </c>
      <c r="K333" s="788">
        <v>4.8899999999999997</v>
      </c>
      <c r="L333" s="788">
        <v>4.8899999999999997</v>
      </c>
      <c r="M333" s="788">
        <v>4.8899999999999997</v>
      </c>
      <c r="N333" s="788">
        <v>4.8899999999999997</v>
      </c>
      <c r="O333" s="788">
        <v>4.8899999999999997</v>
      </c>
      <c r="P333" s="788">
        <v>4.8899999999999997</v>
      </c>
      <c r="Q333" s="788">
        <v>4.8899999999999997</v>
      </c>
      <c r="R333" s="788">
        <v>4.8899999999999997</v>
      </c>
      <c r="S333" s="788">
        <v>4.8899999999999997</v>
      </c>
      <c r="T333" s="788">
        <v>4.8899999999999997</v>
      </c>
      <c r="U333" s="788">
        <v>4.8899999999999997</v>
      </c>
      <c r="V333" s="788">
        <v>4.8899999999999997</v>
      </c>
      <c r="W333" s="788">
        <v>4.8899999999999997</v>
      </c>
      <c r="X333" s="788">
        <v>4.8899999999999997</v>
      </c>
      <c r="Y333" s="788">
        <v>4.8899999999999997</v>
      </c>
      <c r="Z333" s="788">
        <v>4.8899999999999997</v>
      </c>
      <c r="AA333" s="788">
        <v>4.8899999999999997</v>
      </c>
      <c r="AB333" s="783">
        <v>22331</v>
      </c>
      <c r="AC333" s="783">
        <v>22824.1</v>
      </c>
      <c r="AD333" s="783">
        <v>22824.1</v>
      </c>
      <c r="AE333" s="783">
        <v>19095.099999999999</v>
      </c>
      <c r="AF333" s="783">
        <v>24685.7</v>
      </c>
      <c r="AG333" s="783">
        <v>25358.5</v>
      </c>
      <c r="AH333" s="783">
        <v>21415.5</v>
      </c>
      <c r="AI333" s="783">
        <v>25358.5</v>
      </c>
      <c r="AJ333" s="783">
        <v>21860.6</v>
      </c>
      <c r="AK333" s="783">
        <v>24291</v>
      </c>
      <c r="AL333" s="783">
        <v>22331</v>
      </c>
      <c r="AM333" s="783">
        <v>22331</v>
      </c>
      <c r="AN333" s="783">
        <v>24092.799999999999</v>
      </c>
      <c r="AO333" s="783">
        <v>20851.400000000001</v>
      </c>
      <c r="AP333" s="783">
        <v>20851.400000000001</v>
      </c>
      <c r="AQ333" s="783">
        <v>19903</v>
      </c>
      <c r="AR333" s="783">
        <v>34454.800000000003</v>
      </c>
      <c r="AS333" s="783">
        <v>25816.2</v>
      </c>
      <c r="AT333" s="783">
        <v>26111.1</v>
      </c>
      <c r="AU333" s="783">
        <v>24349.3</v>
      </c>
      <c r="AV333" s="783">
        <v>23340.2</v>
      </c>
      <c r="AW333" s="783">
        <v>24303.7</v>
      </c>
      <c r="AX333" s="783">
        <v>22331</v>
      </c>
      <c r="AY333" s="783">
        <v>17045.8</v>
      </c>
      <c r="AZ333" s="783">
        <v>29378</v>
      </c>
      <c r="BA333" s="783">
        <v>22331</v>
      </c>
      <c r="BB333" s="783">
        <v>23797.9</v>
      </c>
      <c r="BC333" s="783">
        <v>17045.8</v>
      </c>
      <c r="BD333" s="783">
        <v>27872.799999999999</v>
      </c>
      <c r="BE333" s="783">
        <v>30710</v>
      </c>
    </row>
    <row r="334" spans="1:57" x14ac:dyDescent="0.25">
      <c r="A334" s="783" t="s">
        <v>610</v>
      </c>
      <c r="B334" s="783" t="s">
        <v>154</v>
      </c>
      <c r="C334" s="784" t="s">
        <v>711</v>
      </c>
      <c r="D334" s="783">
        <v>374010.67199999897</v>
      </c>
      <c r="E334" s="783">
        <v>374010.67199999897</v>
      </c>
      <c r="F334" s="783">
        <v>374010.67199999897</v>
      </c>
      <c r="G334" s="783">
        <v>374010.67199999897</v>
      </c>
      <c r="H334" s="783">
        <v>380834.17799999902</v>
      </c>
      <c r="I334" s="783">
        <v>379029.27899999998</v>
      </c>
      <c r="J334" s="783">
        <v>379029.27899999998</v>
      </c>
      <c r="K334" s="783">
        <v>373400.376497611</v>
      </c>
      <c r="L334" s="783">
        <v>371863.72612529201</v>
      </c>
      <c r="M334" s="783">
        <v>371863.72612529201</v>
      </c>
      <c r="N334" s="783">
        <v>371863.72612529201</v>
      </c>
      <c r="O334" s="783">
        <v>371863.72612529201</v>
      </c>
      <c r="P334" s="783">
        <v>371863.72612529201</v>
      </c>
      <c r="Q334" s="783">
        <v>371863.72612529201</v>
      </c>
      <c r="R334" s="783">
        <v>371863.72612529201</v>
      </c>
      <c r="S334" s="783">
        <v>371863.72612529201</v>
      </c>
      <c r="T334" s="783">
        <v>373676.21912542603</v>
      </c>
      <c r="U334" s="783">
        <v>373676.21912542603</v>
      </c>
      <c r="V334" s="783">
        <v>395779.03240283398</v>
      </c>
      <c r="W334" s="783">
        <v>395779.03240283398</v>
      </c>
      <c r="X334" s="783">
        <v>391302.18774211197</v>
      </c>
      <c r="Y334" s="783">
        <v>391302.18774211197</v>
      </c>
      <c r="Z334" s="783">
        <v>391302.18774211197</v>
      </c>
      <c r="AA334" s="783">
        <v>391302.18774211197</v>
      </c>
      <c r="AB334" s="783">
        <v>0</v>
      </c>
      <c r="AC334" s="783">
        <v>0</v>
      </c>
      <c r="AD334" s="783">
        <v>0</v>
      </c>
      <c r="AE334" s="783">
        <v>0</v>
      </c>
      <c r="AF334" s="783">
        <v>0</v>
      </c>
      <c r="AG334" s="783">
        <v>0</v>
      </c>
      <c r="AH334" s="783">
        <v>0</v>
      </c>
      <c r="AI334" s="783">
        <v>0</v>
      </c>
      <c r="AJ334" s="783">
        <v>0</v>
      </c>
      <c r="AK334" s="783">
        <v>0</v>
      </c>
      <c r="AL334" s="783">
        <v>0</v>
      </c>
      <c r="AM334" s="783">
        <v>0</v>
      </c>
      <c r="AN334" s="783">
        <v>0</v>
      </c>
      <c r="AO334" s="783">
        <v>0</v>
      </c>
      <c r="AP334" s="783">
        <v>0</v>
      </c>
      <c r="AQ334" s="783">
        <v>0</v>
      </c>
      <c r="AR334" s="783">
        <v>0</v>
      </c>
      <c r="AS334" s="783">
        <v>0</v>
      </c>
      <c r="AT334" s="783">
        <v>0</v>
      </c>
      <c r="AU334" s="783">
        <v>0</v>
      </c>
      <c r="AV334" s="783">
        <v>0</v>
      </c>
      <c r="AW334" s="783">
        <v>0</v>
      </c>
      <c r="AX334" s="783">
        <v>0</v>
      </c>
      <c r="AY334" s="783">
        <v>0</v>
      </c>
      <c r="AZ334" s="783">
        <v>0</v>
      </c>
      <c r="BA334" s="783">
        <v>0</v>
      </c>
      <c r="BB334" s="783">
        <v>0</v>
      </c>
      <c r="BC334" s="783">
        <v>0</v>
      </c>
      <c r="BD334" s="783">
        <v>0</v>
      </c>
      <c r="BE334" s="783">
        <v>0</v>
      </c>
    </row>
    <row r="335" spans="1:57" s="788" customFormat="1" x14ac:dyDescent="0.25">
      <c r="A335" s="783" t="s">
        <v>610</v>
      </c>
      <c r="B335" s="783"/>
      <c r="C335" s="787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 s="788">
        <v>0.29920000000000002</v>
      </c>
      <c r="AC335" s="788">
        <v>0.29920000000000002</v>
      </c>
      <c r="AD335" s="788">
        <v>0.29920000000000002</v>
      </c>
      <c r="AE335" s="788">
        <v>0.29920000000000002</v>
      </c>
      <c r="AF335" s="788">
        <v>0.29920000000000002</v>
      </c>
      <c r="AG335" s="788">
        <v>0.29920000000000002</v>
      </c>
      <c r="AH335" s="788">
        <v>0.29920000000000002</v>
      </c>
      <c r="AI335" s="788">
        <v>0.29920000000000002</v>
      </c>
      <c r="AJ335" s="788">
        <v>0.29920000000000002</v>
      </c>
      <c r="AK335" s="788">
        <v>0.29920000000000002</v>
      </c>
      <c r="AL335" s="788">
        <v>0.29920000000000002</v>
      </c>
      <c r="AM335" s="788">
        <v>0.29920000000000002</v>
      </c>
      <c r="AN335" s="788">
        <v>0.29920000000000002</v>
      </c>
      <c r="AO335" s="788">
        <v>0.29920000000000002</v>
      </c>
      <c r="AP335" s="788">
        <v>0.29920000000000002</v>
      </c>
      <c r="AQ335" s="788">
        <v>0.29920000000000002</v>
      </c>
      <c r="AR335" s="788">
        <v>0.29920000000000002</v>
      </c>
      <c r="AS335" s="788">
        <v>0.29920000000000002</v>
      </c>
      <c r="AT335" s="788">
        <v>0.29920000000000002</v>
      </c>
      <c r="AU335" s="788">
        <v>0.29920000000000002</v>
      </c>
      <c r="AV335" s="788">
        <v>0.29920000000000002</v>
      </c>
      <c r="AW335" s="788">
        <v>0.29920000000000002</v>
      </c>
      <c r="AX335" s="788">
        <v>0.29920000000000002</v>
      </c>
      <c r="AY335" s="788">
        <v>0.29920000000000002</v>
      </c>
      <c r="AZ335" s="788">
        <v>0.29920000000000002</v>
      </c>
      <c r="BA335" s="788">
        <v>0.29920000000000002</v>
      </c>
      <c r="BB335" s="788">
        <v>0.29920000000000002</v>
      </c>
      <c r="BC335" s="788">
        <v>0.29920000000000002</v>
      </c>
      <c r="BD335" s="788">
        <v>0.29920000000000002</v>
      </c>
      <c r="BE335" s="788">
        <v>0.29920000000000002</v>
      </c>
    </row>
    <row r="336" spans="1:57" s="788" customFormat="1" x14ac:dyDescent="0.25">
      <c r="A336" s="783" t="s">
        <v>610</v>
      </c>
      <c r="B336" s="783" t="s">
        <v>521</v>
      </c>
      <c r="C336" s="787" t="s">
        <v>712</v>
      </c>
      <c r="D336" s="783">
        <v>0</v>
      </c>
      <c r="E336" s="783">
        <v>0</v>
      </c>
      <c r="F336" s="783">
        <v>5325</v>
      </c>
      <c r="G336" s="783">
        <v>5325</v>
      </c>
      <c r="H336" s="783">
        <v>5325</v>
      </c>
      <c r="I336" s="783">
        <v>5325</v>
      </c>
      <c r="J336" s="783">
        <v>5325</v>
      </c>
      <c r="K336" s="783">
        <v>5325</v>
      </c>
      <c r="L336" s="783">
        <v>5325</v>
      </c>
      <c r="M336" s="783">
        <v>5325</v>
      </c>
      <c r="N336" s="783">
        <v>5325</v>
      </c>
      <c r="O336" s="783">
        <v>5325</v>
      </c>
      <c r="P336" s="783">
        <v>5325</v>
      </c>
      <c r="Q336" s="783">
        <v>5325</v>
      </c>
      <c r="R336" s="783">
        <v>5325</v>
      </c>
      <c r="S336" s="783">
        <v>5325</v>
      </c>
      <c r="T336" s="783">
        <v>5325</v>
      </c>
      <c r="U336" s="783">
        <v>5325</v>
      </c>
      <c r="V336" s="783">
        <v>5325</v>
      </c>
      <c r="W336" s="783">
        <v>5325</v>
      </c>
      <c r="X336" s="783">
        <v>5325</v>
      </c>
      <c r="Y336" s="783">
        <v>5325</v>
      </c>
      <c r="Z336" s="783">
        <v>5325</v>
      </c>
      <c r="AA336" s="783">
        <v>5325</v>
      </c>
      <c r="AB336" s="788">
        <v>0</v>
      </c>
      <c r="AC336" s="788">
        <v>0</v>
      </c>
      <c r="AD336" s="788">
        <v>0</v>
      </c>
      <c r="AE336" s="788">
        <v>0</v>
      </c>
      <c r="AF336" s="788">
        <v>0</v>
      </c>
      <c r="AG336" s="788">
        <v>0</v>
      </c>
      <c r="AH336" s="788">
        <v>0</v>
      </c>
      <c r="AI336" s="788">
        <v>0</v>
      </c>
      <c r="AJ336" s="788">
        <v>0</v>
      </c>
      <c r="AK336" s="788">
        <v>0</v>
      </c>
      <c r="AL336" s="788">
        <v>0</v>
      </c>
      <c r="AM336" s="788">
        <v>0</v>
      </c>
      <c r="AN336" s="788">
        <v>0</v>
      </c>
      <c r="AO336" s="788">
        <v>0</v>
      </c>
      <c r="AP336" s="788">
        <v>0</v>
      </c>
      <c r="AQ336" s="788">
        <v>0</v>
      </c>
      <c r="AR336" s="788">
        <v>0</v>
      </c>
      <c r="AS336" s="788">
        <v>0</v>
      </c>
      <c r="AT336" s="788">
        <v>0</v>
      </c>
      <c r="AU336" s="788">
        <v>0</v>
      </c>
      <c r="AV336" s="788">
        <v>0</v>
      </c>
      <c r="AW336" s="788">
        <v>0</v>
      </c>
      <c r="AX336" s="788">
        <v>0</v>
      </c>
      <c r="AY336" s="788">
        <v>0</v>
      </c>
      <c r="AZ336" s="788">
        <v>0</v>
      </c>
      <c r="BA336" s="788">
        <v>0</v>
      </c>
      <c r="BB336" s="788">
        <v>0</v>
      </c>
      <c r="BC336" s="788">
        <v>0</v>
      </c>
      <c r="BD336" s="788">
        <v>0</v>
      </c>
      <c r="BE336" s="788">
        <v>0</v>
      </c>
    </row>
    <row r="337" spans="1:57" x14ac:dyDescent="0.25">
      <c r="A337" s="783" t="s">
        <v>610</v>
      </c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 s="783">
        <v>6681.4351999999999</v>
      </c>
      <c r="AC337" s="783">
        <v>6828.9707200000003</v>
      </c>
      <c r="AD337" s="783">
        <v>6828.9707200000003</v>
      </c>
      <c r="AE337" s="783">
        <v>5713.2539200000001</v>
      </c>
      <c r="AF337" s="783">
        <v>7385.96144</v>
      </c>
      <c r="AG337" s="783">
        <v>7587.2632000000003</v>
      </c>
      <c r="AH337" s="783">
        <v>6407.5176000000001</v>
      </c>
      <c r="AI337" s="783">
        <v>7587.2632000000003</v>
      </c>
      <c r="AJ337" s="783">
        <v>6540.6915200000003</v>
      </c>
      <c r="AK337" s="783">
        <v>7267.8671999999997</v>
      </c>
      <c r="AL337" s="783">
        <v>6681.4351999999999</v>
      </c>
      <c r="AM337" s="783">
        <v>6681.4351999999999</v>
      </c>
      <c r="AN337" s="783">
        <v>7208.5657600000004</v>
      </c>
      <c r="AO337" s="783">
        <v>6238.7388799999999</v>
      </c>
      <c r="AP337" s="783">
        <v>6238.7388799999999</v>
      </c>
      <c r="AQ337" s="783">
        <v>5954.9776000000002</v>
      </c>
      <c r="AR337" s="783">
        <v>10308.87616</v>
      </c>
      <c r="AS337" s="783">
        <v>7724.2070400000002</v>
      </c>
      <c r="AT337" s="783">
        <v>7812.4411200000004</v>
      </c>
      <c r="AU337" s="783">
        <v>7285.3105599999999</v>
      </c>
      <c r="AV337" s="783">
        <v>6983.3878400000003</v>
      </c>
      <c r="AW337" s="783">
        <v>7271.6670400000003</v>
      </c>
      <c r="AX337" s="783">
        <v>6681.4351999999999</v>
      </c>
      <c r="AY337" s="783">
        <v>5100.1033600000001</v>
      </c>
      <c r="AZ337" s="783">
        <v>8789.8976000000002</v>
      </c>
      <c r="BA337" s="783">
        <v>6681.4351999999999</v>
      </c>
      <c r="BB337" s="783">
        <v>7120.3316800000002</v>
      </c>
      <c r="BC337" s="783">
        <v>5100.1033600000001</v>
      </c>
      <c r="BD337" s="783">
        <v>8339.5417600000001</v>
      </c>
      <c r="BE337" s="783">
        <v>9188.4320000000007</v>
      </c>
    </row>
    <row r="338" spans="1:57" x14ac:dyDescent="0.25">
      <c r="A338" s="783" t="s">
        <v>610</v>
      </c>
      <c r="B338" s="783" t="s">
        <v>107</v>
      </c>
      <c r="C338" s="784" t="s">
        <v>713</v>
      </c>
      <c r="D338" s="783">
        <v>0</v>
      </c>
      <c r="E338" s="783">
        <v>0</v>
      </c>
      <c r="F338" s="783">
        <v>0</v>
      </c>
      <c r="G338" s="783">
        <v>0</v>
      </c>
      <c r="H338" s="783">
        <v>0</v>
      </c>
      <c r="I338" s="783">
        <v>0</v>
      </c>
      <c r="J338" s="783">
        <v>0</v>
      </c>
      <c r="K338" s="783">
        <v>0</v>
      </c>
      <c r="L338" s="783">
        <v>0</v>
      </c>
      <c r="M338" s="783">
        <v>0</v>
      </c>
      <c r="N338" s="783">
        <v>0</v>
      </c>
      <c r="O338" s="783">
        <v>0</v>
      </c>
      <c r="P338" s="783">
        <v>0</v>
      </c>
      <c r="Q338" s="783">
        <v>0</v>
      </c>
      <c r="R338" s="783">
        <v>0</v>
      </c>
      <c r="S338" s="783">
        <v>0</v>
      </c>
      <c r="T338" s="783">
        <v>0</v>
      </c>
      <c r="U338" s="783">
        <v>0</v>
      </c>
      <c r="V338" s="783">
        <v>0</v>
      </c>
      <c r="W338" s="783">
        <v>0</v>
      </c>
      <c r="X338" s="783">
        <v>0</v>
      </c>
      <c r="Y338" s="783">
        <v>0</v>
      </c>
      <c r="Z338" s="783">
        <v>0</v>
      </c>
      <c r="AA338" s="783">
        <v>0</v>
      </c>
      <c r="AB338" s="783">
        <v>0</v>
      </c>
      <c r="AC338" s="783">
        <v>0</v>
      </c>
      <c r="AD338" s="783">
        <v>0</v>
      </c>
      <c r="AE338" s="783">
        <v>0</v>
      </c>
      <c r="AF338" s="783">
        <v>0</v>
      </c>
      <c r="AG338" s="783">
        <v>0</v>
      </c>
      <c r="AH338" s="783">
        <v>0</v>
      </c>
      <c r="AI338" s="783">
        <v>0</v>
      </c>
      <c r="AJ338" s="783">
        <v>0</v>
      </c>
      <c r="AK338" s="783">
        <v>0</v>
      </c>
      <c r="AL338" s="783">
        <v>0</v>
      </c>
      <c r="AM338" s="783">
        <v>0</v>
      </c>
      <c r="AN338" s="783">
        <v>0</v>
      </c>
      <c r="AO338" s="783">
        <v>0</v>
      </c>
      <c r="AP338" s="783">
        <v>0</v>
      </c>
      <c r="AQ338" s="783">
        <v>0</v>
      </c>
      <c r="AR338" s="783">
        <v>0</v>
      </c>
      <c r="AS338" s="783">
        <v>0</v>
      </c>
      <c r="AT338" s="783">
        <v>0</v>
      </c>
      <c r="AU338" s="783">
        <v>0</v>
      </c>
      <c r="AV338" s="783">
        <v>0</v>
      </c>
      <c r="AW338" s="783">
        <v>0</v>
      </c>
      <c r="AX338" s="783">
        <v>0</v>
      </c>
      <c r="AY338" s="783">
        <v>0</v>
      </c>
      <c r="AZ338" s="783">
        <v>0</v>
      </c>
      <c r="BA338" s="783">
        <v>0</v>
      </c>
      <c r="BB338" s="783">
        <v>0</v>
      </c>
      <c r="BC338" s="783">
        <v>0</v>
      </c>
      <c r="BD338" s="783">
        <v>0</v>
      </c>
      <c r="BE338" s="783">
        <v>0</v>
      </c>
    </row>
    <row r="339" spans="1:57" x14ac:dyDescent="0.25">
      <c r="A339" s="783" t="s">
        <v>610</v>
      </c>
      <c r="B339" s="783" t="s">
        <v>614</v>
      </c>
      <c r="C339" s="784" t="s">
        <v>714</v>
      </c>
      <c r="D339" s="783">
        <v>10906.640240000001</v>
      </c>
      <c r="E339" s="783">
        <v>7796.3439199999902</v>
      </c>
      <c r="F339" s="783">
        <v>10055.4736777824</v>
      </c>
      <c r="G339" s="783">
        <v>10639.176866518401</v>
      </c>
      <c r="H339" s="783">
        <v>11129.919398910401</v>
      </c>
      <c r="I339" s="783">
        <v>11289.2991045445</v>
      </c>
      <c r="J339" s="783">
        <v>16348.1609950566</v>
      </c>
      <c r="K339" s="783">
        <v>16393.436243992601</v>
      </c>
      <c r="L339" s="783">
        <v>16505.229926600601</v>
      </c>
      <c r="M339" s="783">
        <v>16515.4912170567</v>
      </c>
      <c r="N339" s="783">
        <v>16539.190312736599</v>
      </c>
      <c r="O339" s="783">
        <v>16822.623165600598</v>
      </c>
      <c r="P339" s="783">
        <v>17032.458562488599</v>
      </c>
      <c r="Q339" s="783">
        <v>17078.251706088598</v>
      </c>
      <c r="R339" s="783">
        <v>17099.424679768599</v>
      </c>
      <c r="S339" s="783">
        <v>17093.078744168601</v>
      </c>
      <c r="T339" s="783">
        <v>17102.9080522486</v>
      </c>
      <c r="U339" s="783">
        <v>17129.850243097</v>
      </c>
      <c r="V339" s="783">
        <v>20443.653388558301</v>
      </c>
      <c r="W339" s="783">
        <v>20461.345594158302</v>
      </c>
      <c r="X339" s="783">
        <v>20551.0143846383</v>
      </c>
      <c r="Y339" s="783">
        <v>20528.171012398299</v>
      </c>
      <c r="Z339" s="783">
        <v>20523.084627918299</v>
      </c>
      <c r="AA339" s="783">
        <v>20589.614487918301</v>
      </c>
      <c r="AB339" s="783">
        <v>6681.4351999999999</v>
      </c>
      <c r="AC339" s="783">
        <v>6828.9707200000003</v>
      </c>
      <c r="AD339" s="783">
        <v>6828.9707200000003</v>
      </c>
      <c r="AE339" s="783">
        <v>5713.2539200000001</v>
      </c>
      <c r="AF339" s="783">
        <v>7385.96144</v>
      </c>
      <c r="AG339" s="783">
        <v>7587.2632000000003</v>
      </c>
      <c r="AH339" s="783">
        <v>6407.5176000000001</v>
      </c>
      <c r="AI339" s="783">
        <v>7587.2632000000003</v>
      </c>
      <c r="AJ339" s="783">
        <v>6540.6915200000003</v>
      </c>
      <c r="AK339" s="783">
        <v>7267.8671999999997</v>
      </c>
      <c r="AL339" s="783">
        <v>6681.4351999999999</v>
      </c>
      <c r="AM339" s="783">
        <v>6681.4351999999999</v>
      </c>
      <c r="AN339" s="783">
        <v>7208.5657600000004</v>
      </c>
      <c r="AO339" s="783">
        <v>6238.7388799999999</v>
      </c>
      <c r="AP339" s="783">
        <v>6238.7388799999999</v>
      </c>
      <c r="AQ339" s="783">
        <v>5954.9776000000002</v>
      </c>
      <c r="AR339" s="783">
        <v>10308.87616</v>
      </c>
      <c r="AS339" s="783">
        <v>7724.2070400000002</v>
      </c>
      <c r="AT339" s="783">
        <v>7812.4411200000004</v>
      </c>
      <c r="AU339" s="783">
        <v>7285.3105599999999</v>
      </c>
      <c r="AV339" s="783">
        <v>6983.3878400000003</v>
      </c>
      <c r="AW339" s="783">
        <v>7271.6670400000003</v>
      </c>
      <c r="AX339" s="783">
        <v>6681.4351999999999</v>
      </c>
      <c r="AY339" s="783">
        <v>5100.1033600000001</v>
      </c>
      <c r="AZ339" s="783">
        <v>8789.8976000000002</v>
      </c>
      <c r="BA339" s="783">
        <v>6681.4351999999999</v>
      </c>
      <c r="BB339" s="783">
        <v>7120.3316800000002</v>
      </c>
      <c r="BC339" s="783">
        <v>5100.1033600000001</v>
      </c>
      <c r="BD339" s="783">
        <v>8339.5417600000001</v>
      </c>
      <c r="BE339" s="783">
        <v>9188.4320000000007</v>
      </c>
    </row>
    <row r="340" spans="1:57" x14ac:dyDescent="0.25">
      <c r="A340" s="783" t="s">
        <v>610</v>
      </c>
      <c r="B340" s="783" t="s">
        <v>109</v>
      </c>
      <c r="C340" s="784" t="s">
        <v>715</v>
      </c>
      <c r="D340" s="783">
        <v>0</v>
      </c>
      <c r="E340" s="783">
        <v>0</v>
      </c>
      <c r="F340" s="783">
        <v>0</v>
      </c>
      <c r="G340" s="783">
        <v>0</v>
      </c>
      <c r="H340" s="783">
        <v>0</v>
      </c>
      <c r="I340" s="783">
        <v>0</v>
      </c>
      <c r="J340" s="783">
        <v>0</v>
      </c>
      <c r="K340" s="783">
        <v>0</v>
      </c>
      <c r="L340" s="783">
        <v>0</v>
      </c>
      <c r="M340" s="783">
        <v>0</v>
      </c>
      <c r="N340" s="783">
        <v>0</v>
      </c>
      <c r="O340" s="783">
        <v>0</v>
      </c>
      <c r="P340" s="783">
        <v>0</v>
      </c>
      <c r="Q340" s="783">
        <v>0</v>
      </c>
      <c r="R340" s="783">
        <v>0</v>
      </c>
      <c r="S340" s="783">
        <v>0</v>
      </c>
      <c r="T340" s="783">
        <v>0</v>
      </c>
      <c r="U340" s="783">
        <v>0</v>
      </c>
      <c r="V340" s="783">
        <v>0</v>
      </c>
      <c r="W340" s="783">
        <v>0</v>
      </c>
      <c r="X340" s="783">
        <v>0</v>
      </c>
      <c r="Y340" s="783">
        <v>0</v>
      </c>
      <c r="Z340" s="783">
        <v>0</v>
      </c>
      <c r="AA340" s="783">
        <v>0</v>
      </c>
    </row>
    <row r="341" spans="1:57" s="786" customFormat="1" x14ac:dyDescent="0.25">
      <c r="A341" s="783" t="s">
        <v>610</v>
      </c>
      <c r="C341" s="785" t="s">
        <v>716</v>
      </c>
      <c r="D341" s="783">
        <v>10906.640240000001</v>
      </c>
      <c r="E341" s="783">
        <v>7796.3439199999902</v>
      </c>
      <c r="F341" s="783">
        <v>10055.4736777824</v>
      </c>
      <c r="G341" s="783">
        <v>10639.176866518401</v>
      </c>
      <c r="H341" s="783">
        <v>11129.919398910401</v>
      </c>
      <c r="I341" s="783">
        <v>11289.2991045445</v>
      </c>
      <c r="J341" s="783">
        <v>16348.1609950566</v>
      </c>
      <c r="K341" s="783">
        <v>16393.436243992601</v>
      </c>
      <c r="L341" s="783">
        <v>16505.229926600601</v>
      </c>
      <c r="M341" s="783">
        <v>16515.4912170567</v>
      </c>
      <c r="N341" s="783">
        <v>16539.190312736599</v>
      </c>
      <c r="O341" s="783">
        <v>16822.623165600598</v>
      </c>
      <c r="P341" s="783">
        <v>17032.458562488599</v>
      </c>
      <c r="Q341" s="783">
        <v>17078.251706088598</v>
      </c>
      <c r="R341" s="783">
        <v>17099.424679768599</v>
      </c>
      <c r="S341" s="783">
        <v>17093.078744168601</v>
      </c>
      <c r="T341" s="783">
        <v>17102.9080522486</v>
      </c>
      <c r="U341" s="783">
        <v>17129.850243097</v>
      </c>
      <c r="V341" s="783">
        <v>20443.653388558301</v>
      </c>
      <c r="W341" s="783">
        <v>20461.345594158302</v>
      </c>
      <c r="X341" s="783">
        <v>20551.0143846383</v>
      </c>
      <c r="Y341" s="783">
        <v>20528.171012398299</v>
      </c>
      <c r="Z341" s="783">
        <v>20523.084627918299</v>
      </c>
      <c r="AA341" s="783">
        <v>20589.614487918301</v>
      </c>
      <c r="AB341" s="786">
        <v>0</v>
      </c>
      <c r="AC341" s="786">
        <v>0</v>
      </c>
      <c r="AD341" s="786">
        <v>0</v>
      </c>
      <c r="AE341" s="786">
        <v>0</v>
      </c>
      <c r="AF341" s="786">
        <v>0</v>
      </c>
      <c r="AG341" s="786">
        <v>0</v>
      </c>
      <c r="AH341" s="786">
        <v>0</v>
      </c>
      <c r="AI341" s="786">
        <v>0</v>
      </c>
      <c r="AJ341" s="786">
        <v>0</v>
      </c>
      <c r="AK341" s="786">
        <v>0</v>
      </c>
      <c r="AL341" s="786">
        <v>0</v>
      </c>
      <c r="AM341" s="786">
        <v>0</v>
      </c>
      <c r="AN341" s="786">
        <v>0</v>
      </c>
      <c r="AO341" s="786">
        <v>0</v>
      </c>
      <c r="AP341" s="786">
        <v>0</v>
      </c>
      <c r="AQ341" s="786">
        <v>0</v>
      </c>
      <c r="AR341" s="786">
        <v>0</v>
      </c>
      <c r="AS341" s="786">
        <v>0</v>
      </c>
      <c r="AT341" s="786">
        <v>0</v>
      </c>
      <c r="AU341" s="786">
        <v>0</v>
      </c>
      <c r="AV341" s="786">
        <v>0</v>
      </c>
      <c r="AW341" s="786">
        <v>0</v>
      </c>
      <c r="AX341" s="786">
        <v>0</v>
      </c>
      <c r="AY341" s="786">
        <v>0</v>
      </c>
      <c r="AZ341" s="786">
        <v>0</v>
      </c>
      <c r="BA341" s="786">
        <v>0</v>
      </c>
      <c r="BB341" s="786">
        <v>0</v>
      </c>
      <c r="BC341" s="786">
        <v>0</v>
      </c>
      <c r="BD341" s="786">
        <v>0</v>
      </c>
      <c r="BE341" s="786">
        <v>0</v>
      </c>
    </row>
    <row r="342" spans="1:57" x14ac:dyDescent="0.25">
      <c r="A342" s="783" t="s">
        <v>610</v>
      </c>
      <c r="B342" s="786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 s="783">
        <v>0</v>
      </c>
      <c r="AC342" s="783">
        <v>0</v>
      </c>
      <c r="AD342" s="783">
        <v>0</v>
      </c>
      <c r="AE342" s="783">
        <v>0</v>
      </c>
      <c r="AF342" s="783">
        <v>0</v>
      </c>
      <c r="AG342" s="783">
        <v>0</v>
      </c>
      <c r="AH342" s="783">
        <v>0</v>
      </c>
      <c r="AI342" s="783">
        <v>0</v>
      </c>
      <c r="AJ342" s="783">
        <v>0</v>
      </c>
      <c r="AK342" s="783">
        <v>0</v>
      </c>
      <c r="AL342" s="783">
        <v>0</v>
      </c>
      <c r="AM342" s="783">
        <v>0</v>
      </c>
      <c r="AN342" s="783">
        <v>0</v>
      </c>
      <c r="AO342" s="783">
        <v>0</v>
      </c>
      <c r="AP342" s="783">
        <v>0</v>
      </c>
      <c r="AQ342" s="783">
        <v>0</v>
      </c>
      <c r="AR342" s="783">
        <v>0</v>
      </c>
      <c r="AS342" s="783">
        <v>0</v>
      </c>
      <c r="AT342" s="783">
        <v>0</v>
      </c>
      <c r="AU342" s="783">
        <v>0</v>
      </c>
      <c r="AV342" s="783">
        <v>0</v>
      </c>
      <c r="AW342" s="783">
        <v>0</v>
      </c>
      <c r="AX342" s="783">
        <v>0</v>
      </c>
      <c r="AY342" s="783">
        <v>0</v>
      </c>
      <c r="AZ342" s="783">
        <v>0</v>
      </c>
      <c r="BA342" s="783">
        <v>0</v>
      </c>
      <c r="BB342" s="783">
        <v>0</v>
      </c>
      <c r="BC342" s="783">
        <v>0</v>
      </c>
      <c r="BD342" s="783">
        <v>0</v>
      </c>
      <c r="BE342" s="783">
        <v>0</v>
      </c>
    </row>
    <row r="343" spans="1:57" x14ac:dyDescent="0.25">
      <c r="A343" s="783" t="s">
        <v>610</v>
      </c>
      <c r="C343" s="784" t="s">
        <v>717</v>
      </c>
      <c r="D343" s="783">
        <v>514113.96362409799</v>
      </c>
      <c r="E343" s="783">
        <v>514745.83784868103</v>
      </c>
      <c r="F343" s="783">
        <v>523749.81148126198</v>
      </c>
      <c r="G343" s="783">
        <v>531604.56882234698</v>
      </c>
      <c r="H343" s="783">
        <v>548622.07528737898</v>
      </c>
      <c r="I343" s="783">
        <v>553120.64240694104</v>
      </c>
      <c r="J343" s="783">
        <v>553026.44731156703</v>
      </c>
      <c r="K343" s="783">
        <v>541166.549131301</v>
      </c>
      <c r="L343" s="783">
        <v>538547.85921501496</v>
      </c>
      <c r="M343" s="783">
        <v>530051.63464723201</v>
      </c>
      <c r="N343" s="783">
        <v>526300.75997364998</v>
      </c>
      <c r="O343" s="783">
        <v>524306.29824333405</v>
      </c>
      <c r="P343" s="783">
        <v>523256.11106201302</v>
      </c>
      <c r="Q343" s="783">
        <v>528344.07475019596</v>
      </c>
      <c r="R343" s="783">
        <v>529785.09159867396</v>
      </c>
      <c r="S343" s="783">
        <v>538093.44391725597</v>
      </c>
      <c r="T343" s="783">
        <v>549619.02415810898</v>
      </c>
      <c r="U343" s="783">
        <v>555790.05276288604</v>
      </c>
      <c r="V343" s="783">
        <v>575640.63050104398</v>
      </c>
      <c r="W343" s="783">
        <v>569382.05177983094</v>
      </c>
      <c r="X343" s="783">
        <v>563801.04268301302</v>
      </c>
      <c r="Y343" s="783">
        <v>554282.49671714799</v>
      </c>
      <c r="Z343" s="783">
        <v>551802.83656340605</v>
      </c>
      <c r="AA343" s="783">
        <v>549591.47184022598</v>
      </c>
    </row>
    <row r="344" spans="1:57" s="811" customFormat="1" x14ac:dyDescent="0.25">
      <c r="C344" s="812" t="s">
        <v>727</v>
      </c>
      <c r="AB344" s="811">
        <v>16560.000183523302</v>
      </c>
      <c r="AC344" s="811">
        <v>16560.000183523302</v>
      </c>
      <c r="AD344" s="811">
        <v>16560.000183523302</v>
      </c>
      <c r="AE344" s="811">
        <v>16560.000183523302</v>
      </c>
      <c r="AF344" s="811">
        <v>16560.000183523302</v>
      </c>
      <c r="AG344" s="811">
        <v>16560.000183523302</v>
      </c>
      <c r="AH344" s="811">
        <v>16560.000183523302</v>
      </c>
      <c r="AI344" s="811">
        <v>16560.000183523302</v>
      </c>
      <c r="AJ344" s="811">
        <v>16560.000183523302</v>
      </c>
      <c r="AK344" s="811">
        <v>16560.000183523302</v>
      </c>
      <c r="AL344" s="811">
        <v>16560.000183523302</v>
      </c>
      <c r="AM344" s="811">
        <v>16560.000183523302</v>
      </c>
      <c r="AN344" s="811">
        <v>16560.000183523302</v>
      </c>
      <c r="AO344" s="811">
        <v>16560.000183523302</v>
      </c>
      <c r="AP344" s="811">
        <v>16560.000183523302</v>
      </c>
      <c r="AQ344" s="811">
        <v>16560.000183523302</v>
      </c>
      <c r="AR344" s="811">
        <v>16560.000183523302</v>
      </c>
      <c r="AS344" s="811">
        <v>16560.000183523302</v>
      </c>
      <c r="AT344" s="811">
        <v>16560.000183523302</v>
      </c>
      <c r="AU344" s="811">
        <v>16560.000183523302</v>
      </c>
      <c r="AV344" s="811">
        <v>16560.000183523302</v>
      </c>
      <c r="AW344" s="811">
        <v>16560.000183523302</v>
      </c>
      <c r="AX344" s="811">
        <v>16560.000183523302</v>
      </c>
      <c r="AY344" s="811">
        <v>16560.000183523302</v>
      </c>
      <c r="AZ344" s="811">
        <v>16560.000183523302</v>
      </c>
      <c r="BA344" s="811">
        <v>16560.000183523302</v>
      </c>
      <c r="BB344" s="811">
        <v>16560.000183523302</v>
      </c>
      <c r="BC344" s="811">
        <v>16560.000183523302</v>
      </c>
      <c r="BD344" s="811">
        <v>16560.000183523302</v>
      </c>
      <c r="BE344" s="811">
        <v>16560.000183523302</v>
      </c>
    </row>
    <row r="345" spans="1:57" s="788" customFormat="1" x14ac:dyDescent="0.25">
      <c r="A345" s="783" t="s">
        <v>495</v>
      </c>
      <c r="B345" s="783"/>
      <c r="C345" s="787" t="s">
        <v>693</v>
      </c>
      <c r="D345" s="783">
        <v>1</v>
      </c>
      <c r="E345" s="783">
        <v>1</v>
      </c>
      <c r="F345" s="783">
        <v>1</v>
      </c>
      <c r="G345" s="783">
        <v>1</v>
      </c>
      <c r="H345" s="783">
        <v>1</v>
      </c>
      <c r="I345" s="783">
        <v>1</v>
      </c>
      <c r="J345" s="783">
        <v>1</v>
      </c>
      <c r="K345" s="783">
        <v>1</v>
      </c>
      <c r="L345" s="783">
        <v>1</v>
      </c>
      <c r="M345" s="783">
        <v>1</v>
      </c>
      <c r="N345" s="783">
        <v>1</v>
      </c>
      <c r="O345" s="783">
        <v>1</v>
      </c>
      <c r="P345" s="783">
        <v>1</v>
      </c>
      <c r="Q345" s="783">
        <v>1</v>
      </c>
      <c r="R345" s="783">
        <v>1</v>
      </c>
      <c r="S345" s="783">
        <v>1</v>
      </c>
      <c r="T345" s="783">
        <v>1</v>
      </c>
      <c r="U345" s="783">
        <v>1</v>
      </c>
      <c r="V345" s="783">
        <v>1</v>
      </c>
      <c r="W345" s="783">
        <v>1</v>
      </c>
      <c r="X345" s="783">
        <v>1</v>
      </c>
      <c r="Y345" s="783">
        <v>1</v>
      </c>
      <c r="Z345" s="783">
        <v>1</v>
      </c>
      <c r="AA345" s="783">
        <v>1</v>
      </c>
      <c r="AB345" s="788">
        <v>10.8978</v>
      </c>
      <c r="AC345" s="788">
        <v>10.8978</v>
      </c>
      <c r="AD345" s="788">
        <v>10.8978</v>
      </c>
      <c r="AE345" s="788">
        <v>10.8978</v>
      </c>
      <c r="AF345" s="788">
        <v>10.8978</v>
      </c>
      <c r="AG345" s="788">
        <v>10.8978</v>
      </c>
      <c r="AH345" s="788">
        <v>10.8978</v>
      </c>
      <c r="AI345" s="788">
        <v>10.8978</v>
      </c>
      <c r="AJ345" s="788">
        <v>10.8978</v>
      </c>
      <c r="AK345" s="788">
        <v>10.8978</v>
      </c>
      <c r="AL345" s="788">
        <v>10.8978</v>
      </c>
      <c r="AM345" s="788">
        <v>10.8978</v>
      </c>
      <c r="AN345" s="788">
        <v>10.8978</v>
      </c>
      <c r="AO345" s="788">
        <v>10.8978</v>
      </c>
      <c r="AP345" s="788">
        <v>10.8978</v>
      </c>
      <c r="AQ345" s="788">
        <v>10.8978</v>
      </c>
      <c r="AR345" s="788">
        <v>10.8978</v>
      </c>
      <c r="AS345" s="788">
        <v>10.8978</v>
      </c>
      <c r="AT345" s="788">
        <v>10.8978</v>
      </c>
      <c r="AU345" s="788">
        <v>10.8978</v>
      </c>
      <c r="AV345" s="788">
        <v>10.8978</v>
      </c>
      <c r="AW345" s="788">
        <v>10.8978</v>
      </c>
      <c r="AX345" s="788">
        <v>10.8978</v>
      </c>
      <c r="AY345" s="788">
        <v>10.8978</v>
      </c>
      <c r="AZ345" s="788">
        <v>10.8978</v>
      </c>
      <c r="BA345" s="788">
        <v>10.8978</v>
      </c>
      <c r="BB345" s="788">
        <v>10.8978</v>
      </c>
      <c r="BC345" s="788">
        <v>10.8978</v>
      </c>
      <c r="BD345" s="788">
        <v>10.8978</v>
      </c>
      <c r="BE345" s="788">
        <v>10.8978</v>
      </c>
    </row>
    <row r="346" spans="1:57" x14ac:dyDescent="0.25">
      <c r="A346" s="783" t="s">
        <v>495</v>
      </c>
      <c r="C346" s="784" t="s">
        <v>694</v>
      </c>
      <c r="D346" s="783">
        <v>0</v>
      </c>
      <c r="E346" s="783">
        <v>0</v>
      </c>
      <c r="F346" s="783">
        <v>0</v>
      </c>
      <c r="G346" s="783">
        <v>0</v>
      </c>
      <c r="H346" s="783">
        <v>0</v>
      </c>
      <c r="I346" s="783">
        <v>0</v>
      </c>
      <c r="J346" s="783">
        <v>0</v>
      </c>
      <c r="K346" s="783">
        <v>0</v>
      </c>
      <c r="L346" s="783">
        <v>0</v>
      </c>
      <c r="M346" s="783">
        <v>0</v>
      </c>
      <c r="N346" s="783">
        <v>0</v>
      </c>
      <c r="O346" s="783">
        <v>0</v>
      </c>
      <c r="P346" s="783">
        <v>0</v>
      </c>
      <c r="Q346" s="783">
        <v>0</v>
      </c>
      <c r="R346" s="783">
        <v>0</v>
      </c>
      <c r="S346" s="783">
        <v>0</v>
      </c>
      <c r="T346" s="783">
        <v>0</v>
      </c>
      <c r="U346" s="783">
        <v>0</v>
      </c>
      <c r="V346" s="783">
        <v>0</v>
      </c>
      <c r="W346" s="783">
        <v>0</v>
      </c>
      <c r="X346" s="783">
        <v>0</v>
      </c>
      <c r="Y346" s="783">
        <v>0</v>
      </c>
      <c r="Z346" s="783">
        <v>0</v>
      </c>
      <c r="AA346" s="783">
        <v>0</v>
      </c>
      <c r="AB346" s="783">
        <v>180467.57</v>
      </c>
      <c r="AC346" s="783">
        <v>180467.57</v>
      </c>
      <c r="AD346" s="783">
        <v>180467.57</v>
      </c>
      <c r="AE346" s="783">
        <v>180467.57</v>
      </c>
      <c r="AF346" s="783">
        <v>180467.57</v>
      </c>
      <c r="AG346" s="783">
        <v>180467.57</v>
      </c>
      <c r="AH346" s="783">
        <v>180467.57</v>
      </c>
      <c r="AI346" s="783">
        <v>180467.57</v>
      </c>
      <c r="AJ346" s="783">
        <v>180467.57</v>
      </c>
      <c r="AK346" s="783">
        <v>180467.57</v>
      </c>
      <c r="AL346" s="783">
        <v>180467.57</v>
      </c>
      <c r="AM346" s="783">
        <v>180467.57</v>
      </c>
      <c r="AN346" s="783">
        <v>180467.57</v>
      </c>
      <c r="AO346" s="783">
        <v>180467.57</v>
      </c>
      <c r="AP346" s="783">
        <v>180467.57</v>
      </c>
      <c r="AQ346" s="783">
        <v>180467.57</v>
      </c>
      <c r="AR346" s="783">
        <v>180467.57</v>
      </c>
      <c r="AS346" s="783">
        <v>180467.57</v>
      </c>
      <c r="AT346" s="783">
        <v>180467.57</v>
      </c>
      <c r="AU346" s="783">
        <v>180467.57</v>
      </c>
      <c r="AV346" s="783">
        <v>180467.57</v>
      </c>
      <c r="AW346" s="783">
        <v>180467.57</v>
      </c>
      <c r="AX346" s="783">
        <v>180467.57</v>
      </c>
      <c r="AY346" s="783">
        <v>180467.57</v>
      </c>
      <c r="AZ346" s="783">
        <v>180467.57</v>
      </c>
      <c r="BA346" s="783">
        <v>180467.57</v>
      </c>
      <c r="BB346" s="783">
        <v>180467.57</v>
      </c>
      <c r="BC346" s="783">
        <v>180467.57</v>
      </c>
      <c r="BD346" s="783">
        <v>180467.57</v>
      </c>
      <c r="BE346" s="783">
        <v>180467.57</v>
      </c>
    </row>
    <row r="347" spans="1:57" x14ac:dyDescent="0.25">
      <c r="A347" s="783" t="s">
        <v>495</v>
      </c>
      <c r="C347" s="784" t="s">
        <v>695</v>
      </c>
      <c r="D347" s="786">
        <v>750</v>
      </c>
      <c r="E347" s="786">
        <v>750</v>
      </c>
      <c r="F347" s="786">
        <v>750</v>
      </c>
      <c r="G347" s="786">
        <v>750</v>
      </c>
      <c r="H347" s="786">
        <v>750</v>
      </c>
      <c r="I347" s="786">
        <v>750</v>
      </c>
      <c r="J347" s="786">
        <v>750</v>
      </c>
      <c r="K347" s="786">
        <v>750</v>
      </c>
      <c r="L347" s="786">
        <v>750</v>
      </c>
      <c r="M347" s="786">
        <v>750</v>
      </c>
      <c r="N347" s="786">
        <v>750</v>
      </c>
      <c r="O347" s="786">
        <v>750</v>
      </c>
      <c r="P347" s="786">
        <v>750</v>
      </c>
      <c r="Q347" s="786">
        <v>750</v>
      </c>
      <c r="R347" s="786">
        <v>750</v>
      </c>
      <c r="S347" s="786">
        <v>750</v>
      </c>
      <c r="T347" s="786">
        <v>750</v>
      </c>
      <c r="U347" s="786">
        <v>750</v>
      </c>
      <c r="V347" s="786">
        <v>750</v>
      </c>
      <c r="W347" s="786">
        <v>750</v>
      </c>
      <c r="X347" s="786">
        <v>750</v>
      </c>
      <c r="Y347" s="786">
        <v>750</v>
      </c>
      <c r="Z347" s="786">
        <v>750</v>
      </c>
      <c r="AA347" s="786">
        <v>750</v>
      </c>
    </row>
    <row r="348" spans="1:57" x14ac:dyDescent="0.25">
      <c r="A348" s="783" t="s">
        <v>495</v>
      </c>
      <c r="C348" s="784" t="s">
        <v>696</v>
      </c>
      <c r="D348" s="786">
        <v>0</v>
      </c>
      <c r="E348" s="786">
        <v>0</v>
      </c>
      <c r="F348" s="786">
        <v>0</v>
      </c>
      <c r="G348" s="786">
        <v>0</v>
      </c>
      <c r="H348" s="786">
        <v>0</v>
      </c>
      <c r="I348" s="786">
        <v>0</v>
      </c>
      <c r="J348" s="786">
        <v>0</v>
      </c>
      <c r="K348" s="786">
        <v>0</v>
      </c>
      <c r="L348" s="786">
        <v>0</v>
      </c>
      <c r="M348" s="786">
        <v>0</v>
      </c>
      <c r="N348" s="786">
        <v>0</v>
      </c>
      <c r="O348" s="786">
        <v>0</v>
      </c>
      <c r="P348" s="786">
        <v>0</v>
      </c>
      <c r="Q348" s="786">
        <v>0</v>
      </c>
      <c r="R348" s="786">
        <v>0</v>
      </c>
      <c r="S348" s="786">
        <v>0</v>
      </c>
      <c r="T348" s="786">
        <v>0</v>
      </c>
      <c r="U348" s="786">
        <v>0</v>
      </c>
      <c r="V348" s="786">
        <v>0</v>
      </c>
      <c r="W348" s="786">
        <v>0</v>
      </c>
      <c r="X348" s="786">
        <v>0</v>
      </c>
      <c r="Y348" s="786">
        <v>0</v>
      </c>
      <c r="Z348" s="786">
        <v>0</v>
      </c>
      <c r="AA348" s="786">
        <v>0</v>
      </c>
      <c r="AB348" s="783">
        <v>0</v>
      </c>
      <c r="AC348" s="783">
        <v>0</v>
      </c>
      <c r="AD348" s="783">
        <v>0</v>
      </c>
      <c r="AE348" s="783">
        <v>0</v>
      </c>
      <c r="AF348" s="783">
        <v>0</v>
      </c>
      <c r="AG348" s="783">
        <v>0</v>
      </c>
      <c r="AH348" s="783">
        <v>0</v>
      </c>
      <c r="AI348" s="783">
        <v>0</v>
      </c>
      <c r="AJ348" s="783">
        <v>0</v>
      </c>
      <c r="AK348" s="783">
        <v>0</v>
      </c>
      <c r="AL348" s="783">
        <v>0</v>
      </c>
      <c r="AM348" s="783">
        <v>0</v>
      </c>
      <c r="AN348" s="783">
        <v>0</v>
      </c>
      <c r="AO348" s="783">
        <v>0</v>
      </c>
      <c r="AP348" s="783">
        <v>0</v>
      </c>
      <c r="AQ348" s="783">
        <v>0</v>
      </c>
      <c r="AR348" s="783">
        <v>0</v>
      </c>
      <c r="AS348" s="783">
        <v>0</v>
      </c>
      <c r="AT348" s="783">
        <v>0</v>
      </c>
      <c r="AU348" s="783">
        <v>0</v>
      </c>
      <c r="AV348" s="783">
        <v>0</v>
      </c>
      <c r="AW348" s="783">
        <v>0</v>
      </c>
      <c r="AX348" s="783">
        <v>0</v>
      </c>
      <c r="AY348" s="783">
        <v>0</v>
      </c>
      <c r="AZ348" s="783">
        <v>0</v>
      </c>
      <c r="BA348" s="783">
        <v>0</v>
      </c>
      <c r="BB348" s="783">
        <v>0</v>
      </c>
      <c r="BC348" s="783">
        <v>0</v>
      </c>
      <c r="BD348" s="783">
        <v>0</v>
      </c>
      <c r="BE348" s="783">
        <v>0</v>
      </c>
    </row>
    <row r="349" spans="1:57" x14ac:dyDescent="0.25">
      <c r="A349" s="783" t="s">
        <v>495</v>
      </c>
      <c r="C349" s="784" t="s">
        <v>1062</v>
      </c>
      <c r="D349" s="783">
        <v>1</v>
      </c>
      <c r="E349" s="783">
        <v>1</v>
      </c>
      <c r="F349" s="783">
        <v>1</v>
      </c>
      <c r="G349" s="783">
        <v>1</v>
      </c>
      <c r="H349" s="783">
        <v>1</v>
      </c>
      <c r="I349" s="783">
        <v>1</v>
      </c>
      <c r="J349" s="783">
        <v>1</v>
      </c>
      <c r="K349" s="783">
        <v>1</v>
      </c>
      <c r="L349" s="783">
        <v>1</v>
      </c>
      <c r="M349" s="783">
        <v>1</v>
      </c>
      <c r="N349" s="783">
        <v>1</v>
      </c>
      <c r="O349" s="783">
        <v>1</v>
      </c>
      <c r="P349" s="783">
        <v>1</v>
      </c>
      <c r="Q349" s="783">
        <v>1</v>
      </c>
      <c r="R349" s="783">
        <v>1</v>
      </c>
      <c r="S349" s="783">
        <v>1</v>
      </c>
      <c r="T349" s="783">
        <v>1</v>
      </c>
      <c r="U349" s="783">
        <v>1</v>
      </c>
      <c r="V349" s="783">
        <v>1</v>
      </c>
      <c r="W349" s="783">
        <v>1</v>
      </c>
      <c r="X349" s="783">
        <v>1</v>
      </c>
      <c r="Y349" s="783">
        <v>1</v>
      </c>
      <c r="Z349" s="783">
        <v>1</v>
      </c>
      <c r="AA349" s="783">
        <v>1</v>
      </c>
    </row>
    <row r="350" spans="1:57" x14ac:dyDescent="0.25">
      <c r="A350" s="783" t="s">
        <v>495</v>
      </c>
      <c r="C350" s="784" t="s">
        <v>1063</v>
      </c>
      <c r="D350" s="783">
        <v>1</v>
      </c>
      <c r="E350" s="783">
        <v>1</v>
      </c>
      <c r="F350" s="783">
        <v>1</v>
      </c>
      <c r="G350" s="783">
        <v>1</v>
      </c>
      <c r="H350" s="783">
        <v>1</v>
      </c>
      <c r="I350" s="783">
        <v>1</v>
      </c>
      <c r="J350" s="783">
        <v>1</v>
      </c>
      <c r="K350" s="783">
        <v>1</v>
      </c>
      <c r="L350" s="783">
        <v>1</v>
      </c>
      <c r="M350" s="783">
        <v>1</v>
      </c>
      <c r="N350" s="783">
        <v>1</v>
      </c>
      <c r="O350" s="783">
        <v>1</v>
      </c>
      <c r="P350" s="783">
        <v>1</v>
      </c>
      <c r="Q350" s="783">
        <v>1</v>
      </c>
      <c r="R350" s="783">
        <v>1</v>
      </c>
      <c r="S350" s="783">
        <v>1</v>
      </c>
      <c r="T350" s="783">
        <v>1</v>
      </c>
      <c r="U350" s="783">
        <v>1</v>
      </c>
      <c r="V350" s="783">
        <v>1</v>
      </c>
      <c r="W350" s="783">
        <v>1</v>
      </c>
      <c r="X350" s="783">
        <v>1</v>
      </c>
      <c r="Y350" s="783">
        <v>1</v>
      </c>
      <c r="Z350" s="783">
        <v>1</v>
      </c>
      <c r="AA350" s="783">
        <v>1</v>
      </c>
      <c r="AB350" s="783">
        <v>52610.362789318096</v>
      </c>
      <c r="AC350" s="783">
        <v>52175.466026031099</v>
      </c>
      <c r="AD350" s="783">
        <v>60958.096125220298</v>
      </c>
      <c r="AE350" s="783">
        <v>55997.250315754398</v>
      </c>
      <c r="AF350" s="783">
        <v>85274.960792987695</v>
      </c>
      <c r="AG350" s="783">
        <v>100895.214396558</v>
      </c>
      <c r="AH350" s="783">
        <v>86627.470287227901</v>
      </c>
      <c r="AI350" s="783">
        <v>105553.234374847</v>
      </c>
      <c r="AJ350" s="783">
        <v>87979.768987267002</v>
      </c>
      <c r="AK350" s="783">
        <v>96037.397163945905</v>
      </c>
      <c r="AL350" s="783">
        <v>85971.400152284506</v>
      </c>
      <c r="AM350" s="783">
        <v>58889.052274143804</v>
      </c>
      <c r="AN350" s="783">
        <v>56320.488678250302</v>
      </c>
      <c r="AO350" s="783">
        <v>47808.8236580843</v>
      </c>
      <c r="AP350" s="783">
        <v>57345.544061757697</v>
      </c>
      <c r="AQ350" s="783">
        <v>60108.717681759103</v>
      </c>
      <c r="AR350" s="783">
        <v>121896.473477865</v>
      </c>
      <c r="AS350" s="783">
        <v>105055.508454729</v>
      </c>
      <c r="AT350" s="783">
        <v>108351.106056975</v>
      </c>
      <c r="AU350" s="783">
        <v>106480.951943486</v>
      </c>
      <c r="AV350" s="783">
        <v>93543.993027534205</v>
      </c>
      <c r="AW350" s="783">
        <v>98105.767945989704</v>
      </c>
      <c r="AX350" s="783">
        <v>87604.416078558395</v>
      </c>
      <c r="AY350" s="783">
        <v>45909.437344393999</v>
      </c>
      <c r="AZ350" s="783">
        <v>68857.776278344201</v>
      </c>
      <c r="BA350" s="783">
        <v>50184.625216329303</v>
      </c>
      <c r="BB350" s="783">
        <v>66262.957167497807</v>
      </c>
      <c r="BC350" s="783">
        <v>52156.4748518001</v>
      </c>
      <c r="BD350" s="783">
        <v>71894.820262449997</v>
      </c>
      <c r="BE350" s="783">
        <v>93267.969611402397</v>
      </c>
    </row>
    <row r="351" spans="1:57" x14ac:dyDescent="0.25">
      <c r="A351" s="783" t="s">
        <v>495</v>
      </c>
      <c r="B351" s="783" t="s">
        <v>964</v>
      </c>
      <c r="C351" s="784" t="s">
        <v>697</v>
      </c>
      <c r="D351" s="783">
        <v>750</v>
      </c>
      <c r="E351" s="783">
        <v>750</v>
      </c>
      <c r="F351" s="783">
        <v>750</v>
      </c>
      <c r="G351" s="783">
        <v>750</v>
      </c>
      <c r="H351" s="783">
        <v>750</v>
      </c>
      <c r="I351" s="783">
        <v>750</v>
      </c>
      <c r="J351" s="783">
        <v>750</v>
      </c>
      <c r="K351" s="783">
        <v>750</v>
      </c>
      <c r="L351" s="783">
        <v>750</v>
      </c>
      <c r="M351" s="783">
        <v>750</v>
      </c>
      <c r="N351" s="783">
        <v>750</v>
      </c>
      <c r="O351" s="783">
        <v>750</v>
      </c>
      <c r="P351" s="783">
        <v>750</v>
      </c>
      <c r="Q351" s="783">
        <v>750</v>
      </c>
      <c r="R351" s="783">
        <v>750</v>
      </c>
      <c r="S351" s="783">
        <v>750</v>
      </c>
      <c r="T351" s="783">
        <v>750</v>
      </c>
      <c r="U351" s="783">
        <v>750</v>
      </c>
      <c r="V351" s="783">
        <v>750</v>
      </c>
      <c r="W351" s="783">
        <v>750</v>
      </c>
      <c r="X351" s="783">
        <v>750</v>
      </c>
      <c r="Y351" s="783">
        <v>750</v>
      </c>
      <c r="Z351" s="783">
        <v>750</v>
      </c>
      <c r="AA351" s="783">
        <v>750</v>
      </c>
      <c r="AB351" s="783">
        <v>0</v>
      </c>
      <c r="AC351" s="783">
        <v>0</v>
      </c>
      <c r="AD351" s="783">
        <v>0</v>
      </c>
      <c r="AE351" s="783">
        <v>0</v>
      </c>
      <c r="AF351" s="783">
        <v>0</v>
      </c>
      <c r="AG351" s="783">
        <v>0</v>
      </c>
      <c r="AH351" s="783">
        <v>0</v>
      </c>
      <c r="AI351" s="783">
        <v>0</v>
      </c>
      <c r="AJ351" s="783">
        <v>0</v>
      </c>
      <c r="AK351" s="783">
        <v>0</v>
      </c>
      <c r="AL351" s="783">
        <v>0</v>
      </c>
      <c r="AM351" s="783">
        <v>0</v>
      </c>
      <c r="AN351" s="783">
        <v>0</v>
      </c>
      <c r="AO351" s="783">
        <v>0</v>
      </c>
      <c r="AP351" s="783">
        <v>0</v>
      </c>
      <c r="AQ351" s="783">
        <v>0</v>
      </c>
      <c r="AR351" s="783">
        <v>0</v>
      </c>
      <c r="AS351" s="783">
        <v>0</v>
      </c>
      <c r="AT351" s="783">
        <v>0</v>
      </c>
      <c r="AU351" s="783">
        <v>0</v>
      </c>
      <c r="AV351" s="783">
        <v>0</v>
      </c>
      <c r="AW351" s="783">
        <v>0</v>
      </c>
      <c r="AX351" s="783">
        <v>0</v>
      </c>
      <c r="AY351" s="783">
        <v>0</v>
      </c>
      <c r="AZ351" s="783">
        <v>0</v>
      </c>
      <c r="BA351" s="783">
        <v>0</v>
      </c>
      <c r="BB351" s="783">
        <v>0</v>
      </c>
      <c r="BC351" s="783">
        <v>0</v>
      </c>
      <c r="BD351" s="783">
        <v>0</v>
      </c>
      <c r="BE351" s="783">
        <v>0</v>
      </c>
    </row>
    <row r="352" spans="1:57" x14ac:dyDescent="0.25">
      <c r="A352" s="783" t="s">
        <v>495</v>
      </c>
      <c r="B352" s="783" t="s">
        <v>965</v>
      </c>
      <c r="C352" s="784" t="s">
        <v>698</v>
      </c>
      <c r="D352" s="783">
        <v>0</v>
      </c>
      <c r="E352" s="783">
        <v>0</v>
      </c>
      <c r="F352" s="783">
        <v>0</v>
      </c>
      <c r="G352" s="783">
        <v>0</v>
      </c>
      <c r="H352" s="783">
        <v>0</v>
      </c>
      <c r="I352" s="783">
        <v>0</v>
      </c>
      <c r="J352" s="783">
        <v>0</v>
      </c>
      <c r="K352" s="783">
        <v>0</v>
      </c>
      <c r="L352" s="783">
        <v>0</v>
      </c>
      <c r="M352" s="783">
        <v>0</v>
      </c>
      <c r="N352" s="783">
        <v>0</v>
      </c>
      <c r="O352" s="783">
        <v>0</v>
      </c>
      <c r="P352" s="783">
        <v>0</v>
      </c>
      <c r="Q352" s="783">
        <v>0</v>
      </c>
      <c r="R352" s="783">
        <v>0</v>
      </c>
      <c r="S352" s="783">
        <v>0</v>
      </c>
      <c r="T352" s="783">
        <v>0</v>
      </c>
      <c r="U352" s="783">
        <v>0</v>
      </c>
      <c r="V352" s="783">
        <v>0</v>
      </c>
      <c r="W352" s="783">
        <v>0</v>
      </c>
      <c r="X352" s="783">
        <v>0</v>
      </c>
      <c r="Y352" s="783">
        <v>0</v>
      </c>
      <c r="Z352" s="783">
        <v>0</v>
      </c>
      <c r="AA352" s="783">
        <v>0</v>
      </c>
      <c r="AB352" s="783">
        <v>0</v>
      </c>
      <c r="AC352" s="783">
        <v>0</v>
      </c>
      <c r="AD352" s="783">
        <v>0</v>
      </c>
      <c r="AE352" s="783">
        <v>0</v>
      </c>
      <c r="AF352" s="783">
        <v>0</v>
      </c>
      <c r="AG352" s="783">
        <v>0</v>
      </c>
      <c r="AH352" s="783">
        <v>0</v>
      </c>
      <c r="AI352" s="783">
        <v>0</v>
      </c>
      <c r="AJ352" s="783">
        <v>0</v>
      </c>
      <c r="AK352" s="783">
        <v>0</v>
      </c>
      <c r="AL352" s="783">
        <v>0</v>
      </c>
      <c r="AM352" s="783">
        <v>0</v>
      </c>
      <c r="AN352" s="783">
        <v>0</v>
      </c>
      <c r="AO352" s="783">
        <v>0</v>
      </c>
      <c r="AP352" s="783">
        <v>0</v>
      </c>
      <c r="AQ352" s="783">
        <v>0</v>
      </c>
      <c r="AR352" s="783">
        <v>0</v>
      </c>
      <c r="AS352" s="783">
        <v>0</v>
      </c>
      <c r="AT352" s="783">
        <v>0</v>
      </c>
      <c r="AU352" s="783">
        <v>0</v>
      </c>
      <c r="AV352" s="783">
        <v>0</v>
      </c>
      <c r="AW352" s="783">
        <v>0</v>
      </c>
      <c r="AX352" s="783">
        <v>0</v>
      </c>
      <c r="AY352" s="783">
        <v>0</v>
      </c>
      <c r="AZ352" s="783">
        <v>0</v>
      </c>
      <c r="BA352" s="783">
        <v>0</v>
      </c>
      <c r="BB352" s="783">
        <v>0</v>
      </c>
      <c r="BC352" s="783">
        <v>0</v>
      </c>
      <c r="BD352" s="783">
        <v>0</v>
      </c>
      <c r="BE352" s="783">
        <v>0</v>
      </c>
    </row>
    <row r="353" spans="1:57" x14ac:dyDescent="0.25">
      <c r="A353" s="783" t="s">
        <v>495</v>
      </c>
      <c r="B353" s="783" t="s">
        <v>89</v>
      </c>
      <c r="C353" s="784" t="s">
        <v>699</v>
      </c>
      <c r="D353" s="783">
        <v>750</v>
      </c>
      <c r="E353" s="783">
        <v>750</v>
      </c>
      <c r="F353" s="783">
        <v>750</v>
      </c>
      <c r="G353" s="783">
        <v>750</v>
      </c>
      <c r="H353" s="783">
        <v>750</v>
      </c>
      <c r="I353" s="783">
        <v>750</v>
      </c>
      <c r="J353" s="783">
        <v>750</v>
      </c>
      <c r="K353" s="783">
        <v>750</v>
      </c>
      <c r="L353" s="783">
        <v>750</v>
      </c>
      <c r="M353" s="783">
        <v>750</v>
      </c>
      <c r="N353" s="783">
        <v>750</v>
      </c>
      <c r="O353" s="783">
        <v>750</v>
      </c>
      <c r="P353" s="783">
        <v>750</v>
      </c>
      <c r="Q353" s="783">
        <v>750</v>
      </c>
      <c r="R353" s="783">
        <v>750</v>
      </c>
      <c r="S353" s="783">
        <v>750</v>
      </c>
      <c r="T353" s="783">
        <v>750</v>
      </c>
      <c r="U353" s="783">
        <v>750</v>
      </c>
      <c r="V353" s="783">
        <v>750</v>
      </c>
      <c r="W353" s="783">
        <v>750</v>
      </c>
      <c r="X353" s="783">
        <v>750</v>
      </c>
      <c r="Y353" s="783">
        <v>750</v>
      </c>
      <c r="Z353" s="783">
        <v>750</v>
      </c>
      <c r="AA353" s="783">
        <v>750</v>
      </c>
      <c r="AB353" s="783">
        <v>52610.362789318096</v>
      </c>
      <c r="AC353" s="783">
        <v>52175.466026031099</v>
      </c>
      <c r="AD353" s="783">
        <v>60958.096125220298</v>
      </c>
      <c r="AE353" s="783">
        <v>55997.250315754398</v>
      </c>
      <c r="AF353" s="783">
        <v>85274.960792987695</v>
      </c>
      <c r="AG353" s="783">
        <v>100895.214396558</v>
      </c>
      <c r="AH353" s="783">
        <v>86627.470287227901</v>
      </c>
      <c r="AI353" s="783">
        <v>105553.234374847</v>
      </c>
      <c r="AJ353" s="783">
        <v>87979.768987267002</v>
      </c>
      <c r="AK353" s="783">
        <v>96037.397163945905</v>
      </c>
      <c r="AL353" s="783">
        <v>85971.400152284506</v>
      </c>
      <c r="AM353" s="783">
        <v>58889.052274143804</v>
      </c>
      <c r="AN353" s="783">
        <v>56320.488678250302</v>
      </c>
      <c r="AO353" s="783">
        <v>47808.8236580843</v>
      </c>
      <c r="AP353" s="783">
        <v>57345.544061757697</v>
      </c>
      <c r="AQ353" s="783">
        <v>60108.717681759103</v>
      </c>
      <c r="AR353" s="783">
        <v>121896.473477865</v>
      </c>
      <c r="AS353" s="783">
        <v>105055.508454729</v>
      </c>
      <c r="AT353" s="783">
        <v>108351.106056975</v>
      </c>
      <c r="AU353" s="783">
        <v>106480.951943486</v>
      </c>
      <c r="AV353" s="783">
        <v>93543.993027534205</v>
      </c>
      <c r="AW353" s="783">
        <v>98105.767945989704</v>
      </c>
      <c r="AX353" s="783">
        <v>87604.416078558395</v>
      </c>
      <c r="AY353" s="783">
        <v>45909.437344393999</v>
      </c>
      <c r="AZ353" s="783">
        <v>68857.776278344201</v>
      </c>
      <c r="BA353" s="783">
        <v>50184.625216329303</v>
      </c>
      <c r="BB353" s="783">
        <v>66262.957167497807</v>
      </c>
      <c r="BC353" s="783">
        <v>52156.4748518001</v>
      </c>
      <c r="BD353" s="783">
        <v>71894.820262449997</v>
      </c>
      <c r="BE353" s="783">
        <v>93267.969611402397</v>
      </c>
    </row>
    <row r="354" spans="1:57" x14ac:dyDescent="0.25">
      <c r="A354" s="783" t="s">
        <v>495</v>
      </c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1:57" x14ac:dyDescent="0.25">
      <c r="A355" s="783" t="s">
        <v>495</v>
      </c>
      <c r="C355" s="784" t="s">
        <v>700</v>
      </c>
      <c r="D355" s="783">
        <v>33483.800000000003</v>
      </c>
      <c r="E355" s="783">
        <v>36712.5</v>
      </c>
      <c r="F355" s="783">
        <v>28198.6</v>
      </c>
      <c r="G355" s="783">
        <v>29960.400000000001</v>
      </c>
      <c r="H355" s="783">
        <v>20655.7</v>
      </c>
      <c r="I355" s="783">
        <v>39362</v>
      </c>
      <c r="J355" s="783">
        <v>24349.3</v>
      </c>
      <c r="K355" s="783">
        <v>26248.6</v>
      </c>
      <c r="L355" s="783">
        <v>23317.3</v>
      </c>
      <c r="M355" s="783">
        <v>22331</v>
      </c>
      <c r="N355" s="783">
        <v>22331</v>
      </c>
      <c r="O355" s="783">
        <v>22331</v>
      </c>
      <c r="P355" s="783">
        <v>22331</v>
      </c>
      <c r="Q355" s="783">
        <v>22331</v>
      </c>
      <c r="R355" s="783">
        <v>19692.099999999999</v>
      </c>
      <c r="S355" s="783">
        <v>26739</v>
      </c>
      <c r="T355" s="783">
        <v>30390.400000000001</v>
      </c>
      <c r="U355" s="783">
        <v>25816.2</v>
      </c>
      <c r="V355" s="783">
        <v>24349.3</v>
      </c>
      <c r="W355" s="783">
        <v>26447.5</v>
      </c>
      <c r="X355" s="783">
        <v>21860.6</v>
      </c>
      <c r="Y355" s="783">
        <v>24796.9</v>
      </c>
      <c r="Z355" s="783">
        <v>22331</v>
      </c>
      <c r="AA355" s="783">
        <v>23797.9</v>
      </c>
      <c r="AB355" s="783">
        <v>240509.36798931801</v>
      </c>
      <c r="AC355" s="783">
        <v>240222.00674603099</v>
      </c>
      <c r="AD355" s="783">
        <v>249004.63684522</v>
      </c>
      <c r="AE355" s="783">
        <v>242928.074235754</v>
      </c>
      <c r="AF355" s="783">
        <v>273878.49223298801</v>
      </c>
      <c r="AG355" s="783">
        <v>289700.047596558</v>
      </c>
      <c r="AH355" s="783">
        <v>274252.55788722797</v>
      </c>
      <c r="AI355" s="783">
        <v>294358.06757484702</v>
      </c>
      <c r="AJ355" s="783">
        <v>275738.03050726699</v>
      </c>
      <c r="AK355" s="783">
        <v>284522.83436394599</v>
      </c>
      <c r="AL355" s="783">
        <v>273870.40535228403</v>
      </c>
      <c r="AM355" s="783">
        <v>246788.05747414401</v>
      </c>
      <c r="AN355" s="783">
        <v>244746.62443825</v>
      </c>
      <c r="AO355" s="783">
        <v>235265.132538084</v>
      </c>
      <c r="AP355" s="783">
        <v>244801.852941758</v>
      </c>
      <c r="AQ355" s="783">
        <v>247281.265281759</v>
      </c>
      <c r="AR355" s="783">
        <v>313422.91963786603</v>
      </c>
      <c r="AS355" s="783">
        <v>293997.285494729</v>
      </c>
      <c r="AT355" s="783">
        <v>297381.11717697501</v>
      </c>
      <c r="AU355" s="783">
        <v>294983.83250348602</v>
      </c>
      <c r="AV355" s="783">
        <v>281744.95086753397</v>
      </c>
      <c r="AW355" s="783">
        <v>286595.00498598901</v>
      </c>
      <c r="AX355" s="783">
        <v>275503.42127855797</v>
      </c>
      <c r="AY355" s="783">
        <v>232227.110704394</v>
      </c>
      <c r="AZ355" s="783">
        <v>258865.24387834399</v>
      </c>
      <c r="BA355" s="783">
        <v>238083.63041632899</v>
      </c>
      <c r="BB355" s="783">
        <v>254600.85884749799</v>
      </c>
      <c r="BC355" s="783">
        <v>238474.1482118</v>
      </c>
      <c r="BD355" s="783">
        <v>261451.93202245</v>
      </c>
      <c r="BE355" s="783">
        <v>283673.971611402</v>
      </c>
    </row>
    <row r="356" spans="1:57" x14ac:dyDescent="0.25">
      <c r="A356" s="783" t="s">
        <v>495</v>
      </c>
      <c r="C356" s="784" t="s">
        <v>701</v>
      </c>
      <c r="D356" s="783">
        <v>0</v>
      </c>
      <c r="E356" s="783">
        <v>0</v>
      </c>
      <c r="F356" s="783">
        <v>0</v>
      </c>
      <c r="G356" s="783">
        <v>0</v>
      </c>
      <c r="H356" s="783">
        <v>0</v>
      </c>
      <c r="I356" s="783">
        <v>0</v>
      </c>
      <c r="J356" s="783">
        <v>0</v>
      </c>
      <c r="K356" s="783">
        <v>0</v>
      </c>
      <c r="L356" s="783">
        <v>0</v>
      </c>
      <c r="M356" s="783">
        <v>0</v>
      </c>
      <c r="N356" s="783">
        <v>0</v>
      </c>
      <c r="O356" s="783">
        <v>0</v>
      </c>
      <c r="P356" s="783">
        <v>0</v>
      </c>
      <c r="Q356" s="783">
        <v>0</v>
      </c>
      <c r="R356" s="783">
        <v>0</v>
      </c>
      <c r="S356" s="783">
        <v>0</v>
      </c>
      <c r="T356" s="783">
        <v>0</v>
      </c>
      <c r="U356" s="783">
        <v>0</v>
      </c>
      <c r="V356" s="783">
        <v>0</v>
      </c>
      <c r="W356" s="783">
        <v>0</v>
      </c>
      <c r="X356" s="783">
        <v>0</v>
      </c>
      <c r="Y356" s="783">
        <v>0</v>
      </c>
      <c r="Z356" s="783">
        <v>0</v>
      </c>
      <c r="AA356" s="783">
        <v>0</v>
      </c>
    </row>
    <row r="357" spans="1:57" x14ac:dyDescent="0.25">
      <c r="A357" s="783" t="s">
        <v>495</v>
      </c>
      <c r="B357" s="786"/>
      <c r="C357" s="784" t="s">
        <v>702</v>
      </c>
      <c r="D357" s="788">
        <v>0.29920000000000002</v>
      </c>
      <c r="E357" s="788">
        <v>0.29920000000000002</v>
      </c>
      <c r="F357" s="788">
        <v>0.29920000000000002</v>
      </c>
      <c r="G357" s="788">
        <v>0.29920000000000002</v>
      </c>
      <c r="H357" s="788">
        <v>0.29920000000000002</v>
      </c>
      <c r="I357" s="788">
        <v>0.29920000000000002</v>
      </c>
      <c r="J357" s="788">
        <v>0.29920000000000002</v>
      </c>
      <c r="K357" s="788">
        <v>0.29920000000000002</v>
      </c>
      <c r="L357" s="788">
        <v>0.29920000000000002</v>
      </c>
      <c r="M357" s="788">
        <v>0.29920000000000002</v>
      </c>
      <c r="N357" s="788">
        <v>0.29920000000000002</v>
      </c>
      <c r="O357" s="788">
        <v>0.29920000000000002</v>
      </c>
      <c r="P357" s="788">
        <v>0.29920000000000002</v>
      </c>
      <c r="Q357" s="788">
        <v>0.29920000000000002</v>
      </c>
      <c r="R357" s="788">
        <v>0.29920000000000002</v>
      </c>
      <c r="S357" s="788">
        <v>0.29920000000000002</v>
      </c>
      <c r="T357" s="788">
        <v>0.29920000000000002</v>
      </c>
      <c r="U357" s="788">
        <v>0.29920000000000002</v>
      </c>
      <c r="V357" s="788">
        <v>0.29920000000000002</v>
      </c>
      <c r="W357" s="788">
        <v>0.29920000000000002</v>
      </c>
      <c r="X357" s="788">
        <v>0.29920000000000002</v>
      </c>
      <c r="Y357" s="788">
        <v>0.29920000000000002</v>
      </c>
      <c r="Z357" s="788">
        <v>0.29920000000000002</v>
      </c>
      <c r="AA357" s="788">
        <v>0.29920000000000002</v>
      </c>
      <c r="AB357" s="783">
        <v>326110</v>
      </c>
      <c r="AC357" s="783">
        <v>325888</v>
      </c>
      <c r="AD357" s="783">
        <v>325284</v>
      </c>
      <c r="AE357" s="783">
        <v>325831</v>
      </c>
      <c r="AF357" s="783">
        <v>326574</v>
      </c>
      <c r="AG357" s="783">
        <v>328153</v>
      </c>
      <c r="AH357" s="783">
        <v>328967</v>
      </c>
      <c r="AI357" s="783">
        <v>329180</v>
      </c>
      <c r="AJ357" s="783">
        <v>329604</v>
      </c>
      <c r="AK357" s="783">
        <v>329102</v>
      </c>
      <c r="AL357" s="783">
        <v>328394</v>
      </c>
      <c r="AM357" s="783">
        <v>327957</v>
      </c>
      <c r="AN357" s="783">
        <v>327388</v>
      </c>
      <c r="AO357" s="783">
        <v>327181</v>
      </c>
      <c r="AP357" s="783">
        <v>326591</v>
      </c>
      <c r="AQ357" s="783">
        <v>327153</v>
      </c>
      <c r="AR357" s="783">
        <v>327910</v>
      </c>
      <c r="AS357" s="783">
        <v>329501</v>
      </c>
      <c r="AT357" s="783">
        <v>330327</v>
      </c>
      <c r="AU357" s="783">
        <v>330547</v>
      </c>
      <c r="AV357" s="783">
        <v>330978</v>
      </c>
      <c r="AW357" s="783">
        <v>330487</v>
      </c>
      <c r="AX357" s="783">
        <v>329788</v>
      </c>
      <c r="AY357" s="783">
        <v>329360</v>
      </c>
      <c r="AZ357" s="783">
        <v>328802</v>
      </c>
      <c r="BA357" s="783">
        <v>328602</v>
      </c>
      <c r="BB357" s="783">
        <v>328018</v>
      </c>
      <c r="BC357" s="783">
        <v>328582</v>
      </c>
      <c r="BD357" s="783">
        <v>329342</v>
      </c>
      <c r="BE357" s="783">
        <v>330935</v>
      </c>
    </row>
    <row r="358" spans="1:57" x14ac:dyDescent="0.25">
      <c r="A358" s="783" t="s">
        <v>495</v>
      </c>
      <c r="C358" s="784" t="s">
        <v>703</v>
      </c>
      <c r="D358" s="788">
        <v>0</v>
      </c>
      <c r="E358" s="788">
        <v>0</v>
      </c>
      <c r="F358" s="788">
        <v>0</v>
      </c>
      <c r="G358" s="788">
        <v>0</v>
      </c>
      <c r="H358" s="788">
        <v>0</v>
      </c>
      <c r="I358" s="788">
        <v>0</v>
      </c>
      <c r="J358" s="788">
        <v>0</v>
      </c>
      <c r="K358" s="788">
        <v>0</v>
      </c>
      <c r="L358" s="788">
        <v>0</v>
      </c>
      <c r="M358" s="788">
        <v>0</v>
      </c>
      <c r="N358" s="788">
        <v>0</v>
      </c>
      <c r="O358" s="788">
        <v>0</v>
      </c>
      <c r="P358" s="788">
        <v>0</v>
      </c>
      <c r="Q358" s="788">
        <v>0</v>
      </c>
      <c r="R358" s="788">
        <v>0</v>
      </c>
      <c r="S358" s="788">
        <v>0</v>
      </c>
      <c r="T358" s="788">
        <v>0</v>
      </c>
      <c r="U358" s="788">
        <v>0</v>
      </c>
      <c r="V358" s="788">
        <v>0</v>
      </c>
      <c r="W358" s="788">
        <v>0</v>
      </c>
      <c r="X358" s="788">
        <v>0</v>
      </c>
      <c r="Y358" s="788">
        <v>0</v>
      </c>
      <c r="Z358" s="788">
        <v>0</v>
      </c>
      <c r="AA358" s="788">
        <v>0</v>
      </c>
      <c r="AB358" s="783">
        <v>1286</v>
      </c>
      <c r="AC358" s="783">
        <v>1280</v>
      </c>
      <c r="AD358" s="783">
        <v>1280</v>
      </c>
      <c r="AE358" s="783">
        <v>1293</v>
      </c>
      <c r="AF358" s="783">
        <v>1318</v>
      </c>
      <c r="AG358" s="783">
        <v>1332</v>
      </c>
      <c r="AH358" s="783">
        <v>1340</v>
      </c>
      <c r="AI358" s="783">
        <v>1339</v>
      </c>
      <c r="AJ358" s="783">
        <v>1338</v>
      </c>
      <c r="AK358" s="783">
        <v>1334</v>
      </c>
      <c r="AL358" s="783">
        <v>1321</v>
      </c>
      <c r="AM358" s="783">
        <v>1301</v>
      </c>
      <c r="AN358" s="783">
        <v>1288</v>
      </c>
      <c r="AO358" s="783">
        <v>1280</v>
      </c>
      <c r="AP358" s="783">
        <v>1280</v>
      </c>
      <c r="AQ358" s="783">
        <v>1293</v>
      </c>
      <c r="AR358" s="783">
        <v>1318</v>
      </c>
      <c r="AS358" s="783">
        <v>1332</v>
      </c>
      <c r="AT358" s="783">
        <v>1340</v>
      </c>
      <c r="AU358" s="783">
        <v>1339</v>
      </c>
      <c r="AV358" s="783">
        <v>1339</v>
      </c>
      <c r="AW358" s="783">
        <v>1335</v>
      </c>
      <c r="AX358" s="783">
        <v>1322</v>
      </c>
      <c r="AY358" s="783">
        <v>1302</v>
      </c>
      <c r="AZ358" s="783">
        <v>1289</v>
      </c>
      <c r="BA358" s="783">
        <v>1282</v>
      </c>
      <c r="BB358" s="783">
        <v>1283</v>
      </c>
      <c r="BC358" s="783">
        <v>1294</v>
      </c>
      <c r="BD358" s="783">
        <v>1319</v>
      </c>
      <c r="BE358" s="783">
        <v>1333</v>
      </c>
    </row>
    <row r="359" spans="1:57" x14ac:dyDescent="0.25">
      <c r="A359" s="783" t="s">
        <v>495</v>
      </c>
      <c r="C359" s="784" t="s">
        <v>704</v>
      </c>
      <c r="D359" s="783">
        <v>10018.35296</v>
      </c>
      <c r="E359" s="783">
        <v>10984.38</v>
      </c>
      <c r="F359" s="783">
        <v>8437.0211199999994</v>
      </c>
      <c r="G359" s="783">
        <v>8964.1516800000009</v>
      </c>
      <c r="H359" s="783">
        <v>6180.1854400000002</v>
      </c>
      <c r="I359" s="783">
        <v>11777.1104</v>
      </c>
      <c r="J359" s="783">
        <v>7285.3105599999999</v>
      </c>
      <c r="K359" s="783">
        <v>7853.5811199999998</v>
      </c>
      <c r="L359" s="783">
        <v>6976.5361599999997</v>
      </c>
      <c r="M359" s="783">
        <v>6681.4351999999999</v>
      </c>
      <c r="N359" s="783">
        <v>6681.4351999999999</v>
      </c>
      <c r="O359" s="783">
        <v>6681.4351999999999</v>
      </c>
      <c r="P359" s="783">
        <v>6681.4351999999999</v>
      </c>
      <c r="Q359" s="783">
        <v>6681.4351999999999</v>
      </c>
      <c r="R359" s="783">
        <v>5891.8763200000003</v>
      </c>
      <c r="S359" s="783">
        <v>8000.3087999999998</v>
      </c>
      <c r="T359" s="783">
        <v>9092.8076799999999</v>
      </c>
      <c r="U359" s="783">
        <v>7724.2070400000002</v>
      </c>
      <c r="V359" s="783">
        <v>7285.3105599999999</v>
      </c>
      <c r="W359" s="783">
        <v>7913.0919999999996</v>
      </c>
      <c r="X359" s="783">
        <v>6540.6915200000003</v>
      </c>
      <c r="Y359" s="783">
        <v>7419.2324799999997</v>
      </c>
      <c r="Z359" s="783">
        <v>6681.4351999999999</v>
      </c>
      <c r="AA359" s="783">
        <v>7120.3316800000002</v>
      </c>
      <c r="AB359" s="783">
        <v>3428.33</v>
      </c>
      <c r="AC359" s="783">
        <v>3428.33</v>
      </c>
      <c r="AD359" s="783">
        <v>3412.8999999999901</v>
      </c>
      <c r="AE359" s="783">
        <v>3428.33</v>
      </c>
      <c r="AF359" s="783">
        <v>3412.8999999999901</v>
      </c>
      <c r="AG359" s="783">
        <v>3428.33</v>
      </c>
      <c r="AH359" s="783">
        <v>3428.33</v>
      </c>
      <c r="AI359" s="783">
        <v>3382.04</v>
      </c>
      <c r="AJ359" s="783">
        <v>3428.33</v>
      </c>
      <c r="AK359" s="783">
        <v>3412.8999999999901</v>
      </c>
      <c r="AL359" s="783">
        <v>3428.33</v>
      </c>
      <c r="AM359" s="783">
        <v>3412.8999999999901</v>
      </c>
      <c r="AN359" s="783">
        <v>3428.33</v>
      </c>
      <c r="AO359" s="783">
        <v>3428.33</v>
      </c>
      <c r="AP359" s="783">
        <v>3412.8999999999901</v>
      </c>
      <c r="AQ359" s="783">
        <v>3428.33</v>
      </c>
      <c r="AR359" s="783">
        <v>3412.8999999999901</v>
      </c>
      <c r="AS359" s="783">
        <v>3428.33</v>
      </c>
      <c r="AT359" s="783">
        <v>3428.33</v>
      </c>
      <c r="AU359" s="783">
        <v>3397.47</v>
      </c>
      <c r="AV359" s="783">
        <v>3428.33</v>
      </c>
      <c r="AW359" s="783">
        <v>3412.8999999999901</v>
      </c>
      <c r="AX359" s="783">
        <v>3428.33</v>
      </c>
      <c r="AY359" s="783">
        <v>3412.8999999999901</v>
      </c>
      <c r="AZ359" s="783">
        <v>3428.33</v>
      </c>
      <c r="BA359" s="783">
        <v>3428.33</v>
      </c>
      <c r="BB359" s="783">
        <v>3412.8999999999901</v>
      </c>
      <c r="BC359" s="783">
        <v>3428.33</v>
      </c>
      <c r="BD359" s="783">
        <v>3412.8999999999901</v>
      </c>
      <c r="BE359" s="783">
        <v>3428.33</v>
      </c>
    </row>
    <row r="360" spans="1:57" x14ac:dyDescent="0.25">
      <c r="A360" s="783" t="s">
        <v>495</v>
      </c>
      <c r="C360" s="784" t="s">
        <v>705</v>
      </c>
      <c r="D360" s="783">
        <v>0</v>
      </c>
      <c r="E360" s="783">
        <v>0</v>
      </c>
      <c r="F360" s="783">
        <v>0</v>
      </c>
      <c r="G360" s="783">
        <v>0</v>
      </c>
      <c r="H360" s="783">
        <v>0</v>
      </c>
      <c r="I360" s="783">
        <v>0</v>
      </c>
      <c r="J360" s="783">
        <v>0</v>
      </c>
      <c r="K360" s="783">
        <v>0</v>
      </c>
      <c r="L360" s="783">
        <v>0</v>
      </c>
      <c r="M360" s="783">
        <v>0</v>
      </c>
      <c r="N360" s="783">
        <v>0</v>
      </c>
      <c r="O360" s="783">
        <v>0</v>
      </c>
      <c r="P360" s="783">
        <v>0</v>
      </c>
      <c r="Q360" s="783">
        <v>0</v>
      </c>
      <c r="R360" s="783">
        <v>0</v>
      </c>
      <c r="S360" s="783">
        <v>0</v>
      </c>
      <c r="T360" s="783">
        <v>0</v>
      </c>
      <c r="U360" s="783">
        <v>0</v>
      </c>
      <c r="V360" s="783">
        <v>0</v>
      </c>
      <c r="W360" s="783">
        <v>0</v>
      </c>
      <c r="X360" s="783">
        <v>0</v>
      </c>
      <c r="Y360" s="783">
        <v>0</v>
      </c>
      <c r="Z360" s="783">
        <v>0</v>
      </c>
      <c r="AA360" s="783">
        <v>0</v>
      </c>
      <c r="AB360" s="783">
        <v>2858.62</v>
      </c>
      <c r="AC360" s="783">
        <v>2858.62</v>
      </c>
      <c r="AD360" s="783">
        <v>2790.5999999999899</v>
      </c>
      <c r="AE360" s="783">
        <v>2858.62</v>
      </c>
      <c r="AF360" s="783">
        <v>2790.5999999999899</v>
      </c>
      <c r="AG360" s="783">
        <v>2858.62</v>
      </c>
      <c r="AH360" s="783">
        <v>2858.62</v>
      </c>
      <c r="AI360" s="783">
        <v>2654.56</v>
      </c>
      <c r="AJ360" s="783">
        <v>2858.62</v>
      </c>
      <c r="AK360" s="783">
        <v>2790.5999999999899</v>
      </c>
      <c r="AL360" s="783">
        <v>2858.62</v>
      </c>
      <c r="AM360" s="783">
        <v>2790.5999999999899</v>
      </c>
      <c r="AN360" s="783">
        <v>2858.62</v>
      </c>
      <c r="AO360" s="783">
        <v>2858.62</v>
      </c>
      <c r="AP360" s="783">
        <v>2790.5999999999899</v>
      </c>
      <c r="AQ360" s="783">
        <v>2858.62</v>
      </c>
      <c r="AR360" s="783">
        <v>2790.5999999999899</v>
      </c>
      <c r="AS360" s="783">
        <v>2858.62</v>
      </c>
      <c r="AT360" s="783">
        <v>2858.62</v>
      </c>
      <c r="AU360" s="783">
        <v>2722.58</v>
      </c>
      <c r="AV360" s="783">
        <v>2858.62</v>
      </c>
      <c r="AW360" s="783">
        <v>2790.5999999999899</v>
      </c>
      <c r="AX360" s="783">
        <v>2858.62</v>
      </c>
      <c r="AY360" s="783">
        <v>2790.5999999999899</v>
      </c>
      <c r="AZ360" s="783">
        <v>2858.62</v>
      </c>
      <c r="BA360" s="783">
        <v>2858.62</v>
      </c>
      <c r="BB360" s="783">
        <v>2790.5999999999899</v>
      </c>
      <c r="BC360" s="783">
        <v>2858.62</v>
      </c>
      <c r="BD360" s="783">
        <v>2790.5999999999899</v>
      </c>
      <c r="BE360" s="783">
        <v>2858.62</v>
      </c>
    </row>
    <row r="361" spans="1:57" s="786" customFormat="1" x14ac:dyDescent="0.25">
      <c r="A361" s="783" t="s">
        <v>495</v>
      </c>
      <c r="B361" s="783" t="s">
        <v>374</v>
      </c>
      <c r="C361" s="785" t="s">
        <v>706</v>
      </c>
      <c r="D361" s="783">
        <v>10018.35296</v>
      </c>
      <c r="E361" s="783">
        <v>10984.38</v>
      </c>
      <c r="F361" s="783">
        <v>8437.0211199999994</v>
      </c>
      <c r="G361" s="783">
        <v>8964.1516800000009</v>
      </c>
      <c r="H361" s="783">
        <v>6180.1854400000002</v>
      </c>
      <c r="I361" s="783">
        <v>11777.1104</v>
      </c>
      <c r="J361" s="783">
        <v>7285.3105599999999</v>
      </c>
      <c r="K361" s="783">
        <v>7853.5811199999998</v>
      </c>
      <c r="L361" s="783">
        <v>6976.5361599999997</v>
      </c>
      <c r="M361" s="783">
        <v>6681.4351999999999</v>
      </c>
      <c r="N361" s="783">
        <v>6681.4351999999999</v>
      </c>
      <c r="O361" s="783">
        <v>6681.4351999999999</v>
      </c>
      <c r="P361" s="783">
        <v>6681.4351999999999</v>
      </c>
      <c r="Q361" s="783">
        <v>6681.4351999999999</v>
      </c>
      <c r="R361" s="783">
        <v>5891.8763200000003</v>
      </c>
      <c r="S361" s="783">
        <v>8000.3087999999998</v>
      </c>
      <c r="T361" s="783">
        <v>9092.8076799999999</v>
      </c>
      <c r="U361" s="783">
        <v>7724.2070400000002</v>
      </c>
      <c r="V361" s="783">
        <v>7285.3105599999999</v>
      </c>
      <c r="W361" s="783">
        <v>7913.0919999999996</v>
      </c>
      <c r="X361" s="783">
        <v>6540.6915200000003</v>
      </c>
      <c r="Y361" s="783">
        <v>7419.2324799999997</v>
      </c>
      <c r="Z361" s="783">
        <v>6681.4351999999999</v>
      </c>
      <c r="AA361" s="783">
        <v>7120.3316800000002</v>
      </c>
      <c r="AB361" s="786">
        <v>7636993.0099999998</v>
      </c>
      <c r="AC361" s="786">
        <v>7628288.9400000004</v>
      </c>
      <c r="AD361" s="786">
        <v>7371567.9000000004</v>
      </c>
      <c r="AE361" s="786">
        <v>7633043.4299999997</v>
      </c>
      <c r="AF361" s="786">
        <v>7420359.2999999998</v>
      </c>
      <c r="AG361" s="786">
        <v>7711807.5199999996</v>
      </c>
      <c r="AH361" s="786">
        <v>7726976.5800000001</v>
      </c>
      <c r="AI361" s="786">
        <v>6989568.4799999902</v>
      </c>
      <c r="AJ361" s="786">
        <v>7741228.3200000003</v>
      </c>
      <c r="AK361" s="786">
        <v>7481176.2000000002</v>
      </c>
      <c r="AL361" s="786">
        <v>7704784.3200000003</v>
      </c>
      <c r="AM361" s="786">
        <v>7438277.7000000002</v>
      </c>
      <c r="AN361" s="786">
        <v>7663824.4400000004</v>
      </c>
      <c r="AO361" s="786">
        <v>7655463.54</v>
      </c>
      <c r="AP361" s="786">
        <v>7398138.9000000004</v>
      </c>
      <c r="AQ361" s="786">
        <v>7660843.2999999998</v>
      </c>
      <c r="AR361" s="786">
        <v>7447535.4000000004</v>
      </c>
      <c r="AS361" s="786">
        <v>7739401.4400000004</v>
      </c>
      <c r="AT361" s="786">
        <v>7755771.8600000003</v>
      </c>
      <c r="AU361" s="786">
        <v>7264089.0800000001</v>
      </c>
      <c r="AV361" s="786">
        <v>7770264.7800000003</v>
      </c>
      <c r="AW361" s="786">
        <v>7509490.5</v>
      </c>
      <c r="AX361" s="786">
        <v>7733386.9800000004</v>
      </c>
      <c r="AY361" s="786">
        <v>7466109</v>
      </c>
      <c r="AZ361" s="786">
        <v>7693707.8200000003</v>
      </c>
      <c r="BA361" s="786">
        <v>7685487.9699999997</v>
      </c>
      <c r="BB361" s="786">
        <v>7426541.7000000002</v>
      </c>
      <c r="BC361" s="786">
        <v>7691013.1200000001</v>
      </c>
      <c r="BD361" s="786">
        <v>7476830.0999999996</v>
      </c>
      <c r="BE361" s="786">
        <v>7769672.0099999998</v>
      </c>
    </row>
    <row r="362" spans="1:57" s="786" customFormat="1" x14ac:dyDescent="0.25">
      <c r="A362" s="783" t="s">
        <v>495</v>
      </c>
      <c r="B362" s="783"/>
      <c r="C362" s="785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 s="786">
        <v>412834.12999999902</v>
      </c>
      <c r="AC362" s="786">
        <v>410144.56999999902</v>
      </c>
      <c r="AD362" s="786">
        <v>398288.39999999898</v>
      </c>
      <c r="AE362" s="786">
        <v>419127.74999999901</v>
      </c>
      <c r="AF362" s="786">
        <v>416757.89999999898</v>
      </c>
      <c r="AG362" s="786">
        <v>435663.14999999898</v>
      </c>
      <c r="AH362" s="786">
        <v>438933.64999999898</v>
      </c>
      <c r="AI362" s="786">
        <v>395338.72</v>
      </c>
      <c r="AJ362" s="786">
        <v>437405.96999999898</v>
      </c>
      <c r="AK362" s="786">
        <v>421713.59999999899</v>
      </c>
      <c r="AL362" s="786">
        <v>430101.12999999902</v>
      </c>
      <c r="AM362" s="786">
        <v>406481.99999999901</v>
      </c>
      <c r="AN362" s="786">
        <v>413415.06999999902</v>
      </c>
      <c r="AO362" s="786">
        <v>409671.19999999902</v>
      </c>
      <c r="AP362" s="786">
        <v>397830.299999999</v>
      </c>
      <c r="AQ362" s="786">
        <v>418654.37999999902</v>
      </c>
      <c r="AR362" s="786">
        <v>416299.799999999</v>
      </c>
      <c r="AS362" s="786">
        <v>435189.77999999898</v>
      </c>
      <c r="AT362" s="786">
        <v>438460.27999999898</v>
      </c>
      <c r="AU362" s="786">
        <v>409015.12999999902</v>
      </c>
      <c r="AV362" s="786">
        <v>437223.06999999902</v>
      </c>
      <c r="AW362" s="786">
        <v>421536.6</v>
      </c>
      <c r="AX362" s="786">
        <v>430391.6</v>
      </c>
      <c r="AY362" s="786">
        <v>406763.09999999899</v>
      </c>
      <c r="AZ362" s="786">
        <v>413705.53999999899</v>
      </c>
      <c r="BA362" s="786">
        <v>410725.50999999902</v>
      </c>
      <c r="BB362" s="786">
        <v>399131.69999999902</v>
      </c>
      <c r="BC362" s="786">
        <v>418944.85</v>
      </c>
      <c r="BD362" s="786">
        <v>416580.89999999898</v>
      </c>
      <c r="BE362" s="786">
        <v>435480.24999999901</v>
      </c>
    </row>
    <row r="363" spans="1:57" x14ac:dyDescent="0.25">
      <c r="A363" s="783" t="s">
        <v>495</v>
      </c>
      <c r="C363" s="784" t="s">
        <v>707</v>
      </c>
      <c r="D363" s="786">
        <v>0</v>
      </c>
      <c r="E363" s="786">
        <v>0</v>
      </c>
      <c r="F363" s="786">
        <v>0</v>
      </c>
      <c r="G363" s="786">
        <v>0</v>
      </c>
      <c r="H363" s="786">
        <v>0</v>
      </c>
      <c r="I363" s="786">
        <v>0</v>
      </c>
      <c r="J363" s="786">
        <v>0</v>
      </c>
      <c r="K363" s="786">
        <v>0</v>
      </c>
      <c r="L363" s="786">
        <v>0</v>
      </c>
      <c r="M363" s="786">
        <v>0</v>
      </c>
      <c r="N363" s="786">
        <v>0</v>
      </c>
      <c r="O363" s="786">
        <v>0</v>
      </c>
      <c r="P363" s="786">
        <v>0</v>
      </c>
      <c r="Q363" s="786">
        <v>0</v>
      </c>
      <c r="R363" s="786">
        <v>0</v>
      </c>
      <c r="S363" s="786">
        <v>0</v>
      </c>
      <c r="T363" s="786">
        <v>0</v>
      </c>
      <c r="U363" s="786">
        <v>0</v>
      </c>
      <c r="V363" s="786">
        <v>0</v>
      </c>
      <c r="W363" s="786">
        <v>0</v>
      </c>
      <c r="X363" s="786">
        <v>0</v>
      </c>
      <c r="Y363" s="786">
        <v>0</v>
      </c>
      <c r="Z363" s="786">
        <v>0</v>
      </c>
      <c r="AA363" s="786">
        <v>0</v>
      </c>
      <c r="AB363" s="783">
        <v>8049827.1399999997</v>
      </c>
      <c r="AC363" s="783">
        <v>8038433.5099999998</v>
      </c>
      <c r="AD363" s="783">
        <v>7769856.2999999998</v>
      </c>
      <c r="AE363" s="783">
        <v>8052171.1799999997</v>
      </c>
      <c r="AF363" s="783">
        <v>7837117.2000000002</v>
      </c>
      <c r="AG363" s="783">
        <v>8147470.6699999999</v>
      </c>
      <c r="AH363" s="783">
        <v>8165910.2300000004</v>
      </c>
      <c r="AI363" s="783">
        <v>7384907.2000000002</v>
      </c>
      <c r="AJ363" s="783">
        <v>8178634.29</v>
      </c>
      <c r="AK363" s="783">
        <v>7902889.7999999998</v>
      </c>
      <c r="AL363" s="783">
        <v>8134885.4500000002</v>
      </c>
      <c r="AM363" s="783">
        <v>7844759.7000000002</v>
      </c>
      <c r="AN363" s="783">
        <v>8077239.5099999998</v>
      </c>
      <c r="AO363" s="783">
        <v>8065134.7400000002</v>
      </c>
      <c r="AP363" s="783">
        <v>7795969.2000000002</v>
      </c>
      <c r="AQ363" s="783">
        <v>8079497.6799999997</v>
      </c>
      <c r="AR363" s="783">
        <v>7863835.2000000002</v>
      </c>
      <c r="AS363" s="783">
        <v>8174591.2199999997</v>
      </c>
      <c r="AT363" s="783">
        <v>8194232.1399999997</v>
      </c>
      <c r="AU363" s="783">
        <v>7673104.21</v>
      </c>
      <c r="AV363" s="783">
        <v>8207487.8499999996</v>
      </c>
      <c r="AW363" s="783">
        <v>7931027.0999999996</v>
      </c>
      <c r="AX363" s="783">
        <v>8163778.5800000001</v>
      </c>
      <c r="AY363" s="783">
        <v>7872872.0999999996</v>
      </c>
      <c r="AZ363" s="783">
        <v>8107413.3600000003</v>
      </c>
      <c r="BA363" s="783">
        <v>8096213.4800000004</v>
      </c>
      <c r="BB363" s="783">
        <v>7825673.4000000004</v>
      </c>
      <c r="BC363" s="783">
        <v>8109957.9699999997</v>
      </c>
      <c r="BD363" s="783">
        <v>7893411</v>
      </c>
      <c r="BE363" s="783">
        <v>8205152.2599999998</v>
      </c>
    </row>
    <row r="364" spans="1:57" x14ac:dyDescent="0.25">
      <c r="A364" s="783" t="s">
        <v>495</v>
      </c>
      <c r="B364" s="783" t="s">
        <v>520</v>
      </c>
      <c r="C364" s="784" t="s">
        <v>708</v>
      </c>
      <c r="D364" s="783">
        <v>0</v>
      </c>
      <c r="E364" s="783">
        <v>0</v>
      </c>
      <c r="F364" s="783">
        <v>0</v>
      </c>
      <c r="G364" s="783">
        <v>0</v>
      </c>
      <c r="H364" s="783">
        <v>0</v>
      </c>
      <c r="I364" s="783">
        <v>0</v>
      </c>
      <c r="J364" s="783">
        <v>0</v>
      </c>
      <c r="K364" s="783">
        <v>0</v>
      </c>
      <c r="L364" s="783">
        <v>0</v>
      </c>
      <c r="M364" s="783">
        <v>0</v>
      </c>
      <c r="N364" s="783">
        <v>0</v>
      </c>
      <c r="O364" s="783">
        <v>0</v>
      </c>
      <c r="P364" s="783">
        <v>0</v>
      </c>
      <c r="Q364" s="783">
        <v>0</v>
      </c>
      <c r="R364" s="783">
        <v>0</v>
      </c>
      <c r="S364" s="783">
        <v>0</v>
      </c>
      <c r="T364" s="783">
        <v>0</v>
      </c>
      <c r="U364" s="783">
        <v>0</v>
      </c>
      <c r="V364" s="783">
        <v>0</v>
      </c>
      <c r="W364" s="783">
        <v>0</v>
      </c>
      <c r="X364" s="783">
        <v>0</v>
      </c>
      <c r="Y364" s="783">
        <v>0</v>
      </c>
      <c r="Z364" s="783">
        <v>0</v>
      </c>
      <c r="AA364" s="783">
        <v>0</v>
      </c>
    </row>
    <row r="365" spans="1:57" x14ac:dyDescent="0.25">
      <c r="A365" s="783" t="s">
        <v>495</v>
      </c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 s="783">
        <v>1196499.7433774101</v>
      </c>
      <c r="AC365" s="783">
        <v>1280928.38041639</v>
      </c>
      <c r="AD365" s="783">
        <v>1422678.39624939</v>
      </c>
      <c r="AE365" s="783">
        <v>2234359.0608819001</v>
      </c>
      <c r="AF365" s="783">
        <v>4817487.0211592996</v>
      </c>
      <c r="AG365" s="783">
        <v>6440990.09488477</v>
      </c>
      <c r="AH365" s="783">
        <v>8009840.5166747803</v>
      </c>
      <c r="AI365" s="783">
        <v>6438782.5624787696</v>
      </c>
      <c r="AJ365" s="783">
        <v>5214096.4447352299</v>
      </c>
      <c r="AK365" s="783">
        <v>2550634.68122643</v>
      </c>
      <c r="AL365" s="783">
        <v>1705335.0065436501</v>
      </c>
      <c r="AM365" s="783">
        <v>1327900.8701559601</v>
      </c>
      <c r="AN365" s="783">
        <v>1210203.8648062199</v>
      </c>
      <c r="AO365" s="783">
        <v>1290825.7877533301</v>
      </c>
      <c r="AP365" s="783">
        <v>1435996.7460083701</v>
      </c>
      <c r="AQ365" s="783">
        <v>2251859.4952222002</v>
      </c>
      <c r="AR365" s="783">
        <v>4845574.7538304804</v>
      </c>
      <c r="AS365" s="783">
        <v>6452970.3113612104</v>
      </c>
      <c r="AT365" s="783">
        <v>8024407.9597376799</v>
      </c>
      <c r="AU365" s="783">
        <v>6508232.89335432</v>
      </c>
      <c r="AV365" s="783">
        <v>5273071.10911569</v>
      </c>
      <c r="AW365" s="783">
        <v>2567501.5826586401</v>
      </c>
      <c r="AX365" s="783">
        <v>1719407.9973227</v>
      </c>
      <c r="AY365" s="783">
        <v>1334016.32619941</v>
      </c>
      <c r="AZ365" s="783">
        <v>1226569.04914255</v>
      </c>
      <c r="BA365" s="783">
        <v>1302950.63763118</v>
      </c>
      <c r="BB365" s="783">
        <v>1452254.27488481</v>
      </c>
      <c r="BC365" s="783">
        <v>2259130.4213932701</v>
      </c>
      <c r="BD365" s="783">
        <v>4848469.9777228301</v>
      </c>
      <c r="BE365" s="783">
        <v>6458055.8845867701</v>
      </c>
    </row>
    <row r="366" spans="1:57" x14ac:dyDescent="0.25">
      <c r="A366" s="783" t="s">
        <v>495</v>
      </c>
      <c r="B366" s="783" t="s">
        <v>1075</v>
      </c>
      <c r="C366" s="784" t="s">
        <v>709</v>
      </c>
      <c r="D366" s="783">
        <v>16560.000183523302</v>
      </c>
      <c r="E366" s="783">
        <v>16560.000183523302</v>
      </c>
      <c r="F366" s="783">
        <v>16560.000183523302</v>
      </c>
      <c r="G366" s="783">
        <v>16560.000183523302</v>
      </c>
      <c r="H366" s="783">
        <v>16560.000183523302</v>
      </c>
      <c r="I366" s="783">
        <v>16560.000183523302</v>
      </c>
      <c r="J366" s="783">
        <v>16560.000183523302</v>
      </c>
      <c r="K366" s="783">
        <v>16560.000183523302</v>
      </c>
      <c r="L366" s="783">
        <v>16560.000183523302</v>
      </c>
      <c r="M366" s="783">
        <v>16560.000183523302</v>
      </c>
      <c r="N366" s="783">
        <v>16560.000183523302</v>
      </c>
      <c r="O366" s="783">
        <v>16560.000183523302</v>
      </c>
      <c r="P366" s="783">
        <v>16560.000183523302</v>
      </c>
      <c r="Q366" s="783">
        <v>16560.000183523302</v>
      </c>
      <c r="R366" s="783">
        <v>16560.000183523302</v>
      </c>
      <c r="S366" s="783">
        <v>16560.000183523302</v>
      </c>
      <c r="T366" s="783">
        <v>16560.000183523302</v>
      </c>
      <c r="U366" s="783">
        <v>16560.000183523302</v>
      </c>
      <c r="V366" s="783">
        <v>16560.000183523302</v>
      </c>
      <c r="W366" s="783">
        <v>16560.000183523302</v>
      </c>
      <c r="X366" s="783">
        <v>16560.000183523302</v>
      </c>
      <c r="Y366" s="783">
        <v>16560.000183523302</v>
      </c>
      <c r="Z366" s="783">
        <v>16560.000183523302</v>
      </c>
      <c r="AA366" s="783">
        <v>16560.000183523302</v>
      </c>
      <c r="AB366" s="783">
        <v>131679.743613926</v>
      </c>
      <c r="AC366" s="783">
        <v>138704.43537669099</v>
      </c>
      <c r="AD366" s="783">
        <v>178027.73755716</v>
      </c>
      <c r="AE366" s="783">
        <v>285050.17305576598</v>
      </c>
      <c r="AF366" s="783">
        <v>0</v>
      </c>
      <c r="AG366" s="783">
        <v>0</v>
      </c>
      <c r="AH366" s="783">
        <v>0</v>
      </c>
      <c r="AI366" s="783">
        <v>0</v>
      </c>
      <c r="AJ366" s="783">
        <v>0</v>
      </c>
      <c r="AK366" s="783">
        <v>315932.55438653298</v>
      </c>
      <c r="AL366" s="783">
        <v>203523.51599247701</v>
      </c>
      <c r="AM366" s="783">
        <v>152787.474323648</v>
      </c>
      <c r="AN366" s="783">
        <v>134353.03987732701</v>
      </c>
      <c r="AO366" s="783">
        <v>141377.50464029401</v>
      </c>
      <c r="AP366" s="783">
        <v>183875.07315247599</v>
      </c>
      <c r="AQ366" s="783">
        <v>292582.97636045102</v>
      </c>
      <c r="AR366" s="783">
        <v>0</v>
      </c>
      <c r="AS366" s="783">
        <v>0</v>
      </c>
      <c r="AT366" s="783">
        <v>0</v>
      </c>
      <c r="AU366" s="783">
        <v>0</v>
      </c>
      <c r="AV366" s="783">
        <v>0</v>
      </c>
      <c r="AW366" s="783">
        <v>323388.30927516898</v>
      </c>
      <c r="AX366" s="783">
        <v>208670.041973888</v>
      </c>
      <c r="AY366" s="783">
        <v>155653.300409547</v>
      </c>
      <c r="AZ366" s="783">
        <v>137373.10549314</v>
      </c>
      <c r="BA366" s="783">
        <v>144570.74677391199</v>
      </c>
      <c r="BB366" s="783">
        <v>189800.185448139</v>
      </c>
      <c r="BC366" s="783">
        <v>299641.34930776199</v>
      </c>
      <c r="BD366" s="783">
        <v>0</v>
      </c>
      <c r="BE366" s="783">
        <v>0</v>
      </c>
    </row>
    <row r="367" spans="1:57" x14ac:dyDescent="0.25">
      <c r="A367" s="783" t="s">
        <v>495</v>
      </c>
      <c r="C367" s="784" t="s">
        <v>710</v>
      </c>
      <c r="D367" s="788">
        <v>10.8978</v>
      </c>
      <c r="E367" s="788">
        <v>10.8978</v>
      </c>
      <c r="F367" s="788">
        <v>10.8978</v>
      </c>
      <c r="G367" s="788">
        <v>10.8978</v>
      </c>
      <c r="H367" s="788">
        <v>10.8978</v>
      </c>
      <c r="I367" s="788">
        <v>10.8978</v>
      </c>
      <c r="J367" s="788">
        <v>10.8978</v>
      </c>
      <c r="K367" s="788">
        <v>10.8978</v>
      </c>
      <c r="L367" s="788">
        <v>10.8978</v>
      </c>
      <c r="M367" s="788">
        <v>10.8978</v>
      </c>
      <c r="N367" s="788">
        <v>10.8978</v>
      </c>
      <c r="O367" s="788">
        <v>10.8978</v>
      </c>
      <c r="P367" s="788">
        <v>10.8978</v>
      </c>
      <c r="Q367" s="788">
        <v>10.8978</v>
      </c>
      <c r="R367" s="788">
        <v>10.8978</v>
      </c>
      <c r="S367" s="788">
        <v>10.8978</v>
      </c>
      <c r="T367" s="788">
        <v>10.8978</v>
      </c>
      <c r="U367" s="788">
        <v>10.8978</v>
      </c>
      <c r="V367" s="788">
        <v>10.8978</v>
      </c>
      <c r="W367" s="788">
        <v>10.8978</v>
      </c>
      <c r="X367" s="788">
        <v>10.8978</v>
      </c>
      <c r="Y367" s="788">
        <v>10.8978</v>
      </c>
      <c r="Z367" s="788">
        <v>10.8978</v>
      </c>
      <c r="AA367" s="788">
        <v>10.8978</v>
      </c>
      <c r="AB367" s="783">
        <v>17.323499999999999</v>
      </c>
      <c r="AC367" s="783">
        <v>17.323499999999999</v>
      </c>
      <c r="AD367" s="783">
        <v>17.323499999999999</v>
      </c>
      <c r="AE367" s="783">
        <v>17.323499999999999</v>
      </c>
      <c r="AF367" s="783">
        <v>17.323499999999999</v>
      </c>
      <c r="AG367" s="783">
        <v>17.323499999999999</v>
      </c>
      <c r="AH367" s="783">
        <v>17.323499999999999</v>
      </c>
      <c r="AI367" s="783">
        <v>17.323499999999999</v>
      </c>
      <c r="AJ367" s="783">
        <v>17.323499999999999</v>
      </c>
      <c r="AK367" s="783">
        <v>17.323499999999999</v>
      </c>
      <c r="AL367" s="783">
        <v>17.323499999999999</v>
      </c>
      <c r="AM367" s="783">
        <v>17.323499999999999</v>
      </c>
      <c r="AN367" s="783">
        <v>17.323499999999999</v>
      </c>
      <c r="AO367" s="783">
        <v>17.323499999999999</v>
      </c>
      <c r="AP367" s="783">
        <v>17.323499999999999</v>
      </c>
      <c r="AQ367" s="783">
        <v>17.323499999999999</v>
      </c>
      <c r="AR367" s="783">
        <v>17.323499999999999</v>
      </c>
      <c r="AS367" s="783">
        <v>17.323499999999999</v>
      </c>
      <c r="AT367" s="783">
        <v>17.323499999999999</v>
      </c>
      <c r="AU367" s="783">
        <v>17.323499999999999</v>
      </c>
      <c r="AV367" s="783">
        <v>17.323499999999999</v>
      </c>
      <c r="AW367" s="783">
        <v>17.323499999999999</v>
      </c>
      <c r="AX367" s="783">
        <v>17.323499999999999</v>
      </c>
      <c r="AY367" s="783">
        <v>17.323499999999999</v>
      </c>
      <c r="AZ367" s="783">
        <v>17.323499999999999</v>
      </c>
      <c r="BA367" s="783">
        <v>17.323499999999999</v>
      </c>
      <c r="BB367" s="783">
        <v>17.323499999999999</v>
      </c>
      <c r="BC367" s="783">
        <v>17.323499999999999</v>
      </c>
      <c r="BD367" s="783">
        <v>17.323499999999999</v>
      </c>
      <c r="BE367" s="783">
        <v>17.323499999999999</v>
      </c>
    </row>
    <row r="368" spans="1:57" x14ac:dyDescent="0.25">
      <c r="A368" s="783" t="s">
        <v>495</v>
      </c>
      <c r="C368" s="784" t="s">
        <v>1086</v>
      </c>
      <c r="D368" s="783">
        <v>180467.57</v>
      </c>
      <c r="E368" s="783">
        <v>180467.57</v>
      </c>
      <c r="F368" s="783">
        <v>180467.57</v>
      </c>
      <c r="G368" s="783">
        <v>180467.57</v>
      </c>
      <c r="H368" s="783">
        <v>180467.57</v>
      </c>
      <c r="I368" s="783">
        <v>180467.57</v>
      </c>
      <c r="J368" s="783">
        <v>180467.57</v>
      </c>
      <c r="K368" s="783">
        <v>180467.57</v>
      </c>
      <c r="L368" s="783">
        <v>180467.57</v>
      </c>
      <c r="M368" s="783">
        <v>180467.57</v>
      </c>
      <c r="N368" s="783">
        <v>180467.57</v>
      </c>
      <c r="O368" s="783">
        <v>180467.57</v>
      </c>
      <c r="P368" s="783">
        <v>180467.57</v>
      </c>
      <c r="Q368" s="783">
        <v>180467.57</v>
      </c>
      <c r="R368" s="783">
        <v>180467.57</v>
      </c>
      <c r="S368" s="783">
        <v>180467.57</v>
      </c>
      <c r="T368" s="783">
        <v>180467.57</v>
      </c>
      <c r="U368" s="783">
        <v>180467.57</v>
      </c>
      <c r="V368" s="783">
        <v>180467.57</v>
      </c>
      <c r="W368" s="783">
        <v>180467.57</v>
      </c>
      <c r="X368" s="783">
        <v>180467.57</v>
      </c>
      <c r="Y368" s="783">
        <v>180467.57</v>
      </c>
      <c r="Z368" s="783">
        <v>180467.57</v>
      </c>
      <c r="AA368" s="783">
        <v>180467.57</v>
      </c>
      <c r="AB368" s="783">
        <v>8.5198</v>
      </c>
      <c r="AC368" s="783">
        <v>8.5198</v>
      </c>
      <c r="AD368" s="783">
        <v>8.5198</v>
      </c>
      <c r="AE368" s="783">
        <v>8.5198</v>
      </c>
      <c r="AF368" s="783">
        <v>10.5198</v>
      </c>
      <c r="AG368" s="783">
        <v>10.5198</v>
      </c>
      <c r="AH368" s="783">
        <v>10.5198</v>
      </c>
      <c r="AI368" s="783">
        <v>10.5198</v>
      </c>
      <c r="AJ368" s="783">
        <v>10.5198</v>
      </c>
      <c r="AK368" s="783">
        <v>8.5198</v>
      </c>
      <c r="AL368" s="783">
        <v>8.5198</v>
      </c>
      <c r="AM368" s="783">
        <v>8.5198</v>
      </c>
      <c r="AN368" s="783">
        <v>8.5198</v>
      </c>
      <c r="AO368" s="783">
        <v>8.5198</v>
      </c>
      <c r="AP368" s="783">
        <v>8.5198</v>
      </c>
      <c r="AQ368" s="783">
        <v>8.5198</v>
      </c>
      <c r="AR368" s="783">
        <v>10.5198</v>
      </c>
      <c r="AS368" s="783">
        <v>10.5198</v>
      </c>
      <c r="AT368" s="783">
        <v>10.5198</v>
      </c>
      <c r="AU368" s="783">
        <v>10.5198</v>
      </c>
      <c r="AV368" s="783">
        <v>10.5198</v>
      </c>
      <c r="AW368" s="783">
        <v>8.5198</v>
      </c>
      <c r="AX368" s="783">
        <v>8.5198</v>
      </c>
      <c r="AY368" s="783">
        <v>8.5198</v>
      </c>
      <c r="AZ368" s="783">
        <v>8.5198</v>
      </c>
      <c r="BA368" s="783">
        <v>8.5198</v>
      </c>
      <c r="BB368" s="783">
        <v>8.5198</v>
      </c>
      <c r="BC368" s="783">
        <v>8.5198</v>
      </c>
      <c r="BD368" s="783">
        <v>10.5198</v>
      </c>
      <c r="BE368" s="783">
        <v>10.5198</v>
      </c>
    </row>
    <row r="369" spans="1:57" s="788" customFormat="1" x14ac:dyDescent="0.25">
      <c r="A369" s="783" t="s">
        <v>495</v>
      </c>
      <c r="B369" s="783"/>
      <c r="C369" s="787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 s="788">
        <v>1668285.1866693499</v>
      </c>
      <c r="AC369" s="788">
        <v>1726441.9614943699</v>
      </c>
      <c r="AD369" s="788">
        <v>2189551.3995081498</v>
      </c>
      <c r="AE369" s="788">
        <v>4464843.5882641701</v>
      </c>
      <c r="AF369" s="788">
        <v>12459244.960354101</v>
      </c>
      <c r="AG369" s="788">
        <v>17628977.435829699</v>
      </c>
      <c r="AH369" s="788">
        <v>22406757.588635601</v>
      </c>
      <c r="AI369" s="788">
        <v>17541822.3969214</v>
      </c>
      <c r="AJ369" s="788">
        <v>13525837.595370401</v>
      </c>
      <c r="AK369" s="788">
        <v>5497468.1272876002</v>
      </c>
      <c r="AL369" s="788">
        <v>2885031.6850492102</v>
      </c>
      <c r="AM369" s="788">
        <v>1885069.1407326199</v>
      </c>
      <c r="AN369" s="788">
        <v>1656857.27064756</v>
      </c>
      <c r="AO369" s="788">
        <v>1713811.61351788</v>
      </c>
      <c r="AP369" s="788">
        <v>2186485.4961686102</v>
      </c>
      <c r="AQ369" s="788">
        <v>4463363.6597058596</v>
      </c>
      <c r="AR369" s="788">
        <v>12457736.254396601</v>
      </c>
      <c r="AS369" s="788">
        <v>17600694.970666401</v>
      </c>
      <c r="AT369" s="788">
        <v>22375844.4997131</v>
      </c>
      <c r="AU369" s="788">
        <v>17732133.6501908</v>
      </c>
      <c r="AV369" s="788">
        <v>13668289.3032586</v>
      </c>
      <c r="AW369" s="788">
        <v>5499287.5119276503</v>
      </c>
      <c r="AX369" s="788">
        <v>2879843.5824353299</v>
      </c>
      <c r="AY369" s="788">
        <v>1870720.2676450501</v>
      </c>
      <c r="AZ369" s="788">
        <v>1646229.6970508699</v>
      </c>
      <c r="BA369" s="788">
        <v>1700537.1984508701</v>
      </c>
      <c r="BB369" s="788">
        <v>2180796.1360029699</v>
      </c>
      <c r="BC369" s="788">
        <v>4452041.14159681</v>
      </c>
      <c r="BD369" s="788">
        <v>12434892.481469801</v>
      </c>
      <c r="BE369" s="788">
        <v>17549022.738139499</v>
      </c>
    </row>
    <row r="370" spans="1:57" s="788" customFormat="1" x14ac:dyDescent="0.25">
      <c r="A370" s="783" t="s">
        <v>495</v>
      </c>
      <c r="B370" s="783" t="s">
        <v>521</v>
      </c>
      <c r="C370" s="787" t="s">
        <v>712</v>
      </c>
      <c r="D370" s="783">
        <v>0</v>
      </c>
      <c r="E370" s="783">
        <v>0</v>
      </c>
      <c r="F370" s="783">
        <v>0</v>
      </c>
      <c r="G370" s="783">
        <v>0</v>
      </c>
      <c r="H370" s="783">
        <v>0</v>
      </c>
      <c r="I370" s="783">
        <v>0</v>
      </c>
      <c r="J370" s="783">
        <v>0</v>
      </c>
      <c r="K370" s="783">
        <v>0</v>
      </c>
      <c r="L370" s="783">
        <v>0</v>
      </c>
      <c r="M370" s="783">
        <v>0</v>
      </c>
      <c r="N370" s="783">
        <v>0</v>
      </c>
      <c r="O370" s="783">
        <v>0</v>
      </c>
      <c r="P370" s="783">
        <v>0</v>
      </c>
      <c r="Q370" s="783">
        <v>0</v>
      </c>
      <c r="R370" s="783">
        <v>0</v>
      </c>
      <c r="S370" s="783">
        <v>0</v>
      </c>
      <c r="T370" s="783">
        <v>0</v>
      </c>
      <c r="U370" s="783">
        <v>0</v>
      </c>
      <c r="V370" s="783">
        <v>0</v>
      </c>
      <c r="W370" s="783">
        <v>0</v>
      </c>
      <c r="X370" s="783">
        <v>0</v>
      </c>
      <c r="Y370" s="783">
        <v>0</v>
      </c>
      <c r="Z370" s="783">
        <v>0</v>
      </c>
      <c r="AA370" s="783">
        <v>0</v>
      </c>
      <c r="AB370" s="788">
        <v>278831.22180295101</v>
      </c>
      <c r="AC370" s="788">
        <v>289658.34455160599</v>
      </c>
      <c r="AD370" s="788">
        <v>376905.41874554998</v>
      </c>
      <c r="AE370" s="788">
        <v>636281.45961231599</v>
      </c>
      <c r="AF370" s="788">
        <v>0</v>
      </c>
      <c r="AG370" s="788">
        <v>0</v>
      </c>
      <c r="AH370" s="788">
        <v>0</v>
      </c>
      <c r="AI370" s="788">
        <v>0</v>
      </c>
      <c r="AJ370" s="788">
        <v>0</v>
      </c>
      <c r="AK370" s="788">
        <v>731850.83483102801</v>
      </c>
      <c r="AL370" s="788">
        <v>446748.79118620203</v>
      </c>
      <c r="AM370" s="788">
        <v>323835.13177367201</v>
      </c>
      <c r="AN370" s="788">
        <v>282046.645765525</v>
      </c>
      <c r="AO370" s="788">
        <v>292869.07914805098</v>
      </c>
      <c r="AP370" s="788">
        <v>387233.69570538501</v>
      </c>
      <c r="AQ370" s="788">
        <v>651310.55502794206</v>
      </c>
      <c r="AR370" s="788">
        <v>0</v>
      </c>
      <c r="AS370" s="788">
        <v>0</v>
      </c>
      <c r="AT370" s="788">
        <v>0</v>
      </c>
      <c r="AU370" s="788">
        <v>0</v>
      </c>
      <c r="AV370" s="788">
        <v>0</v>
      </c>
      <c r="AW370" s="788">
        <v>747007.52407585003</v>
      </c>
      <c r="AX370" s="788">
        <v>455636.18583556497</v>
      </c>
      <c r="AY370" s="788">
        <v>327377.83877260901</v>
      </c>
      <c r="AZ370" s="788">
        <v>285899.51587843901</v>
      </c>
      <c r="BA370" s="788">
        <v>297027.361413943</v>
      </c>
      <c r="BB370" s="788">
        <v>397575.154047077</v>
      </c>
      <c r="BC370" s="788">
        <v>665291.64164533</v>
      </c>
      <c r="BD370" s="788">
        <v>0</v>
      </c>
      <c r="BE370" s="788">
        <v>0</v>
      </c>
    </row>
    <row r="371" spans="1:57" x14ac:dyDescent="0.25">
      <c r="A371" s="783" t="s">
        <v>495</v>
      </c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 s="783">
        <v>1947116.4084723</v>
      </c>
      <c r="AC371" s="783">
        <v>2016100.30604598</v>
      </c>
      <c r="AD371" s="783">
        <v>2566456.8182537002</v>
      </c>
      <c r="AE371" s="783">
        <v>5101125.0478764903</v>
      </c>
      <c r="AF371" s="783">
        <v>12459244.960354101</v>
      </c>
      <c r="AG371" s="783">
        <v>17628977.435829699</v>
      </c>
      <c r="AH371" s="783">
        <v>22406757.588635601</v>
      </c>
      <c r="AI371" s="783">
        <v>17541822.3969214</v>
      </c>
      <c r="AJ371" s="783">
        <v>13525837.595370401</v>
      </c>
      <c r="AK371" s="783">
        <v>6229318.9621186201</v>
      </c>
      <c r="AL371" s="783">
        <v>3331780.4762354102</v>
      </c>
      <c r="AM371" s="783">
        <v>2208904.2725062901</v>
      </c>
      <c r="AN371" s="783">
        <v>1938903.9164130799</v>
      </c>
      <c r="AO371" s="783">
        <v>2006680.6926659299</v>
      </c>
      <c r="AP371" s="783">
        <v>2573719.1918739998</v>
      </c>
      <c r="AQ371" s="783">
        <v>5114674.2147337999</v>
      </c>
      <c r="AR371" s="783">
        <v>12457736.254396601</v>
      </c>
      <c r="AS371" s="783">
        <v>17600694.970666401</v>
      </c>
      <c r="AT371" s="783">
        <v>22375844.4997131</v>
      </c>
      <c r="AU371" s="783">
        <v>17732133.6501908</v>
      </c>
      <c r="AV371" s="783">
        <v>13668289.3032586</v>
      </c>
      <c r="AW371" s="783">
        <v>6246295.0360035002</v>
      </c>
      <c r="AX371" s="783">
        <v>3335479.7682709</v>
      </c>
      <c r="AY371" s="783">
        <v>2198098.1064176601</v>
      </c>
      <c r="AZ371" s="783">
        <v>1932129.21292931</v>
      </c>
      <c r="BA371" s="783">
        <v>1997564.55986481</v>
      </c>
      <c r="BB371" s="783">
        <v>2578371.2900500498</v>
      </c>
      <c r="BC371" s="783">
        <v>5117332.7832421502</v>
      </c>
      <c r="BD371" s="783">
        <v>12434892.481469801</v>
      </c>
      <c r="BE371" s="783">
        <v>17549022.738139499</v>
      </c>
    </row>
    <row r="372" spans="1:57" x14ac:dyDescent="0.25">
      <c r="A372" s="783" t="s">
        <v>495</v>
      </c>
      <c r="B372" s="783" t="s">
        <v>107</v>
      </c>
      <c r="C372" s="784" t="s">
        <v>713</v>
      </c>
      <c r="D372" s="783">
        <v>23899.863965988701</v>
      </c>
      <c r="E372" s="783">
        <v>50713.460354574701</v>
      </c>
      <c r="F372" s="783">
        <v>81381.852993498105</v>
      </c>
      <c r="G372" s="783">
        <v>90435.663216308501</v>
      </c>
      <c r="H372" s="783">
        <v>70900.374172734897</v>
      </c>
      <c r="I372" s="783">
        <v>149452.96216655499</v>
      </c>
      <c r="J372" s="783">
        <v>95786.841495763903</v>
      </c>
      <c r="K372" s="783">
        <v>103347.652225921</v>
      </c>
      <c r="L372" s="783">
        <v>90824.065464078201</v>
      </c>
      <c r="M372" s="783">
        <v>82600.921424927699</v>
      </c>
      <c r="N372" s="783">
        <v>84017.2024820761</v>
      </c>
      <c r="O372" s="783">
        <v>56608.628321014898</v>
      </c>
      <c r="P372" s="783">
        <v>46810.696187528702</v>
      </c>
      <c r="Q372" s="783">
        <v>48664.772944830103</v>
      </c>
      <c r="R372" s="783">
        <v>51149.087330643102</v>
      </c>
      <c r="S372" s="783">
        <v>78198.319424112793</v>
      </c>
      <c r="T372" s="783">
        <v>110712.69529161</v>
      </c>
      <c r="U372" s="783">
        <v>101263.32279197501</v>
      </c>
      <c r="V372" s="783">
        <v>97088.185603790305</v>
      </c>
      <c r="W372" s="783">
        <v>106838.775646447</v>
      </c>
      <c r="X372" s="783">
        <v>88142.217731769502</v>
      </c>
      <c r="Y372" s="783">
        <v>90664.529643303002</v>
      </c>
      <c r="Z372" s="783">
        <v>79640.141059949805</v>
      </c>
      <c r="AA372" s="783">
        <v>54539.1651669454</v>
      </c>
    </row>
    <row r="373" spans="1:57" x14ac:dyDescent="0.25">
      <c r="A373" s="783" t="s">
        <v>495</v>
      </c>
      <c r="B373" s="783" t="s">
        <v>614</v>
      </c>
      <c r="C373" s="784" t="s">
        <v>714</v>
      </c>
      <c r="D373" s="783">
        <v>0</v>
      </c>
      <c r="E373" s="783">
        <v>0</v>
      </c>
      <c r="F373" s="783">
        <v>0</v>
      </c>
      <c r="G373" s="783">
        <v>0</v>
      </c>
      <c r="H373" s="783">
        <v>0</v>
      </c>
      <c r="I373" s="783">
        <v>0</v>
      </c>
      <c r="J373" s="783">
        <v>0</v>
      </c>
      <c r="K373" s="783">
        <v>0</v>
      </c>
      <c r="L373" s="783">
        <v>0</v>
      </c>
      <c r="M373" s="783">
        <v>0</v>
      </c>
      <c r="N373" s="783">
        <v>0</v>
      </c>
      <c r="O373" s="783">
        <v>0</v>
      </c>
      <c r="P373" s="783">
        <v>0</v>
      </c>
      <c r="Q373" s="783">
        <v>0</v>
      </c>
      <c r="R373" s="783">
        <v>0</v>
      </c>
      <c r="S373" s="783">
        <v>0</v>
      </c>
      <c r="T373" s="783">
        <v>0</v>
      </c>
      <c r="U373" s="783">
        <v>0</v>
      </c>
      <c r="V373" s="783">
        <v>0</v>
      </c>
      <c r="W373" s="783">
        <v>0</v>
      </c>
      <c r="X373" s="783">
        <v>0</v>
      </c>
      <c r="Y373" s="783">
        <v>0</v>
      </c>
      <c r="Z373" s="783">
        <v>0</v>
      </c>
      <c r="AA373" s="783">
        <v>0</v>
      </c>
      <c r="AB373" s="783">
        <v>2200</v>
      </c>
      <c r="AC373" s="783">
        <v>2200</v>
      </c>
      <c r="AD373" s="783">
        <v>2200</v>
      </c>
      <c r="AE373" s="783">
        <v>2200</v>
      </c>
      <c r="AF373" s="783">
        <v>2200</v>
      </c>
      <c r="AG373" s="783">
        <v>2200</v>
      </c>
      <c r="AH373" s="783">
        <v>2200</v>
      </c>
      <c r="AI373" s="783">
        <v>2200</v>
      </c>
      <c r="AJ373" s="783">
        <v>2200</v>
      </c>
      <c r="AK373" s="783">
        <v>2200</v>
      </c>
      <c r="AL373" s="783">
        <v>2200</v>
      </c>
      <c r="AM373" s="783">
        <v>2200</v>
      </c>
      <c r="AN373" s="783">
        <v>2200</v>
      </c>
      <c r="AO373" s="783">
        <v>2200</v>
      </c>
      <c r="AP373" s="783">
        <v>2200</v>
      </c>
      <c r="AQ373" s="783">
        <v>2200</v>
      </c>
      <c r="AR373" s="783">
        <v>2200</v>
      </c>
      <c r="AS373" s="783">
        <v>2200</v>
      </c>
      <c r="AT373" s="783">
        <v>2200</v>
      </c>
      <c r="AU373" s="783">
        <v>2200</v>
      </c>
      <c r="AV373" s="783">
        <v>2200</v>
      </c>
      <c r="AW373" s="783">
        <v>2200</v>
      </c>
      <c r="AX373" s="783">
        <v>2200</v>
      </c>
      <c r="AY373" s="783">
        <v>2200</v>
      </c>
      <c r="AZ373" s="783">
        <v>2200</v>
      </c>
      <c r="BA373" s="783">
        <v>2200</v>
      </c>
      <c r="BB373" s="783">
        <v>2200</v>
      </c>
      <c r="BC373" s="783">
        <v>2200</v>
      </c>
      <c r="BD373" s="783">
        <v>2200</v>
      </c>
      <c r="BE373" s="783">
        <v>2200</v>
      </c>
    </row>
    <row r="374" spans="1:57" x14ac:dyDescent="0.25">
      <c r="A374" s="783" t="s">
        <v>495</v>
      </c>
      <c r="B374" s="783" t="s">
        <v>109</v>
      </c>
      <c r="C374" s="784" t="s">
        <v>715</v>
      </c>
      <c r="D374" s="783">
        <v>0</v>
      </c>
      <c r="E374" s="783">
        <v>0</v>
      </c>
      <c r="F374" s="783">
        <v>0</v>
      </c>
      <c r="G374" s="783">
        <v>0</v>
      </c>
      <c r="H374" s="783">
        <v>0</v>
      </c>
      <c r="I374" s="783">
        <v>0</v>
      </c>
      <c r="J374" s="783">
        <v>0</v>
      </c>
      <c r="K374" s="783">
        <v>0</v>
      </c>
      <c r="L374" s="783">
        <v>0</v>
      </c>
      <c r="M374" s="783">
        <v>0</v>
      </c>
      <c r="N374" s="783">
        <v>0</v>
      </c>
      <c r="O374" s="783">
        <v>0</v>
      </c>
      <c r="P374" s="783">
        <v>0</v>
      </c>
      <c r="Q374" s="783">
        <v>0</v>
      </c>
      <c r="R374" s="783">
        <v>0</v>
      </c>
      <c r="S374" s="783">
        <v>0</v>
      </c>
      <c r="T374" s="783">
        <v>0</v>
      </c>
      <c r="U374" s="783">
        <v>0</v>
      </c>
      <c r="V374" s="783">
        <v>0</v>
      </c>
      <c r="W374" s="783">
        <v>0</v>
      </c>
      <c r="X374" s="783">
        <v>0</v>
      </c>
      <c r="Y374" s="783">
        <v>0</v>
      </c>
      <c r="Z374" s="783">
        <v>0</v>
      </c>
      <c r="AA374" s="783">
        <v>0</v>
      </c>
      <c r="AB374" s="783">
        <v>48950</v>
      </c>
      <c r="AC374" s="783">
        <v>49500</v>
      </c>
      <c r="AD374" s="783">
        <v>50600</v>
      </c>
      <c r="AE374" s="783">
        <v>51150</v>
      </c>
      <c r="AF374" s="783">
        <v>51150</v>
      </c>
      <c r="AG374" s="783">
        <v>52250</v>
      </c>
      <c r="AH374" s="783">
        <v>46750</v>
      </c>
      <c r="AI374" s="783">
        <v>46750</v>
      </c>
      <c r="AJ374" s="783">
        <v>47300</v>
      </c>
      <c r="AK374" s="783">
        <v>47850</v>
      </c>
      <c r="AL374" s="783">
        <v>48400</v>
      </c>
      <c r="AM374" s="783">
        <v>48950</v>
      </c>
      <c r="AN374" s="783">
        <v>48950</v>
      </c>
      <c r="AO374" s="783">
        <v>49500</v>
      </c>
      <c r="AP374" s="783">
        <v>50600</v>
      </c>
      <c r="AQ374" s="783">
        <v>51150</v>
      </c>
      <c r="AR374" s="783">
        <v>51150</v>
      </c>
      <c r="AS374" s="783">
        <v>51700</v>
      </c>
      <c r="AT374" s="783">
        <v>46750</v>
      </c>
      <c r="AU374" s="783">
        <v>46750</v>
      </c>
      <c r="AV374" s="783">
        <v>47300</v>
      </c>
      <c r="AW374" s="783">
        <v>47850</v>
      </c>
      <c r="AX374" s="783">
        <v>47850</v>
      </c>
      <c r="AY374" s="783">
        <v>48400</v>
      </c>
      <c r="AZ374" s="783">
        <v>48950</v>
      </c>
      <c r="BA374" s="783">
        <v>49500</v>
      </c>
      <c r="BB374" s="783">
        <v>50050</v>
      </c>
      <c r="BC374" s="783">
        <v>51150</v>
      </c>
      <c r="BD374" s="783">
        <v>51150</v>
      </c>
      <c r="BE374" s="783">
        <v>51700</v>
      </c>
    </row>
    <row r="375" spans="1:57" s="786" customFormat="1" x14ac:dyDescent="0.25">
      <c r="A375" s="783" t="s">
        <v>495</v>
      </c>
      <c r="C375" s="785" t="s">
        <v>716</v>
      </c>
      <c r="D375" s="783">
        <v>23899.863965988701</v>
      </c>
      <c r="E375" s="783">
        <v>50713.460354574701</v>
      </c>
      <c r="F375" s="783">
        <v>81381.852993498105</v>
      </c>
      <c r="G375" s="783">
        <v>90435.663216308501</v>
      </c>
      <c r="H375" s="783">
        <v>70900.374172734897</v>
      </c>
      <c r="I375" s="783">
        <v>149452.96216655499</v>
      </c>
      <c r="J375" s="783">
        <v>95786.841495763903</v>
      </c>
      <c r="K375" s="783">
        <v>103347.652225921</v>
      </c>
      <c r="L375" s="783">
        <v>90824.065464078201</v>
      </c>
      <c r="M375" s="783">
        <v>82600.921424927699</v>
      </c>
      <c r="N375" s="783">
        <v>84017.2024820761</v>
      </c>
      <c r="O375" s="783">
        <v>56608.628321014898</v>
      </c>
      <c r="P375" s="783">
        <v>46810.696187528702</v>
      </c>
      <c r="Q375" s="783">
        <v>48664.772944830103</v>
      </c>
      <c r="R375" s="783">
        <v>51149.087330643102</v>
      </c>
      <c r="S375" s="783">
        <v>78198.319424112793</v>
      </c>
      <c r="T375" s="783">
        <v>110712.69529161</v>
      </c>
      <c r="U375" s="783">
        <v>101263.32279197501</v>
      </c>
      <c r="V375" s="783">
        <v>97088.185603790305</v>
      </c>
      <c r="W375" s="783">
        <v>106838.775646447</v>
      </c>
      <c r="X375" s="783">
        <v>88142.217731769502</v>
      </c>
      <c r="Y375" s="783">
        <v>90664.529643303002</v>
      </c>
      <c r="Z375" s="783">
        <v>79640.141059949805</v>
      </c>
      <c r="AA375" s="783">
        <v>54539.1651669454</v>
      </c>
    </row>
    <row r="376" spans="1:57" x14ac:dyDescent="0.25">
      <c r="A376" s="783" t="s">
        <v>495</v>
      </c>
      <c r="B376" s="78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 s="783">
        <v>100560.00018352301</v>
      </c>
      <c r="AC376" s="783">
        <v>100560.00018352301</v>
      </c>
      <c r="AD376" s="783">
        <v>100560.00018352301</v>
      </c>
      <c r="AE376" s="783">
        <v>100560.00018352301</v>
      </c>
      <c r="AF376" s="783">
        <v>100560.00018352301</v>
      </c>
      <c r="AG376" s="783">
        <v>100560.00018352301</v>
      </c>
      <c r="AH376" s="783">
        <v>100560.00018352301</v>
      </c>
      <c r="AI376" s="783">
        <v>100560.00018352301</v>
      </c>
      <c r="AJ376" s="783">
        <v>100560.00018352301</v>
      </c>
      <c r="AK376" s="783">
        <v>100560.00018352301</v>
      </c>
      <c r="AL376" s="783">
        <v>100560.00018352301</v>
      </c>
      <c r="AM376" s="783">
        <v>100560.00018352301</v>
      </c>
      <c r="AN376" s="783">
        <v>100560.00018352301</v>
      </c>
      <c r="AO376" s="783">
        <v>100560.00018352301</v>
      </c>
      <c r="AP376" s="783">
        <v>100560.00018352301</v>
      </c>
      <c r="AQ376" s="783">
        <v>100560.00018352301</v>
      </c>
      <c r="AR376" s="783">
        <v>100560.00018352301</v>
      </c>
      <c r="AS376" s="783">
        <v>100560.00018352301</v>
      </c>
      <c r="AT376" s="783">
        <v>100560.00018352301</v>
      </c>
      <c r="AU376" s="783">
        <v>100560.00018352301</v>
      </c>
      <c r="AV376" s="783">
        <v>100560.00018352301</v>
      </c>
      <c r="AW376" s="783">
        <v>100560.00018352301</v>
      </c>
      <c r="AX376" s="783">
        <v>100560.00018352301</v>
      </c>
      <c r="AY376" s="783">
        <v>100560.00018352301</v>
      </c>
      <c r="AZ376" s="783">
        <v>100560.00018352301</v>
      </c>
      <c r="BA376" s="783">
        <v>100560.00018352301</v>
      </c>
      <c r="BB376" s="783">
        <v>100560.00018352301</v>
      </c>
      <c r="BC376" s="783">
        <v>100560.00018352301</v>
      </c>
      <c r="BD376" s="783">
        <v>100560.00018352301</v>
      </c>
      <c r="BE376" s="783">
        <v>100560.00018352301</v>
      </c>
    </row>
    <row r="377" spans="1:57" x14ac:dyDescent="0.25">
      <c r="A377" s="783" t="s">
        <v>495</v>
      </c>
      <c r="C377" s="784" t="s">
        <v>717</v>
      </c>
      <c r="D377" s="783">
        <v>215135.786925989</v>
      </c>
      <c r="E377" s="783">
        <v>242915.410354575</v>
      </c>
      <c r="F377" s="783">
        <v>271036.44411349797</v>
      </c>
      <c r="G377" s="783">
        <v>280617.38489630801</v>
      </c>
      <c r="H377" s="783">
        <v>258298.12961273501</v>
      </c>
      <c r="I377" s="783">
        <v>342447.64256655599</v>
      </c>
      <c r="J377" s="783">
        <v>284289.722055764</v>
      </c>
      <c r="K377" s="783">
        <v>292418.80334592098</v>
      </c>
      <c r="L377" s="783">
        <v>279018.17162407801</v>
      </c>
      <c r="M377" s="783">
        <v>270499.92662492802</v>
      </c>
      <c r="N377" s="783">
        <v>271916.20768207603</v>
      </c>
      <c r="O377" s="783">
        <v>244507.633521015</v>
      </c>
      <c r="P377" s="783">
        <v>234709.701387529</v>
      </c>
      <c r="Q377" s="783">
        <v>236563.77814482999</v>
      </c>
      <c r="R377" s="783">
        <v>238258.53365064299</v>
      </c>
      <c r="S377" s="783">
        <v>267416.19822411297</v>
      </c>
      <c r="T377" s="783">
        <v>301023.07297161</v>
      </c>
      <c r="U377" s="783">
        <v>290205.099831976</v>
      </c>
      <c r="V377" s="783">
        <v>285591.06616379</v>
      </c>
      <c r="W377" s="783">
        <v>295969.43764644797</v>
      </c>
      <c r="X377" s="783">
        <v>275900.47925176902</v>
      </c>
      <c r="Y377" s="783">
        <v>279301.33212330297</v>
      </c>
      <c r="Z377" s="783">
        <v>267539.14625995001</v>
      </c>
      <c r="AA377" s="783">
        <v>242877.066846945</v>
      </c>
      <c r="AB377" s="783">
        <v>33.245599999999897</v>
      </c>
      <c r="AC377" s="783">
        <v>33.245599999999897</v>
      </c>
      <c r="AD377" s="783">
        <v>33.245599999999897</v>
      </c>
      <c r="AE377" s="783">
        <v>33.245599999999897</v>
      </c>
      <c r="AF377" s="783">
        <v>33.245599999999897</v>
      </c>
      <c r="AG377" s="783">
        <v>33.245599999999897</v>
      </c>
      <c r="AH377" s="783">
        <v>33.245599999999897</v>
      </c>
      <c r="AI377" s="783">
        <v>33.245599999999897</v>
      </c>
      <c r="AJ377" s="783">
        <v>33.245599999999897</v>
      </c>
      <c r="AK377" s="783">
        <v>33.245599999999897</v>
      </c>
      <c r="AL377" s="783">
        <v>33.245599999999897</v>
      </c>
      <c r="AM377" s="783">
        <v>33.245599999999897</v>
      </c>
      <c r="AN377" s="783">
        <v>33.245599999999897</v>
      </c>
      <c r="AO377" s="783">
        <v>33.245599999999897</v>
      </c>
      <c r="AP377" s="783">
        <v>33.245599999999897</v>
      </c>
      <c r="AQ377" s="783">
        <v>33.245599999999897</v>
      </c>
      <c r="AR377" s="783">
        <v>33.245599999999897</v>
      </c>
      <c r="AS377" s="783">
        <v>33.245599999999897</v>
      </c>
      <c r="AT377" s="783">
        <v>33.245599999999897</v>
      </c>
      <c r="AU377" s="783">
        <v>33.245599999999897</v>
      </c>
      <c r="AV377" s="783">
        <v>33.245599999999897</v>
      </c>
      <c r="AW377" s="783">
        <v>33.245599999999897</v>
      </c>
      <c r="AX377" s="783">
        <v>33.245599999999897</v>
      </c>
      <c r="AY377" s="783">
        <v>33.245599999999897</v>
      </c>
      <c r="AZ377" s="783">
        <v>33.245599999999897</v>
      </c>
      <c r="BA377" s="783">
        <v>33.245599999999897</v>
      </c>
      <c r="BB377" s="783">
        <v>33.245599999999897</v>
      </c>
      <c r="BC377" s="783">
        <v>33.245599999999897</v>
      </c>
      <c r="BD377" s="783">
        <v>33.245599999999897</v>
      </c>
      <c r="BE377" s="783">
        <v>33.245599999999897</v>
      </c>
    </row>
    <row r="378" spans="1:57" s="811" customFormat="1" x14ac:dyDescent="0.25">
      <c r="C378" s="812" t="s">
        <v>728</v>
      </c>
      <c r="AB378" s="811">
        <v>595168.35</v>
      </c>
      <c r="AC378" s="811">
        <v>595168.35</v>
      </c>
      <c r="AD378" s="811">
        <v>595168.35</v>
      </c>
      <c r="AE378" s="811">
        <v>595168.35</v>
      </c>
      <c r="AF378" s="811">
        <v>595168.35</v>
      </c>
      <c r="AG378" s="811">
        <v>595168.35</v>
      </c>
      <c r="AH378" s="811">
        <v>595168.35</v>
      </c>
      <c r="AI378" s="811">
        <v>595168.35</v>
      </c>
      <c r="AJ378" s="811">
        <v>595168.35</v>
      </c>
      <c r="AK378" s="811">
        <v>595168.35</v>
      </c>
      <c r="AL378" s="811">
        <v>595168.35</v>
      </c>
      <c r="AM378" s="811">
        <v>595168.35</v>
      </c>
      <c r="AN378" s="811">
        <v>595168.35</v>
      </c>
      <c r="AO378" s="811">
        <v>595168.35</v>
      </c>
      <c r="AP378" s="811">
        <v>595168.35</v>
      </c>
      <c r="AQ378" s="811">
        <v>595168.35</v>
      </c>
      <c r="AR378" s="811">
        <v>595168.35</v>
      </c>
      <c r="AS378" s="811">
        <v>595168.35</v>
      </c>
      <c r="AT378" s="811">
        <v>595168.35</v>
      </c>
      <c r="AU378" s="811">
        <v>595168.35</v>
      </c>
      <c r="AV378" s="811">
        <v>595168.35</v>
      </c>
      <c r="AW378" s="811">
        <v>595168.35</v>
      </c>
      <c r="AX378" s="811">
        <v>595168.35</v>
      </c>
      <c r="AY378" s="811">
        <v>595168.35</v>
      </c>
      <c r="AZ378" s="811">
        <v>595168.35</v>
      </c>
      <c r="BA378" s="811">
        <v>595168.35</v>
      </c>
      <c r="BB378" s="811">
        <v>595168.35</v>
      </c>
      <c r="BC378" s="811">
        <v>595168.35</v>
      </c>
      <c r="BD378" s="811">
        <v>595168.35</v>
      </c>
      <c r="BE378" s="811">
        <v>595168.35</v>
      </c>
    </row>
    <row r="379" spans="1:57" s="788" customFormat="1" x14ac:dyDescent="0.25">
      <c r="C379" s="787" t="s">
        <v>693</v>
      </c>
      <c r="D379" s="783">
        <v>324608</v>
      </c>
      <c r="E379" s="783">
        <v>324252</v>
      </c>
      <c r="F379" s="783">
        <v>323585</v>
      </c>
      <c r="G379" s="783">
        <v>324049</v>
      </c>
      <c r="H379" s="783">
        <v>324770</v>
      </c>
      <c r="I379" s="783">
        <v>326343</v>
      </c>
      <c r="J379" s="783">
        <v>327051</v>
      </c>
      <c r="K379" s="783">
        <v>327173</v>
      </c>
      <c r="L379" s="783">
        <v>327564</v>
      </c>
      <c r="M379" s="783">
        <v>326987</v>
      </c>
      <c r="N379" s="783">
        <v>326307</v>
      </c>
      <c r="O379" s="783">
        <v>325591</v>
      </c>
      <c r="P379" s="783">
        <v>325040</v>
      </c>
      <c r="Q379" s="783">
        <v>324725</v>
      </c>
      <c r="R379" s="783">
        <v>324095</v>
      </c>
      <c r="S379" s="783">
        <v>324594</v>
      </c>
      <c r="T379" s="783">
        <v>325356</v>
      </c>
      <c r="U379" s="783">
        <v>326967</v>
      </c>
      <c r="V379" s="783">
        <v>327770</v>
      </c>
      <c r="W379" s="783">
        <v>327966</v>
      </c>
      <c r="X379" s="783">
        <v>328373</v>
      </c>
      <c r="Y379" s="783">
        <v>327861</v>
      </c>
      <c r="Z379" s="783">
        <v>327139</v>
      </c>
      <c r="AA379" s="783">
        <v>326688</v>
      </c>
    </row>
    <row r="380" spans="1:57" x14ac:dyDescent="0.25">
      <c r="C380" s="784" t="s">
        <v>694</v>
      </c>
      <c r="D380" s="783">
        <v>1285</v>
      </c>
      <c r="E380" s="783">
        <v>1278</v>
      </c>
      <c r="F380" s="783">
        <v>1279</v>
      </c>
      <c r="G380" s="783">
        <v>1289</v>
      </c>
      <c r="H380" s="783">
        <v>1314</v>
      </c>
      <c r="I380" s="783">
        <v>1328</v>
      </c>
      <c r="J380" s="783">
        <v>1334</v>
      </c>
      <c r="K380" s="783">
        <v>1333</v>
      </c>
      <c r="L380" s="783">
        <v>1333</v>
      </c>
      <c r="M380" s="783">
        <v>1328</v>
      </c>
      <c r="N380" s="783">
        <v>1316</v>
      </c>
      <c r="O380" s="783">
        <v>1296</v>
      </c>
      <c r="P380" s="783">
        <v>1283</v>
      </c>
      <c r="Q380" s="783">
        <v>1277</v>
      </c>
      <c r="R380" s="783">
        <v>1277</v>
      </c>
      <c r="S380" s="783">
        <v>1291</v>
      </c>
      <c r="T380" s="783">
        <v>1316</v>
      </c>
      <c r="U380" s="783">
        <v>1330</v>
      </c>
      <c r="V380" s="783">
        <v>1338</v>
      </c>
      <c r="W380" s="783">
        <v>1337</v>
      </c>
      <c r="X380" s="783">
        <v>1337</v>
      </c>
      <c r="Y380" s="783">
        <v>1333</v>
      </c>
      <c r="Z380" s="783">
        <v>1321</v>
      </c>
      <c r="AA380" s="783">
        <v>1301</v>
      </c>
      <c r="AB380" s="783">
        <v>6000</v>
      </c>
      <c r="AC380" s="783">
        <v>6000</v>
      </c>
      <c r="AD380" s="783">
        <v>6000</v>
      </c>
      <c r="AE380" s="783">
        <v>6000</v>
      </c>
      <c r="AF380" s="783">
        <v>6000</v>
      </c>
      <c r="AG380" s="783">
        <v>6000</v>
      </c>
      <c r="AH380" s="783">
        <v>6000</v>
      </c>
      <c r="AI380" s="783">
        <v>6000</v>
      </c>
      <c r="AJ380" s="783">
        <v>6000</v>
      </c>
      <c r="AK380" s="783">
        <v>6000</v>
      </c>
      <c r="AL380" s="783">
        <v>6000</v>
      </c>
      <c r="AM380" s="783">
        <v>6000</v>
      </c>
      <c r="AN380" s="783">
        <v>6000</v>
      </c>
      <c r="AO380" s="783">
        <v>6000</v>
      </c>
      <c r="AP380" s="783">
        <v>6000</v>
      </c>
      <c r="AQ380" s="783">
        <v>6000</v>
      </c>
      <c r="AR380" s="783">
        <v>6000</v>
      </c>
      <c r="AS380" s="783">
        <v>6000</v>
      </c>
      <c r="AT380" s="783">
        <v>6000</v>
      </c>
      <c r="AU380" s="783">
        <v>6000</v>
      </c>
      <c r="AV380" s="783">
        <v>6000</v>
      </c>
      <c r="AW380" s="783">
        <v>6000</v>
      </c>
      <c r="AX380" s="783">
        <v>6000</v>
      </c>
      <c r="AY380" s="783">
        <v>6000</v>
      </c>
      <c r="AZ380" s="783">
        <v>6000</v>
      </c>
      <c r="BA380" s="783">
        <v>6000</v>
      </c>
      <c r="BB380" s="783">
        <v>6000</v>
      </c>
      <c r="BC380" s="783">
        <v>6000</v>
      </c>
      <c r="BD380" s="783">
        <v>6000</v>
      </c>
      <c r="BE380" s="783">
        <v>6000</v>
      </c>
    </row>
    <row r="381" spans="1:57" x14ac:dyDescent="0.25">
      <c r="C381" s="784" t="s">
        <v>695</v>
      </c>
      <c r="D381" s="786">
        <v>2965.43</v>
      </c>
      <c r="E381" s="786">
        <v>2965.43</v>
      </c>
      <c r="F381" s="786">
        <v>2965.43</v>
      </c>
      <c r="G381" s="786">
        <v>2965.43</v>
      </c>
      <c r="H381" s="786">
        <v>2965.43</v>
      </c>
      <c r="I381" s="786">
        <v>2965.43</v>
      </c>
      <c r="J381" s="786">
        <v>2965.43</v>
      </c>
      <c r="K381" s="786">
        <v>2965.43</v>
      </c>
      <c r="L381" s="786">
        <v>2965.43</v>
      </c>
      <c r="M381" s="786">
        <v>2965.43</v>
      </c>
      <c r="N381" s="786">
        <v>2965.43</v>
      </c>
      <c r="O381" s="786">
        <v>2965.43</v>
      </c>
      <c r="P381" s="786">
        <v>2965.43</v>
      </c>
      <c r="Q381" s="786">
        <v>2965.43</v>
      </c>
      <c r="R381" s="786">
        <v>2965.43</v>
      </c>
      <c r="S381" s="786">
        <v>2965.43</v>
      </c>
      <c r="T381" s="786">
        <v>2965.43</v>
      </c>
      <c r="U381" s="786">
        <v>2965.43</v>
      </c>
      <c r="V381" s="786">
        <v>2965.43</v>
      </c>
      <c r="W381" s="786">
        <v>2965.43</v>
      </c>
      <c r="X381" s="786">
        <v>2965.43</v>
      </c>
      <c r="Y381" s="786">
        <v>2965.43</v>
      </c>
      <c r="Z381" s="786">
        <v>2965.43</v>
      </c>
      <c r="AA381" s="786">
        <v>2965.43</v>
      </c>
    </row>
    <row r="382" spans="1:57" x14ac:dyDescent="0.25">
      <c r="C382" s="784" t="s">
        <v>696</v>
      </c>
      <c r="D382" s="786">
        <v>818.02</v>
      </c>
      <c r="E382" s="786">
        <v>818.02</v>
      </c>
      <c r="F382" s="786">
        <v>818.02</v>
      </c>
      <c r="G382" s="786">
        <v>818.02</v>
      </c>
      <c r="H382" s="786">
        <v>818.02</v>
      </c>
      <c r="I382" s="786">
        <v>818.02</v>
      </c>
      <c r="J382" s="786">
        <v>818.02</v>
      </c>
      <c r="K382" s="786">
        <v>818.02</v>
      </c>
      <c r="L382" s="786">
        <v>818.02</v>
      </c>
      <c r="M382" s="786">
        <v>818.02</v>
      </c>
      <c r="N382" s="786">
        <v>818.02</v>
      </c>
      <c r="O382" s="786">
        <v>818.02</v>
      </c>
      <c r="P382" s="786">
        <v>818.02</v>
      </c>
      <c r="Q382" s="786">
        <v>818.02</v>
      </c>
      <c r="R382" s="786">
        <v>818.02</v>
      </c>
      <c r="S382" s="786">
        <v>818.02</v>
      </c>
      <c r="T382" s="786">
        <v>818.02</v>
      </c>
      <c r="U382" s="786">
        <v>818.02</v>
      </c>
      <c r="V382" s="786">
        <v>818.02</v>
      </c>
      <c r="W382" s="786">
        <v>818.02</v>
      </c>
      <c r="X382" s="786">
        <v>818.02</v>
      </c>
      <c r="Y382" s="786">
        <v>818.02</v>
      </c>
      <c r="Z382" s="786">
        <v>818.02</v>
      </c>
      <c r="AA382" s="786">
        <v>818.02</v>
      </c>
      <c r="AB382" s="783">
        <v>1403039.0973129601</v>
      </c>
      <c r="AC382" s="783">
        <v>1402097.3162275199</v>
      </c>
      <c r="AD382" s="783">
        <v>2080993.94257701</v>
      </c>
      <c r="AE382" s="783">
        <v>4476250.9649719801</v>
      </c>
      <c r="AF382" s="783">
        <v>12454307.1786945</v>
      </c>
      <c r="AG382" s="783">
        <v>20394000.6690185</v>
      </c>
      <c r="AH382" s="783">
        <v>26364374.5114065</v>
      </c>
      <c r="AI382" s="783">
        <v>21264685.612810701</v>
      </c>
      <c r="AJ382" s="783">
        <v>15827270.577154201</v>
      </c>
      <c r="AK382" s="783">
        <v>7382259.7909749504</v>
      </c>
      <c r="AL382" s="783">
        <v>3883526.3524180599</v>
      </c>
      <c r="AM382" s="783">
        <v>1778180.72622155</v>
      </c>
      <c r="AN382" s="783">
        <v>1394608.7162241801</v>
      </c>
      <c r="AO382" s="783">
        <v>1400012.4379396699</v>
      </c>
      <c r="AP382" s="783">
        <v>2152134.9772935798</v>
      </c>
      <c r="AQ382" s="783">
        <v>4637430.7151408596</v>
      </c>
      <c r="AR382" s="783">
        <v>12798643.196630999</v>
      </c>
      <c r="AS382" s="783">
        <v>20842675.511062</v>
      </c>
      <c r="AT382" s="783">
        <v>27042990.3680338</v>
      </c>
      <c r="AU382" s="783">
        <v>22577818.5899387</v>
      </c>
      <c r="AV382" s="783">
        <v>15937014.922888801</v>
      </c>
      <c r="AW382" s="783">
        <v>7574826.4268360399</v>
      </c>
      <c r="AX382" s="783">
        <v>3973085.9159985702</v>
      </c>
      <c r="AY382" s="783">
        <v>1799972.6210659901</v>
      </c>
      <c r="AZ382" s="783">
        <v>1409769.0144195501</v>
      </c>
      <c r="BA382" s="783">
        <v>1374066.59537235</v>
      </c>
      <c r="BB382" s="783">
        <v>2199163.0674469601</v>
      </c>
      <c r="BC382" s="783">
        <v>4706161.6625037398</v>
      </c>
      <c r="BD382" s="783">
        <v>9308559.8536243495</v>
      </c>
      <c r="BE382" s="783">
        <v>15535138.033890899</v>
      </c>
    </row>
    <row r="383" spans="1:57" x14ac:dyDescent="0.25">
      <c r="C383" s="784" t="s">
        <v>1062</v>
      </c>
      <c r="D383" s="783">
        <v>161</v>
      </c>
      <c r="E383" s="783">
        <v>161</v>
      </c>
      <c r="F383" s="783">
        <v>156</v>
      </c>
      <c r="G383" s="783">
        <v>161</v>
      </c>
      <c r="H383" s="783">
        <v>156</v>
      </c>
      <c r="I383" s="783">
        <v>161</v>
      </c>
      <c r="J383" s="783">
        <v>161</v>
      </c>
      <c r="K383" s="783">
        <v>146</v>
      </c>
      <c r="L383" s="783">
        <v>161</v>
      </c>
      <c r="M383" s="783">
        <v>156</v>
      </c>
      <c r="N383" s="783">
        <v>161</v>
      </c>
      <c r="O383" s="783">
        <v>156</v>
      </c>
      <c r="P383" s="783">
        <v>161</v>
      </c>
      <c r="Q383" s="783">
        <v>161</v>
      </c>
      <c r="R383" s="783">
        <v>156</v>
      </c>
      <c r="S383" s="783">
        <v>161</v>
      </c>
      <c r="T383" s="783">
        <v>156</v>
      </c>
      <c r="U383" s="783">
        <v>161</v>
      </c>
      <c r="V383" s="783">
        <v>161</v>
      </c>
      <c r="W383" s="783">
        <v>146</v>
      </c>
      <c r="X383" s="783">
        <v>161</v>
      </c>
      <c r="Y383" s="783">
        <v>156</v>
      </c>
      <c r="Z383" s="783">
        <v>161</v>
      </c>
      <c r="AA383" s="783">
        <v>156</v>
      </c>
      <c r="AB383" s="783">
        <v>436263.831857518</v>
      </c>
      <c r="AC383" s="783">
        <v>446097.71560589201</v>
      </c>
      <c r="AD383" s="783">
        <v>443218.059367896</v>
      </c>
      <c r="AE383" s="783">
        <v>455024.90069032297</v>
      </c>
      <c r="AF383" s="783">
        <v>452049.11303861602</v>
      </c>
      <c r="AG383" s="783">
        <v>458102.96585990803</v>
      </c>
      <c r="AH383" s="783">
        <v>469045.69719747797</v>
      </c>
      <c r="AI383" s="783">
        <v>467868.03709018801</v>
      </c>
      <c r="AJ383" s="783">
        <v>478130.32839839102</v>
      </c>
      <c r="AK383" s="783">
        <v>477770.15384633298</v>
      </c>
      <c r="AL383" s="783">
        <v>474884.54605556198</v>
      </c>
      <c r="AM383" s="783">
        <v>480444.88496507599</v>
      </c>
      <c r="AN383" s="783">
        <v>487170.62828996597</v>
      </c>
      <c r="AO383" s="783">
        <v>497268.48329388897</v>
      </c>
      <c r="AP383" s="783">
        <v>494254.76878028101</v>
      </c>
      <c r="AQ383" s="783">
        <v>506380.91880969901</v>
      </c>
      <c r="AR383" s="783">
        <v>503106.23533355899</v>
      </c>
      <c r="AS383" s="783">
        <v>509382.93315855297</v>
      </c>
      <c r="AT383" s="783">
        <v>522679.350434675</v>
      </c>
      <c r="AU383" s="783">
        <v>522136.41559932003</v>
      </c>
      <c r="AV383" s="783">
        <v>532556.63275967096</v>
      </c>
      <c r="AW383" s="783">
        <v>532220.72848384804</v>
      </c>
      <c r="AX383" s="783">
        <v>529276.66375791898</v>
      </c>
      <c r="AY383" s="783">
        <v>534979.93552135397</v>
      </c>
      <c r="AZ383" s="783">
        <v>541927.68786558497</v>
      </c>
      <c r="BA383" s="783">
        <v>552293.99607573997</v>
      </c>
      <c r="BB383" s="783">
        <v>549125.25550872297</v>
      </c>
      <c r="BC383" s="783">
        <v>561591.11049687199</v>
      </c>
      <c r="BD383" s="783">
        <v>558158.681709953</v>
      </c>
      <c r="BE383" s="783">
        <v>566660.19102250994</v>
      </c>
    </row>
    <row r="384" spans="1:57" x14ac:dyDescent="0.25">
      <c r="C384" s="784" t="s">
        <v>1063</v>
      </c>
      <c r="D384" s="783">
        <v>161</v>
      </c>
      <c r="E384" s="783">
        <v>161</v>
      </c>
      <c r="F384" s="783">
        <v>156</v>
      </c>
      <c r="G384" s="783">
        <v>161</v>
      </c>
      <c r="H384" s="783">
        <v>156</v>
      </c>
      <c r="I384" s="783">
        <v>161</v>
      </c>
      <c r="J384" s="783">
        <v>161</v>
      </c>
      <c r="K384" s="783">
        <v>146</v>
      </c>
      <c r="L384" s="783">
        <v>161</v>
      </c>
      <c r="M384" s="783">
        <v>156</v>
      </c>
      <c r="N384" s="783">
        <v>161</v>
      </c>
      <c r="O384" s="783">
        <v>156</v>
      </c>
      <c r="P384" s="783">
        <v>161</v>
      </c>
      <c r="Q384" s="783">
        <v>161</v>
      </c>
      <c r="R384" s="783">
        <v>156</v>
      </c>
      <c r="S384" s="783">
        <v>161</v>
      </c>
      <c r="T384" s="783">
        <v>156</v>
      </c>
      <c r="U384" s="783">
        <v>161</v>
      </c>
      <c r="V384" s="783">
        <v>161</v>
      </c>
      <c r="W384" s="783">
        <v>146</v>
      </c>
      <c r="X384" s="783">
        <v>161</v>
      </c>
      <c r="Y384" s="783">
        <v>156</v>
      </c>
      <c r="Z384" s="783">
        <v>161</v>
      </c>
      <c r="AA384" s="783">
        <v>156</v>
      </c>
      <c r="AB384" s="783">
        <v>168317.596341111</v>
      </c>
      <c r="AC384" s="783">
        <v>168261.596341111</v>
      </c>
      <c r="AD384" s="783">
        <v>168794.596341111</v>
      </c>
      <c r="AE384" s="783">
        <v>168398.596341111</v>
      </c>
      <c r="AF384" s="783">
        <v>167626.596341111</v>
      </c>
      <c r="AG384" s="783">
        <v>168053.596341111</v>
      </c>
      <c r="AH384" s="783">
        <v>164633.490852777</v>
      </c>
      <c r="AI384" s="783">
        <v>164140.490852777</v>
      </c>
      <c r="AJ384" s="783">
        <v>166503.490852777</v>
      </c>
      <c r="AK384" s="783">
        <v>165620.490852777</v>
      </c>
      <c r="AL384" s="783">
        <v>163708.490852777</v>
      </c>
      <c r="AM384" s="783">
        <v>163819.490852777</v>
      </c>
      <c r="AN384" s="783">
        <v>164943.490852777</v>
      </c>
      <c r="AO384" s="783">
        <v>164892.490852777</v>
      </c>
      <c r="AP384" s="783">
        <v>165496.490852777</v>
      </c>
      <c r="AQ384" s="783">
        <v>165107.490852777</v>
      </c>
      <c r="AR384" s="783">
        <v>164274.490852777</v>
      </c>
      <c r="AS384" s="783">
        <v>164694.490852777</v>
      </c>
      <c r="AT384" s="783">
        <v>167288.385364444</v>
      </c>
      <c r="AU384" s="783">
        <v>166779.385364444</v>
      </c>
      <c r="AV384" s="783">
        <v>169111.385364444</v>
      </c>
      <c r="AW384" s="783">
        <v>168250.385364444</v>
      </c>
      <c r="AX384" s="783">
        <v>166324.385364444</v>
      </c>
      <c r="AY384" s="783">
        <v>166329.385364444</v>
      </c>
      <c r="AZ384" s="783">
        <v>167555.385364444</v>
      </c>
      <c r="BA384" s="783">
        <v>167465.385364444</v>
      </c>
      <c r="BB384" s="783">
        <v>168054.385364444</v>
      </c>
      <c r="BC384" s="783">
        <v>167618.385364444</v>
      </c>
      <c r="BD384" s="783">
        <v>166899.385364444</v>
      </c>
      <c r="BE384" s="783">
        <v>167282.385364444</v>
      </c>
    </row>
    <row r="385" spans="3:57" x14ac:dyDescent="0.25">
      <c r="C385" s="784" t="s">
        <v>697</v>
      </c>
      <c r="D385" s="783">
        <v>7604798.46</v>
      </c>
      <c r="E385" s="783">
        <v>7593246.4199999999</v>
      </c>
      <c r="F385" s="783">
        <v>7335904.4000000004</v>
      </c>
      <c r="G385" s="783">
        <v>7594647.2199999997</v>
      </c>
      <c r="H385" s="783">
        <v>7383063</v>
      </c>
      <c r="I385" s="783">
        <v>7672367.2599999998</v>
      </c>
      <c r="J385" s="783">
        <v>7685186.5199999996</v>
      </c>
      <c r="K385" s="783">
        <v>6950239</v>
      </c>
      <c r="L385" s="783">
        <v>7696898.7400000002</v>
      </c>
      <c r="M385" s="783">
        <v>7437091.2000000002</v>
      </c>
      <c r="N385" s="783">
        <v>7658998.25</v>
      </c>
      <c r="O385" s="783">
        <v>7388528.0999999996</v>
      </c>
      <c r="P385" s="783">
        <v>7613279.5599999996</v>
      </c>
      <c r="Q385" s="783">
        <v>7603283.5199999996</v>
      </c>
      <c r="R385" s="783">
        <v>7346298.9000000004</v>
      </c>
      <c r="S385" s="783">
        <v>7606276.4800000004</v>
      </c>
      <c r="T385" s="783">
        <v>7395556.7999999998</v>
      </c>
      <c r="U385" s="783">
        <v>7686068.2199999997</v>
      </c>
      <c r="V385" s="783">
        <v>7701449.9399999902</v>
      </c>
      <c r="W385" s="783">
        <v>6966202.7599999998</v>
      </c>
      <c r="X385" s="783">
        <v>7715016.5800000001</v>
      </c>
      <c r="Y385" s="783">
        <v>7455773.4000000004</v>
      </c>
      <c r="Z385" s="783">
        <v>7678104.7899999898</v>
      </c>
      <c r="AA385" s="783">
        <v>7412185.7999999998</v>
      </c>
      <c r="AB385" s="783">
        <v>2007620.5255115901</v>
      </c>
      <c r="AC385" s="783">
        <v>2016456.6281745301</v>
      </c>
      <c r="AD385" s="783">
        <v>2693006.5982860201</v>
      </c>
      <c r="AE385" s="783">
        <v>5099674.4620034201</v>
      </c>
      <c r="AF385" s="783">
        <v>13073982.888074201</v>
      </c>
      <c r="AG385" s="783">
        <v>21020157.2312195</v>
      </c>
      <c r="AH385" s="783">
        <v>26998053.699456699</v>
      </c>
      <c r="AI385" s="783">
        <v>21896694.140753601</v>
      </c>
      <c r="AJ385" s="783">
        <v>16471904.3964053</v>
      </c>
      <c r="AK385" s="783">
        <v>8025650.4356740601</v>
      </c>
      <c r="AL385" s="783">
        <v>4522119.3893264001</v>
      </c>
      <c r="AM385" s="783">
        <v>2422445.1020394</v>
      </c>
      <c r="AN385" s="783">
        <v>2046722.8353669301</v>
      </c>
      <c r="AO385" s="783">
        <v>2062173.4120863399</v>
      </c>
      <c r="AP385" s="783">
        <v>2811886.2369266399</v>
      </c>
      <c r="AQ385" s="783">
        <v>5308919.1248033298</v>
      </c>
      <c r="AR385" s="783">
        <v>13466023.922817299</v>
      </c>
      <c r="AS385" s="783">
        <v>21516752.935073301</v>
      </c>
      <c r="AT385" s="783">
        <v>27732958.103832901</v>
      </c>
      <c r="AU385" s="783">
        <v>23266734.3909024</v>
      </c>
      <c r="AV385" s="783">
        <v>16638682.941013001</v>
      </c>
      <c r="AW385" s="783">
        <v>8275297.5406843303</v>
      </c>
      <c r="AX385" s="783">
        <v>4668686.9651209395</v>
      </c>
      <c r="AY385" s="783">
        <v>2501281.9419517899</v>
      </c>
      <c r="AZ385" s="783">
        <v>2119252.0876495801</v>
      </c>
      <c r="BA385" s="783">
        <v>2093825.9768125301</v>
      </c>
      <c r="BB385" s="783">
        <v>2916342.7083201301</v>
      </c>
      <c r="BC385" s="783">
        <v>5435371.1583650596</v>
      </c>
      <c r="BD385" s="783">
        <v>10033617.9206987</v>
      </c>
      <c r="BE385" s="783">
        <v>16269080.6102778</v>
      </c>
    </row>
    <row r="386" spans="3:57" x14ac:dyDescent="0.25">
      <c r="C386" s="784" t="s">
        <v>698</v>
      </c>
      <c r="D386" s="783">
        <v>413963.76999999897</v>
      </c>
      <c r="E386" s="783">
        <v>410983.739999999</v>
      </c>
      <c r="F386" s="783">
        <v>399381.59999999899</v>
      </c>
      <c r="G386" s="783">
        <v>417965.86999999901</v>
      </c>
      <c r="H386" s="783">
        <v>415633.5</v>
      </c>
      <c r="I386" s="783">
        <v>434501.26999999897</v>
      </c>
      <c r="J386" s="783">
        <v>436244.08999999898</v>
      </c>
      <c r="K386" s="783">
        <v>392909.43999999901</v>
      </c>
      <c r="L386" s="783">
        <v>435006.87999999902</v>
      </c>
      <c r="M386" s="783">
        <v>418652.69999999902</v>
      </c>
      <c r="N386" s="783">
        <v>427702.03999999899</v>
      </c>
      <c r="O386" s="783">
        <v>404160.3</v>
      </c>
      <c r="P386" s="783">
        <v>411489.35</v>
      </c>
      <c r="Q386" s="783">
        <v>408799.78999999899</v>
      </c>
      <c r="R386" s="783">
        <v>396986.99999999901</v>
      </c>
      <c r="S386" s="783">
        <v>418546.80999999901</v>
      </c>
      <c r="T386" s="783">
        <v>416195.69999999902</v>
      </c>
      <c r="U386" s="783">
        <v>435082.20999999897</v>
      </c>
      <c r="V386" s="783">
        <v>438352.70999999897</v>
      </c>
      <c r="W386" s="783">
        <v>394814</v>
      </c>
      <c r="X386" s="783">
        <v>437115.49999999901</v>
      </c>
      <c r="Y386" s="783">
        <v>421432.49999999901</v>
      </c>
      <c r="Z386" s="783">
        <v>430574.49999999901</v>
      </c>
      <c r="AA386" s="783">
        <v>406940.1</v>
      </c>
    </row>
    <row r="387" spans="3:57" x14ac:dyDescent="0.25">
      <c r="C387" s="784" t="s">
        <v>699</v>
      </c>
      <c r="D387" s="783">
        <v>8018762.2300000004</v>
      </c>
      <c r="E387" s="783">
        <v>8004230.1600000001</v>
      </c>
      <c r="F387" s="783">
        <v>7735286</v>
      </c>
      <c r="G387" s="783">
        <v>8012613.0899999999</v>
      </c>
      <c r="H387" s="783">
        <v>7798696.5</v>
      </c>
      <c r="I387" s="783">
        <v>8106868.52999999</v>
      </c>
      <c r="J387" s="783">
        <v>8121430.6099999901</v>
      </c>
      <c r="K387" s="783">
        <v>7343148.4399999902</v>
      </c>
      <c r="L387" s="783">
        <v>8131905.6200000001</v>
      </c>
      <c r="M387" s="783">
        <v>7855743.9000000004</v>
      </c>
      <c r="N387" s="783">
        <v>8086700.2899999898</v>
      </c>
      <c r="O387" s="783">
        <v>7792688.4000000004</v>
      </c>
      <c r="P387" s="783">
        <v>8024768.9100000001</v>
      </c>
      <c r="Q387" s="783">
        <v>8012083.3099999996</v>
      </c>
      <c r="R387" s="783">
        <v>7743285.9000000004</v>
      </c>
      <c r="S387" s="783">
        <v>8024823.29</v>
      </c>
      <c r="T387" s="783">
        <v>7811752.5</v>
      </c>
      <c r="U387" s="783">
        <v>8121150.4299999997</v>
      </c>
      <c r="V387" s="783">
        <v>8139802.6500000004</v>
      </c>
      <c r="W387" s="783">
        <v>7361016.7599999998</v>
      </c>
      <c r="X387" s="783">
        <v>8152132.0800000001</v>
      </c>
      <c r="Y387" s="783">
        <v>7877205.9000000004</v>
      </c>
      <c r="Z387" s="783">
        <v>8108679.2899999898</v>
      </c>
      <c r="AA387" s="783">
        <v>7819125.9000000004</v>
      </c>
      <c r="AB387" s="783">
        <v>12654682.4239839</v>
      </c>
      <c r="AC387" s="783">
        <v>12721658.7942205</v>
      </c>
      <c r="AD387" s="783">
        <v>13681088.066539699</v>
      </c>
      <c r="AE387" s="783">
        <v>18905289.039879899</v>
      </c>
      <c r="AF387" s="783">
        <v>34022663.398428299</v>
      </c>
      <c r="AG387" s="783">
        <v>47450023.687049299</v>
      </c>
      <c r="AH387" s="783">
        <v>58218639.868092403</v>
      </c>
      <c r="AI387" s="783">
        <v>47471342.087675102</v>
      </c>
      <c r="AJ387" s="783">
        <v>38824844.631775796</v>
      </c>
      <c r="AK387" s="783">
        <v>22806877.547792599</v>
      </c>
      <c r="AL387" s="783">
        <v>16638353.665561801</v>
      </c>
      <c r="AM387" s="783">
        <v>13126227.4245457</v>
      </c>
      <c r="AN387" s="783">
        <v>12712984.611780001</v>
      </c>
      <c r="AO387" s="783">
        <v>12784657.1947522</v>
      </c>
      <c r="AP387" s="783">
        <v>13833342.9788006</v>
      </c>
      <c r="AQ387" s="783">
        <v>19155409.3695371</v>
      </c>
      <c r="AR387" s="783">
        <v>34439913.727214001</v>
      </c>
      <c r="AS387" s="783">
        <v>47944907.475739799</v>
      </c>
      <c r="AT387" s="783">
        <v>58950953.0935461</v>
      </c>
      <c r="AU387" s="783">
        <v>49319890.6010933</v>
      </c>
      <c r="AV387" s="783">
        <v>39162928.444271602</v>
      </c>
      <c r="AW387" s="783">
        <v>23101638.026687801</v>
      </c>
      <c r="AX387" s="783">
        <v>16816963.663391799</v>
      </c>
      <c r="AY387" s="783">
        <v>13221820.498369399</v>
      </c>
      <c r="AZ387" s="783">
        <v>12808913.010578901</v>
      </c>
      <c r="BA387" s="783">
        <v>12838272.366677299</v>
      </c>
      <c r="BB387" s="783">
        <v>13971605.7483701</v>
      </c>
      <c r="BC387" s="783">
        <v>19314980.2616072</v>
      </c>
      <c r="BD387" s="783">
        <v>31014239.752168499</v>
      </c>
      <c r="BE387" s="783">
        <v>42676123.958417401</v>
      </c>
    </row>
    <row r="388" spans="3:57" x14ac:dyDescent="0.25"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57" x14ac:dyDescent="0.25">
      <c r="C389" s="784" t="s">
        <v>700</v>
      </c>
      <c r="D389" s="783">
        <v>1096963.66007143</v>
      </c>
      <c r="E389" s="783">
        <v>1182385.32494576</v>
      </c>
      <c r="F389" s="783">
        <v>1311448.1149722601</v>
      </c>
      <c r="G389" s="783">
        <v>2095401.9955756799</v>
      </c>
      <c r="H389" s="783">
        <v>4679899.9455032898</v>
      </c>
      <c r="I389" s="783">
        <v>6339463.7890644399</v>
      </c>
      <c r="J389" s="783">
        <v>7884732.2260742802</v>
      </c>
      <c r="K389" s="783">
        <v>6305616.6158549897</v>
      </c>
      <c r="L389" s="783">
        <v>5083323.8308041599</v>
      </c>
      <c r="M389" s="783">
        <v>2463572.8536966802</v>
      </c>
      <c r="N389" s="783">
        <v>1627733.75416895</v>
      </c>
      <c r="O389" s="783">
        <v>1257310.9450406199</v>
      </c>
      <c r="P389" s="783">
        <v>1156162.0093272501</v>
      </c>
      <c r="Q389" s="783">
        <v>1240436.39689364</v>
      </c>
      <c r="R389" s="783">
        <v>1376882.65176199</v>
      </c>
      <c r="S389" s="783">
        <v>2215263.75919904</v>
      </c>
      <c r="T389" s="783">
        <v>4790931.43089299</v>
      </c>
      <c r="U389" s="783">
        <v>6413963.8925740598</v>
      </c>
      <c r="V389" s="783">
        <v>7986389.8965056296</v>
      </c>
      <c r="W389" s="783">
        <v>6411259.7137592398</v>
      </c>
      <c r="X389" s="783">
        <v>5183913.56863984</v>
      </c>
      <c r="Y389" s="783">
        <v>2528384.8975370699</v>
      </c>
      <c r="Z389" s="783">
        <v>1687011.6620088201</v>
      </c>
      <c r="AA389" s="783">
        <v>1315066.09209942</v>
      </c>
    </row>
    <row r="390" spans="3:57" x14ac:dyDescent="0.25">
      <c r="C390" s="784" t="s">
        <v>701</v>
      </c>
      <c r="D390" s="783">
        <v>108053.169758977</v>
      </c>
      <c r="E390" s="783">
        <v>112578.37714299699</v>
      </c>
      <c r="F390" s="783">
        <v>146874.54970608401</v>
      </c>
      <c r="G390" s="783">
        <v>250653.117081309</v>
      </c>
      <c r="H390" s="783">
        <v>0</v>
      </c>
      <c r="I390" s="783">
        <v>0</v>
      </c>
      <c r="J390" s="783">
        <v>0</v>
      </c>
      <c r="K390" s="783">
        <v>0</v>
      </c>
      <c r="L390" s="783">
        <v>0</v>
      </c>
      <c r="M390" s="783">
        <v>293873.933901941</v>
      </c>
      <c r="N390" s="783">
        <v>185971.43588522801</v>
      </c>
      <c r="O390" s="783">
        <v>140227.66936823499</v>
      </c>
      <c r="P390" s="783">
        <v>122109.452680196</v>
      </c>
      <c r="Q390" s="783">
        <v>128876.91309792599</v>
      </c>
      <c r="R390" s="783">
        <v>167444.481752867</v>
      </c>
      <c r="S390" s="783">
        <v>275335.37520332198</v>
      </c>
      <c r="T390" s="783">
        <v>0</v>
      </c>
      <c r="U390" s="783">
        <v>0</v>
      </c>
      <c r="V390" s="783">
        <v>0</v>
      </c>
      <c r="W390" s="783">
        <v>0</v>
      </c>
      <c r="X390" s="783">
        <v>0</v>
      </c>
      <c r="Y390" s="783">
        <v>307132.42798987502</v>
      </c>
      <c r="Z390" s="783">
        <v>197160.64950903901</v>
      </c>
      <c r="AA390" s="783">
        <v>149494.22541019399</v>
      </c>
    </row>
    <row r="391" spans="3:57" x14ac:dyDescent="0.25">
      <c r="C391" s="784" t="s">
        <v>702</v>
      </c>
      <c r="D391" s="788">
        <v>17.323499999999999</v>
      </c>
      <c r="E391" s="788">
        <v>17.323499999999999</v>
      </c>
      <c r="F391" s="788">
        <v>17.323499999999999</v>
      </c>
      <c r="G391" s="788">
        <v>17.323499999999999</v>
      </c>
      <c r="H391" s="788">
        <v>17.323499999999999</v>
      </c>
      <c r="I391" s="788">
        <v>17.323499999999999</v>
      </c>
      <c r="J391" s="788">
        <v>17.323499999999999</v>
      </c>
      <c r="K391" s="788">
        <v>17.323499999999999</v>
      </c>
      <c r="L391" s="788">
        <v>17.323499999999999</v>
      </c>
      <c r="M391" s="788">
        <v>17.323499999999999</v>
      </c>
      <c r="N391" s="788">
        <v>17.323499999999999</v>
      </c>
      <c r="O391" s="788">
        <v>17.323499999999999</v>
      </c>
      <c r="P391" s="788">
        <v>17.323499999999999</v>
      </c>
      <c r="Q391" s="788">
        <v>17.323499999999999</v>
      </c>
      <c r="R391" s="788">
        <v>17.323499999999999</v>
      </c>
      <c r="S391" s="788">
        <v>17.323499999999999</v>
      </c>
      <c r="T391" s="788">
        <v>17.323499999999999</v>
      </c>
      <c r="U391" s="788">
        <v>17.323499999999999</v>
      </c>
      <c r="V391" s="788">
        <v>17.323499999999999</v>
      </c>
      <c r="W391" s="788">
        <v>17.323499999999999</v>
      </c>
      <c r="X391" s="788">
        <v>17.323499999999999</v>
      </c>
      <c r="Y391" s="788">
        <v>17.323499999999999</v>
      </c>
      <c r="Z391" s="788">
        <v>17.323499999999999</v>
      </c>
      <c r="AA391" s="788">
        <v>17.323499999999999</v>
      </c>
    </row>
    <row r="392" spans="3:57" x14ac:dyDescent="0.25">
      <c r="C392" s="784" t="s">
        <v>703</v>
      </c>
      <c r="D392" s="788">
        <v>8.5198</v>
      </c>
      <c r="E392" s="788">
        <v>8.5198</v>
      </c>
      <c r="F392" s="788">
        <v>8.5198</v>
      </c>
      <c r="G392" s="788">
        <v>8.5198</v>
      </c>
      <c r="H392" s="788">
        <v>10.5198</v>
      </c>
      <c r="I392" s="788">
        <v>10.5198</v>
      </c>
      <c r="J392" s="788">
        <v>10.5198</v>
      </c>
      <c r="K392" s="788">
        <v>10.5198</v>
      </c>
      <c r="L392" s="788">
        <v>10.5198</v>
      </c>
      <c r="M392" s="788">
        <v>8.5198</v>
      </c>
      <c r="N392" s="788">
        <v>8.5198</v>
      </c>
      <c r="O392" s="788">
        <v>8.5198</v>
      </c>
      <c r="P392" s="788">
        <v>8.5198</v>
      </c>
      <c r="Q392" s="788">
        <v>8.5198</v>
      </c>
      <c r="R392" s="788">
        <v>8.5198</v>
      </c>
      <c r="S392" s="788">
        <v>8.5198</v>
      </c>
      <c r="T392" s="788">
        <v>10.5198</v>
      </c>
      <c r="U392" s="788">
        <v>10.5198</v>
      </c>
      <c r="V392" s="788">
        <v>10.5198</v>
      </c>
      <c r="W392" s="788">
        <v>10.5198</v>
      </c>
      <c r="X392" s="788">
        <v>10.5198</v>
      </c>
      <c r="Y392" s="788">
        <v>8.5198</v>
      </c>
      <c r="Z392" s="788">
        <v>8.5198</v>
      </c>
      <c r="AA392" s="788">
        <v>8.5198</v>
      </c>
    </row>
    <row r="393" spans="3:57" x14ac:dyDescent="0.25">
      <c r="C393" s="784" t="s">
        <v>704</v>
      </c>
      <c r="D393" s="783">
        <v>1645429.04472607</v>
      </c>
      <c r="E393" s="783">
        <v>1698177.8814789699</v>
      </c>
      <c r="F393" s="783">
        <v>2147678.8433945202</v>
      </c>
      <c r="G393" s="783">
        <v>4347709.7218412096</v>
      </c>
      <c r="H393" s="783">
        <v>12445791.364627801</v>
      </c>
      <c r="I393" s="783">
        <v>17677952.8867644</v>
      </c>
      <c r="J393" s="783">
        <v>22349667.442019999</v>
      </c>
      <c r="K393" s="783">
        <v>17460210.832498498</v>
      </c>
      <c r="L393" s="783">
        <v>13447030.3086574</v>
      </c>
      <c r="M393" s="783">
        <v>5461972.6362016099</v>
      </c>
      <c r="N393" s="783">
        <v>2871286.4944027001</v>
      </c>
      <c r="O393" s="783">
        <v>1892319.8885540799</v>
      </c>
      <c r="P393" s="783">
        <v>1665680.5427508701</v>
      </c>
      <c r="Q393" s="783">
        <v>1724819.39259573</v>
      </c>
      <c r="R393" s="783">
        <v>2179078.7995556099</v>
      </c>
      <c r="S393" s="783">
        <v>4456069.0401591901</v>
      </c>
      <c r="T393" s="783">
        <v>12439384.456433499</v>
      </c>
      <c r="U393" s="783">
        <v>17623317.484187201</v>
      </c>
      <c r="V393" s="783">
        <v>22391420.016381901</v>
      </c>
      <c r="W393" s="783">
        <v>17517611.742686</v>
      </c>
      <c r="X393" s="783">
        <v>13496236.0069835</v>
      </c>
      <c r="Y393" s="783">
        <v>5483503.38778939</v>
      </c>
      <c r="Z393" s="783">
        <v>2883788.9758944698</v>
      </c>
      <c r="AA393" s="783">
        <v>1896262.4679082499</v>
      </c>
    </row>
    <row r="394" spans="3:57" x14ac:dyDescent="0.25">
      <c r="C394" s="784" t="s">
        <v>705</v>
      </c>
      <c r="D394" s="783">
        <v>236969.366480186</v>
      </c>
      <c r="E394" s="783">
        <v>243727.85452749199</v>
      </c>
      <c r="F394" s="783">
        <v>319454.11277924699</v>
      </c>
      <c r="G394" s="783">
        <v>569853.76650776097</v>
      </c>
      <c r="H394" s="783">
        <v>0</v>
      </c>
      <c r="I394" s="783">
        <v>0</v>
      </c>
      <c r="J394" s="783">
        <v>0</v>
      </c>
      <c r="K394" s="783">
        <v>0</v>
      </c>
      <c r="L394" s="783">
        <v>0</v>
      </c>
      <c r="M394" s="783">
        <v>688247.32457103895</v>
      </c>
      <c r="N394" s="783">
        <v>415097.66068726301</v>
      </c>
      <c r="O394" s="783">
        <v>303755.92730350501</v>
      </c>
      <c r="P394" s="783">
        <v>262500.23816930602</v>
      </c>
      <c r="Q394" s="783">
        <v>272957.55339914397</v>
      </c>
      <c r="R394" s="783">
        <v>357524.70107028499</v>
      </c>
      <c r="S394" s="783">
        <v>616645.88106031297</v>
      </c>
      <c r="T394" s="783">
        <v>0</v>
      </c>
      <c r="U394" s="783">
        <v>0</v>
      </c>
      <c r="V394" s="783">
        <v>0</v>
      </c>
      <c r="W394" s="783">
        <v>0</v>
      </c>
      <c r="X394" s="783">
        <v>0</v>
      </c>
      <c r="Y394" s="783">
        <v>713984.01039025001</v>
      </c>
      <c r="Z394" s="783">
        <v>435498.87249540299</v>
      </c>
      <c r="AA394" s="783">
        <v>319490.92882401601</v>
      </c>
    </row>
    <row r="395" spans="3:57" x14ac:dyDescent="0.25">
      <c r="C395" s="784" t="s">
        <v>706</v>
      </c>
      <c r="D395" s="783">
        <v>1882398.4112062601</v>
      </c>
      <c r="E395" s="783">
        <v>1941905.7360064599</v>
      </c>
      <c r="F395" s="783">
        <v>2467132.9561737701</v>
      </c>
      <c r="G395" s="783">
        <v>4917563.4883489702</v>
      </c>
      <c r="H395" s="783">
        <v>12445791.364627801</v>
      </c>
      <c r="I395" s="783">
        <v>17677952.8867644</v>
      </c>
      <c r="J395" s="783">
        <v>22349667.442019999</v>
      </c>
      <c r="K395" s="783">
        <v>17460210.832498498</v>
      </c>
      <c r="L395" s="783">
        <v>13447030.3086574</v>
      </c>
      <c r="M395" s="783">
        <v>6150219.9607726503</v>
      </c>
      <c r="N395" s="783">
        <v>3286384.15508996</v>
      </c>
      <c r="O395" s="783">
        <v>2196075.8158575799</v>
      </c>
      <c r="P395" s="783">
        <v>1928180.78092017</v>
      </c>
      <c r="Q395" s="783">
        <v>1997776.9459948801</v>
      </c>
      <c r="R395" s="783">
        <v>2536603.5006259</v>
      </c>
      <c r="S395" s="783">
        <v>5072714.9212194998</v>
      </c>
      <c r="T395" s="783">
        <v>12439384.456433499</v>
      </c>
      <c r="U395" s="783">
        <v>17623317.484187201</v>
      </c>
      <c r="V395" s="783">
        <v>22391420.016381901</v>
      </c>
      <c r="W395" s="783">
        <v>17517611.742686</v>
      </c>
      <c r="X395" s="783">
        <v>13496236.0069835</v>
      </c>
      <c r="Y395" s="783">
        <v>6197487.3981796401</v>
      </c>
      <c r="Z395" s="783">
        <v>3319287.8483898798</v>
      </c>
      <c r="AA395" s="783">
        <v>2215753.3967322698</v>
      </c>
    </row>
    <row r="396" spans="3:57" x14ac:dyDescent="0.25"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57" x14ac:dyDescent="0.25">
      <c r="C397" s="784" t="s">
        <v>707</v>
      </c>
      <c r="D397" s="786">
        <v>2200</v>
      </c>
      <c r="E397" s="786">
        <v>2200</v>
      </c>
      <c r="F397" s="786">
        <v>2200</v>
      </c>
      <c r="G397" s="786">
        <v>2200</v>
      </c>
      <c r="H397" s="786">
        <v>2200</v>
      </c>
      <c r="I397" s="786">
        <v>2200</v>
      </c>
      <c r="J397" s="786">
        <v>2200</v>
      </c>
      <c r="K397" s="786">
        <v>2200</v>
      </c>
      <c r="L397" s="786">
        <v>2200</v>
      </c>
      <c r="M397" s="786">
        <v>2200</v>
      </c>
      <c r="N397" s="786">
        <v>2200</v>
      </c>
      <c r="O397" s="786">
        <v>2200</v>
      </c>
      <c r="P397" s="786">
        <v>2200</v>
      </c>
      <c r="Q397" s="786">
        <v>2200</v>
      </c>
      <c r="R397" s="786">
        <v>2200</v>
      </c>
      <c r="S397" s="786">
        <v>2200</v>
      </c>
      <c r="T397" s="786">
        <v>2200</v>
      </c>
      <c r="U397" s="786">
        <v>2200</v>
      </c>
      <c r="V397" s="786">
        <v>2200</v>
      </c>
      <c r="W397" s="786">
        <v>2200</v>
      </c>
      <c r="X397" s="786">
        <v>2200</v>
      </c>
      <c r="Y397" s="786">
        <v>2200</v>
      </c>
      <c r="Z397" s="786">
        <v>2200</v>
      </c>
      <c r="AA397" s="786">
        <v>2200</v>
      </c>
    </row>
    <row r="398" spans="3:57" x14ac:dyDescent="0.25">
      <c r="C398" s="784" t="s">
        <v>708</v>
      </c>
      <c r="D398" s="783">
        <v>50050</v>
      </c>
      <c r="E398" s="783">
        <v>50600</v>
      </c>
      <c r="F398" s="783">
        <v>51150</v>
      </c>
      <c r="G398" s="783">
        <v>51700</v>
      </c>
      <c r="H398" s="783">
        <v>52250</v>
      </c>
      <c r="I398" s="783">
        <v>52800</v>
      </c>
      <c r="J398" s="783">
        <v>47300</v>
      </c>
      <c r="K398" s="783">
        <v>47300</v>
      </c>
      <c r="L398" s="783">
        <v>47850</v>
      </c>
      <c r="M398" s="783">
        <v>48400</v>
      </c>
      <c r="N398" s="783">
        <v>48400</v>
      </c>
      <c r="O398" s="783">
        <v>48950</v>
      </c>
      <c r="P398" s="783">
        <v>48950</v>
      </c>
      <c r="Q398" s="783">
        <v>50050</v>
      </c>
      <c r="R398" s="783">
        <v>50600</v>
      </c>
      <c r="S398" s="783">
        <v>51150</v>
      </c>
      <c r="T398" s="783">
        <v>51700</v>
      </c>
      <c r="U398" s="783">
        <v>52250</v>
      </c>
      <c r="V398" s="783">
        <v>46750</v>
      </c>
      <c r="W398" s="783">
        <v>46750</v>
      </c>
      <c r="X398" s="783">
        <v>47300</v>
      </c>
      <c r="Y398" s="783">
        <v>47850</v>
      </c>
      <c r="Z398" s="783">
        <v>48400</v>
      </c>
      <c r="AA398" s="783">
        <v>48950</v>
      </c>
    </row>
    <row r="399" spans="3:57" x14ac:dyDescent="0.25"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57" x14ac:dyDescent="0.25">
      <c r="C400" s="784" t="s">
        <v>709</v>
      </c>
      <c r="D400" s="783">
        <v>95562.900793279405</v>
      </c>
      <c r="E400" s="783">
        <v>95562.900793279405</v>
      </c>
      <c r="F400" s="783">
        <v>95562.900793279405</v>
      </c>
      <c r="G400" s="783">
        <v>95562.900793279405</v>
      </c>
      <c r="H400" s="783">
        <v>96958.300793279399</v>
      </c>
      <c r="I400" s="783">
        <v>96589.200793279393</v>
      </c>
      <c r="J400" s="783">
        <v>96171.100183523304</v>
      </c>
      <c r="K400" s="783">
        <v>95019.995377308704</v>
      </c>
      <c r="L400" s="783">
        <v>94705.751947386801</v>
      </c>
      <c r="M400" s="783">
        <v>94705.751947386801</v>
      </c>
      <c r="N400" s="783">
        <v>94705.751947386801</v>
      </c>
      <c r="O400" s="783">
        <v>94705.751947386801</v>
      </c>
      <c r="P400" s="783">
        <v>94705.751947386801</v>
      </c>
      <c r="Q400" s="783">
        <v>94705.751947386801</v>
      </c>
      <c r="R400" s="783">
        <v>94705.751947386801</v>
      </c>
      <c r="S400" s="783">
        <v>94705.751947386801</v>
      </c>
      <c r="T400" s="783">
        <v>95076.404912649305</v>
      </c>
      <c r="U400" s="783">
        <v>95076.404912649305</v>
      </c>
      <c r="V400" s="783">
        <v>99596.407627865803</v>
      </c>
      <c r="W400" s="783">
        <v>99596.407627865803</v>
      </c>
      <c r="X400" s="783">
        <v>98680.897472298704</v>
      </c>
      <c r="Y400" s="783">
        <v>98680.897472298704</v>
      </c>
      <c r="Z400" s="783">
        <v>98680.897472298704</v>
      </c>
      <c r="AA400" s="783">
        <v>98680.897472298704</v>
      </c>
    </row>
    <row r="401" spans="3:27" x14ac:dyDescent="0.25">
      <c r="C401" s="784" t="s">
        <v>710</v>
      </c>
      <c r="D401" s="788">
        <v>33.245599999999897</v>
      </c>
      <c r="E401" s="788">
        <v>33.245599999999897</v>
      </c>
      <c r="F401" s="788">
        <v>33.245599999999897</v>
      </c>
      <c r="G401" s="788">
        <v>33.245599999999897</v>
      </c>
      <c r="H401" s="788">
        <v>33.245599999999897</v>
      </c>
      <c r="I401" s="788">
        <v>33.245599999999897</v>
      </c>
      <c r="J401" s="788">
        <v>33.245599999999897</v>
      </c>
      <c r="K401" s="788">
        <v>33.245599999999897</v>
      </c>
      <c r="L401" s="788">
        <v>33.245599999999897</v>
      </c>
      <c r="M401" s="788">
        <v>33.245599999999897</v>
      </c>
      <c r="N401" s="788">
        <v>33.245599999999897</v>
      </c>
      <c r="O401" s="788">
        <v>33.245599999999897</v>
      </c>
      <c r="P401" s="788">
        <v>33.245599999999897</v>
      </c>
      <c r="Q401" s="788">
        <v>33.245599999999897</v>
      </c>
      <c r="R401" s="788">
        <v>33.245599999999897</v>
      </c>
      <c r="S401" s="788">
        <v>33.245599999999897</v>
      </c>
      <c r="T401" s="788">
        <v>33.245599999999897</v>
      </c>
      <c r="U401" s="788">
        <v>33.245599999999897</v>
      </c>
      <c r="V401" s="788">
        <v>33.245599999999897</v>
      </c>
      <c r="W401" s="788">
        <v>33.245599999999897</v>
      </c>
      <c r="X401" s="788">
        <v>33.245599999999897</v>
      </c>
      <c r="Y401" s="788">
        <v>33.245599999999897</v>
      </c>
      <c r="Z401" s="788">
        <v>33.245599999999897</v>
      </c>
      <c r="AA401" s="788">
        <v>33.245599999999897</v>
      </c>
    </row>
    <row r="402" spans="3:27" x14ac:dyDescent="0.25">
      <c r="C402" s="784" t="s">
        <v>711</v>
      </c>
      <c r="D402" s="783">
        <v>571430.76199999999</v>
      </c>
      <c r="E402" s="783">
        <v>571430.76199999999</v>
      </c>
      <c r="F402" s="783">
        <v>571430.76199999999</v>
      </c>
      <c r="G402" s="783">
        <v>571430.76199999999</v>
      </c>
      <c r="H402" s="783">
        <v>578254.26800000004</v>
      </c>
      <c r="I402" s="783">
        <v>576449.36899999995</v>
      </c>
      <c r="J402" s="783">
        <v>573706.62899999996</v>
      </c>
      <c r="K402" s="783">
        <v>568077.72649761103</v>
      </c>
      <c r="L402" s="783">
        <v>566541.07612529199</v>
      </c>
      <c r="M402" s="783">
        <v>566541.07612529199</v>
      </c>
      <c r="N402" s="783">
        <v>566541.07612529199</v>
      </c>
      <c r="O402" s="783">
        <v>566541.07612529199</v>
      </c>
      <c r="P402" s="783">
        <v>566541.07612529199</v>
      </c>
      <c r="Q402" s="783">
        <v>566541.07612529199</v>
      </c>
      <c r="R402" s="783">
        <v>566541.07612529199</v>
      </c>
      <c r="S402" s="783">
        <v>566541.07612529199</v>
      </c>
      <c r="T402" s="783">
        <v>568353.569125426</v>
      </c>
      <c r="U402" s="783">
        <v>568353.569125426</v>
      </c>
      <c r="V402" s="783">
        <v>590456.38240283495</v>
      </c>
      <c r="W402" s="783">
        <v>590456.38240283495</v>
      </c>
      <c r="X402" s="783">
        <v>585979.53774211195</v>
      </c>
      <c r="Y402" s="783">
        <v>585979.53774211195</v>
      </c>
      <c r="Z402" s="783">
        <v>585979.53774211195</v>
      </c>
      <c r="AA402" s="783">
        <v>585979.53774211195</v>
      </c>
    </row>
    <row r="403" spans="3:27" x14ac:dyDescent="0.25"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 s="784" t="s">
        <v>712</v>
      </c>
      <c r="D404" s="783">
        <v>0</v>
      </c>
      <c r="E404" s="783">
        <v>0</v>
      </c>
      <c r="F404" s="783">
        <v>6000</v>
      </c>
      <c r="G404" s="783">
        <v>6000</v>
      </c>
      <c r="H404" s="783">
        <v>6000</v>
      </c>
      <c r="I404" s="783">
        <v>6000</v>
      </c>
      <c r="J404" s="783">
        <v>6000</v>
      </c>
      <c r="K404" s="783">
        <v>6000</v>
      </c>
      <c r="L404" s="783">
        <v>6000</v>
      </c>
      <c r="M404" s="783">
        <v>6000</v>
      </c>
      <c r="N404" s="783">
        <v>6000</v>
      </c>
      <c r="O404" s="783">
        <v>6000</v>
      </c>
      <c r="P404" s="783">
        <v>6000</v>
      </c>
      <c r="Q404" s="783">
        <v>6000</v>
      </c>
      <c r="R404" s="783">
        <v>6000</v>
      </c>
      <c r="S404" s="783">
        <v>6000</v>
      </c>
      <c r="T404" s="783">
        <v>6000</v>
      </c>
      <c r="U404" s="783">
        <v>6000</v>
      </c>
      <c r="V404" s="783">
        <v>6000</v>
      </c>
      <c r="W404" s="783">
        <v>6000</v>
      </c>
      <c r="X404" s="783">
        <v>6000</v>
      </c>
      <c r="Y404" s="783">
        <v>6000</v>
      </c>
      <c r="Z404" s="783">
        <v>6000</v>
      </c>
      <c r="AA404" s="783">
        <v>6000</v>
      </c>
    </row>
    <row r="405" spans="3:27" x14ac:dyDescent="0.25"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 s="784" t="s">
        <v>713</v>
      </c>
      <c r="D406" s="783">
        <v>410884.95774645603</v>
      </c>
      <c r="E406" s="783">
        <v>817742.992441596</v>
      </c>
      <c r="F406" s="783">
        <v>2137435.0608371501</v>
      </c>
      <c r="G406" s="783">
        <v>4425304.1563385697</v>
      </c>
      <c r="H406" s="783">
        <v>12287889.1328917</v>
      </c>
      <c r="I406" s="783">
        <v>19504831.120145999</v>
      </c>
      <c r="J406" s="783">
        <v>25534488.392188098</v>
      </c>
      <c r="K406" s="783">
        <v>19977563.5037589</v>
      </c>
      <c r="L406" s="783">
        <v>15191814.5932808</v>
      </c>
      <c r="M406" s="783">
        <v>6770002.0510202497</v>
      </c>
      <c r="N406" s="783">
        <v>3710465.94842816</v>
      </c>
      <c r="O406" s="783">
        <v>1681779.4734646301</v>
      </c>
      <c r="P406" s="783">
        <v>1225870.17019018</v>
      </c>
      <c r="Q406" s="783">
        <v>1312346.96954956</v>
      </c>
      <c r="R406" s="783">
        <v>1979486.4272564901</v>
      </c>
      <c r="S406" s="783">
        <v>4444095.7782272901</v>
      </c>
      <c r="T406" s="783">
        <v>13117170.8997072</v>
      </c>
      <c r="U406" s="783">
        <v>20085679.8471733</v>
      </c>
      <c r="V406" s="783">
        <v>25964827.652950902</v>
      </c>
      <c r="W406" s="783">
        <v>20597682.4929213</v>
      </c>
      <c r="X406" s="783">
        <v>15805889.060292801</v>
      </c>
      <c r="Y406" s="783">
        <v>6776988.9961696696</v>
      </c>
      <c r="Z406" s="783">
        <v>3572011.1302347002</v>
      </c>
      <c r="AA406" s="783">
        <v>1547962.4365388099</v>
      </c>
    </row>
    <row r="407" spans="3:27" x14ac:dyDescent="0.25">
      <c r="C407" s="784" t="s">
        <v>714</v>
      </c>
      <c r="D407" s="783">
        <v>1363330.03</v>
      </c>
      <c r="E407" s="783">
        <v>974542.98999999894</v>
      </c>
      <c r="F407" s="783">
        <v>1256934.20972281</v>
      </c>
      <c r="G407" s="783">
        <v>1329897.1083148101</v>
      </c>
      <c r="H407" s="783">
        <v>1391239.92486381</v>
      </c>
      <c r="I407" s="783">
        <v>1411162.3880680599</v>
      </c>
      <c r="J407" s="783">
        <v>2043520.12438208</v>
      </c>
      <c r="K407" s="783">
        <v>2049179.53049908</v>
      </c>
      <c r="L407" s="783">
        <v>2063153.7408250801</v>
      </c>
      <c r="M407" s="783">
        <v>2064436.4021320799</v>
      </c>
      <c r="N407" s="783">
        <v>2067398.78909208</v>
      </c>
      <c r="O407" s="783">
        <v>2102827.8957000799</v>
      </c>
      <c r="P407" s="783">
        <v>2129057.3203110802</v>
      </c>
      <c r="Q407" s="783">
        <v>2134781.46326108</v>
      </c>
      <c r="R407" s="783">
        <v>2137428.0849710801</v>
      </c>
      <c r="S407" s="783">
        <v>2136634.8430210799</v>
      </c>
      <c r="T407" s="783">
        <v>2137863.5065310802</v>
      </c>
      <c r="U407" s="783">
        <v>2141231.2803871199</v>
      </c>
      <c r="V407" s="783">
        <v>2555456.6735697901</v>
      </c>
      <c r="W407" s="783">
        <v>2557668.1992697902</v>
      </c>
      <c r="X407" s="783">
        <v>2568876.7980797901</v>
      </c>
      <c r="Y407" s="783">
        <v>2566021.3765497901</v>
      </c>
      <c r="Z407" s="783">
        <v>2565385.5784897902</v>
      </c>
      <c r="AA407" s="783">
        <v>2573701.8109897901</v>
      </c>
    </row>
    <row r="408" spans="3:27" x14ac:dyDescent="0.25">
      <c r="C408" s="784" t="s">
        <v>715</v>
      </c>
      <c r="D408" s="783">
        <v>329286.239999999</v>
      </c>
      <c r="E408" s="783">
        <v>46889.85</v>
      </c>
      <c r="F408" s="783">
        <v>221075.596341111</v>
      </c>
      <c r="G408" s="783">
        <v>245338.596341111</v>
      </c>
      <c r="H408" s="783">
        <v>197498.596341111</v>
      </c>
      <c r="I408" s="783">
        <v>153397.596341111</v>
      </c>
      <c r="J408" s="783">
        <v>33410.490852777701</v>
      </c>
      <c r="K408" s="783">
        <v>33391.490852777701</v>
      </c>
      <c r="L408" s="783">
        <v>33653.490852777701</v>
      </c>
      <c r="M408" s="783">
        <v>33530.490852777701</v>
      </c>
      <c r="N408" s="783">
        <v>33409.490852777701</v>
      </c>
      <c r="O408" s="783">
        <v>33551.490852777701</v>
      </c>
      <c r="P408" s="783">
        <v>29650</v>
      </c>
      <c r="Q408" s="783">
        <v>29774</v>
      </c>
      <c r="R408" s="783">
        <v>29718</v>
      </c>
      <c r="S408" s="783">
        <v>29647</v>
      </c>
      <c r="T408" s="783">
        <v>29604</v>
      </c>
      <c r="U408" s="783">
        <v>29608</v>
      </c>
      <c r="V408" s="783">
        <v>31840.9472558333</v>
      </c>
      <c r="W408" s="783">
        <v>31821.9472558333</v>
      </c>
      <c r="X408" s="783">
        <v>32088.9472558333</v>
      </c>
      <c r="Y408" s="783">
        <v>31962.9472558333</v>
      </c>
      <c r="Z408" s="783">
        <v>31839.9472558333</v>
      </c>
      <c r="AA408" s="783">
        <v>31984.9472558333</v>
      </c>
    </row>
    <row r="409" spans="3:27" x14ac:dyDescent="0.25">
      <c r="C409" s="784" t="s">
        <v>716</v>
      </c>
      <c r="D409" s="783">
        <v>2103501.2277464499</v>
      </c>
      <c r="E409" s="783">
        <v>1839175.83244159</v>
      </c>
      <c r="F409" s="783">
        <v>3615444.8669010699</v>
      </c>
      <c r="G409" s="783">
        <v>6000539.8609945001</v>
      </c>
      <c r="H409" s="783">
        <v>13876627.6540966</v>
      </c>
      <c r="I409" s="783">
        <v>21069391.104555201</v>
      </c>
      <c r="J409" s="783">
        <v>27611419.007422902</v>
      </c>
      <c r="K409" s="783">
        <v>22060134.525110699</v>
      </c>
      <c r="L409" s="783">
        <v>17288621.824958701</v>
      </c>
      <c r="M409" s="783">
        <v>8867968.9440051094</v>
      </c>
      <c r="N409" s="783">
        <v>5811274.22837302</v>
      </c>
      <c r="O409" s="783">
        <v>3818158.8600174999</v>
      </c>
      <c r="P409" s="783">
        <v>3384577.4905012599</v>
      </c>
      <c r="Q409" s="783">
        <v>3476902.4328106502</v>
      </c>
      <c r="R409" s="783">
        <v>4146632.51222758</v>
      </c>
      <c r="S409" s="783">
        <v>6610377.62124837</v>
      </c>
      <c r="T409" s="783">
        <v>15284638.406238301</v>
      </c>
      <c r="U409" s="783">
        <v>22256519.127560399</v>
      </c>
      <c r="V409" s="783">
        <v>28552125.273776501</v>
      </c>
      <c r="W409" s="783">
        <v>23187172.639446899</v>
      </c>
      <c r="X409" s="783">
        <v>18406854.8056284</v>
      </c>
      <c r="Y409" s="783">
        <v>9374973.3199752998</v>
      </c>
      <c r="Z409" s="783">
        <v>6169236.65598033</v>
      </c>
      <c r="AA409" s="783">
        <v>4153649.1947844401</v>
      </c>
    </row>
    <row r="410" spans="3:27" x14ac:dyDescent="0.25"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 s="784" t="s">
        <v>717</v>
      </c>
      <c r="D411" s="783">
        <v>12626142.630952699</v>
      </c>
      <c r="E411" s="783">
        <v>12407342.490448</v>
      </c>
      <c r="F411" s="783">
        <v>14446444.585074799</v>
      </c>
      <c r="G411" s="783">
        <v>19559847.201343399</v>
      </c>
      <c r="H411" s="783">
        <v>34757619.7867245</v>
      </c>
      <c r="I411" s="783">
        <v>47489461.890319698</v>
      </c>
      <c r="J411" s="783">
        <v>58709523.688442998</v>
      </c>
      <c r="K411" s="783">
        <v>47484871.524106897</v>
      </c>
      <c r="L411" s="783">
        <v>39487948.829741403</v>
      </c>
      <c r="M411" s="783">
        <v>23494873.880902998</v>
      </c>
      <c r="N411" s="783">
        <v>17805299.749588199</v>
      </c>
      <c r="O411" s="783">
        <v>14428414.152000301</v>
      </c>
      <c r="P411" s="783">
        <v>13959018.257546701</v>
      </c>
      <c r="Q411" s="783">
        <v>14109353.7649308</v>
      </c>
      <c r="R411" s="783">
        <v>15049662.988978701</v>
      </c>
      <c r="S411" s="783">
        <v>20331606.9085931</v>
      </c>
      <c r="T411" s="783">
        <v>36161828.931797303</v>
      </c>
      <c r="U411" s="783">
        <v>48627590.610873103</v>
      </c>
      <c r="V411" s="783">
        <v>59726554.322561301</v>
      </c>
      <c r="W411" s="783">
        <v>48709007.524535798</v>
      </c>
      <c r="X411" s="783">
        <v>40694502.430354103</v>
      </c>
      <c r="Y411" s="783">
        <v>24089496.155896999</v>
      </c>
      <c r="Z411" s="783">
        <v>18237583.332112301</v>
      </c>
      <c r="AA411" s="783">
        <v>14829458.029258801</v>
      </c>
    </row>
  </sheetData>
  <phoneticPr fontId="95" type="noConversion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8">
    <tabColor theme="9" tint="0.39997558519241921"/>
  </sheetPr>
  <dimension ref="A1:AL39"/>
  <sheetViews>
    <sheetView workbookViewId="0">
      <selection activeCell="G12" sqref="G12"/>
    </sheetView>
  </sheetViews>
  <sheetFormatPr defaultRowHeight="15" x14ac:dyDescent="0.25"/>
  <cols>
    <col min="1" max="1" width="14.7109375" customWidth="1"/>
    <col min="2" max="2" width="11.5703125" customWidth="1"/>
    <col min="3" max="3" width="28.42578125" customWidth="1"/>
    <col min="4" max="4" width="23.28515625" customWidth="1"/>
    <col min="5" max="5" width="14.85546875" bestFit="1" customWidth="1"/>
    <col min="6" max="6" width="30.140625" customWidth="1"/>
    <col min="7" max="7" width="14.42578125" bestFit="1" customWidth="1"/>
    <col min="8" max="8" width="10.7109375" bestFit="1" customWidth="1"/>
    <col min="9" max="9" width="10" bestFit="1" customWidth="1"/>
    <col min="10" max="10" width="10.7109375" bestFit="1" customWidth="1"/>
  </cols>
  <sheetData>
    <row r="1" spans="1:38" ht="15.75" thickBot="1" x14ac:dyDescent="0.3"/>
    <row r="2" spans="1:38" s="352" customFormat="1" ht="25.5" customHeight="1" thickBot="1" x14ac:dyDescent="0.3">
      <c r="A2" s="939"/>
      <c r="B2" s="940"/>
      <c r="C2" s="940"/>
      <c r="D2" s="940"/>
      <c r="E2" s="941"/>
      <c r="F2" s="52"/>
      <c r="G2" s="51" t="s">
        <v>944</v>
      </c>
      <c r="H2" s="51" t="s">
        <v>10</v>
      </c>
      <c r="I2" s="51" t="s">
        <v>616</v>
      </c>
      <c r="J2" s="51" t="s">
        <v>617</v>
      </c>
      <c r="K2" s="51" t="s">
        <v>331</v>
      </c>
      <c r="L2" s="51" t="s">
        <v>168</v>
      </c>
      <c r="M2" s="51" t="s">
        <v>955</v>
      </c>
      <c r="N2" s="51" t="s">
        <v>956</v>
      </c>
      <c r="O2" s="51" t="s">
        <v>957</v>
      </c>
      <c r="P2" s="51" t="s">
        <v>342</v>
      </c>
      <c r="Q2" s="51" t="s">
        <v>109</v>
      </c>
      <c r="R2" s="51" t="s">
        <v>107</v>
      </c>
      <c r="S2" s="51" t="s">
        <v>815</v>
      </c>
      <c r="T2" s="51" t="s">
        <v>285</v>
      </c>
      <c r="U2" s="51" t="s">
        <v>333</v>
      </c>
      <c r="V2" s="51" t="s">
        <v>334</v>
      </c>
      <c r="W2" s="51" t="s">
        <v>335</v>
      </c>
      <c r="X2" s="51" t="s">
        <v>330</v>
      </c>
      <c r="Y2" s="51" t="s">
        <v>958</v>
      </c>
      <c r="Z2" s="51" t="s">
        <v>618</v>
      </c>
      <c r="AA2" s="51" t="s">
        <v>619</v>
      </c>
      <c r="AB2" s="51" t="s">
        <v>171</v>
      </c>
      <c r="AC2" s="51" t="s">
        <v>645</v>
      </c>
      <c r="AD2" s="51" t="s">
        <v>5</v>
      </c>
      <c r="AE2" s="51" t="s">
        <v>317</v>
      </c>
      <c r="AF2" s="51" t="s">
        <v>6</v>
      </c>
      <c r="AG2" s="51" t="s">
        <v>959</v>
      </c>
      <c r="AH2" s="51" t="s">
        <v>77</v>
      </c>
      <c r="AI2" s="51" t="s">
        <v>344</v>
      </c>
      <c r="AJ2" s="51" t="s">
        <v>78</v>
      </c>
      <c r="AK2" s="51" t="s">
        <v>946</v>
      </c>
      <c r="AL2" s="51" t="s">
        <v>80</v>
      </c>
    </row>
    <row r="3" spans="1:38" s="352" customFormat="1" ht="15.75" thickBot="1" x14ac:dyDescent="0.3">
      <c r="A3" s="51" t="s">
        <v>81</v>
      </c>
      <c r="B3" s="942" t="s">
        <v>8</v>
      </c>
      <c r="C3" s="943"/>
      <c r="D3" s="51" t="s">
        <v>7</v>
      </c>
      <c r="E3" s="51" t="s">
        <v>267</v>
      </c>
      <c r="F3" s="51"/>
      <c r="G3" s="52" t="s">
        <v>11</v>
      </c>
      <c r="H3" s="52" t="s">
        <v>10</v>
      </c>
      <c r="I3" s="150"/>
      <c r="J3" s="150"/>
      <c r="K3" s="52" t="s">
        <v>11</v>
      </c>
      <c r="L3" s="52" t="s">
        <v>11</v>
      </c>
      <c r="M3" s="52" t="s">
        <v>11</v>
      </c>
      <c r="N3" s="150"/>
      <c r="O3" s="150"/>
      <c r="P3" s="150"/>
      <c r="Q3" s="150"/>
      <c r="R3" s="52" t="s">
        <v>11</v>
      </c>
      <c r="S3" s="150"/>
      <c r="T3" s="150"/>
      <c r="U3" s="150"/>
      <c r="V3" s="150"/>
      <c r="W3" s="150"/>
      <c r="X3" s="150"/>
      <c r="Y3" s="150"/>
      <c r="Z3" s="52" t="s">
        <v>11</v>
      </c>
      <c r="AA3" s="52" t="s">
        <v>11</v>
      </c>
      <c r="AB3" s="150"/>
      <c r="AC3" s="150"/>
      <c r="AD3" s="150"/>
      <c r="AE3" s="150"/>
      <c r="AF3" s="150"/>
      <c r="AG3" s="52" t="s">
        <v>11</v>
      </c>
      <c r="AH3" s="52" t="s">
        <v>11</v>
      </c>
      <c r="AI3" s="150"/>
      <c r="AJ3" s="150"/>
      <c r="AK3" s="52" t="s">
        <v>11</v>
      </c>
      <c r="AL3" s="52" t="s">
        <v>11</v>
      </c>
    </row>
    <row r="4" spans="1:38" ht="23.25" thickBot="1" x14ac:dyDescent="0.3">
      <c r="A4" s="51" t="s">
        <v>844</v>
      </c>
      <c r="B4" s="51" t="s">
        <v>32</v>
      </c>
      <c r="C4" s="51" t="s">
        <v>33</v>
      </c>
      <c r="D4" s="51" t="s">
        <v>85</v>
      </c>
      <c r="E4" s="51" t="s">
        <v>272</v>
      </c>
      <c r="F4" s="51" t="s">
        <v>960</v>
      </c>
      <c r="G4" s="54">
        <v>750</v>
      </c>
      <c r="H4" s="822"/>
      <c r="I4" s="822"/>
      <c r="J4" s="822"/>
      <c r="K4" s="54">
        <v>750</v>
      </c>
      <c r="L4" s="822"/>
      <c r="M4" s="822"/>
      <c r="N4" s="822"/>
      <c r="O4" s="822"/>
      <c r="P4" s="822"/>
      <c r="Q4" s="822"/>
      <c r="R4" s="822"/>
      <c r="S4" s="822"/>
      <c r="T4" s="822"/>
      <c r="U4" s="822"/>
      <c r="V4" s="822"/>
      <c r="W4" s="822"/>
      <c r="X4" s="822"/>
      <c r="Y4" s="822"/>
      <c r="Z4" s="822"/>
      <c r="AA4" s="822"/>
      <c r="AB4" s="822"/>
      <c r="AC4" s="822"/>
      <c r="AD4" s="822"/>
      <c r="AE4" s="822"/>
      <c r="AF4" s="822"/>
      <c r="AG4" s="822"/>
      <c r="AH4" s="54">
        <v>0</v>
      </c>
      <c r="AI4" s="822"/>
      <c r="AJ4" s="822"/>
      <c r="AK4" s="54">
        <v>750</v>
      </c>
      <c r="AL4" s="54">
        <v>0</v>
      </c>
    </row>
    <row r="5" spans="1:38" ht="23.25" thickBot="1" x14ac:dyDescent="0.3">
      <c r="A5" s="51" t="s">
        <v>844</v>
      </c>
      <c r="B5" s="51" t="s">
        <v>32</v>
      </c>
      <c r="C5" s="51" t="s">
        <v>33</v>
      </c>
      <c r="D5" s="51" t="s">
        <v>85</v>
      </c>
      <c r="E5" s="51" t="s">
        <v>283</v>
      </c>
      <c r="F5" s="51" t="s">
        <v>960</v>
      </c>
      <c r="G5" s="54">
        <v>180467.57</v>
      </c>
      <c r="H5" s="822"/>
      <c r="I5" s="822"/>
      <c r="J5" s="822"/>
      <c r="K5" s="822"/>
      <c r="L5" s="54">
        <v>180467.57</v>
      </c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2"/>
      <c r="AF5" s="822"/>
      <c r="AG5" s="822"/>
      <c r="AH5" s="54">
        <v>0</v>
      </c>
      <c r="AI5" s="822"/>
      <c r="AJ5" s="822"/>
      <c r="AK5" s="54">
        <v>180467.57</v>
      </c>
      <c r="AL5" s="54">
        <v>0</v>
      </c>
    </row>
    <row r="6" spans="1:38" ht="23.25" thickBot="1" x14ac:dyDescent="0.3">
      <c r="A6" s="51" t="s">
        <v>844</v>
      </c>
      <c r="B6" s="51" t="s">
        <v>32</v>
      </c>
      <c r="C6" s="51" t="s">
        <v>33</v>
      </c>
      <c r="D6" s="51" t="s">
        <v>85</v>
      </c>
      <c r="E6" s="51" t="s">
        <v>265</v>
      </c>
      <c r="F6" s="51" t="s">
        <v>960</v>
      </c>
      <c r="G6" s="54">
        <v>7189.84</v>
      </c>
      <c r="H6" s="54">
        <v>240302</v>
      </c>
      <c r="I6" s="822"/>
      <c r="J6" s="822"/>
      <c r="K6" s="822"/>
      <c r="L6" s="822"/>
      <c r="M6" s="54">
        <v>7189.84</v>
      </c>
      <c r="N6" s="822"/>
      <c r="O6" s="822"/>
      <c r="P6" s="822"/>
      <c r="Q6" s="822"/>
      <c r="R6" s="822"/>
      <c r="S6" s="822"/>
      <c r="T6" s="822"/>
      <c r="U6" s="822"/>
      <c r="V6" s="822"/>
      <c r="W6" s="822"/>
      <c r="X6" s="822"/>
      <c r="Y6" s="822"/>
      <c r="Z6" s="822"/>
      <c r="AA6" s="822"/>
      <c r="AB6" s="822"/>
      <c r="AC6" s="822"/>
      <c r="AD6" s="822"/>
      <c r="AE6" s="822"/>
      <c r="AF6" s="822"/>
      <c r="AG6" s="822"/>
      <c r="AH6" s="54">
        <v>0</v>
      </c>
      <c r="AI6" s="822"/>
      <c r="AJ6" s="822"/>
      <c r="AK6" s="54">
        <v>7189.84</v>
      </c>
      <c r="AL6" s="54">
        <v>0</v>
      </c>
    </row>
    <row r="7" spans="1:38" ht="15.75" thickBot="1" x14ac:dyDescent="0.3">
      <c r="A7" s="51" t="s">
        <v>844</v>
      </c>
      <c r="B7" s="51" t="s">
        <v>32</v>
      </c>
      <c r="C7" s="51" t="s">
        <v>33</v>
      </c>
      <c r="D7" s="51" t="s">
        <v>85</v>
      </c>
      <c r="E7" s="51" t="s">
        <v>620</v>
      </c>
      <c r="F7" s="51" t="s">
        <v>263</v>
      </c>
      <c r="G7" s="54">
        <v>64.39</v>
      </c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54">
        <v>64.39</v>
      </c>
      <c r="AA7" s="822"/>
      <c r="AB7" s="822"/>
      <c r="AC7" s="822"/>
      <c r="AD7" s="822"/>
      <c r="AE7" s="822"/>
      <c r="AF7" s="822"/>
      <c r="AG7" s="822"/>
      <c r="AH7" s="54">
        <v>0</v>
      </c>
      <c r="AI7" s="822"/>
      <c r="AJ7" s="822"/>
      <c r="AK7" s="54">
        <v>64.39</v>
      </c>
      <c r="AL7" s="54">
        <v>0</v>
      </c>
    </row>
    <row r="8" spans="1:38" ht="15.75" thickBot="1" x14ac:dyDescent="0.3">
      <c r="A8" s="51" t="s">
        <v>844</v>
      </c>
      <c r="B8" s="51" t="s">
        <v>32</v>
      </c>
      <c r="C8" s="51" t="s">
        <v>33</v>
      </c>
      <c r="D8" s="51" t="s">
        <v>85</v>
      </c>
      <c r="E8" s="51" t="s">
        <v>621</v>
      </c>
      <c r="F8" s="51" t="s">
        <v>263</v>
      </c>
      <c r="G8" s="54">
        <v>980.43</v>
      </c>
      <c r="H8" s="822"/>
      <c r="I8" s="822"/>
      <c r="J8" s="822"/>
      <c r="K8" s="822"/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822"/>
      <c r="W8" s="822"/>
      <c r="X8" s="822"/>
      <c r="Y8" s="822"/>
      <c r="Z8" s="822"/>
      <c r="AA8" s="54">
        <v>980.43</v>
      </c>
      <c r="AB8" s="822"/>
      <c r="AC8" s="822"/>
      <c r="AD8" s="822"/>
      <c r="AE8" s="822"/>
      <c r="AF8" s="822"/>
      <c r="AG8" s="822"/>
      <c r="AH8" s="54">
        <v>0</v>
      </c>
      <c r="AI8" s="822"/>
      <c r="AJ8" s="822"/>
      <c r="AK8" s="54">
        <v>980.43</v>
      </c>
      <c r="AL8" s="54">
        <v>0</v>
      </c>
    </row>
    <row r="9" spans="1:38" ht="15.75" thickBot="1" x14ac:dyDescent="0.3">
      <c r="A9" s="51" t="s">
        <v>844</v>
      </c>
      <c r="B9" s="51" t="s">
        <v>32</v>
      </c>
      <c r="C9" s="51" t="s">
        <v>33</v>
      </c>
      <c r="D9" s="51" t="s">
        <v>85</v>
      </c>
      <c r="E9" s="51" t="s">
        <v>107</v>
      </c>
      <c r="F9" s="51" t="s">
        <v>263</v>
      </c>
      <c r="G9" s="54">
        <v>81705.08</v>
      </c>
      <c r="H9" s="822"/>
      <c r="I9" s="822"/>
      <c r="J9" s="822"/>
      <c r="K9" s="822"/>
      <c r="L9" s="822"/>
      <c r="M9" s="822"/>
      <c r="N9" s="822"/>
      <c r="O9" s="822"/>
      <c r="P9" s="822"/>
      <c r="Q9" s="822"/>
      <c r="R9" s="54">
        <v>81705.08</v>
      </c>
      <c r="S9" s="822"/>
      <c r="T9" s="822"/>
      <c r="U9" s="822"/>
      <c r="V9" s="822"/>
      <c r="W9" s="822"/>
      <c r="X9" s="822"/>
      <c r="Y9" s="822"/>
      <c r="Z9" s="822"/>
      <c r="AA9" s="822"/>
      <c r="AB9" s="822"/>
      <c r="AC9" s="822"/>
      <c r="AD9" s="822"/>
      <c r="AE9" s="822"/>
      <c r="AF9" s="822"/>
      <c r="AG9" s="822"/>
      <c r="AH9" s="54">
        <v>0</v>
      </c>
      <c r="AI9" s="822"/>
      <c r="AJ9" s="822"/>
      <c r="AK9" s="54">
        <v>81705.08</v>
      </c>
      <c r="AL9" s="54">
        <v>0</v>
      </c>
    </row>
    <row r="10" spans="1:38" ht="23.25" thickBot="1" x14ac:dyDescent="0.3">
      <c r="A10" s="51" t="s">
        <v>948</v>
      </c>
      <c r="B10" s="51" t="s">
        <v>32</v>
      </c>
      <c r="C10" s="51" t="s">
        <v>33</v>
      </c>
      <c r="D10" s="51" t="s">
        <v>85</v>
      </c>
      <c r="E10" s="51" t="s">
        <v>272</v>
      </c>
      <c r="F10" s="51" t="s">
        <v>960</v>
      </c>
      <c r="G10" s="56">
        <v>750</v>
      </c>
      <c r="H10" s="823"/>
      <c r="I10" s="823"/>
      <c r="J10" s="823"/>
      <c r="K10" s="56">
        <v>750</v>
      </c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  <c r="AH10" s="56">
        <v>0</v>
      </c>
      <c r="AI10" s="823"/>
      <c r="AJ10" s="823"/>
      <c r="AK10" s="56">
        <v>750</v>
      </c>
      <c r="AL10" s="56">
        <v>0</v>
      </c>
    </row>
    <row r="11" spans="1:38" ht="23.25" thickBot="1" x14ac:dyDescent="0.3">
      <c r="A11" s="51" t="s">
        <v>948</v>
      </c>
      <c r="B11" s="51" t="s">
        <v>32</v>
      </c>
      <c r="C11" s="51" t="s">
        <v>33</v>
      </c>
      <c r="D11" s="51" t="s">
        <v>85</v>
      </c>
      <c r="E11" s="51" t="s">
        <v>283</v>
      </c>
      <c r="F11" s="51" t="s">
        <v>960</v>
      </c>
      <c r="G11" s="56">
        <v>180467.57</v>
      </c>
      <c r="H11" s="823"/>
      <c r="I11" s="823"/>
      <c r="J11" s="823"/>
      <c r="K11" s="823"/>
      <c r="L11" s="56">
        <v>180467.57</v>
      </c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  <c r="AH11" s="56">
        <v>0</v>
      </c>
      <c r="AI11" s="823"/>
      <c r="AJ11" s="823"/>
      <c r="AK11" s="56">
        <v>180467.57</v>
      </c>
      <c r="AL11" s="56">
        <v>0</v>
      </c>
    </row>
    <row r="12" spans="1:38" ht="23.25" thickBot="1" x14ac:dyDescent="0.3">
      <c r="A12" s="51" t="s">
        <v>948</v>
      </c>
      <c r="B12" s="51" t="s">
        <v>32</v>
      </c>
      <c r="C12" s="51" t="s">
        <v>33</v>
      </c>
      <c r="D12" s="51" t="s">
        <v>85</v>
      </c>
      <c r="E12" s="51" t="s">
        <v>265</v>
      </c>
      <c r="F12" s="51" t="s">
        <v>960</v>
      </c>
      <c r="G12" s="56">
        <v>5905.43</v>
      </c>
      <c r="H12" s="56">
        <v>197374</v>
      </c>
      <c r="I12" s="823"/>
      <c r="J12" s="823"/>
      <c r="K12" s="823"/>
      <c r="L12" s="823"/>
      <c r="M12" s="56">
        <v>5905.43</v>
      </c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  <c r="AH12" s="56">
        <v>0</v>
      </c>
      <c r="AI12" s="823"/>
      <c r="AJ12" s="823"/>
      <c r="AK12" s="56">
        <v>5905.43</v>
      </c>
      <c r="AL12" s="56">
        <v>0</v>
      </c>
    </row>
    <row r="13" spans="1:38" ht="15.75" thickBot="1" x14ac:dyDescent="0.3">
      <c r="A13" s="51" t="s">
        <v>948</v>
      </c>
      <c r="B13" s="51" t="s">
        <v>32</v>
      </c>
      <c r="C13" s="51" t="s">
        <v>33</v>
      </c>
      <c r="D13" s="51" t="s">
        <v>85</v>
      </c>
      <c r="E13" s="51" t="s">
        <v>620</v>
      </c>
      <c r="F13" s="51" t="s">
        <v>263</v>
      </c>
      <c r="G13" s="56">
        <v>64.39</v>
      </c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56">
        <v>64.39</v>
      </c>
      <c r="AA13" s="823"/>
      <c r="AB13" s="823"/>
      <c r="AC13" s="823"/>
      <c r="AD13" s="823"/>
      <c r="AE13" s="823"/>
      <c r="AF13" s="823"/>
      <c r="AG13" s="823"/>
      <c r="AH13" s="56">
        <v>0</v>
      </c>
      <c r="AI13" s="823"/>
      <c r="AJ13" s="823"/>
      <c r="AK13" s="56">
        <v>64.39</v>
      </c>
      <c r="AL13" s="56">
        <v>0</v>
      </c>
    </row>
    <row r="14" spans="1:38" ht="15.75" thickBot="1" x14ac:dyDescent="0.3">
      <c r="A14" s="51" t="s">
        <v>948</v>
      </c>
      <c r="B14" s="51" t="s">
        <v>32</v>
      </c>
      <c r="C14" s="51" t="s">
        <v>33</v>
      </c>
      <c r="D14" s="51" t="s">
        <v>85</v>
      </c>
      <c r="E14" s="51" t="s">
        <v>621</v>
      </c>
      <c r="F14" s="51" t="s">
        <v>263</v>
      </c>
      <c r="G14" s="56">
        <v>805.29</v>
      </c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56">
        <v>805.29</v>
      </c>
      <c r="AB14" s="823"/>
      <c r="AC14" s="823"/>
      <c r="AD14" s="823"/>
      <c r="AE14" s="823"/>
      <c r="AF14" s="823"/>
      <c r="AG14" s="823"/>
      <c r="AH14" s="56">
        <v>0</v>
      </c>
      <c r="AI14" s="823"/>
      <c r="AJ14" s="823"/>
      <c r="AK14" s="56">
        <v>805.29</v>
      </c>
      <c r="AL14" s="56">
        <v>0</v>
      </c>
    </row>
    <row r="15" spans="1:38" ht="15.75" thickBot="1" x14ac:dyDescent="0.3">
      <c r="A15" s="51" t="s">
        <v>948</v>
      </c>
      <c r="B15" s="51" t="s">
        <v>32</v>
      </c>
      <c r="C15" s="51" t="s">
        <v>33</v>
      </c>
      <c r="D15" s="51" t="s">
        <v>85</v>
      </c>
      <c r="E15" s="51" t="s">
        <v>107</v>
      </c>
      <c r="F15" s="51" t="s">
        <v>263</v>
      </c>
      <c r="G15" s="56">
        <v>67109.13</v>
      </c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56">
        <v>67109.13</v>
      </c>
      <c r="S15" s="823"/>
      <c r="T15" s="823"/>
      <c r="U15" s="823"/>
      <c r="V15" s="823"/>
      <c r="W15" s="823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  <c r="AH15" s="56">
        <v>0</v>
      </c>
      <c r="AI15" s="823"/>
      <c r="AJ15" s="823"/>
      <c r="AK15" s="56">
        <v>67109.13</v>
      </c>
      <c r="AL15" s="56">
        <v>0</v>
      </c>
    </row>
    <row r="16" spans="1:38" ht="23.25" thickBot="1" x14ac:dyDescent="0.3">
      <c r="A16" s="51" t="s">
        <v>951</v>
      </c>
      <c r="B16" s="51" t="s">
        <v>32</v>
      </c>
      <c r="C16" s="51" t="s">
        <v>33</v>
      </c>
      <c r="D16" s="51" t="s">
        <v>85</v>
      </c>
      <c r="E16" s="51" t="s">
        <v>272</v>
      </c>
      <c r="F16" s="51" t="s">
        <v>960</v>
      </c>
      <c r="G16" s="54">
        <v>2250</v>
      </c>
      <c r="H16" s="822"/>
      <c r="I16" s="822"/>
      <c r="J16" s="822"/>
      <c r="K16" s="54">
        <v>2250</v>
      </c>
      <c r="L16" s="822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822"/>
      <c r="AE16" s="822"/>
      <c r="AF16" s="822"/>
      <c r="AG16" s="822"/>
      <c r="AH16" s="54">
        <v>0</v>
      </c>
      <c r="AI16" s="822"/>
      <c r="AJ16" s="822"/>
      <c r="AK16" s="54">
        <v>2250</v>
      </c>
      <c r="AL16" s="54">
        <v>0</v>
      </c>
    </row>
    <row r="17" spans="1:38" ht="23.25" thickBot="1" x14ac:dyDescent="0.3">
      <c r="A17" s="51" t="s">
        <v>951</v>
      </c>
      <c r="B17" s="51" t="s">
        <v>32</v>
      </c>
      <c r="C17" s="51" t="s">
        <v>33</v>
      </c>
      <c r="D17" s="51" t="s">
        <v>85</v>
      </c>
      <c r="E17" s="51" t="s">
        <v>283</v>
      </c>
      <c r="F17" s="51" t="s">
        <v>960</v>
      </c>
      <c r="G17" s="54">
        <v>541402.71</v>
      </c>
      <c r="H17" s="822"/>
      <c r="I17" s="822"/>
      <c r="J17" s="822"/>
      <c r="K17" s="822"/>
      <c r="L17" s="54">
        <v>541402.71</v>
      </c>
      <c r="M17" s="822"/>
      <c r="N17" s="822"/>
      <c r="O17" s="822"/>
      <c r="P17" s="822"/>
      <c r="Q17" s="822"/>
      <c r="R17" s="822"/>
      <c r="S17" s="822"/>
      <c r="T17" s="822"/>
      <c r="U17" s="822"/>
      <c r="V17" s="822"/>
      <c r="W17" s="822"/>
      <c r="X17" s="822"/>
      <c r="Y17" s="822"/>
      <c r="Z17" s="822"/>
      <c r="AA17" s="822"/>
      <c r="AB17" s="822"/>
      <c r="AC17" s="822"/>
      <c r="AD17" s="822"/>
      <c r="AE17" s="822"/>
      <c r="AF17" s="822"/>
      <c r="AG17" s="822"/>
      <c r="AH17" s="54">
        <v>0</v>
      </c>
      <c r="AI17" s="822"/>
      <c r="AJ17" s="822"/>
      <c r="AK17" s="54">
        <v>541402.71</v>
      </c>
      <c r="AL17" s="54">
        <v>0</v>
      </c>
    </row>
    <row r="18" spans="1:38" ht="23.25" thickBot="1" x14ac:dyDescent="0.3">
      <c r="A18" s="51" t="s">
        <v>951</v>
      </c>
      <c r="B18" s="51" t="s">
        <v>32</v>
      </c>
      <c r="C18" s="51" t="s">
        <v>33</v>
      </c>
      <c r="D18" s="51" t="s">
        <v>85</v>
      </c>
      <c r="E18" s="51" t="s">
        <v>265</v>
      </c>
      <c r="F18" s="51" t="s">
        <v>960</v>
      </c>
      <c r="G18" s="54">
        <v>2619.1999999999998</v>
      </c>
      <c r="H18" s="54">
        <v>87540</v>
      </c>
      <c r="I18" s="822"/>
      <c r="J18" s="822"/>
      <c r="K18" s="822"/>
      <c r="L18" s="822"/>
      <c r="M18" s="54">
        <v>2619.1999999999998</v>
      </c>
      <c r="N18" s="822"/>
      <c r="O18" s="822"/>
      <c r="P18" s="822"/>
      <c r="Q18" s="822"/>
      <c r="R18" s="822"/>
      <c r="S18" s="822"/>
      <c r="T18" s="822"/>
      <c r="U18" s="822"/>
      <c r="V18" s="822"/>
      <c r="W18" s="822"/>
      <c r="X18" s="822"/>
      <c r="Y18" s="822"/>
      <c r="Z18" s="822"/>
      <c r="AA18" s="822"/>
      <c r="AB18" s="822"/>
      <c r="AC18" s="822"/>
      <c r="AD18" s="822"/>
      <c r="AE18" s="822"/>
      <c r="AF18" s="822"/>
      <c r="AG18" s="822"/>
      <c r="AH18" s="54">
        <v>0</v>
      </c>
      <c r="AI18" s="822"/>
      <c r="AJ18" s="822"/>
      <c r="AK18" s="54">
        <v>2619.1999999999998</v>
      </c>
      <c r="AL18" s="54">
        <v>0</v>
      </c>
    </row>
    <row r="19" spans="1:38" ht="15.75" thickBot="1" x14ac:dyDescent="0.3">
      <c r="A19" s="51" t="s">
        <v>951</v>
      </c>
      <c r="B19" s="51" t="s">
        <v>32</v>
      </c>
      <c r="C19" s="51" t="s">
        <v>33</v>
      </c>
      <c r="D19" s="51" t="s">
        <v>85</v>
      </c>
      <c r="E19" s="51" t="s">
        <v>620</v>
      </c>
      <c r="F19" s="51" t="s">
        <v>263</v>
      </c>
      <c r="G19" s="54">
        <v>333.06</v>
      </c>
      <c r="H19" s="822"/>
      <c r="I19" s="822"/>
      <c r="J19" s="822"/>
      <c r="K19" s="822"/>
      <c r="L19" s="822"/>
      <c r="M19" s="822"/>
      <c r="N19" s="822"/>
      <c r="O19" s="822"/>
      <c r="P19" s="822"/>
      <c r="Q19" s="822"/>
      <c r="R19" s="822"/>
      <c r="S19" s="822"/>
      <c r="T19" s="822"/>
      <c r="U19" s="822"/>
      <c r="V19" s="822"/>
      <c r="W19" s="822"/>
      <c r="X19" s="822"/>
      <c r="Y19" s="822"/>
      <c r="Z19" s="54">
        <v>333.06</v>
      </c>
      <c r="AA19" s="822"/>
      <c r="AB19" s="822"/>
      <c r="AC19" s="822"/>
      <c r="AD19" s="822"/>
      <c r="AE19" s="822"/>
      <c r="AF19" s="822"/>
      <c r="AG19" s="822"/>
      <c r="AH19" s="54">
        <v>0</v>
      </c>
      <c r="AI19" s="822"/>
      <c r="AJ19" s="822"/>
      <c r="AK19" s="54">
        <v>333.06</v>
      </c>
      <c r="AL19" s="54">
        <v>0</v>
      </c>
    </row>
    <row r="20" spans="1:38" ht="15.75" thickBot="1" x14ac:dyDescent="0.3">
      <c r="A20" s="51" t="s">
        <v>951</v>
      </c>
      <c r="B20" s="51" t="s">
        <v>32</v>
      </c>
      <c r="C20" s="51" t="s">
        <v>33</v>
      </c>
      <c r="D20" s="51" t="s">
        <v>85</v>
      </c>
      <c r="E20" s="51" t="s">
        <v>621</v>
      </c>
      <c r="F20" s="51" t="s">
        <v>263</v>
      </c>
      <c r="G20" s="54">
        <v>1024.22</v>
      </c>
      <c r="H20" s="822"/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822"/>
      <c r="V20" s="822"/>
      <c r="W20" s="822"/>
      <c r="X20" s="822"/>
      <c r="Y20" s="822"/>
      <c r="Z20" s="822"/>
      <c r="AA20" s="54">
        <v>1024.22</v>
      </c>
      <c r="AB20" s="822"/>
      <c r="AC20" s="822"/>
      <c r="AD20" s="822"/>
      <c r="AE20" s="822"/>
      <c r="AF20" s="822"/>
      <c r="AG20" s="822"/>
      <c r="AH20" s="54">
        <v>0</v>
      </c>
      <c r="AI20" s="822"/>
      <c r="AJ20" s="822"/>
      <c r="AK20" s="54">
        <v>1024.22</v>
      </c>
      <c r="AL20" s="54">
        <v>0</v>
      </c>
    </row>
    <row r="21" spans="1:38" ht="15.75" thickBot="1" x14ac:dyDescent="0.3">
      <c r="A21" s="51" t="s">
        <v>951</v>
      </c>
      <c r="B21" s="51" t="s">
        <v>32</v>
      </c>
      <c r="C21" s="51" t="s">
        <v>33</v>
      </c>
      <c r="D21" s="51" t="s">
        <v>85</v>
      </c>
      <c r="E21" s="51" t="s">
        <v>107</v>
      </c>
      <c r="F21" s="51" t="s">
        <v>263</v>
      </c>
      <c r="G21" s="54">
        <v>22243.91</v>
      </c>
      <c r="H21" s="822"/>
      <c r="I21" s="822"/>
      <c r="J21" s="822"/>
      <c r="K21" s="822"/>
      <c r="L21" s="822"/>
      <c r="M21" s="822"/>
      <c r="N21" s="822"/>
      <c r="O21" s="822"/>
      <c r="P21" s="822"/>
      <c r="Q21" s="822"/>
      <c r="R21" s="54">
        <v>22243.91</v>
      </c>
      <c r="S21" s="822"/>
      <c r="T21" s="822"/>
      <c r="U21" s="822"/>
      <c r="V21" s="822"/>
      <c r="W21" s="822"/>
      <c r="X21" s="822"/>
      <c r="Y21" s="822"/>
      <c r="Z21" s="822"/>
      <c r="AA21" s="822"/>
      <c r="AB21" s="822"/>
      <c r="AC21" s="822"/>
      <c r="AD21" s="822"/>
      <c r="AE21" s="822"/>
      <c r="AF21" s="822"/>
      <c r="AG21" s="822"/>
      <c r="AH21" s="54">
        <v>0</v>
      </c>
      <c r="AI21" s="822"/>
      <c r="AJ21" s="822"/>
      <c r="AK21" s="54">
        <v>22243.91</v>
      </c>
      <c r="AL21" s="54">
        <v>0</v>
      </c>
    </row>
    <row r="22" spans="1:38" ht="23.25" thickBot="1" x14ac:dyDescent="0.3">
      <c r="A22" s="51" t="s">
        <v>953</v>
      </c>
      <c r="B22" s="51" t="s">
        <v>32</v>
      </c>
      <c r="C22" s="51" t="s">
        <v>33</v>
      </c>
      <c r="D22" s="51" t="s">
        <v>85</v>
      </c>
      <c r="E22" s="51" t="s">
        <v>272</v>
      </c>
      <c r="F22" s="51" t="s">
        <v>960</v>
      </c>
      <c r="G22" s="56">
        <v>-750</v>
      </c>
      <c r="H22" s="823"/>
      <c r="I22" s="823"/>
      <c r="J22" s="823"/>
      <c r="K22" s="56">
        <v>-750</v>
      </c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  <c r="AH22" s="56">
        <v>0</v>
      </c>
      <c r="AI22" s="823"/>
      <c r="AJ22" s="823"/>
      <c r="AK22" s="56">
        <v>-750</v>
      </c>
      <c r="AL22" s="56">
        <v>0</v>
      </c>
    </row>
    <row r="23" spans="1:38" ht="23.25" thickBot="1" x14ac:dyDescent="0.3">
      <c r="A23" s="51" t="s">
        <v>953</v>
      </c>
      <c r="B23" s="51" t="s">
        <v>32</v>
      </c>
      <c r="C23" s="51" t="s">
        <v>33</v>
      </c>
      <c r="D23" s="51" t="s">
        <v>85</v>
      </c>
      <c r="E23" s="51" t="s">
        <v>283</v>
      </c>
      <c r="F23" s="51" t="s">
        <v>960</v>
      </c>
      <c r="G23" s="56">
        <v>-180467.57</v>
      </c>
      <c r="H23" s="823"/>
      <c r="I23" s="823"/>
      <c r="J23" s="823"/>
      <c r="K23" s="823"/>
      <c r="L23" s="56">
        <v>-180467.57</v>
      </c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  <c r="AH23" s="56">
        <v>0</v>
      </c>
      <c r="AI23" s="823"/>
      <c r="AJ23" s="823"/>
      <c r="AK23" s="56">
        <v>-180467.57</v>
      </c>
      <c r="AL23" s="56">
        <v>0</v>
      </c>
    </row>
    <row r="24" spans="1:38" ht="23.25" thickBot="1" x14ac:dyDescent="0.3">
      <c r="A24" s="51" t="s">
        <v>953</v>
      </c>
      <c r="B24" s="51" t="s">
        <v>32</v>
      </c>
      <c r="C24" s="51" t="s">
        <v>33</v>
      </c>
      <c r="D24" s="51" t="s">
        <v>85</v>
      </c>
      <c r="E24" s="51" t="s">
        <v>265</v>
      </c>
      <c r="F24" s="51" t="s">
        <v>960</v>
      </c>
      <c r="G24" s="56">
        <v>2991.13</v>
      </c>
      <c r="H24" s="56">
        <v>99971</v>
      </c>
      <c r="I24" s="823"/>
      <c r="J24" s="823"/>
      <c r="K24" s="823"/>
      <c r="L24" s="823"/>
      <c r="M24" s="56">
        <v>2991.13</v>
      </c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  <c r="AH24" s="56">
        <v>0</v>
      </c>
      <c r="AI24" s="823"/>
      <c r="AJ24" s="823"/>
      <c r="AK24" s="56">
        <v>2991.13</v>
      </c>
      <c r="AL24" s="56">
        <v>0</v>
      </c>
    </row>
    <row r="25" spans="1:38" ht="15.75" thickBot="1" x14ac:dyDescent="0.3">
      <c r="A25" s="51" t="s">
        <v>953</v>
      </c>
      <c r="B25" s="51" t="s">
        <v>32</v>
      </c>
      <c r="C25" s="51" t="s">
        <v>33</v>
      </c>
      <c r="D25" s="51" t="s">
        <v>85</v>
      </c>
      <c r="E25" s="51" t="s">
        <v>620</v>
      </c>
      <c r="F25" s="51" t="s">
        <v>263</v>
      </c>
      <c r="G25" s="56">
        <v>-111.02</v>
      </c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56">
        <v>-111.02</v>
      </c>
      <c r="AA25" s="823"/>
      <c r="AB25" s="823"/>
      <c r="AC25" s="823"/>
      <c r="AD25" s="823"/>
      <c r="AE25" s="823"/>
      <c r="AF25" s="823"/>
      <c r="AG25" s="823"/>
      <c r="AH25" s="56">
        <v>0</v>
      </c>
      <c r="AI25" s="823"/>
      <c r="AJ25" s="823"/>
      <c r="AK25" s="56">
        <v>-111.02</v>
      </c>
      <c r="AL25" s="56">
        <v>0</v>
      </c>
    </row>
    <row r="26" spans="1:38" ht="15.75" thickBot="1" x14ac:dyDescent="0.3">
      <c r="A26" s="51" t="s">
        <v>953</v>
      </c>
      <c r="B26" s="51" t="s">
        <v>32</v>
      </c>
      <c r="C26" s="51" t="s">
        <v>33</v>
      </c>
      <c r="D26" s="51" t="s">
        <v>85</v>
      </c>
      <c r="E26" s="51" t="s">
        <v>621</v>
      </c>
      <c r="F26" s="51" t="s">
        <v>263</v>
      </c>
      <c r="G26" s="56">
        <v>1169.6600000000001</v>
      </c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56">
        <v>1169.6600000000001</v>
      </c>
      <c r="AB26" s="823"/>
      <c r="AC26" s="823"/>
      <c r="AD26" s="823"/>
      <c r="AE26" s="823"/>
      <c r="AF26" s="823"/>
      <c r="AG26" s="823"/>
      <c r="AH26" s="56">
        <v>0</v>
      </c>
      <c r="AI26" s="823"/>
      <c r="AJ26" s="823"/>
      <c r="AK26" s="56">
        <v>1169.6600000000001</v>
      </c>
      <c r="AL26" s="56">
        <v>0</v>
      </c>
    </row>
    <row r="27" spans="1:38" ht="15.75" thickBot="1" x14ac:dyDescent="0.3">
      <c r="A27" s="51" t="s">
        <v>953</v>
      </c>
      <c r="B27" s="51" t="s">
        <v>32</v>
      </c>
      <c r="C27" s="51" t="s">
        <v>33</v>
      </c>
      <c r="D27" s="51" t="s">
        <v>85</v>
      </c>
      <c r="E27" s="51" t="s">
        <v>107</v>
      </c>
      <c r="F27" s="51" t="s">
        <v>263</v>
      </c>
      <c r="G27" s="56">
        <v>25402.63</v>
      </c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56">
        <v>25402.63</v>
      </c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  <c r="AH27" s="56">
        <v>0</v>
      </c>
      <c r="AI27" s="823"/>
      <c r="AJ27" s="823"/>
      <c r="AK27" s="56">
        <v>25402.63</v>
      </c>
      <c r="AL27" s="56">
        <v>0</v>
      </c>
    </row>
    <row r="28" spans="1:38" ht="23.25" thickBot="1" x14ac:dyDescent="0.3">
      <c r="A28" s="51" t="s">
        <v>954</v>
      </c>
      <c r="B28" s="51" t="s">
        <v>32</v>
      </c>
      <c r="C28" s="51" t="s">
        <v>33</v>
      </c>
      <c r="D28" s="51" t="s">
        <v>85</v>
      </c>
      <c r="E28" s="51" t="s">
        <v>272</v>
      </c>
      <c r="F28" s="51" t="s">
        <v>960</v>
      </c>
      <c r="G28" s="54">
        <v>750</v>
      </c>
      <c r="H28" s="822"/>
      <c r="I28" s="822"/>
      <c r="J28" s="822"/>
      <c r="K28" s="54">
        <v>750</v>
      </c>
      <c r="L28" s="822"/>
      <c r="M28" s="822"/>
      <c r="N28" s="822"/>
      <c r="O28" s="822"/>
      <c r="P28" s="822"/>
      <c r="Q28" s="822"/>
      <c r="R28" s="822"/>
      <c r="S28" s="822"/>
      <c r="T28" s="822"/>
      <c r="U28" s="822"/>
      <c r="V28" s="822"/>
      <c r="W28" s="822"/>
      <c r="X28" s="822"/>
      <c r="Y28" s="822"/>
      <c r="Z28" s="822"/>
      <c r="AA28" s="822"/>
      <c r="AB28" s="822"/>
      <c r="AC28" s="822"/>
      <c r="AD28" s="822"/>
      <c r="AE28" s="822"/>
      <c r="AF28" s="822"/>
      <c r="AG28" s="822"/>
      <c r="AH28" s="54">
        <v>0</v>
      </c>
      <c r="AI28" s="822"/>
      <c r="AJ28" s="822"/>
      <c r="AK28" s="54">
        <v>750</v>
      </c>
      <c r="AL28" s="54">
        <v>0</v>
      </c>
    </row>
    <row r="29" spans="1:38" ht="23.25" thickBot="1" x14ac:dyDescent="0.3">
      <c r="A29" s="51" t="s">
        <v>954</v>
      </c>
      <c r="B29" s="51" t="s">
        <v>32</v>
      </c>
      <c r="C29" s="51" t="s">
        <v>33</v>
      </c>
      <c r="D29" s="51" t="s">
        <v>85</v>
      </c>
      <c r="E29" s="51" t="s">
        <v>283</v>
      </c>
      <c r="F29" s="51" t="s">
        <v>960</v>
      </c>
      <c r="G29" s="54">
        <v>180467.57</v>
      </c>
      <c r="H29" s="822"/>
      <c r="I29" s="822"/>
      <c r="J29" s="822"/>
      <c r="K29" s="822"/>
      <c r="L29" s="54">
        <v>180467.57</v>
      </c>
      <c r="M29" s="822"/>
      <c r="N29" s="822"/>
      <c r="O29" s="822"/>
      <c r="P29" s="822"/>
      <c r="Q29" s="822"/>
      <c r="R29" s="822"/>
      <c r="S29" s="822"/>
      <c r="T29" s="822"/>
      <c r="U29" s="822"/>
      <c r="V29" s="822"/>
      <c r="W29" s="822"/>
      <c r="X29" s="822"/>
      <c r="Y29" s="822"/>
      <c r="Z29" s="822"/>
      <c r="AA29" s="822"/>
      <c r="AB29" s="822"/>
      <c r="AC29" s="822"/>
      <c r="AD29" s="822"/>
      <c r="AE29" s="822"/>
      <c r="AF29" s="822"/>
      <c r="AG29" s="822"/>
      <c r="AH29" s="54">
        <v>0</v>
      </c>
      <c r="AI29" s="822"/>
      <c r="AJ29" s="822"/>
      <c r="AK29" s="54">
        <v>180467.57</v>
      </c>
      <c r="AL29" s="54">
        <v>0</v>
      </c>
    </row>
    <row r="30" spans="1:38" ht="23.25" thickBot="1" x14ac:dyDescent="0.3">
      <c r="A30" s="51" t="s">
        <v>954</v>
      </c>
      <c r="B30" s="51" t="s">
        <v>32</v>
      </c>
      <c r="C30" s="51" t="s">
        <v>33</v>
      </c>
      <c r="D30" s="51" t="s">
        <v>85</v>
      </c>
      <c r="E30" s="51" t="s">
        <v>265</v>
      </c>
      <c r="F30" s="51" t="s">
        <v>960</v>
      </c>
      <c r="G30" s="54">
        <v>4120.76</v>
      </c>
      <c r="H30" s="54">
        <v>137726</v>
      </c>
      <c r="I30" s="822"/>
      <c r="J30" s="822"/>
      <c r="K30" s="822"/>
      <c r="L30" s="822"/>
      <c r="M30" s="54">
        <v>4120.76</v>
      </c>
      <c r="N30" s="822"/>
      <c r="O30" s="822"/>
      <c r="P30" s="822"/>
      <c r="Q30" s="822"/>
      <c r="R30" s="822"/>
      <c r="S30" s="822"/>
      <c r="T30" s="822"/>
      <c r="U30" s="822"/>
      <c r="V30" s="822"/>
      <c r="W30" s="822"/>
      <c r="X30" s="822"/>
      <c r="Y30" s="822"/>
      <c r="Z30" s="822"/>
      <c r="AA30" s="822"/>
      <c r="AB30" s="822"/>
      <c r="AC30" s="822"/>
      <c r="AD30" s="822"/>
      <c r="AE30" s="822"/>
      <c r="AF30" s="822"/>
      <c r="AG30" s="822"/>
      <c r="AH30" s="54">
        <v>0</v>
      </c>
      <c r="AI30" s="822"/>
      <c r="AJ30" s="822"/>
      <c r="AK30" s="54">
        <v>4120.76</v>
      </c>
      <c r="AL30" s="54">
        <v>0</v>
      </c>
    </row>
    <row r="31" spans="1:38" ht="15.75" thickBot="1" x14ac:dyDescent="0.3">
      <c r="A31" s="51" t="s">
        <v>954</v>
      </c>
      <c r="B31" s="51" t="s">
        <v>32</v>
      </c>
      <c r="C31" s="51" t="s">
        <v>33</v>
      </c>
      <c r="D31" s="51" t="s">
        <v>85</v>
      </c>
      <c r="E31" s="51" t="s">
        <v>620</v>
      </c>
      <c r="F31" s="51" t="s">
        <v>263</v>
      </c>
      <c r="G31" s="54">
        <v>111.02</v>
      </c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822"/>
      <c r="V31" s="822"/>
      <c r="W31" s="822"/>
      <c r="X31" s="822"/>
      <c r="Y31" s="822"/>
      <c r="Z31" s="54">
        <v>111.02</v>
      </c>
      <c r="AA31" s="822"/>
      <c r="AB31" s="822"/>
      <c r="AC31" s="822"/>
      <c r="AD31" s="822"/>
      <c r="AE31" s="822"/>
      <c r="AF31" s="822"/>
      <c r="AG31" s="822"/>
      <c r="AH31" s="54">
        <v>0</v>
      </c>
      <c r="AI31" s="822"/>
      <c r="AJ31" s="822"/>
      <c r="AK31" s="54">
        <v>111.02</v>
      </c>
      <c r="AL31" s="54">
        <v>0</v>
      </c>
    </row>
    <row r="32" spans="1:38" ht="15.75" thickBot="1" x14ac:dyDescent="0.3">
      <c r="A32" s="51" t="s">
        <v>954</v>
      </c>
      <c r="B32" s="51" t="s">
        <v>32</v>
      </c>
      <c r="C32" s="51" t="s">
        <v>33</v>
      </c>
      <c r="D32" s="51" t="s">
        <v>85</v>
      </c>
      <c r="E32" s="51" t="s">
        <v>621</v>
      </c>
      <c r="F32" s="51" t="s">
        <v>263</v>
      </c>
      <c r="G32" s="54">
        <v>1611.39</v>
      </c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822"/>
      <c r="V32" s="822"/>
      <c r="W32" s="822"/>
      <c r="X32" s="822"/>
      <c r="Y32" s="822"/>
      <c r="Z32" s="822"/>
      <c r="AA32" s="54">
        <v>1611.39</v>
      </c>
      <c r="AB32" s="822"/>
      <c r="AC32" s="822"/>
      <c r="AD32" s="822"/>
      <c r="AE32" s="822"/>
      <c r="AF32" s="822"/>
      <c r="AG32" s="822"/>
      <c r="AH32" s="54">
        <v>0</v>
      </c>
      <c r="AI32" s="822"/>
      <c r="AJ32" s="822"/>
      <c r="AK32" s="54">
        <v>1611.39</v>
      </c>
      <c r="AL32" s="54">
        <v>0</v>
      </c>
    </row>
    <row r="33" spans="1:38" ht="15.75" thickBot="1" x14ac:dyDescent="0.3">
      <c r="A33" s="51" t="s">
        <v>954</v>
      </c>
      <c r="B33" s="51" t="s">
        <v>32</v>
      </c>
      <c r="C33" s="51" t="s">
        <v>33</v>
      </c>
      <c r="D33" s="51" t="s">
        <v>85</v>
      </c>
      <c r="E33" s="51" t="s">
        <v>107</v>
      </c>
      <c r="F33" s="51" t="s">
        <v>263</v>
      </c>
      <c r="G33" s="54">
        <v>34996.18</v>
      </c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54">
        <v>34996.18</v>
      </c>
      <c r="S33" s="822"/>
      <c r="T33" s="822"/>
      <c r="U33" s="822"/>
      <c r="V33" s="822"/>
      <c r="W33" s="822"/>
      <c r="X33" s="822"/>
      <c r="Y33" s="822"/>
      <c r="Z33" s="822"/>
      <c r="AA33" s="822"/>
      <c r="AB33" s="822"/>
      <c r="AC33" s="822"/>
      <c r="AD33" s="822"/>
      <c r="AE33" s="822"/>
      <c r="AF33" s="822"/>
      <c r="AG33" s="822"/>
      <c r="AH33" s="54">
        <v>0</v>
      </c>
      <c r="AI33" s="822"/>
      <c r="AJ33" s="822"/>
      <c r="AK33" s="54">
        <v>34996.18</v>
      </c>
      <c r="AL33" s="54">
        <v>0</v>
      </c>
    </row>
    <row r="34" spans="1:38" ht="23.25" thickBot="1" x14ac:dyDescent="0.3">
      <c r="A34" s="51" t="s">
        <v>1022</v>
      </c>
      <c r="B34" s="51" t="s">
        <v>32</v>
      </c>
      <c r="C34" s="51" t="s">
        <v>33</v>
      </c>
      <c r="D34" s="51" t="s">
        <v>85</v>
      </c>
      <c r="E34" s="51" t="s">
        <v>272</v>
      </c>
      <c r="F34" s="51" t="s">
        <v>960</v>
      </c>
      <c r="G34" s="56">
        <v>750</v>
      </c>
      <c r="H34" s="823"/>
      <c r="I34" s="823"/>
      <c r="J34" s="823"/>
      <c r="K34" s="56">
        <v>750</v>
      </c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  <c r="AH34" s="56">
        <v>0</v>
      </c>
      <c r="AI34" s="823"/>
      <c r="AJ34" s="823"/>
      <c r="AK34" s="56">
        <v>750</v>
      </c>
      <c r="AL34" s="56">
        <v>0</v>
      </c>
    </row>
    <row r="35" spans="1:38" ht="23.25" thickBot="1" x14ac:dyDescent="0.3">
      <c r="A35" s="51" t="s">
        <v>1022</v>
      </c>
      <c r="B35" s="51" t="s">
        <v>32</v>
      </c>
      <c r="C35" s="51" t="s">
        <v>33</v>
      </c>
      <c r="D35" s="51" t="s">
        <v>85</v>
      </c>
      <c r="E35" s="51" t="s">
        <v>283</v>
      </c>
      <c r="F35" s="51" t="s">
        <v>960</v>
      </c>
      <c r="G35" s="56">
        <v>180467.57</v>
      </c>
      <c r="H35" s="823"/>
      <c r="I35" s="823"/>
      <c r="J35" s="823"/>
      <c r="K35" s="823"/>
      <c r="L35" s="56">
        <v>180467.57</v>
      </c>
      <c r="M35" s="823"/>
      <c r="N35" s="823"/>
      <c r="O35" s="823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  <c r="AB35" s="823"/>
      <c r="AC35" s="823"/>
      <c r="AD35" s="823"/>
      <c r="AE35" s="823"/>
      <c r="AF35" s="823"/>
      <c r="AG35" s="823"/>
      <c r="AH35" s="56">
        <v>0</v>
      </c>
      <c r="AI35" s="823"/>
      <c r="AJ35" s="823"/>
      <c r="AK35" s="56">
        <v>180467.57</v>
      </c>
      <c r="AL35" s="56">
        <v>0</v>
      </c>
    </row>
    <row r="36" spans="1:38" ht="23.25" thickBot="1" x14ac:dyDescent="0.3">
      <c r="A36" s="51" t="s">
        <v>1022</v>
      </c>
      <c r="B36" s="51" t="s">
        <v>32</v>
      </c>
      <c r="C36" s="51" t="s">
        <v>33</v>
      </c>
      <c r="D36" s="51" t="s">
        <v>85</v>
      </c>
      <c r="E36" s="51" t="s">
        <v>265</v>
      </c>
      <c r="F36" s="51" t="s">
        <v>960</v>
      </c>
      <c r="G36" s="56">
        <v>3765.91</v>
      </c>
      <c r="H36" s="56">
        <v>125866</v>
      </c>
      <c r="I36" s="823"/>
      <c r="J36" s="823"/>
      <c r="K36" s="823"/>
      <c r="L36" s="823"/>
      <c r="M36" s="56">
        <v>3765.91</v>
      </c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  <c r="AB36" s="823"/>
      <c r="AC36" s="823"/>
      <c r="AD36" s="823"/>
      <c r="AE36" s="823"/>
      <c r="AF36" s="823"/>
      <c r="AG36" s="823"/>
      <c r="AH36" s="56">
        <v>0</v>
      </c>
      <c r="AI36" s="823"/>
      <c r="AJ36" s="823"/>
      <c r="AK36" s="56">
        <v>3765.91</v>
      </c>
      <c r="AL36" s="56">
        <v>0</v>
      </c>
    </row>
    <row r="37" spans="1:38" ht="15.75" thickBot="1" x14ac:dyDescent="0.3">
      <c r="A37" s="51" t="s">
        <v>1022</v>
      </c>
      <c r="B37" s="51" t="s">
        <v>32</v>
      </c>
      <c r="C37" s="51" t="s">
        <v>33</v>
      </c>
      <c r="D37" s="51" t="s">
        <v>85</v>
      </c>
      <c r="E37" s="51" t="s">
        <v>620</v>
      </c>
      <c r="F37" s="51" t="s">
        <v>263</v>
      </c>
      <c r="G37" s="56">
        <v>111.02</v>
      </c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56">
        <v>111.02</v>
      </c>
      <c r="AA37" s="823"/>
      <c r="AB37" s="823"/>
      <c r="AC37" s="823"/>
      <c r="AD37" s="823"/>
      <c r="AE37" s="823"/>
      <c r="AF37" s="823"/>
      <c r="AG37" s="823"/>
      <c r="AH37" s="56">
        <v>0</v>
      </c>
      <c r="AI37" s="823"/>
      <c r="AJ37" s="823"/>
      <c r="AK37" s="56">
        <v>111.02</v>
      </c>
      <c r="AL37" s="56">
        <v>0</v>
      </c>
    </row>
    <row r="38" spans="1:38" ht="15.75" thickBot="1" x14ac:dyDescent="0.3">
      <c r="A38" s="51" t="s">
        <v>1022</v>
      </c>
      <c r="B38" s="51" t="s">
        <v>32</v>
      </c>
      <c r="C38" s="51" t="s">
        <v>33</v>
      </c>
      <c r="D38" s="51" t="s">
        <v>85</v>
      </c>
      <c r="E38" s="51" t="s">
        <v>621</v>
      </c>
      <c r="F38" s="51" t="s">
        <v>263</v>
      </c>
      <c r="G38" s="56">
        <v>1472.63</v>
      </c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56">
        <v>1472.63</v>
      </c>
      <c r="AB38" s="823"/>
      <c r="AC38" s="823"/>
      <c r="AD38" s="823"/>
      <c r="AE38" s="823"/>
      <c r="AF38" s="823"/>
      <c r="AG38" s="823"/>
      <c r="AH38" s="56">
        <v>0</v>
      </c>
      <c r="AI38" s="823"/>
      <c r="AJ38" s="823"/>
      <c r="AK38" s="56">
        <v>1472.63</v>
      </c>
      <c r="AL38" s="56">
        <v>0</v>
      </c>
    </row>
    <row r="39" spans="1:38" ht="15.75" thickBot="1" x14ac:dyDescent="0.3">
      <c r="A39" s="51" t="s">
        <v>1022</v>
      </c>
      <c r="B39" s="51" t="s">
        <v>32</v>
      </c>
      <c r="C39" s="51" t="s">
        <v>33</v>
      </c>
      <c r="D39" s="51" t="s">
        <v>85</v>
      </c>
      <c r="E39" s="51" t="s">
        <v>107</v>
      </c>
      <c r="F39" s="51" t="s">
        <v>263</v>
      </c>
      <c r="G39" s="56">
        <v>38409.269999999997</v>
      </c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56">
        <v>38409.269999999997</v>
      </c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823"/>
      <c r="AF39" s="823"/>
      <c r="AG39" s="823"/>
      <c r="AH39" s="56">
        <v>0</v>
      </c>
      <c r="AI39" s="823"/>
      <c r="AJ39" s="823"/>
      <c r="AK39" s="56">
        <v>38409.269999999997</v>
      </c>
      <c r="AL39" s="56">
        <v>0</v>
      </c>
    </row>
  </sheetData>
  <mergeCells count="2">
    <mergeCell ref="A2:E2"/>
    <mergeCell ref="B3:C3"/>
  </mergeCells>
  <pageMargins left="0.75" right="0.75" top="1" bottom="1" header="0.5" footer="0.5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7">
    <tabColor theme="9" tint="0.39997558519241921"/>
  </sheetPr>
  <dimension ref="A1:E39"/>
  <sheetViews>
    <sheetView workbookViewId="0">
      <selection activeCell="F16" sqref="F16"/>
    </sheetView>
  </sheetViews>
  <sheetFormatPr defaultRowHeight="15" x14ac:dyDescent="0.25"/>
  <cols>
    <col min="1" max="1" width="9.5703125" bestFit="1" customWidth="1"/>
    <col min="2" max="2" width="6.85546875" bestFit="1" customWidth="1"/>
    <col min="3" max="3" width="12.7109375" bestFit="1" customWidth="1"/>
    <col min="4" max="4" width="13.28515625" bestFit="1" customWidth="1"/>
    <col min="5" max="5" width="39.140625" bestFit="1" customWidth="1"/>
    <col min="6" max="6" width="40.5703125" bestFit="1" customWidth="1"/>
    <col min="7" max="7" width="11.28515625" customWidth="1"/>
    <col min="9" max="9" width="13.85546875" bestFit="1" customWidth="1"/>
  </cols>
  <sheetData>
    <row r="1" spans="1:5" x14ac:dyDescent="0.25">
      <c r="A1" s="834" t="s">
        <v>881</v>
      </c>
      <c r="B1" s="834" t="s">
        <v>9</v>
      </c>
      <c r="C1" s="834" t="s">
        <v>882</v>
      </c>
      <c r="D1" s="834" t="s">
        <v>883</v>
      </c>
      <c r="E1" s="834" t="s">
        <v>884</v>
      </c>
    </row>
    <row r="2" spans="1:5" x14ac:dyDescent="0.25">
      <c r="A2" t="s">
        <v>885</v>
      </c>
      <c r="B2" t="s">
        <v>56</v>
      </c>
      <c r="D2" t="s">
        <v>19</v>
      </c>
      <c r="E2" t="s">
        <v>20</v>
      </c>
    </row>
    <row r="3" spans="1:5" x14ac:dyDescent="0.25">
      <c r="A3" t="s">
        <v>885</v>
      </c>
      <c r="B3" t="s">
        <v>56</v>
      </c>
      <c r="C3" t="s">
        <v>886</v>
      </c>
      <c r="D3" t="s">
        <v>350</v>
      </c>
      <c r="E3" t="s">
        <v>887</v>
      </c>
    </row>
    <row r="4" spans="1:5" x14ac:dyDescent="0.25">
      <c r="A4" t="s">
        <v>885</v>
      </c>
      <c r="B4" t="s">
        <v>56</v>
      </c>
      <c r="C4" t="s">
        <v>888</v>
      </c>
      <c r="D4" t="s">
        <v>599</v>
      </c>
      <c r="E4" t="s">
        <v>889</v>
      </c>
    </row>
    <row r="5" spans="1:5" x14ac:dyDescent="0.25">
      <c r="A5" t="s">
        <v>885</v>
      </c>
      <c r="B5" t="s">
        <v>223</v>
      </c>
      <c r="D5" t="s">
        <v>13</v>
      </c>
      <c r="E5" t="s">
        <v>14</v>
      </c>
    </row>
    <row r="6" spans="1:5" x14ac:dyDescent="0.25">
      <c r="A6" t="s">
        <v>885</v>
      </c>
      <c r="B6" t="s">
        <v>608</v>
      </c>
      <c r="D6" t="s">
        <v>563</v>
      </c>
      <c r="E6" t="s">
        <v>890</v>
      </c>
    </row>
    <row r="7" spans="1:5" x14ac:dyDescent="0.25">
      <c r="A7" t="s">
        <v>885</v>
      </c>
      <c r="B7" t="s">
        <v>551</v>
      </c>
      <c r="D7" t="s">
        <v>562</v>
      </c>
      <c r="E7" t="s">
        <v>552</v>
      </c>
    </row>
    <row r="8" spans="1:5" x14ac:dyDescent="0.25">
      <c r="A8" t="s">
        <v>885</v>
      </c>
      <c r="B8" t="s">
        <v>428</v>
      </c>
      <c r="D8" t="s">
        <v>43</v>
      </c>
      <c r="E8" t="s">
        <v>44</v>
      </c>
    </row>
    <row r="9" spans="1:5" x14ac:dyDescent="0.25">
      <c r="A9" t="s">
        <v>885</v>
      </c>
      <c r="B9" t="s">
        <v>509</v>
      </c>
      <c r="C9" t="s">
        <v>56</v>
      </c>
      <c r="D9" t="s">
        <v>30</v>
      </c>
      <c r="E9" t="s">
        <v>891</v>
      </c>
    </row>
    <row r="10" spans="1:5" x14ac:dyDescent="0.25">
      <c r="A10" t="s">
        <v>885</v>
      </c>
      <c r="B10" t="s">
        <v>892</v>
      </c>
      <c r="C10" t="s">
        <v>56</v>
      </c>
      <c r="D10" t="s">
        <v>45</v>
      </c>
      <c r="E10" t="s">
        <v>893</v>
      </c>
    </row>
    <row r="11" spans="1:5" x14ac:dyDescent="0.25">
      <c r="A11" t="s">
        <v>885</v>
      </c>
      <c r="B11" t="s">
        <v>509</v>
      </c>
      <c r="C11" t="s">
        <v>428</v>
      </c>
      <c r="D11" t="s">
        <v>567</v>
      </c>
      <c r="E11" t="s">
        <v>894</v>
      </c>
    </row>
    <row r="12" spans="1:5" x14ac:dyDescent="0.25">
      <c r="A12" t="s">
        <v>885</v>
      </c>
      <c r="B12" t="s">
        <v>892</v>
      </c>
      <c r="C12" t="s">
        <v>428</v>
      </c>
      <c r="D12" t="s">
        <v>568</v>
      </c>
      <c r="E12" t="s">
        <v>895</v>
      </c>
    </row>
    <row r="13" spans="1:5" x14ac:dyDescent="0.25">
      <c r="A13" t="s">
        <v>885</v>
      </c>
      <c r="B13" t="s">
        <v>509</v>
      </c>
      <c r="C13" t="s">
        <v>223</v>
      </c>
      <c r="D13" t="s">
        <v>47</v>
      </c>
      <c r="E13" t="s">
        <v>896</v>
      </c>
    </row>
    <row r="14" spans="1:5" x14ac:dyDescent="0.25">
      <c r="A14" t="s">
        <v>885</v>
      </c>
      <c r="B14" t="s">
        <v>892</v>
      </c>
      <c r="C14" t="s">
        <v>223</v>
      </c>
      <c r="D14" t="s">
        <v>48</v>
      </c>
      <c r="E14" t="s">
        <v>897</v>
      </c>
    </row>
    <row r="15" spans="1:5" x14ac:dyDescent="0.25">
      <c r="A15" t="s">
        <v>885</v>
      </c>
      <c r="B15" t="s">
        <v>610</v>
      </c>
      <c r="D15" t="s">
        <v>34</v>
      </c>
      <c r="E15" t="s">
        <v>35</v>
      </c>
    </row>
    <row r="16" spans="1:5" x14ac:dyDescent="0.25">
      <c r="A16" t="s">
        <v>885</v>
      </c>
      <c r="B16" t="s">
        <v>611</v>
      </c>
      <c r="D16" t="s">
        <v>49</v>
      </c>
      <c r="E16" t="s">
        <v>50</v>
      </c>
    </row>
    <row r="17" spans="1:5" x14ac:dyDescent="0.25">
      <c r="A17" t="s">
        <v>885</v>
      </c>
      <c r="B17" t="s">
        <v>59</v>
      </c>
      <c r="D17" t="s">
        <v>24</v>
      </c>
      <c r="E17" t="s">
        <v>25</v>
      </c>
    </row>
    <row r="18" spans="1:5" x14ac:dyDescent="0.25">
      <c r="A18" t="s">
        <v>885</v>
      </c>
      <c r="B18" t="s">
        <v>59</v>
      </c>
      <c r="D18" t="s">
        <v>434</v>
      </c>
      <c r="E18" t="s">
        <v>25</v>
      </c>
    </row>
    <row r="19" spans="1:5" x14ac:dyDescent="0.25">
      <c r="A19" t="s">
        <v>885</v>
      </c>
      <c r="B19" t="s">
        <v>223</v>
      </c>
      <c r="D19" t="s">
        <v>17</v>
      </c>
      <c r="E19" t="s">
        <v>18</v>
      </c>
    </row>
    <row r="20" spans="1:5" x14ac:dyDescent="0.25">
      <c r="A20" t="s">
        <v>885</v>
      </c>
      <c r="B20" t="s">
        <v>223</v>
      </c>
      <c r="D20" t="s">
        <v>429</v>
      </c>
      <c r="E20" t="s">
        <v>18</v>
      </c>
    </row>
    <row r="21" spans="1:5" x14ac:dyDescent="0.25">
      <c r="A21" t="s">
        <v>885</v>
      </c>
      <c r="B21" t="s">
        <v>608</v>
      </c>
      <c r="D21" t="s">
        <v>564</v>
      </c>
      <c r="E21" t="s">
        <v>898</v>
      </c>
    </row>
    <row r="22" spans="1:5" x14ac:dyDescent="0.25">
      <c r="A22" t="s">
        <v>885</v>
      </c>
      <c r="B22" t="s">
        <v>608</v>
      </c>
      <c r="D22" t="s">
        <v>565</v>
      </c>
      <c r="E22" t="s">
        <v>898</v>
      </c>
    </row>
    <row r="23" spans="1:5" x14ac:dyDescent="0.25">
      <c r="A23" t="s">
        <v>885</v>
      </c>
      <c r="B23" t="s">
        <v>509</v>
      </c>
      <c r="C23" t="s">
        <v>59</v>
      </c>
      <c r="D23" t="s">
        <v>31</v>
      </c>
      <c r="E23" t="s">
        <v>328</v>
      </c>
    </row>
    <row r="24" spans="1:5" x14ac:dyDescent="0.25">
      <c r="A24" t="s">
        <v>885</v>
      </c>
      <c r="B24" t="s">
        <v>509</v>
      </c>
      <c r="C24" t="s">
        <v>59</v>
      </c>
      <c r="D24" t="s">
        <v>491</v>
      </c>
      <c r="E24" t="s">
        <v>328</v>
      </c>
    </row>
    <row r="25" spans="1:5" x14ac:dyDescent="0.25">
      <c r="A25" t="s">
        <v>885</v>
      </c>
      <c r="B25" t="s">
        <v>892</v>
      </c>
      <c r="C25" t="s">
        <v>59</v>
      </c>
      <c r="D25" t="s">
        <v>52</v>
      </c>
      <c r="E25" t="s">
        <v>355</v>
      </c>
    </row>
    <row r="26" spans="1:5" x14ac:dyDescent="0.25">
      <c r="A26" t="s">
        <v>885</v>
      </c>
      <c r="B26" t="s">
        <v>509</v>
      </c>
      <c r="C26" t="s">
        <v>223</v>
      </c>
      <c r="D26" t="s">
        <v>53</v>
      </c>
      <c r="E26" t="s">
        <v>378</v>
      </c>
    </row>
    <row r="27" spans="1:5" x14ac:dyDescent="0.25">
      <c r="A27" t="s">
        <v>885</v>
      </c>
      <c r="B27" t="s">
        <v>509</v>
      </c>
      <c r="C27" t="s">
        <v>223</v>
      </c>
      <c r="D27" t="s">
        <v>493</v>
      </c>
      <c r="E27" t="s">
        <v>378</v>
      </c>
    </row>
    <row r="28" spans="1:5" x14ac:dyDescent="0.25">
      <c r="A28" t="s">
        <v>885</v>
      </c>
      <c r="B28" t="s">
        <v>892</v>
      </c>
      <c r="C28" t="s">
        <v>223</v>
      </c>
      <c r="D28" t="s">
        <v>54</v>
      </c>
      <c r="E28" t="s">
        <v>899</v>
      </c>
    </row>
    <row r="29" spans="1:5" x14ac:dyDescent="0.25">
      <c r="A29" t="s">
        <v>885</v>
      </c>
      <c r="B29" t="s">
        <v>610</v>
      </c>
      <c r="D29" t="s">
        <v>36</v>
      </c>
      <c r="E29" t="s">
        <v>37</v>
      </c>
    </row>
    <row r="30" spans="1:5" x14ac:dyDescent="0.25">
      <c r="A30" t="s">
        <v>885</v>
      </c>
      <c r="B30" t="s">
        <v>610</v>
      </c>
      <c r="D30" t="s">
        <v>447</v>
      </c>
      <c r="E30" t="s">
        <v>37</v>
      </c>
    </row>
    <row r="31" spans="1:5" x14ac:dyDescent="0.25">
      <c r="A31" t="s">
        <v>885</v>
      </c>
      <c r="B31" t="s">
        <v>611</v>
      </c>
      <c r="D31" t="s">
        <v>38</v>
      </c>
      <c r="E31" t="s">
        <v>39</v>
      </c>
    </row>
    <row r="32" spans="1:5" x14ac:dyDescent="0.25">
      <c r="A32" t="s">
        <v>885</v>
      </c>
      <c r="B32" t="s">
        <v>605</v>
      </c>
      <c r="C32" t="s">
        <v>900</v>
      </c>
      <c r="D32" t="s">
        <v>32</v>
      </c>
      <c r="E32" t="s">
        <v>33</v>
      </c>
    </row>
    <row r="33" spans="1:5" x14ac:dyDescent="0.25">
      <c r="A33" t="s">
        <v>885</v>
      </c>
      <c r="B33" t="s">
        <v>62</v>
      </c>
      <c r="D33" t="s">
        <v>26</v>
      </c>
      <c r="E33" t="s">
        <v>27</v>
      </c>
    </row>
    <row r="34" spans="1:5" x14ac:dyDescent="0.25">
      <c r="A34" t="s">
        <v>885</v>
      </c>
      <c r="B34" t="s">
        <v>606</v>
      </c>
      <c r="D34" t="s">
        <v>28</v>
      </c>
      <c r="E34" t="s">
        <v>29</v>
      </c>
    </row>
    <row r="35" spans="1:5" x14ac:dyDescent="0.25">
      <c r="A35" t="s">
        <v>885</v>
      </c>
      <c r="B35" t="s">
        <v>901</v>
      </c>
      <c r="D35" t="s">
        <v>902</v>
      </c>
      <c r="E35" t="s">
        <v>903</v>
      </c>
    </row>
    <row r="36" spans="1:5" x14ac:dyDescent="0.25">
      <c r="A36" t="s">
        <v>885</v>
      </c>
      <c r="B36" t="s">
        <v>901</v>
      </c>
      <c r="D36" t="s">
        <v>904</v>
      </c>
      <c r="E36" t="s">
        <v>905</v>
      </c>
    </row>
    <row r="37" spans="1:5" x14ac:dyDescent="0.25">
      <c r="A37" t="s">
        <v>885</v>
      </c>
      <c r="B37" t="s">
        <v>901</v>
      </c>
      <c r="C37" t="s">
        <v>906</v>
      </c>
      <c r="D37" t="s">
        <v>907</v>
      </c>
      <c r="E37" t="s">
        <v>908</v>
      </c>
    </row>
    <row r="38" spans="1:5" x14ac:dyDescent="0.25">
      <c r="A38" t="s">
        <v>885</v>
      </c>
      <c r="B38" t="s">
        <v>901</v>
      </c>
      <c r="C38" t="s">
        <v>906</v>
      </c>
      <c r="D38" t="s">
        <v>909</v>
      </c>
      <c r="E38" t="s">
        <v>910</v>
      </c>
    </row>
    <row r="39" spans="1:5" x14ac:dyDescent="0.25">
      <c r="A39" t="s">
        <v>885</v>
      </c>
      <c r="B39" t="s">
        <v>911</v>
      </c>
      <c r="D39" t="s">
        <v>912</v>
      </c>
      <c r="E39" t="s">
        <v>913</v>
      </c>
    </row>
  </sheetData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tabColor theme="9" tint="0.39997558519241921"/>
    <pageSetUpPr fitToPage="1"/>
  </sheetPr>
  <dimension ref="A2:AA76"/>
  <sheetViews>
    <sheetView topLeftCell="C1" workbookViewId="0">
      <selection activeCell="G12" sqref="G12"/>
    </sheetView>
  </sheetViews>
  <sheetFormatPr defaultColWidth="9.140625" defaultRowHeight="15" x14ac:dyDescent="0.25"/>
  <cols>
    <col min="1" max="1" width="9.140625" style="46"/>
    <col min="2" max="2" width="17.85546875" style="46" customWidth="1"/>
    <col min="3" max="3" width="16.85546875" style="46" customWidth="1"/>
    <col min="4" max="4" width="57.5703125" style="46" customWidth="1"/>
    <col min="5" max="6" width="10.42578125" style="46" customWidth="1"/>
    <col min="7" max="7" width="10.7109375" style="46" bestFit="1" customWidth="1"/>
    <col min="8" max="8" width="10.7109375" style="46" customWidth="1"/>
    <col min="9" max="9" width="12" style="46" customWidth="1"/>
    <col min="10" max="12" width="12.140625" style="46" customWidth="1"/>
    <col min="13" max="14" width="10.7109375" style="46" customWidth="1"/>
    <col min="15" max="15" width="9.140625" style="46"/>
    <col min="16" max="16" width="9.85546875" style="46" customWidth="1"/>
    <col min="17" max="17" width="13.5703125" customWidth="1"/>
    <col min="18" max="18" width="34" style="46" bestFit="1" customWidth="1"/>
    <col min="19" max="19" width="8.28515625" style="46" bestFit="1" customWidth="1"/>
    <col min="20" max="20" width="18.28515625" style="46" bestFit="1" customWidth="1"/>
    <col min="21" max="21" width="35.28515625" style="46" bestFit="1" customWidth="1"/>
    <col min="22" max="22" width="27.7109375" style="46" bestFit="1" customWidth="1"/>
    <col min="23" max="16384" width="9.140625" style="46"/>
  </cols>
  <sheetData>
    <row r="2" spans="1:16" x14ac:dyDescent="0.25">
      <c r="A2" s="376"/>
      <c r="B2" s="376"/>
      <c r="C2" s="376">
        <v>1</v>
      </c>
      <c r="D2" s="376">
        <f>C2+C2</f>
        <v>2</v>
      </c>
      <c r="E2" s="376">
        <f>D2+1</f>
        <v>3</v>
      </c>
      <c r="F2" s="376">
        <f>E2+1</f>
        <v>4</v>
      </c>
      <c r="G2" s="376">
        <f t="shared" ref="G2:P2" si="0">F2+1</f>
        <v>5</v>
      </c>
      <c r="H2" s="376">
        <f t="shared" si="0"/>
        <v>6</v>
      </c>
      <c r="I2" s="376">
        <f t="shared" si="0"/>
        <v>7</v>
      </c>
      <c r="J2" s="376">
        <f t="shared" si="0"/>
        <v>8</v>
      </c>
      <c r="K2" s="376">
        <f t="shared" si="0"/>
        <v>9</v>
      </c>
      <c r="L2" s="376">
        <f t="shared" si="0"/>
        <v>10</v>
      </c>
      <c r="M2" s="376">
        <f t="shared" si="0"/>
        <v>11</v>
      </c>
      <c r="N2" s="376">
        <f t="shared" si="0"/>
        <v>12</v>
      </c>
      <c r="O2" s="376">
        <f t="shared" si="0"/>
        <v>13</v>
      </c>
      <c r="P2" s="376">
        <f t="shared" si="0"/>
        <v>14</v>
      </c>
    </row>
    <row r="3" spans="1:16" ht="15.75" thickBot="1" x14ac:dyDescent="0.3">
      <c r="E3" s="944" t="s">
        <v>843</v>
      </c>
      <c r="F3" s="944"/>
      <c r="G3" s="944"/>
      <c r="H3" s="944"/>
      <c r="I3" s="944"/>
      <c r="J3" s="944"/>
      <c r="K3" s="944"/>
      <c r="L3" s="944"/>
      <c r="M3" s="944"/>
      <c r="N3" s="944"/>
      <c r="O3" s="944"/>
      <c r="P3" s="944"/>
    </row>
    <row r="4" spans="1:16" x14ac:dyDescent="0.25">
      <c r="C4" s="238" t="s">
        <v>258</v>
      </c>
    </row>
    <row r="5" spans="1:16" ht="15.75" thickBot="1" x14ac:dyDescent="0.3">
      <c r="C5" s="239" t="s">
        <v>259</v>
      </c>
      <c r="G5" s="310"/>
      <c r="H5" s="310"/>
      <c r="I5" s="375" t="s">
        <v>10</v>
      </c>
      <c r="J5" s="375" t="s">
        <v>10</v>
      </c>
      <c r="K5" s="375" t="s">
        <v>82</v>
      </c>
      <c r="L5" s="375" t="s">
        <v>82</v>
      </c>
      <c r="M5" s="375" t="s">
        <v>10</v>
      </c>
      <c r="N5" s="375" t="s">
        <v>82</v>
      </c>
      <c r="O5" s="375" t="s">
        <v>10</v>
      </c>
      <c r="P5" s="375" t="s">
        <v>82</v>
      </c>
    </row>
    <row r="6" spans="1:16" ht="30.75" thickBot="1" x14ac:dyDescent="0.3">
      <c r="A6" s="379" t="s">
        <v>87</v>
      </c>
      <c r="B6" s="378" t="s">
        <v>8</v>
      </c>
      <c r="C6" s="380" t="s">
        <v>88</v>
      </c>
      <c r="D6" s="381" t="s">
        <v>42</v>
      </c>
      <c r="E6" s="382" t="s">
        <v>89</v>
      </c>
      <c r="F6" s="382" t="s">
        <v>89</v>
      </c>
      <c r="G6" s="382" t="s">
        <v>90</v>
      </c>
      <c r="H6" s="382" t="s">
        <v>526</v>
      </c>
      <c r="I6" s="383" t="s">
        <v>312</v>
      </c>
      <c r="J6" s="383" t="s">
        <v>313</v>
      </c>
      <c r="K6" s="383" t="s">
        <v>312</v>
      </c>
      <c r="L6" s="383" t="s">
        <v>313</v>
      </c>
      <c r="M6" s="383" t="s">
        <v>91</v>
      </c>
      <c r="N6" s="383" t="s">
        <v>91</v>
      </c>
      <c r="O6" s="383" t="s">
        <v>92</v>
      </c>
      <c r="P6" s="383" t="s">
        <v>92</v>
      </c>
    </row>
    <row r="7" spans="1:16" x14ac:dyDescent="0.25">
      <c r="A7" s="240" t="s">
        <v>74</v>
      </c>
      <c r="B7" s="409" t="s">
        <v>26</v>
      </c>
      <c r="C7" s="144" t="s">
        <v>62</v>
      </c>
      <c r="D7" s="46" t="s">
        <v>27</v>
      </c>
      <c r="E7" s="241">
        <f>0.65</f>
        <v>0.65</v>
      </c>
      <c r="F7" s="241"/>
      <c r="G7" s="241"/>
      <c r="H7" s="241"/>
      <c r="I7" s="242">
        <v>0.36781999999999998</v>
      </c>
      <c r="J7" s="242"/>
      <c r="K7" s="242">
        <f t="shared" ref="K7:K13" si="1">I7*10</f>
        <v>3.6781999999999999</v>
      </c>
      <c r="L7" s="242"/>
      <c r="M7" s="242"/>
      <c r="N7" s="242"/>
      <c r="O7" s="242"/>
      <c r="P7" s="242"/>
    </row>
    <row r="8" spans="1:16" x14ac:dyDescent="0.25">
      <c r="A8" s="240" t="s">
        <v>75</v>
      </c>
      <c r="B8" s="409" t="s">
        <v>28</v>
      </c>
      <c r="C8" s="144" t="s">
        <v>62</v>
      </c>
      <c r="D8" s="46" t="s">
        <v>29</v>
      </c>
      <c r="E8" s="241">
        <f>0.65</f>
        <v>0.65</v>
      </c>
      <c r="G8" s="241"/>
      <c r="H8" s="241"/>
      <c r="I8" s="242">
        <v>0.36781999999999998</v>
      </c>
      <c r="J8" s="242"/>
      <c r="K8" s="242">
        <f t="shared" si="1"/>
        <v>3.6781999999999999</v>
      </c>
      <c r="L8" s="242"/>
      <c r="M8" s="242"/>
      <c r="N8" s="242"/>
      <c r="O8" s="242"/>
      <c r="P8" s="242"/>
    </row>
    <row r="9" spans="1:16" x14ac:dyDescent="0.25">
      <c r="A9" s="240" t="s">
        <v>63</v>
      </c>
      <c r="B9" s="409" t="s">
        <v>19</v>
      </c>
      <c r="C9" s="46" t="s">
        <v>56</v>
      </c>
      <c r="D9" s="46" t="s">
        <v>20</v>
      </c>
      <c r="E9" s="241">
        <f>1.97</f>
        <v>1.97</v>
      </c>
      <c r="F9" s="241">
        <f>9.37</f>
        <v>9.3699999999999992</v>
      </c>
      <c r="I9" s="242">
        <v>0.30669999999999997</v>
      </c>
      <c r="J9" s="242">
        <f>I9-0.05</f>
        <v>0.25669999999999998</v>
      </c>
      <c r="K9" s="242">
        <f t="shared" si="1"/>
        <v>3.0669999999999997</v>
      </c>
      <c r="L9" s="242">
        <f>J9*10</f>
        <v>2.5669999999999997</v>
      </c>
      <c r="M9" s="242"/>
      <c r="N9" s="242"/>
      <c r="O9" s="242"/>
      <c r="P9" s="242"/>
    </row>
    <row r="10" spans="1:16" x14ac:dyDescent="0.25">
      <c r="A10" s="240" t="s">
        <v>63</v>
      </c>
      <c r="B10" s="409" t="s">
        <v>350</v>
      </c>
      <c r="C10" s="47" t="s">
        <v>56</v>
      </c>
      <c r="D10" s="46" t="s">
        <v>351</v>
      </c>
      <c r="E10" s="241">
        <f>1.97</f>
        <v>1.97</v>
      </c>
      <c r="F10" s="241">
        <f>9.37</f>
        <v>9.3699999999999992</v>
      </c>
      <c r="G10" s="241"/>
      <c r="H10" s="241"/>
      <c r="I10" s="242">
        <v>0.30669999999999997</v>
      </c>
      <c r="J10" s="242">
        <f>I10-0.05</f>
        <v>0.25669999999999998</v>
      </c>
      <c r="K10" s="242">
        <f t="shared" si="1"/>
        <v>3.0669999999999997</v>
      </c>
      <c r="L10" s="242">
        <f>J10*10</f>
        <v>2.5669999999999997</v>
      </c>
      <c r="M10" s="242"/>
      <c r="N10" s="242"/>
      <c r="O10" s="242"/>
      <c r="P10" s="242"/>
    </row>
    <row r="11" spans="1:16" x14ac:dyDescent="0.25">
      <c r="A11" s="240" t="s">
        <v>69</v>
      </c>
      <c r="B11" s="409" t="s">
        <v>24</v>
      </c>
      <c r="C11" s="144" t="s">
        <v>59</v>
      </c>
      <c r="D11" s="46" t="s">
        <v>580</v>
      </c>
      <c r="E11" s="241">
        <f>5.42</f>
        <v>5.42</v>
      </c>
      <c r="F11" s="241">
        <f>24.64</f>
        <v>24.64</v>
      </c>
      <c r="I11" s="242">
        <v>0.21929000000000001</v>
      </c>
      <c r="J11" s="242">
        <f>I11-0.05</f>
        <v>0.16929</v>
      </c>
      <c r="K11" s="242">
        <f t="shared" si="1"/>
        <v>2.1929000000000003</v>
      </c>
      <c r="L11" s="242">
        <f>J11*10</f>
        <v>1.6928999999999998</v>
      </c>
      <c r="M11" s="242"/>
      <c r="N11" s="242"/>
      <c r="O11" s="242"/>
      <c r="P11" s="242"/>
    </row>
    <row r="12" spans="1:16" x14ac:dyDescent="0.25">
      <c r="A12" s="240" t="s">
        <v>69</v>
      </c>
      <c r="B12" s="409" t="s">
        <v>434</v>
      </c>
      <c r="C12" s="47" t="s">
        <v>59</v>
      </c>
      <c r="D12" s="46" t="s">
        <v>579</v>
      </c>
      <c r="E12" s="241">
        <f>5.42</f>
        <v>5.42</v>
      </c>
      <c r="F12" s="241">
        <f>24.64</f>
        <v>24.64</v>
      </c>
      <c r="G12" s="241"/>
      <c r="H12" s="241"/>
      <c r="I12" s="242">
        <v>0.21929000000000001</v>
      </c>
      <c r="J12" s="242">
        <f>I12-0.05</f>
        <v>0.16929</v>
      </c>
      <c r="K12" s="242">
        <f t="shared" si="1"/>
        <v>2.1929000000000003</v>
      </c>
      <c r="L12" s="242">
        <f>J12*10</f>
        <v>1.6928999999999998</v>
      </c>
      <c r="M12" s="242"/>
      <c r="N12" s="242"/>
      <c r="O12" s="242"/>
      <c r="P12" s="242"/>
    </row>
    <row r="13" spans="1:16" x14ac:dyDescent="0.25">
      <c r="A13" s="240" t="s">
        <v>76</v>
      </c>
      <c r="B13" s="409" t="s">
        <v>599</v>
      </c>
      <c r="C13" s="144" t="s">
        <v>56</v>
      </c>
      <c r="D13" s="46" t="s">
        <v>631</v>
      </c>
      <c r="E13" s="241">
        <f>1.97</f>
        <v>1.97</v>
      </c>
      <c r="F13" s="241">
        <f>9.37</f>
        <v>9.3699999999999992</v>
      </c>
      <c r="I13" s="242">
        <v>0.30669999999999997</v>
      </c>
      <c r="J13" s="242">
        <f>I13-0.05</f>
        <v>0.25669999999999998</v>
      </c>
      <c r="K13" s="242">
        <f t="shared" si="1"/>
        <v>3.0669999999999997</v>
      </c>
      <c r="L13" s="242">
        <f>J13*10</f>
        <v>2.5669999999999997</v>
      </c>
      <c r="M13" s="242"/>
      <c r="N13" s="242"/>
      <c r="O13" s="242"/>
      <c r="P13" s="242"/>
    </row>
    <row r="14" spans="1:16" x14ac:dyDescent="0.25">
      <c r="A14" s="240" t="s">
        <v>64</v>
      </c>
      <c r="B14" s="409" t="s">
        <v>13</v>
      </c>
      <c r="C14" s="46" t="s">
        <v>223</v>
      </c>
      <c r="D14" s="46" t="s">
        <v>14</v>
      </c>
      <c r="E14" s="241">
        <v>500</v>
      </c>
      <c r="F14" s="241"/>
      <c r="I14" s="242">
        <f t="shared" ref="I14:I19" si="2">K14/10</f>
        <v>0.10644000000000001</v>
      </c>
      <c r="J14" s="242"/>
      <c r="K14" s="242">
        <v>1.0644</v>
      </c>
      <c r="L14" s="242"/>
      <c r="M14" s="242"/>
      <c r="N14" s="242"/>
      <c r="O14" s="242"/>
      <c r="P14" s="242"/>
    </row>
    <row r="15" spans="1:16" x14ac:dyDescent="0.25">
      <c r="A15" s="240" t="s">
        <v>70</v>
      </c>
      <c r="B15" s="409" t="s">
        <v>17</v>
      </c>
      <c r="C15" s="144" t="s">
        <v>223</v>
      </c>
      <c r="D15" s="46" t="s">
        <v>490</v>
      </c>
      <c r="E15" s="241">
        <v>500</v>
      </c>
      <c r="I15" s="242">
        <f t="shared" si="2"/>
        <v>0.10644000000000001</v>
      </c>
      <c r="J15" s="242"/>
      <c r="K15" s="242">
        <v>1.0644</v>
      </c>
      <c r="L15" s="242"/>
      <c r="M15" s="242"/>
      <c r="N15" s="242"/>
      <c r="O15" s="242"/>
      <c r="P15" s="242"/>
    </row>
    <row r="16" spans="1:16" x14ac:dyDescent="0.25">
      <c r="A16" s="240" t="s">
        <v>70</v>
      </c>
      <c r="B16" s="409" t="s">
        <v>429</v>
      </c>
      <c r="C16" s="144" t="s">
        <v>223</v>
      </c>
      <c r="D16" s="46" t="s">
        <v>581</v>
      </c>
      <c r="E16" s="241">
        <v>500</v>
      </c>
      <c r="I16" s="242">
        <f t="shared" si="2"/>
        <v>0.10644000000000001</v>
      </c>
      <c r="J16" s="242"/>
      <c r="K16" s="242">
        <v>1.0644</v>
      </c>
      <c r="L16" s="242"/>
      <c r="M16" s="242"/>
      <c r="N16" s="242"/>
      <c r="O16" s="242"/>
      <c r="P16" s="242"/>
    </row>
    <row r="17" spans="1:16" x14ac:dyDescent="0.25">
      <c r="A17" s="240" t="s">
        <v>573</v>
      </c>
      <c r="B17" s="409" t="s">
        <v>563</v>
      </c>
      <c r="C17" s="144" t="s">
        <v>553</v>
      </c>
      <c r="D17" s="46" t="s">
        <v>554</v>
      </c>
      <c r="E17" s="241">
        <v>285</v>
      </c>
      <c r="G17" s="241"/>
      <c r="H17" s="241"/>
      <c r="I17" s="242">
        <f t="shared" si="2"/>
        <v>3.603E-2</v>
      </c>
      <c r="J17" s="242"/>
      <c r="K17" s="242">
        <v>0.36030000000000001</v>
      </c>
      <c r="L17" s="242"/>
      <c r="M17" s="242"/>
      <c r="N17" s="242"/>
      <c r="O17" s="242">
        <f>P17/10</f>
        <v>0.65599999999999992</v>
      </c>
      <c r="P17" s="242">
        <v>6.56</v>
      </c>
    </row>
    <row r="18" spans="1:16" x14ac:dyDescent="0.25">
      <c r="A18" s="240" t="s">
        <v>574</v>
      </c>
      <c r="B18" s="409" t="s">
        <v>564</v>
      </c>
      <c r="C18" s="144" t="s">
        <v>555</v>
      </c>
      <c r="D18" s="46" t="s">
        <v>588</v>
      </c>
      <c r="E18" s="241">
        <v>750</v>
      </c>
      <c r="G18" s="241"/>
      <c r="H18" s="241"/>
      <c r="I18" s="242">
        <f t="shared" si="2"/>
        <v>2.9919999999999995E-2</v>
      </c>
      <c r="J18" s="242"/>
      <c r="K18" s="242">
        <v>0.29919999999999997</v>
      </c>
      <c r="L18" s="242"/>
      <c r="M18" s="242"/>
      <c r="N18" s="242"/>
      <c r="O18" s="242">
        <f>P18/10</f>
        <v>1.0900000000000001</v>
      </c>
      <c r="P18" s="242">
        <v>10.9</v>
      </c>
    </row>
    <row r="19" spans="1:16" x14ac:dyDescent="0.25">
      <c r="A19" s="46" t="s">
        <v>574</v>
      </c>
      <c r="B19" s="409" t="s">
        <v>565</v>
      </c>
      <c r="C19" s="46" t="s">
        <v>555</v>
      </c>
      <c r="D19" s="46" t="s">
        <v>589</v>
      </c>
      <c r="E19" s="241">
        <v>750</v>
      </c>
      <c r="G19" s="241"/>
      <c r="H19" s="241"/>
      <c r="I19" s="242">
        <f t="shared" si="2"/>
        <v>2.9919999999999995E-2</v>
      </c>
      <c r="J19" s="242"/>
      <c r="K19" s="242">
        <v>0.29919999999999997</v>
      </c>
      <c r="L19" s="242"/>
      <c r="M19" s="242"/>
      <c r="N19" s="242"/>
      <c r="O19" s="242">
        <f>P19/10</f>
        <v>1.0900000000000001</v>
      </c>
      <c r="P19" s="242">
        <v>10.9</v>
      </c>
    </row>
    <row r="20" spans="1:16" x14ac:dyDescent="0.25">
      <c r="A20" s="240" t="s">
        <v>570</v>
      </c>
      <c r="B20" s="409" t="s">
        <v>562</v>
      </c>
      <c r="C20" s="144" t="s">
        <v>551</v>
      </c>
      <c r="D20" s="46" t="s">
        <v>552</v>
      </c>
      <c r="E20" s="241">
        <v>750</v>
      </c>
      <c r="G20" s="241">
        <v>550</v>
      </c>
      <c r="H20" s="241"/>
      <c r="I20" s="242">
        <v>3.8E-3</v>
      </c>
      <c r="J20" s="242"/>
      <c r="K20" s="242">
        <f>I20*10</f>
        <v>3.7999999999999999E-2</v>
      </c>
      <c r="L20" s="242"/>
      <c r="M20" s="242">
        <v>3.7969999999999997E-2</v>
      </c>
      <c r="N20" s="242">
        <f>M20*10</f>
        <v>0.37969999999999998</v>
      </c>
      <c r="O20" s="242">
        <f>P20/10</f>
        <v>0.48899999999999999</v>
      </c>
      <c r="P20" s="242">
        <v>4.8899999999999997</v>
      </c>
    </row>
    <row r="21" spans="1:16" x14ac:dyDescent="0.25">
      <c r="A21" s="240" t="s">
        <v>65</v>
      </c>
      <c r="B21" s="409" t="s">
        <v>43</v>
      </c>
      <c r="C21" s="46" t="s">
        <v>428</v>
      </c>
      <c r="D21" s="46" t="s">
        <v>566</v>
      </c>
      <c r="E21" s="241">
        <v>165</v>
      </c>
      <c r="F21" s="241">
        <v>750</v>
      </c>
      <c r="I21" s="242">
        <v>2.9919999999999999E-2</v>
      </c>
      <c r="J21" s="242"/>
      <c r="K21" s="242">
        <f>I21*10</f>
        <v>0.29919999999999997</v>
      </c>
      <c r="L21" s="242"/>
      <c r="M21" s="242"/>
      <c r="N21" s="242"/>
      <c r="O21" s="242">
        <v>1.08978</v>
      </c>
      <c r="P21" s="242">
        <f>O21*10</f>
        <v>10.8978</v>
      </c>
    </row>
    <row r="22" spans="1:16" x14ac:dyDescent="0.25">
      <c r="A22" s="240" t="s">
        <v>66</v>
      </c>
      <c r="B22" s="409" t="s">
        <v>30</v>
      </c>
      <c r="C22" s="47" t="s">
        <v>546</v>
      </c>
      <c r="D22" s="46" t="s">
        <v>314</v>
      </c>
      <c r="E22" s="241">
        <f>E9</f>
        <v>1.97</v>
      </c>
      <c r="F22" s="241">
        <f>F9</f>
        <v>9.3699999999999992</v>
      </c>
      <c r="G22" s="241">
        <v>550</v>
      </c>
      <c r="H22" s="241"/>
      <c r="I22" s="242">
        <v>0.30669999999999997</v>
      </c>
      <c r="J22" s="242">
        <f>I22-0.05</f>
        <v>0.25669999999999998</v>
      </c>
      <c r="K22" s="242">
        <f>I22*10</f>
        <v>3.0669999999999997</v>
      </c>
      <c r="L22" s="242">
        <f>J22*10</f>
        <v>2.5669999999999997</v>
      </c>
      <c r="M22" s="242"/>
      <c r="N22" s="242"/>
      <c r="O22" s="242"/>
      <c r="P22" s="242"/>
    </row>
    <row r="23" spans="1:16" x14ac:dyDescent="0.25">
      <c r="A23" s="240" t="s">
        <v>66</v>
      </c>
      <c r="B23" s="409" t="s">
        <v>45</v>
      </c>
      <c r="C23" s="47" t="s">
        <v>547</v>
      </c>
      <c r="D23" s="46" t="s">
        <v>46</v>
      </c>
      <c r="H23" s="241">
        <v>75</v>
      </c>
      <c r="I23" s="242"/>
      <c r="J23" s="242"/>
      <c r="K23" s="242"/>
      <c r="L23" s="242"/>
      <c r="M23" s="242"/>
      <c r="N23" s="242"/>
      <c r="O23" s="242"/>
      <c r="P23" s="242"/>
    </row>
    <row r="24" spans="1:16" x14ac:dyDescent="0.25">
      <c r="A24" s="240" t="s">
        <v>71</v>
      </c>
      <c r="B24" s="409" t="s">
        <v>31</v>
      </c>
      <c r="C24" s="47" t="s">
        <v>549</v>
      </c>
      <c r="D24" s="46" t="s">
        <v>582</v>
      </c>
      <c r="E24" s="241">
        <f>E11</f>
        <v>5.42</v>
      </c>
      <c r="F24" s="241">
        <f>F11</f>
        <v>24.64</v>
      </c>
      <c r="G24" s="241">
        <v>550</v>
      </c>
      <c r="H24" s="241"/>
      <c r="I24" s="242">
        <v>0.21929000000000001</v>
      </c>
      <c r="J24" s="242">
        <f>I24-0.05</f>
        <v>0.16929</v>
      </c>
      <c r="K24" s="242">
        <f>I24*10</f>
        <v>2.1929000000000003</v>
      </c>
      <c r="L24" s="242">
        <f>J24*10</f>
        <v>1.6928999999999998</v>
      </c>
      <c r="M24" s="242"/>
      <c r="N24" s="242"/>
      <c r="O24" s="242"/>
      <c r="P24" s="242"/>
    </row>
    <row r="25" spans="1:16" x14ac:dyDescent="0.25">
      <c r="A25" s="240" t="s">
        <v>71</v>
      </c>
      <c r="B25" s="409" t="s">
        <v>491</v>
      </c>
      <c r="C25" s="47" t="s">
        <v>549</v>
      </c>
      <c r="D25" s="46" t="s">
        <v>583</v>
      </c>
      <c r="E25" s="241">
        <f>E12</f>
        <v>5.42</v>
      </c>
      <c r="F25" s="241">
        <f>F12</f>
        <v>24.64</v>
      </c>
      <c r="G25" s="241">
        <v>550</v>
      </c>
      <c r="H25" s="241"/>
      <c r="I25" s="242">
        <v>0.21929000000000001</v>
      </c>
      <c r="J25" s="242">
        <f>I25-0.05</f>
        <v>0.16929</v>
      </c>
      <c r="K25" s="242">
        <f>I25*10</f>
        <v>2.1929000000000003</v>
      </c>
      <c r="L25" s="242">
        <f>J25*10</f>
        <v>1.6928999999999998</v>
      </c>
      <c r="M25" s="242"/>
      <c r="N25" s="242"/>
      <c r="O25" s="242"/>
      <c r="P25" s="242"/>
    </row>
    <row r="26" spans="1:16" x14ac:dyDescent="0.25">
      <c r="A26" s="240" t="s">
        <v>71</v>
      </c>
      <c r="B26" s="409" t="s">
        <v>52</v>
      </c>
      <c r="C26" s="144" t="s">
        <v>550</v>
      </c>
      <c r="D26" s="46" t="s">
        <v>315</v>
      </c>
      <c r="E26" s="241"/>
      <c r="H26" s="241">
        <v>75</v>
      </c>
      <c r="I26" s="242"/>
      <c r="J26" s="242"/>
      <c r="K26" s="242"/>
      <c r="L26" s="242"/>
      <c r="M26" s="242"/>
      <c r="N26" s="242"/>
      <c r="O26" s="242"/>
      <c r="P26" s="242"/>
    </row>
    <row r="27" spans="1:16" x14ac:dyDescent="0.25">
      <c r="A27" s="46" t="s">
        <v>575</v>
      </c>
      <c r="B27" s="409" t="s">
        <v>567</v>
      </c>
      <c r="C27" s="46" t="s">
        <v>576</v>
      </c>
      <c r="D27" s="46" t="s">
        <v>569</v>
      </c>
      <c r="E27" s="241">
        <f>E21</f>
        <v>165</v>
      </c>
      <c r="F27" s="241">
        <v>750</v>
      </c>
      <c r="G27" s="241">
        <v>550</v>
      </c>
      <c r="H27" s="241"/>
      <c r="I27" s="242">
        <v>2.9919999999999999E-2</v>
      </c>
      <c r="J27" s="242"/>
      <c r="K27" s="242">
        <f>I27*10</f>
        <v>0.29919999999999997</v>
      </c>
      <c r="L27" s="242"/>
      <c r="M27" s="242"/>
      <c r="N27" s="242"/>
      <c r="O27" s="242">
        <v>1.08978</v>
      </c>
      <c r="P27" s="242">
        <f>O27*10</f>
        <v>10.8978</v>
      </c>
    </row>
    <row r="28" spans="1:16" x14ac:dyDescent="0.25">
      <c r="A28" t="s">
        <v>575</v>
      </c>
      <c r="B28" s="409" t="s">
        <v>568</v>
      </c>
      <c r="C28" t="s">
        <v>577</v>
      </c>
      <c r="D28" s="46" t="s">
        <v>569</v>
      </c>
      <c r="F28"/>
      <c r="H28" s="241">
        <v>75</v>
      </c>
      <c r="I28" s="410"/>
      <c r="J28" s="410"/>
      <c r="K28" s="410"/>
      <c r="L28" s="410"/>
      <c r="M28" s="410"/>
      <c r="N28" s="410"/>
      <c r="O28" s="410"/>
      <c r="P28" s="410"/>
    </row>
    <row r="29" spans="1:16" x14ac:dyDescent="0.25">
      <c r="A29" s="240" t="s">
        <v>67</v>
      </c>
      <c r="B29" s="409" t="s">
        <v>47</v>
      </c>
      <c r="C29" s="46" t="s">
        <v>445</v>
      </c>
      <c r="D29" s="46" t="s">
        <v>309</v>
      </c>
      <c r="E29" s="241">
        <v>500</v>
      </c>
      <c r="F29" s="241"/>
      <c r="G29" s="241">
        <v>550</v>
      </c>
      <c r="H29" s="241"/>
      <c r="I29" s="242">
        <v>0.10644000000000001</v>
      </c>
      <c r="J29" s="242"/>
      <c r="K29" s="242">
        <f>I29*10</f>
        <v>1.0644</v>
      </c>
      <c r="L29" s="242"/>
      <c r="M29" s="242"/>
      <c r="N29" s="242"/>
      <c r="O29" s="242"/>
      <c r="P29" s="242"/>
    </row>
    <row r="30" spans="1:16" x14ac:dyDescent="0.25">
      <c r="A30" s="240" t="s">
        <v>67</v>
      </c>
      <c r="B30" s="409" t="s">
        <v>48</v>
      </c>
      <c r="C30" s="47" t="s">
        <v>449</v>
      </c>
      <c r="D30" s="46" t="s">
        <v>310</v>
      </c>
      <c r="E30" s="241"/>
      <c r="H30" s="241">
        <v>75</v>
      </c>
      <c r="I30" s="242"/>
      <c r="J30" s="242"/>
      <c r="K30" s="242"/>
      <c r="L30" s="242"/>
      <c r="M30" s="242"/>
      <c r="N30" s="242"/>
      <c r="O30" s="242"/>
      <c r="P30" s="242"/>
    </row>
    <row r="31" spans="1:16" x14ac:dyDescent="0.25">
      <c r="A31" s="240" t="s">
        <v>72</v>
      </c>
      <c r="B31" s="409" t="s">
        <v>53</v>
      </c>
      <c r="C31" s="47" t="s">
        <v>445</v>
      </c>
      <c r="D31" s="46" t="s">
        <v>584</v>
      </c>
      <c r="E31" s="241">
        <v>500</v>
      </c>
      <c r="G31" s="241">
        <v>550</v>
      </c>
      <c r="H31" s="241"/>
      <c r="I31" s="242">
        <f>K31/10</f>
        <v>0.10644000000000001</v>
      </c>
      <c r="J31" s="242"/>
      <c r="K31" s="242">
        <v>1.0644</v>
      </c>
      <c r="L31" s="242"/>
      <c r="M31" s="242"/>
      <c r="N31" s="242"/>
      <c r="O31" s="242"/>
      <c r="P31" s="242"/>
    </row>
    <row r="32" spans="1:16" x14ac:dyDescent="0.25">
      <c r="A32" s="240" t="s">
        <v>72</v>
      </c>
      <c r="B32" s="409" t="s">
        <v>493</v>
      </c>
      <c r="C32" s="47" t="s">
        <v>445</v>
      </c>
      <c r="D32" s="46" t="s">
        <v>585</v>
      </c>
      <c r="E32" s="241">
        <v>500</v>
      </c>
      <c r="G32" s="241">
        <v>550</v>
      </c>
      <c r="H32" s="241"/>
      <c r="I32" s="242">
        <f>K32/10</f>
        <v>0.10644000000000001</v>
      </c>
      <c r="J32" s="242"/>
      <c r="K32" s="242">
        <v>1.0644</v>
      </c>
      <c r="L32" s="242"/>
      <c r="M32" s="242"/>
      <c r="N32" s="242"/>
      <c r="O32" s="242"/>
      <c r="P32" s="242"/>
    </row>
    <row r="33" spans="1:27" x14ac:dyDescent="0.25">
      <c r="A33" s="240" t="s">
        <v>72</v>
      </c>
      <c r="B33" s="409" t="s">
        <v>54</v>
      </c>
      <c r="C33" s="47" t="s">
        <v>449</v>
      </c>
      <c r="D33" s="46" t="s">
        <v>311</v>
      </c>
      <c r="E33" s="241"/>
      <c r="H33" s="241">
        <v>75</v>
      </c>
      <c r="I33" s="242"/>
      <c r="J33" s="242"/>
      <c r="K33" s="242"/>
      <c r="L33" s="242"/>
      <c r="M33" s="242"/>
      <c r="N33" s="242"/>
      <c r="O33" s="242"/>
      <c r="P33" s="242"/>
    </row>
    <row r="34" spans="1:27" ht="15" customHeight="1" x14ac:dyDescent="0.25">
      <c r="A34" s="240" t="s">
        <v>68</v>
      </c>
      <c r="B34" s="409" t="s">
        <v>34</v>
      </c>
      <c r="C34" s="47" t="s">
        <v>57</v>
      </c>
      <c r="D34" s="46" t="s">
        <v>35</v>
      </c>
      <c r="F34" s="241">
        <v>750</v>
      </c>
      <c r="G34" s="241">
        <v>550</v>
      </c>
      <c r="H34" s="241"/>
      <c r="I34" s="242">
        <v>3.8E-3</v>
      </c>
      <c r="J34" s="242"/>
      <c r="K34" s="242">
        <v>3.7999999999999999E-2</v>
      </c>
      <c r="L34" s="242"/>
      <c r="M34" s="242">
        <v>3.7969999999999997E-2</v>
      </c>
      <c r="N34" s="242">
        <f>M34*10</f>
        <v>0.37969999999999998</v>
      </c>
      <c r="O34" s="242">
        <f>P34/10</f>
        <v>0.48899999999999999</v>
      </c>
      <c r="P34" s="242">
        <v>4.8899999999999997</v>
      </c>
    </row>
    <row r="35" spans="1:27" x14ac:dyDescent="0.25">
      <c r="A35" s="240" t="s">
        <v>68</v>
      </c>
      <c r="B35" s="409" t="s">
        <v>49</v>
      </c>
      <c r="C35" s="47" t="s">
        <v>58</v>
      </c>
      <c r="D35" s="46" t="s">
        <v>50</v>
      </c>
      <c r="H35" s="241">
        <v>75</v>
      </c>
      <c r="I35" s="242"/>
      <c r="J35" s="242"/>
      <c r="K35" s="242"/>
      <c r="L35" s="242"/>
      <c r="M35" s="242"/>
      <c r="N35" s="242"/>
      <c r="O35" s="242"/>
      <c r="P35" s="242"/>
    </row>
    <row r="36" spans="1:27" x14ac:dyDescent="0.25">
      <c r="A36" s="240" t="s">
        <v>73</v>
      </c>
      <c r="B36" s="409" t="s">
        <v>36</v>
      </c>
      <c r="C36" s="47" t="s">
        <v>60</v>
      </c>
      <c r="D36" s="46" t="s">
        <v>586</v>
      </c>
      <c r="F36" s="241">
        <v>750</v>
      </c>
      <c r="G36" s="241">
        <v>550</v>
      </c>
      <c r="H36" s="241"/>
      <c r="I36" s="242">
        <v>3.8E-3</v>
      </c>
      <c r="J36" s="242"/>
      <c r="K36" s="242">
        <v>3.7999999999999999E-2</v>
      </c>
      <c r="L36" s="242"/>
      <c r="M36" s="242">
        <v>3.7969999999999997E-2</v>
      </c>
      <c r="N36" s="242">
        <f>M36*10</f>
        <v>0.37969999999999998</v>
      </c>
      <c r="O36" s="242">
        <f t="shared" ref="O36:O37" si="3">P36/10</f>
        <v>0.48899999999999999</v>
      </c>
      <c r="P36" s="242">
        <v>4.8899999999999997</v>
      </c>
    </row>
    <row r="37" spans="1:27" x14ac:dyDescent="0.25">
      <c r="A37" s="240" t="s">
        <v>73</v>
      </c>
      <c r="B37" s="409" t="s">
        <v>447</v>
      </c>
      <c r="C37" s="47" t="s">
        <v>448</v>
      </c>
      <c r="D37" s="46" t="s">
        <v>587</v>
      </c>
      <c r="F37" s="241">
        <v>750</v>
      </c>
      <c r="G37" s="241">
        <v>550</v>
      </c>
      <c r="H37" s="241"/>
      <c r="I37" s="242">
        <v>3.8E-3</v>
      </c>
      <c r="J37" s="242"/>
      <c r="K37" s="242">
        <v>3.7999999999999999E-2</v>
      </c>
      <c r="L37" s="242"/>
      <c r="M37" s="242">
        <v>3.7969999999999997E-2</v>
      </c>
      <c r="N37" s="242">
        <f>M37*10</f>
        <v>0.37969999999999998</v>
      </c>
      <c r="O37" s="242">
        <f t="shared" si="3"/>
        <v>0.48899999999999999</v>
      </c>
      <c r="P37" s="242">
        <v>4.8899999999999997</v>
      </c>
    </row>
    <row r="38" spans="1:27" x14ac:dyDescent="0.25">
      <c r="A38" s="240" t="s">
        <v>73</v>
      </c>
      <c r="B38" s="409" t="s">
        <v>38</v>
      </c>
      <c r="C38" s="144" t="s">
        <v>548</v>
      </c>
      <c r="D38" s="46" t="s">
        <v>39</v>
      </c>
      <c r="E38" s="241"/>
      <c r="F38" s="241"/>
      <c r="H38" s="241">
        <v>75</v>
      </c>
      <c r="I38" s="242"/>
      <c r="J38" s="242"/>
      <c r="K38" s="242"/>
      <c r="L38" s="242"/>
      <c r="M38" s="242"/>
      <c r="N38" s="242"/>
      <c r="O38" s="242"/>
      <c r="P38" s="242"/>
    </row>
    <row r="39" spans="1:27" x14ac:dyDescent="0.25">
      <c r="A39" s="240" t="s">
        <v>571</v>
      </c>
      <c r="B39" s="409" t="s">
        <v>32</v>
      </c>
      <c r="C39" s="144" t="s">
        <v>495</v>
      </c>
      <c r="D39" s="46" t="s">
        <v>33</v>
      </c>
      <c r="E39" s="241">
        <v>750</v>
      </c>
      <c r="G39" s="241"/>
      <c r="H39" s="241"/>
      <c r="I39" s="242">
        <f>K39/10</f>
        <v>2.9920000000000002E-2</v>
      </c>
      <c r="J39" s="242"/>
      <c r="K39" s="242">
        <v>0.29920000000000002</v>
      </c>
      <c r="L39" s="242"/>
      <c r="M39" s="242"/>
      <c r="N39" s="242"/>
      <c r="O39" s="242">
        <f>P39/10</f>
        <v>1.08978</v>
      </c>
      <c r="P39" s="242">
        <v>10.8978</v>
      </c>
    </row>
    <row r="40" spans="1:27" x14ac:dyDescent="0.25">
      <c r="A40" s="240" t="s">
        <v>572</v>
      </c>
      <c r="B40" s="813" t="s">
        <v>40</v>
      </c>
      <c r="C40" s="832" t="s">
        <v>496</v>
      </c>
      <c r="D40" s="813" t="s">
        <v>41</v>
      </c>
      <c r="E40" s="824">
        <v>800</v>
      </c>
      <c r="F40" s="824"/>
      <c r="G40" s="824"/>
      <c r="H40" s="824"/>
      <c r="I40" s="833">
        <v>4.9699999999999996E-3</v>
      </c>
      <c r="J40" s="833"/>
      <c r="K40" s="833">
        <v>4.9699999999999994E-2</v>
      </c>
      <c r="L40" s="833"/>
      <c r="M40" s="833">
        <v>3.7969999999999997E-2</v>
      </c>
      <c r="N40" s="833">
        <f>M40*10</f>
        <v>0.37969999999999998</v>
      </c>
      <c r="O40" s="833">
        <v>0.24801000000000001</v>
      </c>
      <c r="P40" s="833">
        <v>2.4801000000000002</v>
      </c>
      <c r="R40"/>
      <c r="S40"/>
      <c r="T40"/>
      <c r="U40"/>
      <c r="V40"/>
      <c r="W40"/>
      <c r="X40"/>
      <c r="Y40"/>
      <c r="Z40"/>
      <c r="AA40"/>
    </row>
    <row r="41" spans="1:27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R41"/>
      <c r="S41"/>
      <c r="T41"/>
      <c r="U41"/>
      <c r="V41"/>
      <c r="W41"/>
      <c r="X41"/>
      <c r="Y41"/>
      <c r="Z41"/>
      <c r="AA41"/>
    </row>
    <row r="42" spans="1:27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R42"/>
      <c r="S42"/>
      <c r="T42"/>
      <c r="U42"/>
      <c r="V42"/>
      <c r="W42"/>
      <c r="X42"/>
      <c r="Y42"/>
      <c r="Z42"/>
      <c r="AA42"/>
    </row>
    <row r="43" spans="1:27" ht="37.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R43"/>
      <c r="S43"/>
      <c r="T43"/>
      <c r="U43"/>
      <c r="V43"/>
      <c r="W43"/>
      <c r="X43"/>
      <c r="Y43"/>
      <c r="Z43"/>
      <c r="AA43"/>
    </row>
    <row r="44" spans="1:27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R44"/>
      <c r="S44"/>
      <c r="T44"/>
      <c r="U44"/>
      <c r="V44"/>
      <c r="W44"/>
      <c r="X44"/>
      <c r="Y44"/>
      <c r="Z44"/>
      <c r="AA44"/>
    </row>
    <row r="45" spans="1:27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R45"/>
      <c r="S45"/>
      <c r="T45"/>
      <c r="U45"/>
      <c r="V45"/>
      <c r="W45"/>
      <c r="X45"/>
      <c r="Y45"/>
      <c r="Z45"/>
      <c r="AA45"/>
    </row>
    <row r="46" spans="1:27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R46"/>
      <c r="S46"/>
      <c r="T46"/>
      <c r="U46"/>
      <c r="V46"/>
      <c r="W46"/>
      <c r="X46"/>
      <c r="Y46"/>
      <c r="Z46"/>
      <c r="AA46"/>
    </row>
    <row r="47" spans="1:27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R47"/>
      <c r="S47"/>
      <c r="T47"/>
      <c r="U47"/>
      <c r="V47"/>
      <c r="W47"/>
      <c r="X47"/>
      <c r="Y47"/>
      <c r="Z47"/>
      <c r="AA47"/>
    </row>
    <row r="48" spans="1:27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R48"/>
      <c r="S48"/>
      <c r="T48"/>
      <c r="U48"/>
      <c r="V48"/>
      <c r="W48"/>
      <c r="X48"/>
      <c r="Y48"/>
      <c r="Z48"/>
      <c r="AA48"/>
    </row>
    <row r="49" spans="1:27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R49"/>
      <c r="S49"/>
      <c r="T49"/>
      <c r="U49"/>
      <c r="V49"/>
      <c r="W49"/>
      <c r="X49"/>
      <c r="Y49"/>
      <c r="Z49"/>
      <c r="AA49"/>
    </row>
    <row r="50" spans="1:27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R50"/>
      <c r="S50"/>
      <c r="T50"/>
      <c r="U50"/>
      <c r="V50"/>
      <c r="W50"/>
      <c r="X50"/>
      <c r="Y50"/>
      <c r="Z50"/>
      <c r="AA50"/>
    </row>
    <row r="51" spans="1:27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R51"/>
      <c r="S51"/>
      <c r="T51"/>
      <c r="U51"/>
      <c r="V51"/>
      <c r="W51"/>
      <c r="X51"/>
      <c r="Y51"/>
      <c r="Z51"/>
      <c r="AA51"/>
    </row>
    <row r="52" spans="1:27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R52"/>
      <c r="S52"/>
      <c r="T52"/>
      <c r="U52"/>
      <c r="V52"/>
      <c r="W52"/>
      <c r="X52"/>
      <c r="Y52"/>
      <c r="Z52"/>
      <c r="AA52"/>
    </row>
    <row r="53" spans="1:27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R53"/>
      <c r="T53" s="48"/>
      <c r="U53" s="48"/>
      <c r="V53" s="48"/>
      <c r="W53" s="49"/>
    </row>
    <row r="54" spans="1:27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R54"/>
      <c r="T54" s="48"/>
      <c r="U54" s="48"/>
      <c r="V54" s="48"/>
      <c r="W54" s="49"/>
    </row>
    <row r="55" spans="1:27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R55"/>
      <c r="T55" s="48"/>
      <c r="U55" s="48"/>
      <c r="V55" s="48"/>
      <c r="W55" s="49"/>
    </row>
    <row r="56" spans="1:27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T56" s="48"/>
      <c r="U56" s="48"/>
      <c r="V56" s="48"/>
      <c r="W56" s="49"/>
    </row>
    <row r="57" spans="1:27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R57"/>
      <c r="T57" s="48"/>
      <c r="U57" s="48"/>
      <c r="V57" s="48"/>
      <c r="W57" s="49"/>
    </row>
    <row r="58" spans="1:27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T58" s="48"/>
      <c r="U58" s="48"/>
      <c r="V58" s="48"/>
      <c r="W58" s="49"/>
    </row>
    <row r="59" spans="1:27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R59"/>
      <c r="T59" s="48"/>
      <c r="U59" s="48"/>
      <c r="V59" s="48"/>
      <c r="W59" s="49"/>
    </row>
    <row r="60" spans="1:27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T60" s="48"/>
      <c r="U60" s="48"/>
      <c r="V60" s="48"/>
      <c r="W60" s="49"/>
    </row>
    <row r="61" spans="1:27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R61"/>
      <c r="T61" s="48"/>
      <c r="U61" s="48"/>
      <c r="V61" s="48"/>
      <c r="W61" s="49"/>
    </row>
    <row r="62" spans="1:27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T62" s="48"/>
      <c r="U62" s="48"/>
      <c r="V62" s="48"/>
      <c r="W62" s="49"/>
    </row>
    <row r="63" spans="1:27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R63"/>
      <c r="T63" s="48"/>
      <c r="U63" s="48"/>
      <c r="V63" s="48"/>
      <c r="W63" s="49"/>
    </row>
    <row r="64" spans="1:27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T64" s="48"/>
      <c r="U64" s="48"/>
      <c r="V64" s="48"/>
      <c r="W64" s="49"/>
    </row>
    <row r="65" spans="1:23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R65"/>
      <c r="T65" s="48"/>
      <c r="U65" s="48"/>
      <c r="V65" s="48"/>
      <c r="W65" s="49"/>
    </row>
    <row r="66" spans="1:23" x14ac:dyDescent="0.25">
      <c r="A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R66"/>
      <c r="T66" s="48"/>
      <c r="U66" s="48"/>
      <c r="V66" s="48"/>
      <c r="W66" s="49"/>
    </row>
    <row r="67" spans="1:23" x14ac:dyDescent="0.25">
      <c r="A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R67"/>
      <c r="T67" s="48"/>
      <c r="U67" s="48"/>
      <c r="V67" s="48"/>
      <c r="W67" s="49"/>
    </row>
    <row r="68" spans="1:23" x14ac:dyDescent="0.25">
      <c r="A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R68"/>
      <c r="T68" s="48"/>
      <c r="U68" s="48"/>
      <c r="V68" s="48"/>
      <c r="W68" s="49"/>
    </row>
    <row r="69" spans="1:23" x14ac:dyDescent="0.25">
      <c r="A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R69"/>
      <c r="T69" s="48"/>
      <c r="U69" s="48"/>
      <c r="V69" s="48"/>
      <c r="W69" s="49"/>
    </row>
    <row r="70" spans="1:23" x14ac:dyDescent="0.25">
      <c r="A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T70" s="377"/>
      <c r="U70" s="377"/>
      <c r="V70" s="377"/>
    </row>
    <row r="71" spans="1:23" x14ac:dyDescent="0.25">
      <c r="A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R71"/>
      <c r="T71" s="377"/>
      <c r="U71" s="377"/>
      <c r="V71" s="377"/>
    </row>
    <row r="72" spans="1:23" x14ac:dyDescent="0.25">
      <c r="A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R72"/>
      <c r="T72" s="377"/>
      <c r="U72" s="377"/>
    </row>
    <row r="73" spans="1:23" x14ac:dyDescent="0.25">
      <c r="A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R73"/>
      <c r="T73" s="377"/>
      <c r="U73" s="377"/>
    </row>
    <row r="74" spans="1:23" x14ac:dyDescent="0.25">
      <c r="A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R74"/>
    </row>
    <row r="75" spans="1:23" x14ac:dyDescent="0.25">
      <c r="A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R75"/>
    </row>
    <row r="76" spans="1:23" x14ac:dyDescent="0.25">
      <c r="A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R76"/>
    </row>
  </sheetData>
  <sortState xmlns:xlrd2="http://schemas.microsoft.com/office/spreadsheetml/2017/richdata2" ref="A7:O40">
    <sortCondition ref="A7"/>
  </sortState>
  <mergeCells count="1">
    <mergeCell ref="E3:P3"/>
  </mergeCells>
  <pageMargins left="0.45" right="0.45" top="0.5" bottom="0.5" header="0.3" footer="0.3"/>
  <pageSetup scale="5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>
    <tabColor theme="9" tint="0.39997558519241921"/>
    <pageSetUpPr fitToPage="1"/>
  </sheetPr>
  <dimension ref="A1:U268"/>
  <sheetViews>
    <sheetView workbookViewId="0">
      <selection activeCell="D25" sqref="D25"/>
    </sheetView>
  </sheetViews>
  <sheetFormatPr defaultRowHeight="12.75" x14ac:dyDescent="0.2"/>
  <cols>
    <col min="1" max="1" width="12" style="146" customWidth="1"/>
    <col min="2" max="2" width="13" style="8" customWidth="1"/>
    <col min="3" max="3" width="11.140625" style="8" customWidth="1"/>
    <col min="4" max="4" width="11.42578125" style="8" customWidth="1"/>
    <col min="5" max="5" width="9.140625" style="8"/>
    <col min="6" max="6" width="9.140625" style="57"/>
    <col min="7" max="7" width="10.42578125" style="8" bestFit="1" customWidth="1"/>
    <col min="8" max="8" width="12" style="57" customWidth="1"/>
    <col min="9" max="10" width="10.7109375" style="8" customWidth="1"/>
    <col min="11" max="12" width="9.85546875" style="8" customWidth="1"/>
    <col min="13" max="14" width="9.5703125" style="8" customWidth="1"/>
    <col min="15" max="15" width="9.42578125" style="8" bestFit="1" customWidth="1"/>
    <col min="16" max="16384" width="9.140625" style="8"/>
  </cols>
  <sheetData>
    <row r="1" spans="1:16" x14ac:dyDescent="0.2">
      <c r="A1" s="57"/>
      <c r="B1" s="226" t="s">
        <v>108</v>
      </c>
      <c r="C1" s="226"/>
      <c r="D1" s="226"/>
      <c r="E1" s="57"/>
      <c r="G1" s="57"/>
      <c r="I1" s="57"/>
      <c r="J1" s="57"/>
      <c r="K1" s="57"/>
      <c r="L1" s="57"/>
      <c r="M1" s="57"/>
      <c r="N1" s="57"/>
      <c r="O1" s="57"/>
    </row>
    <row r="2" spans="1:16" x14ac:dyDescent="0.2">
      <c r="A2" s="7">
        <v>1</v>
      </c>
      <c r="B2" s="228">
        <f>A2+1</f>
        <v>2</v>
      </c>
      <c r="C2" s="228">
        <f t="shared" ref="C2:P2" si="0">B2+1</f>
        <v>3</v>
      </c>
      <c r="D2" s="228">
        <f t="shared" si="0"/>
        <v>4</v>
      </c>
      <c r="E2" s="228">
        <f t="shared" si="0"/>
        <v>5</v>
      </c>
      <c r="F2" s="228">
        <f t="shared" si="0"/>
        <v>6</v>
      </c>
      <c r="G2" s="228">
        <f t="shared" si="0"/>
        <v>7</v>
      </c>
      <c r="H2" s="228">
        <f t="shared" si="0"/>
        <v>8</v>
      </c>
      <c r="I2" s="228">
        <f t="shared" si="0"/>
        <v>9</v>
      </c>
      <c r="J2" s="228">
        <f t="shared" si="0"/>
        <v>10</v>
      </c>
      <c r="K2" s="228">
        <f t="shared" si="0"/>
        <v>11</v>
      </c>
      <c r="L2" s="228">
        <f t="shared" si="0"/>
        <v>12</v>
      </c>
      <c r="M2" s="228">
        <f t="shared" si="0"/>
        <v>13</v>
      </c>
      <c r="N2" s="228">
        <f t="shared" si="0"/>
        <v>14</v>
      </c>
      <c r="O2" s="228">
        <f t="shared" si="0"/>
        <v>15</v>
      </c>
      <c r="P2" s="228">
        <f t="shared" si="0"/>
        <v>16</v>
      </c>
    </row>
    <row r="3" spans="1:16" x14ac:dyDescent="0.2">
      <c r="A3" s="57"/>
      <c r="B3" s="57"/>
      <c r="C3" s="229" t="s">
        <v>109</v>
      </c>
      <c r="D3" s="227" t="s">
        <v>110</v>
      </c>
      <c r="E3" s="57"/>
      <c r="G3" s="57"/>
      <c r="I3" s="57"/>
      <c r="J3" s="57"/>
      <c r="K3" s="57"/>
      <c r="L3" s="57"/>
      <c r="M3" s="57"/>
      <c r="N3" s="57"/>
      <c r="O3" s="57"/>
    </row>
    <row r="4" spans="1:16" x14ac:dyDescent="0.2">
      <c r="A4" s="57"/>
      <c r="B4" s="57"/>
      <c r="C4" s="230" t="s">
        <v>129</v>
      </c>
      <c r="D4" s="227" t="s">
        <v>111</v>
      </c>
      <c r="E4" s="57"/>
      <c r="G4" s="57"/>
      <c r="I4" s="7" t="s">
        <v>10</v>
      </c>
      <c r="J4" s="7" t="s">
        <v>82</v>
      </c>
      <c r="K4" s="7" t="s">
        <v>10</v>
      </c>
      <c r="L4" s="7" t="s">
        <v>82</v>
      </c>
      <c r="M4" s="7" t="s">
        <v>10</v>
      </c>
      <c r="N4" s="7" t="s">
        <v>82</v>
      </c>
      <c r="O4" s="7" t="s">
        <v>10</v>
      </c>
      <c r="P4" s="7" t="s">
        <v>82</v>
      </c>
    </row>
    <row r="5" spans="1:16" x14ac:dyDescent="0.2">
      <c r="A5" s="57"/>
      <c r="B5" s="7" t="s">
        <v>112</v>
      </c>
      <c r="C5" s="231" t="s">
        <v>113</v>
      </c>
      <c r="D5" s="231" t="s">
        <v>114</v>
      </c>
      <c r="E5" s="231"/>
      <c r="G5" s="231" t="s">
        <v>277</v>
      </c>
      <c r="I5" s="7" t="s">
        <v>321</v>
      </c>
      <c r="J5" s="7" t="s">
        <v>321</v>
      </c>
      <c r="K5" s="7" t="s">
        <v>321</v>
      </c>
      <c r="L5" s="7" t="s">
        <v>321</v>
      </c>
      <c r="M5" s="7" t="s">
        <v>321</v>
      </c>
      <c r="N5" s="7" t="s">
        <v>321</v>
      </c>
      <c r="O5" s="7" t="s">
        <v>321</v>
      </c>
      <c r="P5" s="7" t="s">
        <v>321</v>
      </c>
    </row>
    <row r="6" spans="1:16" x14ac:dyDescent="0.2">
      <c r="A6" s="57"/>
      <c r="B6" s="7" t="s">
        <v>115</v>
      </c>
      <c r="C6" s="7" t="s">
        <v>116</v>
      </c>
      <c r="D6" s="7" t="s">
        <v>117</v>
      </c>
      <c r="E6" s="231" t="s">
        <v>260</v>
      </c>
      <c r="F6" s="231" t="s">
        <v>109</v>
      </c>
      <c r="G6" s="231" t="s">
        <v>278</v>
      </c>
      <c r="H6" s="7" t="s">
        <v>112</v>
      </c>
      <c r="I6" s="7" t="s">
        <v>322</v>
      </c>
      <c r="J6" s="7" t="s">
        <v>322</v>
      </c>
      <c r="K6" s="7" t="s">
        <v>322</v>
      </c>
      <c r="L6" s="7" t="s">
        <v>322</v>
      </c>
      <c r="M6" s="7" t="s">
        <v>322</v>
      </c>
      <c r="N6" s="7" t="s">
        <v>322</v>
      </c>
      <c r="O6" s="7" t="s">
        <v>322</v>
      </c>
      <c r="P6" s="7" t="s">
        <v>322</v>
      </c>
    </row>
    <row r="7" spans="1:16" x14ac:dyDescent="0.2">
      <c r="A7" s="57"/>
      <c r="B7" s="232" t="s">
        <v>128</v>
      </c>
      <c r="C7" s="233" t="s">
        <v>62</v>
      </c>
      <c r="D7" s="7" t="s">
        <v>118</v>
      </c>
      <c r="E7" s="7" t="s">
        <v>173</v>
      </c>
      <c r="F7" s="7" t="s">
        <v>173</v>
      </c>
      <c r="G7" s="7" t="s">
        <v>279</v>
      </c>
      <c r="H7" s="7" t="s">
        <v>115</v>
      </c>
      <c r="I7" s="7" t="s">
        <v>323</v>
      </c>
      <c r="J7" s="7" t="s">
        <v>323</v>
      </c>
      <c r="K7" s="7" t="s">
        <v>323</v>
      </c>
      <c r="L7" s="7" t="s">
        <v>323</v>
      </c>
      <c r="M7" s="7" t="s">
        <v>323</v>
      </c>
      <c r="N7" s="7" t="s">
        <v>323</v>
      </c>
      <c r="O7" s="7" t="s">
        <v>323</v>
      </c>
      <c r="P7" s="7" t="s">
        <v>323</v>
      </c>
    </row>
    <row r="8" spans="1:16" ht="38.25" x14ac:dyDescent="0.2">
      <c r="A8" s="57"/>
      <c r="B8" s="231" t="s">
        <v>119</v>
      </c>
      <c r="C8" s="231" t="s">
        <v>120</v>
      </c>
      <c r="D8" s="231" t="s">
        <v>121</v>
      </c>
      <c r="E8" s="234" t="s">
        <v>153</v>
      </c>
      <c r="F8" s="234" t="s">
        <v>153</v>
      </c>
      <c r="G8" s="234" t="s">
        <v>153</v>
      </c>
      <c r="H8" s="234" t="s">
        <v>153</v>
      </c>
      <c r="I8" s="497" t="s">
        <v>634</v>
      </c>
      <c r="J8" s="497" t="s">
        <v>634</v>
      </c>
      <c r="K8" s="497" t="s">
        <v>633</v>
      </c>
      <c r="L8" s="497" t="s">
        <v>633</v>
      </c>
      <c r="M8" s="497" t="s">
        <v>635</v>
      </c>
      <c r="N8" s="497" t="s">
        <v>635</v>
      </c>
      <c r="O8" s="497" t="s">
        <v>636</v>
      </c>
      <c r="P8" s="497" t="s">
        <v>636</v>
      </c>
    </row>
    <row r="9" spans="1:16" x14ac:dyDescent="0.2">
      <c r="A9" s="235"/>
      <c r="B9" s="268"/>
      <c r="C9" s="268"/>
      <c r="D9" s="268"/>
      <c r="E9" s="236"/>
      <c r="F9" s="236"/>
      <c r="G9" s="236"/>
      <c r="H9" s="243"/>
      <c r="I9" s="237"/>
      <c r="J9" s="237"/>
      <c r="K9" s="237"/>
      <c r="L9" s="237"/>
      <c r="M9" s="237"/>
      <c r="N9" s="237"/>
      <c r="O9" s="57"/>
    </row>
    <row r="10" spans="1:16" x14ac:dyDescent="0.2">
      <c r="A10" s="235">
        <v>44228</v>
      </c>
      <c r="B10" s="268"/>
      <c r="C10" s="268"/>
      <c r="D10" s="268"/>
      <c r="E10" s="236"/>
      <c r="F10" s="236"/>
      <c r="G10" s="236"/>
      <c r="H10" s="243"/>
      <c r="I10" s="237"/>
      <c r="J10" s="237"/>
      <c r="K10" s="237"/>
      <c r="L10" s="237"/>
      <c r="M10" s="237"/>
      <c r="N10" s="237"/>
      <c r="O10" s="57"/>
    </row>
    <row r="11" spans="1:16" x14ac:dyDescent="0.2">
      <c r="A11" s="235">
        <v>44197</v>
      </c>
      <c r="B11" s="268"/>
      <c r="C11" s="268"/>
      <c r="D11" s="268"/>
      <c r="E11" s="236"/>
      <c r="F11" s="236"/>
      <c r="G11" s="236"/>
      <c r="H11" s="243"/>
      <c r="I11" s="237"/>
      <c r="J11" s="237"/>
      <c r="K11" s="237"/>
      <c r="L11" s="237"/>
      <c r="M11" s="237"/>
      <c r="N11" s="237"/>
      <c r="O11" s="57"/>
    </row>
    <row r="12" spans="1:16" x14ac:dyDescent="0.2">
      <c r="A12" s="235">
        <v>44166</v>
      </c>
      <c r="B12" s="268"/>
      <c r="C12" s="268"/>
      <c r="D12" s="268"/>
      <c r="E12" s="236"/>
      <c r="F12" s="236"/>
      <c r="G12" s="236"/>
      <c r="H12" s="243"/>
      <c r="I12" s="237"/>
      <c r="J12" s="237"/>
      <c r="K12" s="237"/>
      <c r="L12" s="237"/>
      <c r="M12" s="237"/>
      <c r="N12" s="237"/>
      <c r="O12" s="57"/>
    </row>
    <row r="13" spans="1:16" x14ac:dyDescent="0.2">
      <c r="A13" s="235">
        <v>44136</v>
      </c>
      <c r="B13" s="268"/>
      <c r="C13" s="268"/>
      <c r="D13" s="268"/>
      <c r="E13" s="236"/>
      <c r="F13" s="236"/>
      <c r="G13" s="236"/>
      <c r="H13" s="243"/>
      <c r="I13" s="237"/>
      <c r="J13" s="237"/>
      <c r="K13" s="237"/>
      <c r="L13" s="237"/>
      <c r="M13" s="237"/>
      <c r="N13" s="237"/>
      <c r="O13" s="57"/>
    </row>
    <row r="14" spans="1:16" x14ac:dyDescent="0.2">
      <c r="A14" s="235">
        <v>44105</v>
      </c>
      <c r="B14" s="268"/>
      <c r="C14" s="268"/>
      <c r="D14" s="268"/>
      <c r="E14" s="236"/>
      <c r="F14" s="236"/>
      <c r="G14" s="236"/>
      <c r="H14" s="243"/>
      <c r="I14" s="237"/>
      <c r="J14" s="237"/>
      <c r="K14" s="237"/>
      <c r="L14" s="237"/>
      <c r="M14" s="237"/>
      <c r="N14" s="237"/>
      <c r="O14" s="57"/>
    </row>
    <row r="15" spans="1:16" x14ac:dyDescent="0.2">
      <c r="A15" s="235">
        <v>44075</v>
      </c>
      <c r="B15" s="268">
        <v>0.30515999999999999</v>
      </c>
      <c r="C15" s="268">
        <v>-1.57E-3</v>
      </c>
      <c r="D15" s="268">
        <v>4.8000000000000001E-4</v>
      </c>
      <c r="E15" s="236"/>
      <c r="F15" s="268">
        <v>4.8000000000000001E-4</v>
      </c>
      <c r="G15" s="236"/>
      <c r="H15" s="243">
        <f t="shared" ref="H15" si="1">B15*10</f>
        <v>3.0515999999999996</v>
      </c>
      <c r="I15" s="499">
        <v>2.3779999999999999E-2</v>
      </c>
      <c r="J15" s="498">
        <f t="shared" ref="J15" si="2">I15*10</f>
        <v>0.23779999999999998</v>
      </c>
      <c r="K15" s="499">
        <v>1.9199999999999998E-2</v>
      </c>
      <c r="L15" s="498">
        <f t="shared" ref="L15" si="3">K15*10</f>
        <v>0.19199999999999998</v>
      </c>
      <c r="M15" s="499">
        <v>1.17E-2</v>
      </c>
      <c r="N15" s="498">
        <f t="shared" ref="N15" si="4">M15*10</f>
        <v>0.11700000000000001</v>
      </c>
      <c r="O15" s="831">
        <v>9.7999999999999997E-4</v>
      </c>
      <c r="P15" s="498">
        <f t="shared" ref="P15" si="5">O15*10</f>
        <v>9.7999999999999997E-3</v>
      </c>
    </row>
    <row r="16" spans="1:16" x14ac:dyDescent="0.2">
      <c r="A16" s="235">
        <v>44044</v>
      </c>
      <c r="B16" s="268">
        <v>0.30515999999999999</v>
      </c>
      <c r="C16" s="268">
        <v>-1.57E-3</v>
      </c>
      <c r="D16" s="268">
        <v>4.8000000000000001E-4</v>
      </c>
      <c r="E16" s="236"/>
      <c r="F16" s="268">
        <v>4.8000000000000001E-4</v>
      </c>
      <c r="G16" s="236"/>
      <c r="H16" s="243">
        <f t="shared" ref="H16:H21" si="6">B16*10</f>
        <v>3.0515999999999996</v>
      </c>
      <c r="I16" s="499">
        <v>2.3779999999999999E-2</v>
      </c>
      <c r="J16" s="498">
        <f t="shared" ref="J16:J21" si="7">I16*10</f>
        <v>0.23779999999999998</v>
      </c>
      <c r="K16" s="499">
        <v>1.9199999999999998E-2</v>
      </c>
      <c r="L16" s="498">
        <f t="shared" ref="L16:L21" si="8">K16*10</f>
        <v>0.19199999999999998</v>
      </c>
      <c r="M16" s="499">
        <v>1.17E-2</v>
      </c>
      <c r="N16" s="498">
        <f t="shared" ref="N16:N21" si="9">M16*10</f>
        <v>0.11700000000000001</v>
      </c>
      <c r="O16" s="831">
        <v>9.7999999999999997E-4</v>
      </c>
      <c r="P16" s="498">
        <f t="shared" ref="P16:P21" si="10">O16*10</f>
        <v>9.7999999999999997E-3</v>
      </c>
    </row>
    <row r="17" spans="1:21" x14ac:dyDescent="0.2">
      <c r="A17" s="235">
        <v>44013</v>
      </c>
      <c r="B17" s="268">
        <v>0.25409999999999999</v>
      </c>
      <c r="C17" s="268">
        <v>-1.57E-3</v>
      </c>
      <c r="D17" s="268">
        <v>4.8000000000000001E-4</v>
      </c>
      <c r="E17" s="236"/>
      <c r="F17" s="268">
        <v>4.8000000000000001E-4</v>
      </c>
      <c r="G17" s="236"/>
      <c r="H17" s="243">
        <f t="shared" si="6"/>
        <v>2.5409999999999999</v>
      </c>
      <c r="I17" s="499">
        <v>2.3779999999999999E-2</v>
      </c>
      <c r="J17" s="498">
        <f t="shared" si="7"/>
        <v>0.23779999999999998</v>
      </c>
      <c r="K17" s="499">
        <v>1.9199999999999998E-2</v>
      </c>
      <c r="L17" s="498">
        <f t="shared" si="8"/>
        <v>0.19199999999999998</v>
      </c>
      <c r="M17" s="499">
        <v>1.17E-2</v>
      </c>
      <c r="N17" s="498">
        <f t="shared" si="9"/>
        <v>0.11700000000000001</v>
      </c>
      <c r="O17" s="831">
        <v>9.7999999999999997E-4</v>
      </c>
      <c r="P17" s="498">
        <f t="shared" si="10"/>
        <v>9.7999999999999997E-3</v>
      </c>
    </row>
    <row r="18" spans="1:21" x14ac:dyDescent="0.2">
      <c r="A18" s="235">
        <v>43983</v>
      </c>
      <c r="B18" s="268">
        <v>0.25409999999999999</v>
      </c>
      <c r="C18" s="830">
        <v>-1.57E-3</v>
      </c>
      <c r="D18" s="268">
        <v>4.8000000000000001E-4</v>
      </c>
      <c r="E18" s="236"/>
      <c r="F18" s="268">
        <v>4.8000000000000001E-4</v>
      </c>
      <c r="G18" s="236"/>
      <c r="H18" s="243">
        <f t="shared" si="6"/>
        <v>2.5409999999999999</v>
      </c>
      <c r="I18" s="499">
        <v>2.3779999999999999E-2</v>
      </c>
      <c r="J18" s="498">
        <f t="shared" si="7"/>
        <v>0.23779999999999998</v>
      </c>
      <c r="K18" s="499">
        <v>1.9199999999999998E-2</v>
      </c>
      <c r="L18" s="498">
        <f t="shared" si="8"/>
        <v>0.19199999999999998</v>
      </c>
      <c r="M18" s="499">
        <v>1.17E-2</v>
      </c>
      <c r="N18" s="498">
        <f t="shared" si="9"/>
        <v>0.11700000000000001</v>
      </c>
      <c r="O18" s="499">
        <v>9.7999999999999997E-4</v>
      </c>
      <c r="P18" s="498">
        <f t="shared" si="10"/>
        <v>9.7999999999999997E-3</v>
      </c>
    </row>
    <row r="19" spans="1:21" x14ac:dyDescent="0.2">
      <c r="A19" s="235">
        <v>43952</v>
      </c>
      <c r="B19" s="268">
        <v>0.25409999999999999</v>
      </c>
      <c r="C19" s="830">
        <v>-1.57E-3</v>
      </c>
      <c r="D19" s="268">
        <v>4.8000000000000001E-4</v>
      </c>
      <c r="E19" s="236"/>
      <c r="F19" s="268">
        <v>4.8000000000000001E-4</v>
      </c>
      <c r="G19" s="236"/>
      <c r="H19" s="243">
        <f t="shared" si="6"/>
        <v>2.5409999999999999</v>
      </c>
      <c r="I19" s="499">
        <v>2.3779999999999999E-2</v>
      </c>
      <c r="J19" s="498">
        <f t="shared" si="7"/>
        <v>0.23779999999999998</v>
      </c>
      <c r="K19" s="499">
        <v>1.9199999999999998E-2</v>
      </c>
      <c r="L19" s="498">
        <f t="shared" si="8"/>
        <v>0.19199999999999998</v>
      </c>
      <c r="M19" s="499">
        <v>1.17E-2</v>
      </c>
      <c r="N19" s="498">
        <f t="shared" si="9"/>
        <v>0.11700000000000001</v>
      </c>
      <c r="O19" s="499">
        <v>9.7999999999999997E-4</v>
      </c>
      <c r="P19" s="498">
        <f t="shared" si="10"/>
        <v>9.7999999999999997E-3</v>
      </c>
    </row>
    <row r="20" spans="1:21" x14ac:dyDescent="0.2">
      <c r="A20" s="235">
        <v>43922</v>
      </c>
      <c r="B20" s="268">
        <v>0.34000999999999998</v>
      </c>
      <c r="C20" s="830">
        <v>-1.57E-3</v>
      </c>
      <c r="D20" s="268">
        <v>4.8000000000000001E-4</v>
      </c>
      <c r="E20" s="236"/>
      <c r="F20" s="268">
        <v>4.8000000000000001E-4</v>
      </c>
      <c r="G20" s="236"/>
      <c r="H20" s="243">
        <f t="shared" si="6"/>
        <v>3.4000999999999997</v>
      </c>
      <c r="I20" s="499">
        <v>8.3899999999999999E-3</v>
      </c>
      <c r="J20" s="498">
        <f t="shared" si="7"/>
        <v>8.3900000000000002E-2</v>
      </c>
      <c r="K20" s="499">
        <v>6.8100000000000001E-3</v>
      </c>
      <c r="L20" s="498">
        <f t="shared" si="8"/>
        <v>6.8099999999999994E-2</v>
      </c>
      <c r="M20" s="499">
        <v>4.0800000000000003E-3</v>
      </c>
      <c r="N20" s="498">
        <f t="shared" si="9"/>
        <v>4.0800000000000003E-2</v>
      </c>
      <c r="O20" s="499">
        <v>4.8000000000000001E-4</v>
      </c>
      <c r="P20" s="498">
        <f t="shared" si="10"/>
        <v>4.8000000000000004E-3</v>
      </c>
    </row>
    <row r="21" spans="1:21" x14ac:dyDescent="0.2">
      <c r="A21" s="235">
        <v>43891</v>
      </c>
      <c r="B21" s="268">
        <v>0.34000999999999998</v>
      </c>
      <c r="C21" s="830">
        <v>-2.3E-3</v>
      </c>
      <c r="D21" s="268">
        <v>1.8000000000000001E-4</v>
      </c>
      <c r="E21" s="236"/>
      <c r="F21" s="268">
        <v>1.8000000000000001E-4</v>
      </c>
      <c r="G21" s="236"/>
      <c r="H21" s="243">
        <f t="shared" si="6"/>
        <v>3.4000999999999997</v>
      </c>
      <c r="I21" s="499">
        <v>8.3899999999999999E-3</v>
      </c>
      <c r="J21" s="498">
        <f t="shared" si="7"/>
        <v>8.3900000000000002E-2</v>
      </c>
      <c r="K21" s="499">
        <v>6.8100000000000001E-3</v>
      </c>
      <c r="L21" s="498">
        <f t="shared" si="8"/>
        <v>6.8099999999999994E-2</v>
      </c>
      <c r="M21" s="499">
        <v>4.0800000000000003E-3</v>
      </c>
      <c r="N21" s="498">
        <f t="shared" si="9"/>
        <v>4.0800000000000003E-2</v>
      </c>
      <c r="O21" s="499">
        <v>4.8000000000000001E-4</v>
      </c>
      <c r="P21" s="498">
        <f t="shared" si="10"/>
        <v>4.8000000000000004E-3</v>
      </c>
    </row>
    <row r="22" spans="1:21" x14ac:dyDescent="0.2">
      <c r="A22" s="235">
        <v>43862</v>
      </c>
      <c r="B22" s="268">
        <v>0.34000999999999998</v>
      </c>
      <c r="C22" s="830">
        <v>-2.3E-3</v>
      </c>
      <c r="D22" s="268">
        <v>1.8000000000000001E-4</v>
      </c>
      <c r="E22" s="236"/>
      <c r="F22" s="268">
        <v>1.8000000000000001E-4</v>
      </c>
      <c r="G22" s="236"/>
      <c r="H22" s="243">
        <f t="shared" ref="H22" si="11">B22*10</f>
        <v>3.4000999999999997</v>
      </c>
      <c r="I22" s="499">
        <v>8.3899999999999999E-3</v>
      </c>
      <c r="J22" s="498">
        <f t="shared" ref="J22" si="12">I22*10</f>
        <v>8.3900000000000002E-2</v>
      </c>
      <c r="K22" s="499">
        <v>6.8100000000000001E-3</v>
      </c>
      <c r="L22" s="498">
        <f t="shared" ref="L22" si="13">K22*10</f>
        <v>6.8099999999999994E-2</v>
      </c>
      <c r="M22" s="499">
        <v>4.0800000000000003E-3</v>
      </c>
      <c r="N22" s="498">
        <f t="shared" ref="N22" si="14">M22*10</f>
        <v>4.0800000000000003E-2</v>
      </c>
      <c r="O22" s="499">
        <v>4.8000000000000001E-4</v>
      </c>
      <c r="P22" s="498">
        <f t="shared" ref="P22" si="15">O22*10</f>
        <v>4.8000000000000004E-3</v>
      </c>
    </row>
    <row r="23" spans="1:21" x14ac:dyDescent="0.2">
      <c r="A23" s="235"/>
      <c r="B23" s="268"/>
      <c r="C23" s="268"/>
      <c r="D23" s="268"/>
      <c r="E23" s="236"/>
      <c r="F23" s="236"/>
      <c r="G23" s="236"/>
      <c r="H23" s="243"/>
      <c r="I23" s="237"/>
      <c r="J23" s="237"/>
      <c r="K23" s="237"/>
      <c r="L23" s="237"/>
      <c r="M23" s="237"/>
      <c r="N23" s="237"/>
      <c r="O23" s="57"/>
    </row>
    <row r="24" spans="1:21" x14ac:dyDescent="0.2">
      <c r="A24" s="235"/>
      <c r="B24" s="268"/>
      <c r="C24" s="268"/>
      <c r="D24" s="268"/>
      <c r="E24" s="236"/>
      <c r="F24" s="236"/>
      <c r="G24" s="236"/>
      <c r="H24" s="243"/>
      <c r="I24" s="237"/>
      <c r="J24" s="237"/>
      <c r="K24" s="237"/>
      <c r="L24" s="237"/>
      <c r="M24" s="237"/>
      <c r="N24" s="237"/>
      <c r="O24" s="57"/>
    </row>
    <row r="25" spans="1:21" x14ac:dyDescent="0.2">
      <c r="A25" s="235"/>
      <c r="B25" s="268"/>
      <c r="C25" s="268"/>
      <c r="D25" s="268"/>
      <c r="E25" s="236"/>
      <c r="F25" s="236"/>
      <c r="G25" s="236"/>
      <c r="H25" s="243"/>
      <c r="I25" s="237"/>
      <c r="J25" s="237"/>
      <c r="K25" s="237"/>
      <c r="L25" s="237"/>
      <c r="M25" s="237"/>
      <c r="N25" s="237"/>
      <c r="O25" s="57"/>
    </row>
    <row r="26" spans="1:21" x14ac:dyDescent="0.2">
      <c r="A26" s="235"/>
      <c r="B26" s="268"/>
      <c r="C26" s="268"/>
      <c r="D26" s="268"/>
      <c r="E26" s="236"/>
      <c r="F26" s="236"/>
      <c r="G26" s="236"/>
      <c r="H26" s="243"/>
      <c r="I26" s="237"/>
      <c r="J26" s="237"/>
      <c r="K26" s="237"/>
      <c r="L26" s="237"/>
      <c r="M26" s="237"/>
      <c r="N26" s="237"/>
      <c r="O26" s="57"/>
    </row>
    <row r="27" spans="1:21" x14ac:dyDescent="0.2">
      <c r="A27" s="235"/>
      <c r="B27" s="268"/>
      <c r="C27" s="268"/>
      <c r="D27" s="268"/>
      <c r="E27" s="236"/>
      <c r="F27" s="236"/>
      <c r="G27" s="236"/>
      <c r="H27" s="243"/>
      <c r="I27" s="237"/>
      <c r="J27" s="237"/>
      <c r="K27" s="237"/>
      <c r="L27" s="237"/>
      <c r="M27" s="237"/>
      <c r="N27" s="237"/>
      <c r="O27" s="57"/>
    </row>
    <row r="28" spans="1:21" ht="15" x14ac:dyDescent="0.25">
      <c r="A28" s="235"/>
      <c r="B28" s="268"/>
      <c r="C28" s="268"/>
      <c r="D28" s="268"/>
      <c r="E28" s="236"/>
      <c r="F28" s="236"/>
      <c r="G28" s="236"/>
      <c r="H28" s="243"/>
      <c r="I28" s="237"/>
      <c r="J28" s="237"/>
      <c r="K28" s="237"/>
      <c r="L28" s="237"/>
      <c r="M28" s="237"/>
      <c r="N28" s="237"/>
      <c r="O28" s="57"/>
      <c r="P28" s="295"/>
      <c r="Q28" s="295"/>
      <c r="R28" s="295"/>
      <c r="S28" s="295"/>
      <c r="T28" s="295"/>
      <c r="U28" s="295"/>
    </row>
    <row r="29" spans="1:21" x14ac:dyDescent="0.2">
      <c r="A29" s="235"/>
      <c r="B29" s="268"/>
      <c r="C29" s="268"/>
      <c r="D29" s="268"/>
      <c r="E29" s="236"/>
      <c r="F29" s="236"/>
      <c r="G29" s="236"/>
      <c r="H29" s="243"/>
      <c r="I29" s="237"/>
      <c r="J29" s="237"/>
      <c r="K29" s="237"/>
      <c r="L29" s="237"/>
      <c r="M29" s="237"/>
      <c r="N29" s="237"/>
      <c r="O29" s="57"/>
    </row>
    <row r="30" spans="1:21" x14ac:dyDescent="0.2">
      <c r="A30" s="235"/>
      <c r="B30" s="268"/>
      <c r="C30" s="268"/>
      <c r="D30" s="268"/>
      <c r="E30" s="236"/>
      <c r="F30" s="236"/>
      <c r="G30" s="236"/>
      <c r="H30" s="243"/>
      <c r="I30" s="237"/>
      <c r="J30" s="237"/>
      <c r="K30" s="237"/>
      <c r="L30" s="237"/>
      <c r="M30" s="237"/>
      <c r="N30" s="237"/>
      <c r="O30" s="57"/>
    </row>
    <row r="31" spans="1:21" x14ac:dyDescent="0.2">
      <c r="A31" s="235"/>
      <c r="B31" s="268"/>
      <c r="C31" s="268"/>
      <c r="D31" s="268"/>
      <c r="E31" s="236"/>
      <c r="F31" s="236"/>
      <c r="G31" s="236"/>
      <c r="H31" s="243"/>
      <c r="I31" s="237"/>
      <c r="J31" s="237"/>
      <c r="K31" s="237"/>
      <c r="L31" s="237"/>
      <c r="M31" s="237"/>
      <c r="N31" s="237"/>
      <c r="O31" s="57"/>
    </row>
    <row r="32" spans="1:21" x14ac:dyDescent="0.2">
      <c r="A32" s="235"/>
      <c r="B32" s="268"/>
      <c r="C32" s="268"/>
      <c r="D32" s="268"/>
      <c r="E32" s="236"/>
      <c r="F32" s="236"/>
      <c r="G32" s="236"/>
      <c r="H32" s="243"/>
      <c r="I32" s="237"/>
      <c r="J32" s="237"/>
      <c r="K32" s="237"/>
      <c r="L32" s="237"/>
      <c r="M32" s="237"/>
      <c r="N32" s="237"/>
      <c r="O32" s="57"/>
    </row>
    <row r="33" spans="1:18" x14ac:dyDescent="0.2">
      <c r="A33" s="235"/>
      <c r="B33" s="268"/>
      <c r="C33" s="268"/>
      <c r="D33" s="268"/>
      <c r="E33" s="236"/>
      <c r="F33" s="236"/>
      <c r="G33" s="236"/>
      <c r="H33" s="243"/>
      <c r="I33" s="237"/>
      <c r="J33" s="237"/>
      <c r="K33" s="237"/>
      <c r="L33" s="237"/>
      <c r="M33" s="237"/>
      <c r="N33" s="237"/>
      <c r="O33" s="57"/>
    </row>
    <row r="34" spans="1:18" x14ac:dyDescent="0.2">
      <c r="A34" s="235"/>
      <c r="B34" s="268"/>
      <c r="C34" s="268"/>
      <c r="D34" s="268"/>
      <c r="E34" s="236"/>
      <c r="F34" s="236"/>
      <c r="G34" s="236"/>
      <c r="H34" s="243"/>
      <c r="I34" s="237"/>
      <c r="J34" s="237"/>
      <c r="K34" s="237"/>
      <c r="L34" s="237"/>
      <c r="M34" s="237"/>
      <c r="N34" s="237"/>
      <c r="O34" s="57"/>
    </row>
    <row r="35" spans="1:18" x14ac:dyDescent="0.2">
      <c r="A35" s="235"/>
      <c r="B35" s="268"/>
      <c r="C35" s="268"/>
      <c r="D35" s="268"/>
      <c r="E35" s="236"/>
      <c r="F35" s="236"/>
      <c r="G35" s="236"/>
      <c r="H35" s="243"/>
      <c r="I35" s="237"/>
      <c r="J35" s="237"/>
      <c r="K35" s="237"/>
      <c r="L35" s="237"/>
      <c r="M35" s="237"/>
      <c r="N35" s="237"/>
      <c r="O35" s="57"/>
    </row>
    <row r="36" spans="1:18" x14ac:dyDescent="0.2">
      <c r="A36" s="235"/>
      <c r="B36" s="268"/>
      <c r="C36" s="268"/>
      <c r="D36" s="268"/>
      <c r="E36" s="236"/>
      <c r="F36" s="236"/>
      <c r="G36" s="236"/>
      <c r="H36" s="243"/>
      <c r="I36" s="237"/>
      <c r="J36" s="237"/>
      <c r="K36" s="237"/>
      <c r="L36" s="237"/>
      <c r="M36" s="237"/>
      <c r="N36" s="237"/>
      <c r="O36" s="236"/>
      <c r="R36" s="268"/>
    </row>
    <row r="37" spans="1:18" x14ac:dyDescent="0.2">
      <c r="A37" s="235"/>
      <c r="B37" s="268"/>
      <c r="C37" s="268"/>
      <c r="D37" s="268"/>
      <c r="E37" s="236"/>
      <c r="F37" s="236"/>
      <c r="G37" s="236"/>
      <c r="H37" s="243"/>
      <c r="I37" s="237"/>
      <c r="J37" s="237"/>
      <c r="K37" s="237"/>
      <c r="L37" s="237"/>
      <c r="M37" s="237"/>
      <c r="N37" s="237"/>
      <c r="O37" s="57"/>
      <c r="R37" s="268"/>
    </row>
    <row r="38" spans="1:18" customFormat="1" ht="15" x14ac:dyDescent="0.25"/>
    <row r="39" spans="1:18" customFormat="1" ht="15" x14ac:dyDescent="0.25"/>
    <row r="40" spans="1:18" customFormat="1" ht="15" x14ac:dyDescent="0.25"/>
    <row r="41" spans="1:18" customFormat="1" ht="15" x14ac:dyDescent="0.25"/>
    <row r="42" spans="1:18" customFormat="1" ht="15" x14ac:dyDescent="0.25"/>
    <row r="43" spans="1:18" customFormat="1" ht="15" x14ac:dyDescent="0.25"/>
    <row r="44" spans="1:18" customFormat="1" ht="15" x14ac:dyDescent="0.25"/>
    <row r="45" spans="1:18" customFormat="1" ht="15" x14ac:dyDescent="0.25"/>
    <row r="46" spans="1:18" customFormat="1" ht="15" x14ac:dyDescent="0.25"/>
    <row r="47" spans="1:18" customFormat="1" ht="15" x14ac:dyDescent="0.25"/>
    <row r="48" spans="1:18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customFormat="1" ht="15" x14ac:dyDescent="0.25"/>
    <row r="66" customFormat="1" ht="15" x14ac:dyDescent="0.25"/>
    <row r="67" customFormat="1" ht="15" x14ac:dyDescent="0.25"/>
    <row r="68" customFormat="1" ht="15" x14ac:dyDescent="0.25"/>
    <row r="69" customFormat="1" ht="15" x14ac:dyDescent="0.25"/>
    <row r="70" customFormat="1" ht="15" x14ac:dyDescent="0.25"/>
    <row r="71" customFormat="1" ht="15" x14ac:dyDescent="0.25"/>
    <row r="72" customFormat="1" ht="15" x14ac:dyDescent="0.25"/>
    <row r="73" customFormat="1" ht="15" x14ac:dyDescent="0.25"/>
    <row r="74" customFormat="1" ht="15" x14ac:dyDescent="0.25"/>
    <row r="75" customFormat="1" ht="15" x14ac:dyDescent="0.25"/>
    <row r="76" customFormat="1" ht="15" x14ac:dyDescent="0.25"/>
    <row r="77" customFormat="1" ht="15" x14ac:dyDescent="0.25"/>
    <row r="78" customFormat="1" ht="15" x14ac:dyDescent="0.25"/>
    <row r="79" customFormat="1" ht="15" x14ac:dyDescent="0.25"/>
    <row r="80" customFormat="1" ht="15" x14ac:dyDescent="0.25"/>
    <row r="81" customFormat="1" ht="15" x14ac:dyDescent="0.25"/>
    <row r="82" customFormat="1" ht="15" x14ac:dyDescent="0.25"/>
    <row r="83" customFormat="1" ht="15" x14ac:dyDescent="0.25"/>
    <row r="84" customFormat="1" ht="15" x14ac:dyDescent="0.25"/>
    <row r="85" customFormat="1" ht="15" x14ac:dyDescent="0.25"/>
    <row r="86" customFormat="1" ht="15" x14ac:dyDescent="0.25"/>
    <row r="87" customFormat="1" ht="15" x14ac:dyDescent="0.25"/>
    <row r="88" customFormat="1" ht="15" x14ac:dyDescent="0.25"/>
    <row r="89" customFormat="1" ht="15" x14ac:dyDescent="0.25"/>
    <row r="90" customFormat="1" ht="15" x14ac:dyDescent="0.25"/>
    <row r="91" customFormat="1" ht="15" x14ac:dyDescent="0.25"/>
    <row r="92" customFormat="1" ht="15" x14ac:dyDescent="0.25"/>
    <row r="93" customFormat="1" ht="15" x14ac:dyDescent="0.25"/>
    <row r="94" customFormat="1" ht="15" x14ac:dyDescent="0.25"/>
    <row r="95" customFormat="1" ht="15" x14ac:dyDescent="0.25"/>
    <row r="96" customFormat="1" ht="15" x14ac:dyDescent="0.25"/>
    <row r="97" customFormat="1" ht="15" x14ac:dyDescent="0.25"/>
    <row r="98" customFormat="1" ht="15" x14ac:dyDescent="0.25"/>
    <row r="99" customFormat="1" ht="15" x14ac:dyDescent="0.25"/>
    <row r="100" customFormat="1" ht="15" x14ac:dyDescent="0.25"/>
    <row r="101" customFormat="1" ht="15" x14ac:dyDescent="0.25"/>
    <row r="102" customFormat="1" ht="15" x14ac:dyDescent="0.25"/>
    <row r="103" customFormat="1" ht="15" x14ac:dyDescent="0.25"/>
    <row r="104" customFormat="1" ht="15" x14ac:dyDescent="0.25"/>
    <row r="105" customFormat="1" ht="15" x14ac:dyDescent="0.25"/>
    <row r="106" customFormat="1" ht="15" x14ac:dyDescent="0.25"/>
    <row r="107" customFormat="1" ht="15" x14ac:dyDescent="0.25"/>
    <row r="108" customFormat="1" ht="15" x14ac:dyDescent="0.25"/>
    <row r="109" customFormat="1" ht="15" x14ac:dyDescent="0.25"/>
    <row r="110" customFormat="1" ht="15" x14ac:dyDescent="0.25"/>
    <row r="111" customFormat="1" ht="15" x14ac:dyDescent="0.25"/>
    <row r="112" customFormat="1" ht="15" x14ac:dyDescent="0.25"/>
    <row r="113" spans="1:7" customFormat="1" ht="15" x14ac:dyDescent="0.25"/>
    <row r="114" spans="1:7" ht="15" x14ac:dyDescent="0.25">
      <c r="A114"/>
      <c r="B114"/>
      <c r="C114"/>
      <c r="D114"/>
      <c r="E114"/>
      <c r="F114" s="46"/>
      <c r="G114"/>
    </row>
    <row r="115" spans="1:7" ht="15" x14ac:dyDescent="0.25">
      <c r="A115"/>
      <c r="B115"/>
      <c r="C115"/>
      <c r="D115"/>
      <c r="E115"/>
      <c r="F115" s="46"/>
      <c r="G115"/>
    </row>
    <row r="116" spans="1:7" ht="15" x14ac:dyDescent="0.25">
      <c r="A116"/>
      <c r="B116"/>
      <c r="C116"/>
      <c r="D116"/>
      <c r="E116"/>
      <c r="F116" s="46"/>
      <c r="G116"/>
    </row>
    <row r="117" spans="1:7" ht="15" x14ac:dyDescent="0.25">
      <c r="A117"/>
      <c r="B117"/>
      <c r="C117"/>
      <c r="D117"/>
      <c r="E117"/>
      <c r="F117" s="46"/>
      <c r="G117"/>
    </row>
    <row r="118" spans="1:7" ht="15" x14ac:dyDescent="0.25">
      <c r="A118"/>
      <c r="B118"/>
      <c r="C118"/>
      <c r="D118"/>
      <c r="E118"/>
      <c r="F118" s="46"/>
      <c r="G118"/>
    </row>
    <row r="119" spans="1:7" ht="15" x14ac:dyDescent="0.25">
      <c r="A119"/>
      <c r="B119"/>
      <c r="C119"/>
      <c r="D119"/>
      <c r="E119"/>
      <c r="F119" s="46"/>
      <c r="G119"/>
    </row>
    <row r="120" spans="1:7" ht="15" x14ac:dyDescent="0.25">
      <c r="A120"/>
      <c r="B120"/>
      <c r="C120"/>
      <c r="D120"/>
      <c r="E120"/>
      <c r="F120" s="46"/>
      <c r="G120"/>
    </row>
    <row r="121" spans="1:7" ht="15" x14ac:dyDescent="0.25">
      <c r="A121"/>
      <c r="B121"/>
      <c r="C121"/>
      <c r="D121"/>
      <c r="E121"/>
      <c r="F121" s="46"/>
      <c r="G121"/>
    </row>
    <row r="122" spans="1:7" ht="15" x14ac:dyDescent="0.25">
      <c r="A122"/>
      <c r="B122"/>
      <c r="C122"/>
      <c r="D122"/>
      <c r="E122"/>
      <c r="F122" s="46"/>
      <c r="G122"/>
    </row>
    <row r="123" spans="1:7" ht="15" x14ac:dyDescent="0.25">
      <c r="A123"/>
      <c r="B123"/>
      <c r="C123"/>
      <c r="D123"/>
      <c r="E123"/>
      <c r="F123" s="46"/>
      <c r="G123"/>
    </row>
    <row r="124" spans="1:7" ht="15" x14ac:dyDescent="0.25">
      <c r="A124"/>
      <c r="B124"/>
      <c r="C124"/>
      <c r="D124"/>
      <c r="E124"/>
      <c r="F124" s="46"/>
      <c r="G124"/>
    </row>
    <row r="125" spans="1:7" ht="15" x14ac:dyDescent="0.25">
      <c r="A125"/>
      <c r="B125"/>
      <c r="C125"/>
      <c r="D125"/>
      <c r="E125"/>
      <c r="F125" s="46"/>
      <c r="G125"/>
    </row>
    <row r="126" spans="1:7" ht="15" x14ac:dyDescent="0.25">
      <c r="A126"/>
      <c r="B126"/>
      <c r="C126"/>
      <c r="D126"/>
      <c r="E126"/>
      <c r="F126" s="46"/>
      <c r="G126"/>
    </row>
    <row r="127" spans="1:7" ht="15" x14ac:dyDescent="0.25">
      <c r="A127"/>
      <c r="B127"/>
      <c r="C127"/>
      <c r="D127"/>
      <c r="E127"/>
      <c r="F127" s="46"/>
      <c r="G127"/>
    </row>
    <row r="128" spans="1:7" ht="15" x14ac:dyDescent="0.25">
      <c r="A128"/>
      <c r="B128"/>
      <c r="C128"/>
      <c r="D128"/>
      <c r="E128"/>
      <c r="F128" s="46"/>
      <c r="G128"/>
    </row>
    <row r="129" spans="1:7" ht="15" x14ac:dyDescent="0.25">
      <c r="A129"/>
      <c r="B129"/>
      <c r="C129"/>
      <c r="D129"/>
      <c r="E129"/>
      <c r="F129" s="46"/>
      <c r="G129"/>
    </row>
    <row r="130" spans="1:7" ht="15" x14ac:dyDescent="0.25">
      <c r="A130"/>
      <c r="B130"/>
      <c r="C130"/>
      <c r="D130"/>
      <c r="E130"/>
      <c r="F130" s="46"/>
      <c r="G130"/>
    </row>
    <row r="131" spans="1:7" ht="15" x14ac:dyDescent="0.25">
      <c r="A131"/>
      <c r="B131"/>
      <c r="C131"/>
      <c r="D131"/>
      <c r="E131"/>
      <c r="F131" s="46"/>
      <c r="G131"/>
    </row>
    <row r="132" spans="1:7" ht="15" x14ac:dyDescent="0.25">
      <c r="A132"/>
      <c r="B132"/>
      <c r="C132"/>
      <c r="D132"/>
      <c r="E132"/>
      <c r="F132" s="46"/>
      <c r="G132"/>
    </row>
    <row r="133" spans="1:7" ht="15" x14ac:dyDescent="0.25">
      <c r="A133"/>
      <c r="B133"/>
      <c r="C133"/>
      <c r="D133"/>
      <c r="E133"/>
      <c r="F133" s="46"/>
      <c r="G133"/>
    </row>
    <row r="134" spans="1:7" ht="15" x14ac:dyDescent="0.25">
      <c r="A134"/>
      <c r="B134"/>
      <c r="C134"/>
      <c r="D134"/>
      <c r="E134"/>
      <c r="F134" s="46"/>
      <c r="G134"/>
    </row>
    <row r="135" spans="1:7" ht="15" x14ac:dyDescent="0.25">
      <c r="A135"/>
      <c r="B135"/>
      <c r="C135"/>
      <c r="D135"/>
      <c r="E135"/>
      <c r="F135" s="46"/>
      <c r="G135"/>
    </row>
    <row r="136" spans="1:7" ht="15" x14ac:dyDescent="0.25">
      <c r="A136"/>
      <c r="B136"/>
      <c r="C136"/>
      <c r="D136"/>
      <c r="E136"/>
      <c r="F136" s="46"/>
      <c r="G136"/>
    </row>
    <row r="137" spans="1:7" ht="15" x14ac:dyDescent="0.25">
      <c r="A137"/>
      <c r="B137"/>
      <c r="C137"/>
      <c r="D137"/>
      <c r="E137"/>
      <c r="F137" s="46"/>
      <c r="G137"/>
    </row>
    <row r="138" spans="1:7" ht="15" x14ac:dyDescent="0.25">
      <c r="A138"/>
      <c r="B138"/>
      <c r="C138"/>
      <c r="D138"/>
      <c r="E138"/>
      <c r="F138" s="46"/>
      <c r="G138"/>
    </row>
    <row r="139" spans="1:7" ht="15" x14ac:dyDescent="0.25">
      <c r="A139"/>
      <c r="B139"/>
      <c r="C139"/>
      <c r="D139"/>
      <c r="E139"/>
      <c r="F139" s="46"/>
      <c r="G139"/>
    </row>
    <row r="140" spans="1:7" ht="15" x14ac:dyDescent="0.25">
      <c r="A140"/>
      <c r="B140"/>
      <c r="C140"/>
      <c r="D140"/>
      <c r="E140"/>
      <c r="F140" s="46"/>
      <c r="G140"/>
    </row>
    <row r="141" spans="1:7" ht="15" x14ac:dyDescent="0.25">
      <c r="A141"/>
      <c r="B141"/>
      <c r="C141"/>
      <c r="D141"/>
      <c r="E141"/>
      <c r="F141" s="46"/>
      <c r="G141"/>
    </row>
    <row r="142" spans="1:7" ht="15" x14ac:dyDescent="0.25">
      <c r="A142"/>
      <c r="B142"/>
      <c r="C142"/>
      <c r="D142"/>
      <c r="E142"/>
      <c r="F142" s="46"/>
      <c r="G142"/>
    </row>
    <row r="143" spans="1:7" ht="15" x14ac:dyDescent="0.25">
      <c r="A143"/>
      <c r="B143"/>
      <c r="C143"/>
      <c r="D143"/>
      <c r="E143"/>
      <c r="F143" s="46"/>
      <c r="G143"/>
    </row>
    <row r="144" spans="1:7" ht="15" x14ac:dyDescent="0.25">
      <c r="A144"/>
      <c r="B144"/>
      <c r="C144"/>
      <c r="D144"/>
      <c r="E144"/>
      <c r="F144" s="46"/>
      <c r="G144"/>
    </row>
    <row r="145" spans="1:7" ht="15" x14ac:dyDescent="0.25">
      <c r="A145"/>
      <c r="B145"/>
      <c r="C145"/>
      <c r="D145"/>
      <c r="E145"/>
      <c r="F145" s="46"/>
      <c r="G145"/>
    </row>
    <row r="146" spans="1:7" ht="15" x14ac:dyDescent="0.25">
      <c r="A146"/>
      <c r="B146"/>
      <c r="C146"/>
      <c r="D146"/>
      <c r="E146"/>
      <c r="F146" s="46"/>
      <c r="G146"/>
    </row>
    <row r="147" spans="1:7" ht="15" x14ac:dyDescent="0.25">
      <c r="A147"/>
      <c r="B147"/>
      <c r="C147"/>
      <c r="D147"/>
      <c r="E147"/>
      <c r="F147" s="46"/>
      <c r="G147"/>
    </row>
    <row r="148" spans="1:7" ht="15" x14ac:dyDescent="0.25">
      <c r="A148"/>
      <c r="B148"/>
      <c r="C148"/>
      <c r="D148"/>
      <c r="E148"/>
      <c r="F148" s="46"/>
      <c r="G148"/>
    </row>
    <row r="149" spans="1:7" ht="15" x14ac:dyDescent="0.25">
      <c r="A149"/>
      <c r="B149"/>
      <c r="C149"/>
      <c r="D149"/>
      <c r="E149"/>
      <c r="F149" s="46"/>
      <c r="G149"/>
    </row>
    <row r="150" spans="1:7" ht="15" x14ac:dyDescent="0.25">
      <c r="A150"/>
      <c r="B150"/>
      <c r="C150"/>
      <c r="D150"/>
      <c r="E150"/>
      <c r="F150" s="46"/>
      <c r="G150"/>
    </row>
    <row r="151" spans="1:7" ht="15" x14ac:dyDescent="0.25">
      <c r="A151"/>
      <c r="B151"/>
      <c r="C151"/>
      <c r="D151"/>
      <c r="E151"/>
      <c r="F151" s="46"/>
      <c r="G151"/>
    </row>
    <row r="152" spans="1:7" ht="15" x14ac:dyDescent="0.25">
      <c r="A152"/>
      <c r="B152"/>
      <c r="C152"/>
      <c r="D152"/>
      <c r="E152"/>
      <c r="F152" s="46"/>
      <c r="G152"/>
    </row>
    <row r="153" spans="1:7" ht="15" x14ac:dyDescent="0.25">
      <c r="A153"/>
      <c r="B153"/>
      <c r="C153"/>
      <c r="D153"/>
      <c r="E153"/>
      <c r="F153" s="46"/>
      <c r="G153"/>
    </row>
    <row r="154" spans="1:7" ht="15" x14ac:dyDescent="0.25">
      <c r="A154"/>
      <c r="B154"/>
      <c r="C154"/>
      <c r="D154"/>
      <c r="E154"/>
      <c r="F154" s="46"/>
      <c r="G154"/>
    </row>
    <row r="155" spans="1:7" ht="15" x14ac:dyDescent="0.25">
      <c r="A155"/>
      <c r="B155"/>
      <c r="C155"/>
      <c r="D155"/>
      <c r="E155"/>
      <c r="F155" s="46"/>
      <c r="G155"/>
    </row>
    <row r="156" spans="1:7" ht="15" x14ac:dyDescent="0.25">
      <c r="A156"/>
      <c r="B156"/>
      <c r="C156"/>
      <c r="D156"/>
      <c r="E156"/>
      <c r="F156" s="46"/>
      <c r="G156"/>
    </row>
    <row r="157" spans="1:7" ht="15" x14ac:dyDescent="0.25">
      <c r="A157"/>
      <c r="B157"/>
      <c r="C157"/>
      <c r="D157"/>
      <c r="E157"/>
      <c r="F157" s="46"/>
      <c r="G157"/>
    </row>
    <row r="158" spans="1:7" ht="15" x14ac:dyDescent="0.25">
      <c r="A158"/>
      <c r="B158"/>
      <c r="C158"/>
      <c r="D158"/>
      <c r="E158"/>
      <c r="F158" s="46"/>
      <c r="G158"/>
    </row>
    <row r="159" spans="1:7" ht="15" x14ac:dyDescent="0.25">
      <c r="A159"/>
      <c r="B159"/>
      <c r="C159"/>
      <c r="D159"/>
      <c r="E159"/>
      <c r="F159" s="46"/>
      <c r="G159"/>
    </row>
    <row r="160" spans="1:7" ht="15" x14ac:dyDescent="0.25">
      <c r="A160"/>
      <c r="B160"/>
      <c r="C160"/>
      <c r="D160"/>
      <c r="E160"/>
      <c r="F160" s="46"/>
      <c r="G160"/>
    </row>
    <row r="161" spans="1:7" ht="15" x14ac:dyDescent="0.25">
      <c r="A161"/>
      <c r="B161"/>
      <c r="C161"/>
      <c r="D161"/>
      <c r="E161"/>
      <c r="F161" s="46"/>
      <c r="G161"/>
    </row>
    <row r="162" spans="1:7" ht="15" x14ac:dyDescent="0.25">
      <c r="A162"/>
      <c r="B162"/>
      <c r="C162"/>
      <c r="D162"/>
      <c r="E162"/>
      <c r="F162" s="46"/>
      <c r="G162"/>
    </row>
    <row r="163" spans="1:7" ht="15" x14ac:dyDescent="0.25">
      <c r="A163"/>
      <c r="B163"/>
      <c r="C163"/>
      <c r="D163"/>
      <c r="E163"/>
      <c r="F163" s="46"/>
      <c r="G163"/>
    </row>
    <row r="164" spans="1:7" ht="15" x14ac:dyDescent="0.25">
      <c r="A164"/>
      <c r="B164"/>
      <c r="C164"/>
      <c r="D164"/>
      <c r="E164"/>
      <c r="F164" s="46"/>
      <c r="G164"/>
    </row>
    <row r="165" spans="1:7" ht="15" x14ac:dyDescent="0.25">
      <c r="A165"/>
      <c r="B165"/>
      <c r="C165"/>
      <c r="D165"/>
      <c r="E165"/>
      <c r="F165" s="46"/>
      <c r="G165"/>
    </row>
    <row r="166" spans="1:7" ht="15" x14ac:dyDescent="0.25">
      <c r="A166"/>
      <c r="B166"/>
      <c r="C166"/>
      <c r="D166"/>
      <c r="E166"/>
      <c r="F166" s="46"/>
      <c r="G166"/>
    </row>
    <row r="167" spans="1:7" ht="15" x14ac:dyDescent="0.25">
      <c r="A167"/>
      <c r="B167"/>
      <c r="C167"/>
      <c r="D167"/>
      <c r="E167"/>
      <c r="F167" s="46"/>
      <c r="G167"/>
    </row>
    <row r="168" spans="1:7" ht="15" x14ac:dyDescent="0.25">
      <c r="A168"/>
      <c r="B168"/>
      <c r="C168"/>
      <c r="D168"/>
      <c r="E168"/>
      <c r="F168" s="46"/>
      <c r="G168"/>
    </row>
    <row r="169" spans="1:7" ht="15" x14ac:dyDescent="0.25">
      <c r="A169"/>
      <c r="B169"/>
      <c r="C169"/>
      <c r="D169"/>
      <c r="E169"/>
      <c r="F169" s="46"/>
      <c r="G169"/>
    </row>
    <row r="170" spans="1:7" ht="15" x14ac:dyDescent="0.25">
      <c r="A170"/>
      <c r="B170"/>
      <c r="C170"/>
      <c r="D170"/>
      <c r="E170"/>
      <c r="F170" s="46"/>
      <c r="G170"/>
    </row>
    <row r="171" spans="1:7" ht="15" x14ac:dyDescent="0.25">
      <c r="A171"/>
      <c r="B171"/>
      <c r="C171"/>
      <c r="D171"/>
      <c r="E171"/>
      <c r="F171" s="46"/>
      <c r="G171"/>
    </row>
    <row r="172" spans="1:7" ht="15" x14ac:dyDescent="0.25">
      <c r="A172"/>
      <c r="B172"/>
      <c r="C172"/>
      <c r="D172"/>
      <c r="E172"/>
      <c r="F172" s="46"/>
      <c r="G172"/>
    </row>
    <row r="173" spans="1:7" ht="15" x14ac:dyDescent="0.25">
      <c r="A173"/>
      <c r="B173"/>
      <c r="C173"/>
      <c r="D173"/>
      <c r="E173"/>
      <c r="F173" s="46"/>
      <c r="G173"/>
    </row>
    <row r="174" spans="1:7" ht="15" x14ac:dyDescent="0.25">
      <c r="A174"/>
      <c r="B174"/>
      <c r="C174"/>
      <c r="D174"/>
      <c r="E174"/>
      <c r="F174" s="46"/>
      <c r="G174"/>
    </row>
    <row r="175" spans="1:7" ht="15" x14ac:dyDescent="0.25">
      <c r="A175"/>
      <c r="B175"/>
      <c r="C175"/>
      <c r="D175"/>
      <c r="E175"/>
      <c r="F175" s="46"/>
      <c r="G175"/>
    </row>
    <row r="176" spans="1:7" ht="15" x14ac:dyDescent="0.25">
      <c r="A176"/>
      <c r="B176"/>
      <c r="C176"/>
      <c r="D176"/>
      <c r="E176"/>
      <c r="F176" s="46"/>
      <c r="G176"/>
    </row>
    <row r="177" spans="1:7" ht="15" x14ac:dyDescent="0.25">
      <c r="A177"/>
      <c r="B177"/>
      <c r="C177"/>
      <c r="D177"/>
      <c r="E177"/>
      <c r="F177" s="46"/>
      <c r="G177"/>
    </row>
    <row r="178" spans="1:7" ht="15" x14ac:dyDescent="0.25">
      <c r="A178"/>
      <c r="B178"/>
      <c r="C178"/>
      <c r="D178"/>
      <c r="E178"/>
      <c r="F178" s="46"/>
      <c r="G178"/>
    </row>
    <row r="179" spans="1:7" ht="15" x14ac:dyDescent="0.25">
      <c r="A179"/>
      <c r="B179"/>
      <c r="C179"/>
      <c r="D179"/>
      <c r="E179"/>
      <c r="F179" s="46"/>
      <c r="G179"/>
    </row>
    <row r="180" spans="1:7" ht="15" x14ac:dyDescent="0.25">
      <c r="A180"/>
      <c r="B180"/>
      <c r="C180"/>
      <c r="D180"/>
      <c r="E180"/>
      <c r="F180" s="46"/>
      <c r="G180"/>
    </row>
    <row r="181" spans="1:7" ht="15" x14ac:dyDescent="0.25">
      <c r="A181"/>
      <c r="B181"/>
      <c r="C181"/>
      <c r="D181"/>
      <c r="E181"/>
      <c r="F181" s="46"/>
      <c r="G181"/>
    </row>
    <row r="182" spans="1:7" ht="15" x14ac:dyDescent="0.25">
      <c r="A182"/>
      <c r="B182"/>
      <c r="C182"/>
      <c r="D182"/>
      <c r="E182"/>
      <c r="F182" s="46"/>
      <c r="G182"/>
    </row>
    <row r="183" spans="1:7" ht="15" x14ac:dyDescent="0.25">
      <c r="A183"/>
      <c r="B183"/>
      <c r="C183"/>
      <c r="D183"/>
      <c r="E183"/>
      <c r="F183" s="46"/>
      <c r="G183"/>
    </row>
    <row r="184" spans="1:7" ht="15" x14ac:dyDescent="0.25">
      <c r="A184"/>
      <c r="B184"/>
      <c r="C184"/>
      <c r="D184"/>
      <c r="E184"/>
      <c r="F184" s="46"/>
      <c r="G184"/>
    </row>
    <row r="185" spans="1:7" ht="15" x14ac:dyDescent="0.25">
      <c r="A185"/>
      <c r="B185"/>
      <c r="C185"/>
      <c r="D185"/>
      <c r="E185"/>
      <c r="F185" s="46"/>
      <c r="G185"/>
    </row>
    <row r="186" spans="1:7" ht="15" x14ac:dyDescent="0.25">
      <c r="A186"/>
      <c r="B186"/>
      <c r="C186"/>
      <c r="D186"/>
      <c r="E186"/>
      <c r="F186" s="46"/>
      <c r="G186"/>
    </row>
    <row r="187" spans="1:7" ht="15" x14ac:dyDescent="0.25">
      <c r="A187"/>
      <c r="B187"/>
      <c r="C187"/>
      <c r="D187"/>
      <c r="E187"/>
      <c r="F187" s="46"/>
      <c r="G187"/>
    </row>
    <row r="188" spans="1:7" ht="15" x14ac:dyDescent="0.25">
      <c r="A188"/>
      <c r="B188"/>
      <c r="C188"/>
      <c r="D188"/>
      <c r="E188"/>
      <c r="F188" s="46"/>
      <c r="G188"/>
    </row>
    <row r="189" spans="1:7" ht="15" x14ac:dyDescent="0.25">
      <c r="A189"/>
      <c r="B189"/>
      <c r="C189"/>
      <c r="D189"/>
      <c r="E189"/>
      <c r="F189" s="46"/>
      <c r="G189"/>
    </row>
    <row r="190" spans="1:7" ht="15" x14ac:dyDescent="0.25">
      <c r="A190"/>
      <c r="B190"/>
      <c r="C190"/>
      <c r="D190"/>
      <c r="E190"/>
      <c r="F190" s="46"/>
      <c r="G190"/>
    </row>
    <row r="191" spans="1:7" ht="15" x14ac:dyDescent="0.25">
      <c r="A191"/>
      <c r="B191"/>
      <c r="C191"/>
      <c r="D191"/>
      <c r="E191"/>
      <c r="F191" s="46"/>
      <c r="G191"/>
    </row>
    <row r="192" spans="1:7" ht="15" x14ac:dyDescent="0.25">
      <c r="A192"/>
      <c r="B192"/>
      <c r="C192"/>
      <c r="D192"/>
      <c r="E192"/>
      <c r="F192" s="46"/>
      <c r="G192"/>
    </row>
    <row r="193" spans="1:7" ht="15" x14ac:dyDescent="0.25">
      <c r="A193"/>
      <c r="B193"/>
      <c r="C193"/>
      <c r="D193"/>
      <c r="E193"/>
      <c r="F193" s="46"/>
      <c r="G193"/>
    </row>
    <row r="194" spans="1:7" ht="15" x14ac:dyDescent="0.25">
      <c r="A194"/>
      <c r="B194"/>
      <c r="C194"/>
      <c r="D194"/>
      <c r="E194"/>
      <c r="F194" s="46"/>
      <c r="G194"/>
    </row>
    <row r="195" spans="1:7" ht="15" x14ac:dyDescent="0.25">
      <c r="A195"/>
      <c r="B195"/>
      <c r="C195"/>
      <c r="D195"/>
      <c r="E195"/>
      <c r="F195" s="46"/>
      <c r="G195"/>
    </row>
    <row r="196" spans="1:7" ht="15" x14ac:dyDescent="0.25">
      <c r="A196"/>
      <c r="B196"/>
      <c r="C196"/>
      <c r="D196"/>
      <c r="E196"/>
      <c r="F196" s="46"/>
      <c r="G196"/>
    </row>
    <row r="197" spans="1:7" ht="15" x14ac:dyDescent="0.25">
      <c r="A197"/>
      <c r="B197"/>
      <c r="C197"/>
      <c r="D197"/>
      <c r="E197"/>
      <c r="F197" s="46"/>
      <c r="G197"/>
    </row>
    <row r="198" spans="1:7" ht="15" x14ac:dyDescent="0.25">
      <c r="A198"/>
      <c r="B198"/>
      <c r="C198"/>
      <c r="D198"/>
      <c r="E198"/>
      <c r="F198" s="46"/>
      <c r="G198"/>
    </row>
    <row r="199" spans="1:7" ht="15" x14ac:dyDescent="0.25">
      <c r="A199"/>
      <c r="B199"/>
      <c r="C199"/>
      <c r="D199"/>
      <c r="E199"/>
      <c r="F199" s="46"/>
      <c r="G199"/>
    </row>
    <row r="200" spans="1:7" ht="15" x14ac:dyDescent="0.25">
      <c r="A200"/>
      <c r="B200"/>
      <c r="C200"/>
      <c r="D200"/>
      <c r="E200"/>
      <c r="F200" s="46"/>
      <c r="G200"/>
    </row>
    <row r="201" spans="1:7" ht="15" x14ac:dyDescent="0.25">
      <c r="A201"/>
      <c r="B201"/>
      <c r="C201"/>
      <c r="D201"/>
      <c r="E201"/>
      <c r="F201" s="46"/>
      <c r="G201"/>
    </row>
    <row r="202" spans="1:7" ht="15" x14ac:dyDescent="0.25">
      <c r="A202"/>
      <c r="B202"/>
      <c r="C202"/>
      <c r="D202"/>
      <c r="E202"/>
      <c r="F202" s="46"/>
      <c r="G202"/>
    </row>
    <row r="203" spans="1:7" ht="15" x14ac:dyDescent="0.25">
      <c r="A203"/>
      <c r="B203"/>
      <c r="C203"/>
      <c r="D203"/>
      <c r="E203"/>
      <c r="F203" s="46"/>
      <c r="G203"/>
    </row>
    <row r="204" spans="1:7" ht="15" x14ac:dyDescent="0.25">
      <c r="A204"/>
      <c r="B204"/>
      <c r="C204"/>
      <c r="D204"/>
      <c r="E204"/>
      <c r="F204" s="46"/>
      <c r="G204"/>
    </row>
    <row r="205" spans="1:7" ht="15" x14ac:dyDescent="0.25">
      <c r="A205"/>
      <c r="B205"/>
      <c r="C205"/>
      <c r="D205"/>
      <c r="E205"/>
      <c r="F205" s="46"/>
      <c r="G205"/>
    </row>
    <row r="206" spans="1:7" ht="15" x14ac:dyDescent="0.25">
      <c r="A206"/>
      <c r="B206"/>
      <c r="C206"/>
      <c r="D206"/>
      <c r="E206"/>
      <c r="F206" s="46"/>
      <c r="G206"/>
    </row>
    <row r="207" spans="1:7" ht="15" x14ac:dyDescent="0.25">
      <c r="A207"/>
      <c r="B207"/>
      <c r="C207"/>
      <c r="D207"/>
      <c r="E207"/>
      <c r="F207" s="46"/>
      <c r="G207"/>
    </row>
    <row r="208" spans="1:7" ht="15" x14ac:dyDescent="0.25">
      <c r="A208"/>
      <c r="B208"/>
      <c r="C208"/>
      <c r="D208"/>
      <c r="E208"/>
      <c r="F208" s="46"/>
      <c r="G208"/>
    </row>
    <row r="209" spans="1:7" ht="15" x14ac:dyDescent="0.25">
      <c r="A209"/>
      <c r="B209"/>
      <c r="C209"/>
      <c r="D209"/>
      <c r="E209"/>
      <c r="F209" s="46"/>
      <c r="G209"/>
    </row>
    <row r="210" spans="1:7" ht="15" x14ac:dyDescent="0.25">
      <c r="A210"/>
      <c r="B210"/>
      <c r="C210"/>
      <c r="D210"/>
      <c r="E210"/>
      <c r="F210" s="46"/>
      <c r="G210"/>
    </row>
    <row r="211" spans="1:7" ht="15" x14ac:dyDescent="0.25">
      <c r="A211"/>
      <c r="B211"/>
      <c r="C211"/>
      <c r="D211"/>
      <c r="E211"/>
      <c r="F211" s="46"/>
      <c r="G211"/>
    </row>
    <row r="212" spans="1:7" ht="15" x14ac:dyDescent="0.25">
      <c r="A212"/>
      <c r="B212"/>
      <c r="C212"/>
      <c r="D212"/>
      <c r="E212"/>
      <c r="F212" s="46"/>
      <c r="G212"/>
    </row>
    <row r="213" spans="1:7" ht="15" x14ac:dyDescent="0.25">
      <c r="A213"/>
      <c r="B213"/>
      <c r="C213"/>
      <c r="D213"/>
      <c r="E213"/>
      <c r="F213" s="46"/>
      <c r="G213"/>
    </row>
    <row r="214" spans="1:7" ht="15" x14ac:dyDescent="0.25">
      <c r="A214"/>
      <c r="B214"/>
      <c r="C214"/>
      <c r="D214"/>
      <c r="E214"/>
      <c r="F214" s="46"/>
      <c r="G214"/>
    </row>
    <row r="215" spans="1:7" ht="15" x14ac:dyDescent="0.25">
      <c r="A215"/>
      <c r="B215"/>
      <c r="C215"/>
      <c r="D215"/>
      <c r="E215"/>
      <c r="F215" s="46"/>
      <c r="G215"/>
    </row>
    <row r="216" spans="1:7" ht="15" x14ac:dyDescent="0.25">
      <c r="A216"/>
      <c r="B216"/>
      <c r="C216"/>
      <c r="D216"/>
      <c r="E216"/>
      <c r="F216" s="46"/>
      <c r="G216"/>
    </row>
    <row r="217" spans="1:7" ht="15" x14ac:dyDescent="0.25">
      <c r="A217"/>
      <c r="B217"/>
      <c r="C217"/>
      <c r="D217"/>
      <c r="E217"/>
      <c r="F217" s="46"/>
      <c r="G217"/>
    </row>
    <row r="218" spans="1:7" ht="15" x14ac:dyDescent="0.25">
      <c r="A218"/>
      <c r="B218"/>
      <c r="C218"/>
      <c r="D218"/>
      <c r="E218"/>
      <c r="F218" s="46"/>
      <c r="G218"/>
    </row>
    <row r="219" spans="1:7" ht="15" x14ac:dyDescent="0.25">
      <c r="A219"/>
      <c r="B219"/>
      <c r="C219"/>
      <c r="D219"/>
      <c r="E219"/>
      <c r="F219" s="46"/>
      <c r="G219"/>
    </row>
    <row r="220" spans="1:7" ht="15" x14ac:dyDescent="0.25">
      <c r="A220"/>
      <c r="B220"/>
      <c r="C220"/>
      <c r="D220"/>
      <c r="E220"/>
      <c r="F220" s="46"/>
      <c r="G220"/>
    </row>
    <row r="221" spans="1:7" ht="15" x14ac:dyDescent="0.25">
      <c r="A221"/>
      <c r="B221"/>
      <c r="C221"/>
      <c r="D221"/>
      <c r="E221"/>
      <c r="F221" s="46"/>
      <c r="G221"/>
    </row>
    <row r="222" spans="1:7" ht="15" x14ac:dyDescent="0.25">
      <c r="A222"/>
      <c r="B222"/>
      <c r="C222"/>
      <c r="D222"/>
      <c r="E222"/>
      <c r="F222" s="46"/>
      <c r="G222"/>
    </row>
    <row r="223" spans="1:7" ht="15" x14ac:dyDescent="0.25">
      <c r="A223"/>
      <c r="B223"/>
      <c r="C223"/>
      <c r="D223"/>
      <c r="E223"/>
      <c r="F223" s="46"/>
      <c r="G223"/>
    </row>
    <row r="224" spans="1:7" ht="15" x14ac:dyDescent="0.25">
      <c r="A224"/>
      <c r="B224"/>
      <c r="C224"/>
      <c r="D224"/>
      <c r="E224"/>
      <c r="F224" s="46"/>
      <c r="G224"/>
    </row>
    <row r="225" spans="1:7" ht="15" x14ac:dyDescent="0.25">
      <c r="A225"/>
      <c r="B225"/>
      <c r="C225"/>
      <c r="D225"/>
      <c r="E225"/>
      <c r="F225" s="46"/>
      <c r="G225"/>
    </row>
    <row r="226" spans="1:7" ht="15" x14ac:dyDescent="0.25">
      <c r="A226"/>
      <c r="B226"/>
      <c r="C226"/>
      <c r="D226"/>
      <c r="E226"/>
      <c r="F226" s="46"/>
      <c r="G226"/>
    </row>
    <row r="227" spans="1:7" ht="15" x14ac:dyDescent="0.25">
      <c r="A227"/>
      <c r="B227"/>
      <c r="C227"/>
      <c r="D227"/>
      <c r="E227"/>
      <c r="F227" s="46"/>
      <c r="G227"/>
    </row>
    <row r="228" spans="1:7" ht="15" x14ac:dyDescent="0.25">
      <c r="A228"/>
      <c r="B228"/>
      <c r="C228"/>
      <c r="D228"/>
      <c r="E228"/>
      <c r="F228" s="46"/>
      <c r="G228"/>
    </row>
    <row r="229" spans="1:7" ht="15" x14ac:dyDescent="0.25">
      <c r="A229"/>
      <c r="B229"/>
      <c r="C229"/>
      <c r="D229"/>
      <c r="E229"/>
      <c r="F229" s="46"/>
      <c r="G229"/>
    </row>
    <row r="230" spans="1:7" ht="15" x14ac:dyDescent="0.25">
      <c r="A230"/>
      <c r="B230"/>
      <c r="C230"/>
      <c r="D230"/>
      <c r="E230"/>
      <c r="F230" s="46"/>
      <c r="G230"/>
    </row>
    <row r="231" spans="1:7" ht="15" x14ac:dyDescent="0.25">
      <c r="A231"/>
      <c r="B231"/>
      <c r="C231"/>
      <c r="D231"/>
      <c r="E231"/>
      <c r="F231" s="46"/>
      <c r="G231"/>
    </row>
    <row r="232" spans="1:7" ht="15" x14ac:dyDescent="0.25">
      <c r="A232"/>
      <c r="B232"/>
      <c r="C232"/>
      <c r="D232"/>
      <c r="E232"/>
      <c r="F232" s="46"/>
      <c r="G232"/>
    </row>
    <row r="233" spans="1:7" ht="15" x14ac:dyDescent="0.25">
      <c r="A233"/>
      <c r="B233"/>
      <c r="C233"/>
      <c r="D233"/>
      <c r="E233"/>
      <c r="F233" s="46"/>
      <c r="G233"/>
    </row>
    <row r="234" spans="1:7" ht="15" x14ac:dyDescent="0.25">
      <c r="A234"/>
      <c r="B234"/>
      <c r="C234"/>
      <c r="D234"/>
      <c r="E234"/>
      <c r="F234" s="46"/>
      <c r="G234"/>
    </row>
    <row r="235" spans="1:7" ht="15" x14ac:dyDescent="0.25">
      <c r="A235"/>
      <c r="B235"/>
      <c r="C235"/>
      <c r="D235"/>
      <c r="E235"/>
      <c r="F235" s="46"/>
      <c r="G235"/>
    </row>
    <row r="236" spans="1:7" ht="15" x14ac:dyDescent="0.25">
      <c r="A236"/>
      <c r="B236"/>
      <c r="C236"/>
      <c r="D236"/>
      <c r="E236"/>
      <c r="F236" s="46"/>
      <c r="G236"/>
    </row>
    <row r="237" spans="1:7" ht="15" x14ac:dyDescent="0.25">
      <c r="A237"/>
      <c r="B237"/>
      <c r="C237"/>
      <c r="D237"/>
      <c r="E237"/>
      <c r="F237" s="46"/>
      <c r="G237"/>
    </row>
    <row r="238" spans="1:7" ht="15" x14ac:dyDescent="0.25">
      <c r="A238"/>
      <c r="B238"/>
      <c r="C238"/>
      <c r="D238"/>
      <c r="E238"/>
      <c r="F238" s="46"/>
      <c r="G238"/>
    </row>
    <row r="239" spans="1:7" ht="15" x14ac:dyDescent="0.25">
      <c r="A239"/>
      <c r="B239"/>
      <c r="C239"/>
      <c r="D239"/>
      <c r="E239"/>
      <c r="F239" s="46"/>
      <c r="G239"/>
    </row>
    <row r="240" spans="1:7" ht="15" x14ac:dyDescent="0.25">
      <c r="A240"/>
      <c r="B240"/>
      <c r="C240"/>
      <c r="D240"/>
      <c r="E240"/>
      <c r="F240" s="46"/>
      <c r="G240"/>
    </row>
    <row r="241" spans="1:7" ht="15" x14ac:dyDescent="0.25">
      <c r="A241"/>
      <c r="B241"/>
      <c r="C241"/>
      <c r="D241"/>
      <c r="E241"/>
      <c r="F241" s="46"/>
      <c r="G241"/>
    </row>
    <row r="242" spans="1:7" ht="15" x14ac:dyDescent="0.25">
      <c r="A242"/>
      <c r="B242"/>
      <c r="C242"/>
      <c r="D242"/>
      <c r="E242"/>
      <c r="F242" s="46"/>
      <c r="G242"/>
    </row>
    <row r="243" spans="1:7" ht="15" x14ac:dyDescent="0.25">
      <c r="A243"/>
      <c r="B243"/>
      <c r="C243"/>
      <c r="D243"/>
      <c r="E243"/>
      <c r="F243" s="46"/>
      <c r="G243"/>
    </row>
    <row r="244" spans="1:7" ht="15" x14ac:dyDescent="0.25">
      <c r="A244"/>
      <c r="B244"/>
      <c r="C244"/>
      <c r="D244"/>
      <c r="E244"/>
      <c r="F244" s="46"/>
      <c r="G244"/>
    </row>
    <row r="245" spans="1:7" ht="15" x14ac:dyDescent="0.25">
      <c r="A245"/>
      <c r="B245"/>
      <c r="C245"/>
      <c r="D245"/>
      <c r="E245"/>
      <c r="F245" s="46"/>
      <c r="G245"/>
    </row>
    <row r="246" spans="1:7" ht="15" x14ac:dyDescent="0.25">
      <c r="A246"/>
      <c r="B246"/>
      <c r="C246"/>
      <c r="D246"/>
      <c r="E246"/>
      <c r="F246" s="46"/>
      <c r="G246"/>
    </row>
    <row r="247" spans="1:7" ht="15" x14ac:dyDescent="0.25">
      <c r="A247"/>
      <c r="B247"/>
      <c r="C247"/>
      <c r="D247"/>
      <c r="E247"/>
      <c r="F247" s="46"/>
      <c r="G247"/>
    </row>
    <row r="248" spans="1:7" ht="15" x14ac:dyDescent="0.25">
      <c r="A248"/>
      <c r="B248"/>
      <c r="C248"/>
      <c r="D248"/>
      <c r="E248"/>
      <c r="F248" s="46"/>
      <c r="G248"/>
    </row>
    <row r="249" spans="1:7" ht="15" x14ac:dyDescent="0.25">
      <c r="A249"/>
      <c r="B249"/>
      <c r="C249"/>
      <c r="D249"/>
      <c r="E249"/>
      <c r="F249" s="46"/>
      <c r="G249"/>
    </row>
    <row r="250" spans="1:7" ht="15" x14ac:dyDescent="0.25">
      <c r="A250"/>
      <c r="B250"/>
      <c r="C250"/>
      <c r="D250"/>
      <c r="E250"/>
      <c r="F250" s="46"/>
      <c r="G250"/>
    </row>
    <row r="251" spans="1:7" ht="15" x14ac:dyDescent="0.25">
      <c r="A251"/>
      <c r="B251"/>
      <c r="C251"/>
      <c r="D251"/>
      <c r="E251"/>
      <c r="F251" s="46"/>
      <c r="G251"/>
    </row>
    <row r="252" spans="1:7" ht="15" x14ac:dyDescent="0.25">
      <c r="A252"/>
      <c r="B252"/>
      <c r="C252"/>
      <c r="D252"/>
      <c r="E252"/>
      <c r="F252" s="46"/>
      <c r="G252"/>
    </row>
    <row r="253" spans="1:7" ht="15" x14ac:dyDescent="0.25">
      <c r="A253"/>
      <c r="B253"/>
      <c r="C253"/>
      <c r="D253"/>
      <c r="E253"/>
      <c r="F253" s="46"/>
      <c r="G253"/>
    </row>
    <row r="254" spans="1:7" ht="15" x14ac:dyDescent="0.25">
      <c r="A254"/>
      <c r="B254"/>
      <c r="C254"/>
      <c r="D254"/>
      <c r="E254"/>
      <c r="F254" s="46"/>
      <c r="G254"/>
    </row>
    <row r="255" spans="1:7" ht="15" x14ac:dyDescent="0.25">
      <c r="A255"/>
      <c r="B255"/>
      <c r="C255"/>
      <c r="D255"/>
      <c r="E255"/>
      <c r="F255" s="46"/>
      <c r="G255"/>
    </row>
    <row r="256" spans="1:7" ht="15" x14ac:dyDescent="0.25">
      <c r="A256"/>
      <c r="B256"/>
      <c r="C256"/>
      <c r="D256"/>
      <c r="E256"/>
      <c r="F256" s="46"/>
      <c r="G256"/>
    </row>
    <row r="257" spans="1:7" ht="15" x14ac:dyDescent="0.25">
      <c r="A257"/>
      <c r="B257"/>
      <c r="C257"/>
      <c r="D257"/>
      <c r="E257"/>
      <c r="F257" s="46"/>
      <c r="G257"/>
    </row>
    <row r="258" spans="1:7" ht="15" x14ac:dyDescent="0.25">
      <c r="A258"/>
      <c r="B258"/>
      <c r="C258"/>
      <c r="D258"/>
      <c r="E258"/>
      <c r="F258" s="46"/>
      <c r="G258"/>
    </row>
    <row r="259" spans="1:7" ht="15" x14ac:dyDescent="0.25">
      <c r="A259"/>
      <c r="B259"/>
      <c r="C259"/>
      <c r="D259"/>
      <c r="E259"/>
      <c r="F259" s="46"/>
      <c r="G259"/>
    </row>
    <row r="260" spans="1:7" ht="15" x14ac:dyDescent="0.25">
      <c r="A260"/>
      <c r="B260"/>
      <c r="C260"/>
      <c r="D260"/>
      <c r="E260"/>
      <c r="F260" s="46"/>
      <c r="G260"/>
    </row>
    <row r="261" spans="1:7" ht="15" x14ac:dyDescent="0.25">
      <c r="A261"/>
      <c r="B261"/>
      <c r="C261"/>
      <c r="D261"/>
      <c r="E261"/>
      <c r="F261" s="46"/>
      <c r="G261"/>
    </row>
    <row r="262" spans="1:7" ht="15" x14ac:dyDescent="0.25">
      <c r="A262"/>
      <c r="B262"/>
      <c r="C262"/>
      <c r="D262"/>
      <c r="E262"/>
      <c r="F262" s="46"/>
      <c r="G262"/>
    </row>
    <row r="263" spans="1:7" ht="15" x14ac:dyDescent="0.25">
      <c r="A263"/>
      <c r="B263"/>
      <c r="C263"/>
      <c r="D263"/>
      <c r="E263"/>
      <c r="F263" s="46"/>
      <c r="G263"/>
    </row>
    <row r="264" spans="1:7" ht="15" x14ac:dyDescent="0.25">
      <c r="A264"/>
      <c r="B264"/>
      <c r="C264"/>
      <c r="D264"/>
      <c r="E264"/>
      <c r="F264" s="46"/>
      <c r="G264"/>
    </row>
    <row r="265" spans="1:7" ht="15" x14ac:dyDescent="0.25">
      <c r="A265"/>
      <c r="B265"/>
      <c r="C265"/>
      <c r="D265"/>
      <c r="E265"/>
      <c r="F265" s="46"/>
      <c r="G265"/>
    </row>
    <row r="266" spans="1:7" ht="15" x14ac:dyDescent="0.25">
      <c r="A266"/>
      <c r="B266"/>
      <c r="C266"/>
      <c r="D266"/>
      <c r="E266"/>
      <c r="F266" s="46"/>
      <c r="G266"/>
    </row>
    <row r="267" spans="1:7" ht="15" x14ac:dyDescent="0.25">
      <c r="A267"/>
      <c r="B267"/>
      <c r="C267"/>
      <c r="D267"/>
      <c r="E267"/>
      <c r="F267" s="46"/>
      <c r="G267"/>
    </row>
    <row r="268" spans="1:7" ht="15" x14ac:dyDescent="0.25">
      <c r="A268"/>
      <c r="B268"/>
      <c r="C268"/>
      <c r="D268"/>
      <c r="E268"/>
      <c r="F268" s="46"/>
      <c r="G268"/>
    </row>
  </sheetData>
  <pageMargins left="0.7" right="0.7" top="0.75" bottom="0.75" header="0.3" footer="0.3"/>
  <pageSetup scale="74" orientation="landscape" r:id="rId1"/>
  <colBreaks count="1" manualBreakCount="1">
    <brk id="6" min="1" max="3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>
    <tabColor theme="8" tint="-0.249977111117893"/>
  </sheetPr>
  <dimension ref="A1"/>
  <sheetViews>
    <sheetView workbookViewId="0">
      <selection activeCell="I16" sqref="I16"/>
    </sheetView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97"/>
  <sheetViews>
    <sheetView workbookViewId="0">
      <selection activeCell="E16" sqref="E16"/>
    </sheetView>
  </sheetViews>
  <sheetFormatPr defaultRowHeight="15" x14ac:dyDescent="0.25"/>
  <cols>
    <col min="1" max="1" width="19" customWidth="1"/>
    <col min="2" max="2" width="21.7109375" customWidth="1"/>
    <col min="3" max="3" width="19.85546875" customWidth="1"/>
    <col min="4" max="4" width="27.85546875" style="311" bestFit="1" customWidth="1"/>
    <col min="23" max="23" width="9.140625" customWidth="1"/>
  </cols>
  <sheetData>
    <row r="1" spans="1:4" x14ac:dyDescent="0.25">
      <c r="B1" t="s">
        <v>349</v>
      </c>
    </row>
    <row r="4" spans="1:4" x14ac:dyDescent="0.25">
      <c r="A4" s="200" t="s">
        <v>81</v>
      </c>
      <c r="B4" s="244" t="s">
        <v>87</v>
      </c>
      <c r="C4" s="200" t="s">
        <v>130</v>
      </c>
      <c r="D4" s="245" t="s">
        <v>461</v>
      </c>
    </row>
    <row r="5" spans="1:4" x14ac:dyDescent="0.25">
      <c r="A5" s="324">
        <v>43891</v>
      </c>
      <c r="B5" s="322" t="s">
        <v>444</v>
      </c>
      <c r="C5" s="323">
        <v>70044.37</v>
      </c>
      <c r="D5" s="321" t="s">
        <v>463</v>
      </c>
    </row>
    <row r="6" spans="1:4" x14ac:dyDescent="0.25">
      <c r="A6" s="324">
        <v>43891</v>
      </c>
      <c r="B6" s="322" t="s">
        <v>460</v>
      </c>
      <c r="C6" s="323">
        <v>0</v>
      </c>
      <c r="D6" s="311" t="s">
        <v>463</v>
      </c>
    </row>
    <row r="7" spans="1:4" x14ac:dyDescent="0.25">
      <c r="A7" s="324">
        <v>43891</v>
      </c>
      <c r="B7" s="322" t="s">
        <v>261</v>
      </c>
      <c r="C7" s="323">
        <v>21210.19</v>
      </c>
      <c r="D7" s="311">
        <v>895</v>
      </c>
    </row>
    <row r="8" spans="1:4" x14ac:dyDescent="0.25">
      <c r="A8" s="324">
        <v>43891</v>
      </c>
      <c r="B8" s="322" t="s">
        <v>262</v>
      </c>
      <c r="C8" s="323">
        <v>525119.97999999986</v>
      </c>
      <c r="D8" s="311">
        <v>896</v>
      </c>
    </row>
    <row r="9" spans="1:4" x14ac:dyDescent="0.25">
      <c r="A9" s="324">
        <v>43891</v>
      </c>
      <c r="B9" s="322" t="s">
        <v>462</v>
      </c>
      <c r="C9" s="323">
        <v>31524.879999999997</v>
      </c>
      <c r="D9" s="311" t="s">
        <v>464</v>
      </c>
    </row>
    <row r="10" spans="1:4" x14ac:dyDescent="0.25">
      <c r="A10" s="324">
        <v>43922</v>
      </c>
      <c r="B10" s="322" t="s">
        <v>444</v>
      </c>
      <c r="C10" s="323">
        <v>99438.47</v>
      </c>
      <c r="D10" s="321" t="s">
        <v>463</v>
      </c>
    </row>
    <row r="11" spans="1:4" x14ac:dyDescent="0.25">
      <c r="A11" s="324">
        <v>43922</v>
      </c>
      <c r="B11" s="322" t="s">
        <v>460</v>
      </c>
      <c r="C11" s="323">
        <v>0</v>
      </c>
      <c r="D11" s="311" t="s">
        <v>463</v>
      </c>
    </row>
    <row r="12" spans="1:4" x14ac:dyDescent="0.25">
      <c r="A12" s="324">
        <v>43922</v>
      </c>
      <c r="B12" s="322" t="s">
        <v>261</v>
      </c>
      <c r="C12" s="323">
        <v>20971.14</v>
      </c>
      <c r="D12" s="311">
        <v>895</v>
      </c>
    </row>
    <row r="13" spans="1:4" x14ac:dyDescent="0.25">
      <c r="A13" s="324">
        <v>43922</v>
      </c>
      <c r="B13" s="322" t="s">
        <v>262</v>
      </c>
      <c r="C13" s="323">
        <v>515955.22999999992</v>
      </c>
      <c r="D13" s="311">
        <v>896</v>
      </c>
    </row>
    <row r="14" spans="1:4" x14ac:dyDescent="0.25">
      <c r="A14" s="324">
        <v>43922</v>
      </c>
      <c r="B14" s="322" t="s">
        <v>462</v>
      </c>
      <c r="C14" s="323">
        <v>31020.649999999994</v>
      </c>
      <c r="D14" s="311" t="s">
        <v>464</v>
      </c>
    </row>
    <row r="15" spans="1:4" x14ac:dyDescent="0.25">
      <c r="A15" s="324">
        <v>43952</v>
      </c>
      <c r="B15" s="322" t="s">
        <v>444</v>
      </c>
      <c r="C15" s="323">
        <v>149226.43</v>
      </c>
      <c r="D15" s="321" t="s">
        <v>463</v>
      </c>
    </row>
    <row r="16" spans="1:4" x14ac:dyDescent="0.25">
      <c r="A16" s="324">
        <v>43952</v>
      </c>
      <c r="B16" s="322" t="s">
        <v>460</v>
      </c>
      <c r="C16" s="323">
        <v>0</v>
      </c>
      <c r="D16" s="311" t="s">
        <v>463</v>
      </c>
    </row>
    <row r="17" spans="1:4" x14ac:dyDescent="0.25">
      <c r="A17" s="324">
        <v>43952</v>
      </c>
      <c r="B17" s="322" t="s">
        <v>261</v>
      </c>
      <c r="C17" s="323">
        <v>20872.96</v>
      </c>
      <c r="D17" s="311">
        <v>895</v>
      </c>
    </row>
    <row r="18" spans="1:4" x14ac:dyDescent="0.25">
      <c r="A18" s="324">
        <v>43952</v>
      </c>
      <c r="B18" s="322" t="s">
        <v>262</v>
      </c>
      <c r="C18" s="323">
        <v>485684.43999999983</v>
      </c>
      <c r="D18" s="311">
        <v>896</v>
      </c>
    </row>
    <row r="19" spans="1:4" x14ac:dyDescent="0.25">
      <c r="A19" s="324">
        <v>43952</v>
      </c>
      <c r="B19" s="322" t="s">
        <v>462</v>
      </c>
      <c r="C19" s="323">
        <v>30952.9</v>
      </c>
      <c r="D19" s="311" t="s">
        <v>464</v>
      </c>
    </row>
    <row r="20" spans="1:4" x14ac:dyDescent="0.25">
      <c r="A20" s="324">
        <v>43983</v>
      </c>
      <c r="B20" s="322" t="s">
        <v>444</v>
      </c>
      <c r="C20" s="323">
        <v>112360.28</v>
      </c>
      <c r="D20" s="321" t="s">
        <v>463</v>
      </c>
    </row>
    <row r="21" spans="1:4" x14ac:dyDescent="0.25">
      <c r="A21" s="324">
        <v>43983</v>
      </c>
      <c r="B21" s="322" t="s">
        <v>460</v>
      </c>
      <c r="C21" s="323">
        <v>0</v>
      </c>
      <c r="D21" s="311" t="s">
        <v>463</v>
      </c>
    </row>
    <row r="22" spans="1:4" x14ac:dyDescent="0.25">
      <c r="A22" s="324">
        <v>43983</v>
      </c>
      <c r="B22" s="322" t="s">
        <v>261</v>
      </c>
      <c r="C22" s="323">
        <v>20870.649999999998</v>
      </c>
      <c r="D22" s="311">
        <v>895</v>
      </c>
    </row>
    <row r="23" spans="1:4" x14ac:dyDescent="0.25">
      <c r="A23" s="324">
        <v>43983</v>
      </c>
      <c r="B23" s="322" t="s">
        <v>262</v>
      </c>
      <c r="C23" s="323">
        <v>496290.9000000002</v>
      </c>
      <c r="D23" s="311">
        <v>896</v>
      </c>
    </row>
    <row r="24" spans="1:4" x14ac:dyDescent="0.25">
      <c r="A24" s="324">
        <v>43983</v>
      </c>
      <c r="B24" s="322" t="s">
        <v>462</v>
      </c>
      <c r="C24" s="323">
        <v>29598.489999999998</v>
      </c>
      <c r="D24" s="311" t="s">
        <v>464</v>
      </c>
    </row>
    <row r="25" spans="1:4" x14ac:dyDescent="0.25">
      <c r="A25" s="324">
        <v>44013</v>
      </c>
      <c r="B25" s="322" t="s">
        <v>444</v>
      </c>
      <c r="C25" s="323">
        <v>132615.60999999999</v>
      </c>
      <c r="D25" s="321" t="s">
        <v>463</v>
      </c>
    </row>
    <row r="26" spans="1:4" x14ac:dyDescent="0.25">
      <c r="A26" s="324">
        <v>44013</v>
      </c>
      <c r="B26" s="322" t="s">
        <v>460</v>
      </c>
      <c r="C26" s="202">
        <v>0</v>
      </c>
      <c r="D26" s="311" t="s">
        <v>463</v>
      </c>
    </row>
    <row r="27" spans="1:4" x14ac:dyDescent="0.25">
      <c r="A27" s="324">
        <v>44013</v>
      </c>
      <c r="B27" s="322" t="s">
        <v>261</v>
      </c>
      <c r="C27" s="323">
        <v>20580.559999999998</v>
      </c>
      <c r="D27" s="311">
        <v>895</v>
      </c>
    </row>
    <row r="28" spans="1:4" x14ac:dyDescent="0.25">
      <c r="A28" s="324">
        <v>44013</v>
      </c>
      <c r="B28" s="322" t="s">
        <v>262</v>
      </c>
      <c r="C28" s="202">
        <v>492994.01000000018</v>
      </c>
      <c r="D28" s="311">
        <v>896</v>
      </c>
    </row>
    <row r="29" spans="1:4" x14ac:dyDescent="0.25">
      <c r="A29" s="324">
        <v>44013</v>
      </c>
      <c r="B29" s="322" t="s">
        <v>462</v>
      </c>
      <c r="C29" s="202">
        <v>29249.59</v>
      </c>
      <c r="D29" s="311" t="s">
        <v>464</v>
      </c>
    </row>
    <row r="30" spans="1:4" x14ac:dyDescent="0.25">
      <c r="A30" s="324">
        <v>44044</v>
      </c>
      <c r="B30" s="322" t="s">
        <v>444</v>
      </c>
      <c r="C30" s="202">
        <v>95654.36</v>
      </c>
      <c r="D30" s="321" t="s">
        <v>463</v>
      </c>
    </row>
    <row r="31" spans="1:4" x14ac:dyDescent="0.25">
      <c r="A31" s="324">
        <v>44044</v>
      </c>
      <c r="B31" s="322" t="s">
        <v>460</v>
      </c>
      <c r="C31" s="202">
        <v>0</v>
      </c>
      <c r="D31" s="311" t="s">
        <v>463</v>
      </c>
    </row>
    <row r="32" spans="1:4" x14ac:dyDescent="0.25">
      <c r="A32" s="324">
        <v>44044</v>
      </c>
      <c r="B32" s="322" t="s">
        <v>261</v>
      </c>
      <c r="C32" s="202">
        <v>20530.88</v>
      </c>
      <c r="D32" s="311">
        <v>895</v>
      </c>
    </row>
    <row r="33" spans="1:4" x14ac:dyDescent="0.25">
      <c r="A33" s="324">
        <v>44044</v>
      </c>
      <c r="B33" s="322" t="s">
        <v>262</v>
      </c>
      <c r="C33" s="202">
        <v>485171.54</v>
      </c>
      <c r="D33" s="311">
        <v>896</v>
      </c>
    </row>
    <row r="34" spans="1:4" x14ac:dyDescent="0.25">
      <c r="A34" s="324">
        <v>44044</v>
      </c>
      <c r="B34" s="322" t="s">
        <v>462</v>
      </c>
      <c r="C34" s="202">
        <v>29761.61</v>
      </c>
      <c r="D34" s="311" t="s">
        <v>464</v>
      </c>
    </row>
    <row r="35" spans="1:4" x14ac:dyDescent="0.25">
      <c r="A35" s="324">
        <v>44075</v>
      </c>
      <c r="B35" s="322" t="s">
        <v>444</v>
      </c>
      <c r="C35" s="202"/>
      <c r="D35" s="321" t="s">
        <v>463</v>
      </c>
    </row>
    <row r="36" spans="1:4" x14ac:dyDescent="0.25">
      <c r="A36" s="324">
        <v>44075</v>
      </c>
      <c r="B36" s="322" t="s">
        <v>460</v>
      </c>
      <c r="C36" s="202"/>
      <c r="D36" s="311" t="s">
        <v>463</v>
      </c>
    </row>
    <row r="37" spans="1:4" x14ac:dyDescent="0.25">
      <c r="A37" s="324">
        <v>44075</v>
      </c>
      <c r="B37" s="322" t="s">
        <v>261</v>
      </c>
      <c r="C37" s="202"/>
      <c r="D37" s="311">
        <v>895</v>
      </c>
    </row>
    <row r="38" spans="1:4" x14ac:dyDescent="0.25">
      <c r="A38" s="324">
        <v>44075</v>
      </c>
      <c r="B38" s="322" t="s">
        <v>262</v>
      </c>
      <c r="C38" s="202"/>
      <c r="D38" s="311">
        <v>896</v>
      </c>
    </row>
    <row r="39" spans="1:4" x14ac:dyDescent="0.25">
      <c r="A39" s="324">
        <v>44075</v>
      </c>
      <c r="B39" s="322" t="s">
        <v>462</v>
      </c>
      <c r="C39" s="202"/>
      <c r="D39" s="311" t="s">
        <v>464</v>
      </c>
    </row>
    <row r="40" spans="1:4" x14ac:dyDescent="0.25">
      <c r="A40" s="324">
        <v>44105</v>
      </c>
      <c r="B40" s="322" t="s">
        <v>444</v>
      </c>
      <c r="C40" s="202"/>
      <c r="D40" s="321" t="s">
        <v>463</v>
      </c>
    </row>
    <row r="41" spans="1:4" x14ac:dyDescent="0.25">
      <c r="A41" s="324">
        <v>44105</v>
      </c>
      <c r="B41" s="322" t="s">
        <v>460</v>
      </c>
      <c r="C41" s="202"/>
      <c r="D41" s="311" t="s">
        <v>463</v>
      </c>
    </row>
    <row r="42" spans="1:4" x14ac:dyDescent="0.25">
      <c r="A42" s="324">
        <v>44105</v>
      </c>
      <c r="B42" s="322" t="s">
        <v>261</v>
      </c>
      <c r="C42" s="202"/>
      <c r="D42" s="311">
        <v>895</v>
      </c>
    </row>
    <row r="43" spans="1:4" x14ac:dyDescent="0.25">
      <c r="A43" s="324">
        <v>44105</v>
      </c>
      <c r="B43" s="322" t="s">
        <v>262</v>
      </c>
      <c r="C43" s="202"/>
      <c r="D43" s="311">
        <v>896</v>
      </c>
    </row>
    <row r="44" spans="1:4" x14ac:dyDescent="0.25">
      <c r="A44" s="324">
        <v>44105</v>
      </c>
      <c r="B44" s="322" t="s">
        <v>462</v>
      </c>
      <c r="C44" s="202"/>
      <c r="D44" s="311" t="s">
        <v>464</v>
      </c>
    </row>
    <row r="45" spans="1:4" x14ac:dyDescent="0.25">
      <c r="A45" s="324">
        <v>44136</v>
      </c>
      <c r="B45" s="322" t="s">
        <v>444</v>
      </c>
      <c r="C45" s="202"/>
      <c r="D45" s="321" t="s">
        <v>463</v>
      </c>
    </row>
    <row r="46" spans="1:4" x14ac:dyDescent="0.25">
      <c r="A46" s="324">
        <v>44136</v>
      </c>
      <c r="B46" s="322" t="s">
        <v>460</v>
      </c>
      <c r="C46" s="202"/>
      <c r="D46" s="311" t="s">
        <v>463</v>
      </c>
    </row>
    <row r="47" spans="1:4" x14ac:dyDescent="0.25">
      <c r="A47" s="324">
        <v>44136</v>
      </c>
      <c r="B47" s="322" t="s">
        <v>261</v>
      </c>
      <c r="C47" s="202"/>
      <c r="D47" s="311">
        <v>895</v>
      </c>
    </row>
    <row r="48" spans="1:4" x14ac:dyDescent="0.25">
      <c r="A48" s="324">
        <v>44136</v>
      </c>
      <c r="B48" s="322" t="s">
        <v>262</v>
      </c>
      <c r="C48" s="202"/>
      <c r="D48" s="311">
        <v>896</v>
      </c>
    </row>
    <row r="49" spans="1:4" x14ac:dyDescent="0.25">
      <c r="A49" s="324">
        <v>44136</v>
      </c>
      <c r="B49" s="322" t="s">
        <v>462</v>
      </c>
      <c r="C49" s="202"/>
      <c r="D49" s="311" t="s">
        <v>464</v>
      </c>
    </row>
    <row r="50" spans="1:4" x14ac:dyDescent="0.25">
      <c r="A50" s="324">
        <v>44166</v>
      </c>
      <c r="B50" s="322" t="s">
        <v>444</v>
      </c>
      <c r="C50" s="202"/>
      <c r="D50" s="321" t="s">
        <v>463</v>
      </c>
    </row>
    <row r="51" spans="1:4" x14ac:dyDescent="0.25">
      <c r="A51" s="324">
        <v>44166</v>
      </c>
      <c r="B51" s="322" t="s">
        <v>460</v>
      </c>
      <c r="C51" s="202"/>
      <c r="D51" s="311" t="s">
        <v>463</v>
      </c>
    </row>
    <row r="52" spans="1:4" x14ac:dyDescent="0.25">
      <c r="A52" s="324">
        <v>44166</v>
      </c>
      <c r="B52" s="322" t="s">
        <v>261</v>
      </c>
      <c r="C52" s="202"/>
      <c r="D52" s="311">
        <v>895</v>
      </c>
    </row>
    <row r="53" spans="1:4" x14ac:dyDescent="0.25">
      <c r="A53" s="324">
        <v>44166</v>
      </c>
      <c r="B53" s="322" t="s">
        <v>262</v>
      </c>
      <c r="C53" s="202"/>
      <c r="D53" s="311">
        <v>896</v>
      </c>
    </row>
    <row r="54" spans="1:4" x14ac:dyDescent="0.25">
      <c r="A54" s="324">
        <v>44166</v>
      </c>
      <c r="B54" s="322" t="s">
        <v>462</v>
      </c>
      <c r="C54" s="202"/>
      <c r="D54" s="311" t="s">
        <v>464</v>
      </c>
    </row>
    <row r="55" spans="1:4" x14ac:dyDescent="0.25">
      <c r="A55" s="324">
        <v>44197</v>
      </c>
      <c r="B55" s="322" t="s">
        <v>444</v>
      </c>
      <c r="C55" s="202"/>
      <c r="D55" s="321" t="s">
        <v>463</v>
      </c>
    </row>
    <row r="56" spans="1:4" x14ac:dyDescent="0.25">
      <c r="A56" s="324">
        <v>44197</v>
      </c>
      <c r="B56" s="322" t="s">
        <v>460</v>
      </c>
      <c r="C56" s="202"/>
      <c r="D56" s="311" t="s">
        <v>463</v>
      </c>
    </row>
    <row r="57" spans="1:4" x14ac:dyDescent="0.25">
      <c r="A57" s="324">
        <v>44197</v>
      </c>
      <c r="B57" s="322" t="s">
        <v>261</v>
      </c>
      <c r="C57" s="202"/>
      <c r="D57" s="311">
        <v>895</v>
      </c>
    </row>
    <row r="58" spans="1:4" x14ac:dyDescent="0.25">
      <c r="A58" s="324">
        <v>44197</v>
      </c>
      <c r="B58" s="322" t="s">
        <v>262</v>
      </c>
      <c r="C58" s="202"/>
      <c r="D58" s="311">
        <v>896</v>
      </c>
    </row>
    <row r="59" spans="1:4" x14ac:dyDescent="0.25">
      <c r="A59" s="324">
        <v>44197</v>
      </c>
      <c r="B59" s="322" t="s">
        <v>462</v>
      </c>
      <c r="C59" s="202"/>
      <c r="D59" s="311" t="s">
        <v>464</v>
      </c>
    </row>
    <row r="60" spans="1:4" x14ac:dyDescent="0.25">
      <c r="A60" s="324">
        <v>44228</v>
      </c>
      <c r="B60" s="322" t="s">
        <v>444</v>
      </c>
      <c r="C60" s="202"/>
      <c r="D60" s="321" t="s">
        <v>463</v>
      </c>
    </row>
    <row r="61" spans="1:4" x14ac:dyDescent="0.25">
      <c r="A61" s="324">
        <v>44228</v>
      </c>
      <c r="B61" s="322" t="s">
        <v>460</v>
      </c>
      <c r="C61" s="202"/>
      <c r="D61" s="311" t="s">
        <v>463</v>
      </c>
    </row>
    <row r="62" spans="1:4" x14ac:dyDescent="0.25">
      <c r="A62" s="324">
        <v>44228</v>
      </c>
      <c r="B62" s="322" t="s">
        <v>261</v>
      </c>
      <c r="C62" s="202"/>
      <c r="D62" s="311">
        <v>895</v>
      </c>
    </row>
    <row r="63" spans="1:4" x14ac:dyDescent="0.25">
      <c r="A63" s="324">
        <v>44228</v>
      </c>
      <c r="B63" s="322" t="s">
        <v>262</v>
      </c>
      <c r="C63" s="202"/>
      <c r="D63" s="311">
        <v>896</v>
      </c>
    </row>
    <row r="64" spans="1:4" x14ac:dyDescent="0.25">
      <c r="A64" s="324">
        <v>44228</v>
      </c>
      <c r="B64" s="322" t="s">
        <v>462</v>
      </c>
      <c r="C64" s="202"/>
      <c r="D64" s="311" t="s">
        <v>464</v>
      </c>
    </row>
    <row r="65" spans="1:3" x14ac:dyDescent="0.25">
      <c r="A65" s="201"/>
      <c r="B65" s="244"/>
      <c r="C65" s="202"/>
    </row>
    <row r="66" spans="1:3" x14ac:dyDescent="0.25">
      <c r="A66" s="201"/>
      <c r="B66" s="244"/>
      <c r="C66" s="202">
        <f>SUM(C5:C64)</f>
        <v>3967700.1199999992</v>
      </c>
    </row>
    <row r="67" spans="1:3" x14ac:dyDescent="0.25">
      <c r="A67" s="201"/>
      <c r="B67" s="244"/>
      <c r="C67" s="202"/>
    </row>
    <row r="68" spans="1:3" x14ac:dyDescent="0.25">
      <c r="A68" s="201"/>
      <c r="B68" s="244"/>
      <c r="C68" s="202"/>
    </row>
    <row r="69" spans="1:3" x14ac:dyDescent="0.25">
      <c r="A69" s="201"/>
      <c r="B69" s="244"/>
      <c r="C69" s="202"/>
    </row>
    <row r="70" spans="1:3" x14ac:dyDescent="0.25">
      <c r="A70" s="201"/>
      <c r="B70" s="206"/>
      <c r="C70" s="202"/>
    </row>
    <row r="71" spans="1:3" x14ac:dyDescent="0.25">
      <c r="A71" s="201"/>
      <c r="B71" s="206"/>
      <c r="C71" s="202"/>
    </row>
    <row r="72" spans="1:3" x14ac:dyDescent="0.25">
      <c r="A72" s="201"/>
      <c r="B72" s="206"/>
      <c r="C72" s="202"/>
    </row>
    <row r="73" spans="1:3" x14ac:dyDescent="0.25">
      <c r="A73" s="201"/>
      <c r="B73" s="206"/>
      <c r="C73" s="202"/>
    </row>
    <row r="74" spans="1:3" x14ac:dyDescent="0.25">
      <c r="A74" s="201"/>
      <c r="B74" s="205"/>
      <c r="C74" s="202"/>
    </row>
    <row r="75" spans="1:3" x14ac:dyDescent="0.25">
      <c r="A75" s="201"/>
      <c r="B75" s="206"/>
      <c r="C75" s="202"/>
    </row>
    <row r="76" spans="1:3" x14ac:dyDescent="0.25">
      <c r="A76" s="201"/>
      <c r="B76" s="205"/>
      <c r="C76" s="202"/>
    </row>
    <row r="77" spans="1:3" x14ac:dyDescent="0.25">
      <c r="A77" s="201"/>
      <c r="B77" s="206"/>
      <c r="C77" s="202"/>
    </row>
    <row r="78" spans="1:3" x14ac:dyDescent="0.25">
      <c r="A78" s="201"/>
      <c r="B78" s="206"/>
      <c r="C78" s="202"/>
    </row>
    <row r="79" spans="1:3" x14ac:dyDescent="0.25">
      <c r="A79" s="201"/>
      <c r="B79" s="206"/>
      <c r="C79" s="202"/>
    </row>
    <row r="80" spans="1:3" x14ac:dyDescent="0.25">
      <c r="A80" s="201"/>
      <c r="B80" s="206"/>
      <c r="C80" s="202"/>
    </row>
    <row r="81" spans="1:3" x14ac:dyDescent="0.25">
      <c r="A81" s="201"/>
      <c r="B81" s="206"/>
      <c r="C81" s="202"/>
    </row>
    <row r="82" spans="1:3" x14ac:dyDescent="0.25">
      <c r="A82" s="201"/>
      <c r="B82" s="205"/>
      <c r="C82" s="202"/>
    </row>
    <row r="83" spans="1:3" x14ac:dyDescent="0.25">
      <c r="A83" s="201"/>
      <c r="B83" s="206"/>
      <c r="C83" s="202"/>
    </row>
    <row r="84" spans="1:3" x14ac:dyDescent="0.25">
      <c r="A84" s="201"/>
      <c r="B84" s="205"/>
      <c r="C84" s="202"/>
    </row>
    <row r="85" spans="1:3" x14ac:dyDescent="0.25">
      <c r="A85" s="201"/>
      <c r="B85" s="206"/>
      <c r="C85" s="202"/>
    </row>
    <row r="86" spans="1:3" x14ac:dyDescent="0.25">
      <c r="A86" s="201"/>
      <c r="B86" s="206"/>
      <c r="C86" s="202"/>
    </row>
    <row r="87" spans="1:3" x14ac:dyDescent="0.25">
      <c r="A87" s="201"/>
      <c r="B87" s="206"/>
      <c r="C87" s="202"/>
    </row>
    <row r="88" spans="1:3" x14ac:dyDescent="0.25">
      <c r="A88" s="201"/>
      <c r="B88" s="206"/>
      <c r="C88" s="202"/>
    </row>
    <row r="89" spans="1:3" x14ac:dyDescent="0.25">
      <c r="A89" s="201"/>
      <c r="B89" s="206"/>
      <c r="C89" s="202"/>
    </row>
    <row r="90" spans="1:3" x14ac:dyDescent="0.25">
      <c r="A90" s="201"/>
      <c r="B90" s="205"/>
      <c r="C90" s="202"/>
    </row>
    <row r="91" spans="1:3" x14ac:dyDescent="0.25">
      <c r="A91" s="201"/>
      <c r="B91" s="206"/>
      <c r="C91" s="202"/>
    </row>
    <row r="92" spans="1:3" x14ac:dyDescent="0.25">
      <c r="A92" s="201"/>
      <c r="B92" s="205"/>
      <c r="C92" s="202"/>
    </row>
    <row r="93" spans="1:3" x14ac:dyDescent="0.25">
      <c r="A93" s="201"/>
      <c r="B93" s="206"/>
      <c r="C93" s="202"/>
    </row>
    <row r="94" spans="1:3" x14ac:dyDescent="0.25">
      <c r="A94" s="201"/>
      <c r="B94" s="206"/>
      <c r="C94" s="202"/>
    </row>
    <row r="95" spans="1:3" x14ac:dyDescent="0.25">
      <c r="A95" s="201"/>
      <c r="B95" s="206"/>
      <c r="C95" s="202"/>
    </row>
    <row r="96" spans="1:3" x14ac:dyDescent="0.25">
      <c r="A96" s="201"/>
      <c r="B96" s="206"/>
      <c r="C96" s="202"/>
    </row>
    <row r="97" spans="1:3" x14ac:dyDescent="0.25">
      <c r="A97" s="201"/>
      <c r="B97" s="206"/>
      <c r="C97" s="202"/>
    </row>
  </sheetData>
  <autoFilter ref="A4:D4" xr:uid="{00000000-0009-0000-0000-00001B000000}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97"/>
  <sheetViews>
    <sheetView workbookViewId="0">
      <selection activeCell="F10" sqref="F10"/>
    </sheetView>
  </sheetViews>
  <sheetFormatPr defaultRowHeight="15" x14ac:dyDescent="0.25"/>
  <cols>
    <col min="1" max="1" width="19" customWidth="1"/>
    <col min="2" max="2" width="21.7109375" customWidth="1"/>
    <col min="3" max="3" width="19.85546875" customWidth="1"/>
    <col min="4" max="4" width="27.85546875" style="311" bestFit="1" customWidth="1"/>
    <col min="23" max="23" width="9.140625" customWidth="1"/>
  </cols>
  <sheetData>
    <row r="1" spans="1:4" x14ac:dyDescent="0.25">
      <c r="B1" t="s">
        <v>349</v>
      </c>
    </row>
    <row r="4" spans="1:4" x14ac:dyDescent="0.25">
      <c r="A4" s="200" t="s">
        <v>81</v>
      </c>
      <c r="B4" s="200" t="s">
        <v>87</v>
      </c>
      <c r="C4" s="200" t="s">
        <v>130</v>
      </c>
      <c r="D4" s="457" t="s">
        <v>461</v>
      </c>
    </row>
    <row r="5" spans="1:4" x14ac:dyDescent="0.25">
      <c r="A5" s="324">
        <v>43891</v>
      </c>
      <c r="B5" s="322" t="s">
        <v>444</v>
      </c>
      <c r="C5" s="323">
        <v>107.49</v>
      </c>
      <c r="D5" s="321"/>
    </row>
    <row r="6" spans="1:4" x14ac:dyDescent="0.25">
      <c r="A6" s="324">
        <v>43891</v>
      </c>
      <c r="B6" s="322" t="s">
        <v>460</v>
      </c>
      <c r="C6" s="323">
        <v>0</v>
      </c>
    </row>
    <row r="7" spans="1:4" x14ac:dyDescent="0.25">
      <c r="A7" s="324">
        <v>43891</v>
      </c>
      <c r="B7" s="322" t="s">
        <v>261</v>
      </c>
      <c r="C7" s="323">
        <v>0</v>
      </c>
      <c r="D7" s="321"/>
    </row>
    <row r="8" spans="1:4" x14ac:dyDescent="0.25">
      <c r="A8" s="324">
        <v>43891</v>
      </c>
      <c r="B8" s="322" t="s">
        <v>262</v>
      </c>
      <c r="C8" s="323">
        <v>60299.66</v>
      </c>
      <c r="D8" s="326"/>
    </row>
    <row r="9" spans="1:4" x14ac:dyDescent="0.25">
      <c r="A9" s="324">
        <v>43891</v>
      </c>
      <c r="B9" s="322" t="s">
        <v>462</v>
      </c>
      <c r="C9" s="323">
        <v>0</v>
      </c>
      <c r="D9" s="326"/>
    </row>
    <row r="10" spans="1:4" x14ac:dyDescent="0.25">
      <c r="A10" s="324">
        <v>43922</v>
      </c>
      <c r="B10" s="322" t="s">
        <v>444</v>
      </c>
      <c r="C10" s="323">
        <v>4839.1899999999996</v>
      </c>
      <c r="D10" s="321"/>
    </row>
    <row r="11" spans="1:4" x14ac:dyDescent="0.25">
      <c r="A11" s="324">
        <v>43922</v>
      </c>
      <c r="B11" s="322" t="s">
        <v>460</v>
      </c>
      <c r="C11" s="323">
        <v>0</v>
      </c>
      <c r="D11" s="353"/>
    </row>
    <row r="12" spans="1:4" x14ac:dyDescent="0.25">
      <c r="A12" s="324">
        <v>43922</v>
      </c>
      <c r="B12" s="322" t="s">
        <v>261</v>
      </c>
      <c r="C12" s="323">
        <v>0</v>
      </c>
      <c r="D12" s="321"/>
    </row>
    <row r="13" spans="1:4" x14ac:dyDescent="0.25">
      <c r="A13" s="324">
        <v>43922</v>
      </c>
      <c r="B13" s="322" t="s">
        <v>262</v>
      </c>
      <c r="C13" s="323">
        <v>14743.8</v>
      </c>
      <c r="D13" s="376"/>
    </row>
    <row r="14" spans="1:4" x14ac:dyDescent="0.25">
      <c r="A14" s="324">
        <v>43922</v>
      </c>
      <c r="B14" s="322" t="s">
        <v>462</v>
      </c>
      <c r="C14" s="323">
        <v>0</v>
      </c>
      <c r="D14" s="353"/>
    </row>
    <row r="15" spans="1:4" x14ac:dyDescent="0.25">
      <c r="A15" s="324">
        <v>43952</v>
      </c>
      <c r="B15" s="322" t="s">
        <v>444</v>
      </c>
      <c r="C15" s="323">
        <v>654.23</v>
      </c>
      <c r="D15" s="321"/>
    </row>
    <row r="16" spans="1:4" x14ac:dyDescent="0.25">
      <c r="A16" s="324">
        <v>43952</v>
      </c>
      <c r="B16" s="322" t="s">
        <v>460</v>
      </c>
      <c r="C16" s="323">
        <v>0</v>
      </c>
      <c r="D16" s="353"/>
    </row>
    <row r="17" spans="1:4" x14ac:dyDescent="0.25">
      <c r="A17" s="324">
        <v>43952</v>
      </c>
      <c r="B17" s="322" t="s">
        <v>261</v>
      </c>
      <c r="C17" s="323">
        <v>0</v>
      </c>
      <c r="D17" s="321"/>
    </row>
    <row r="18" spans="1:4" x14ac:dyDescent="0.25">
      <c r="A18" s="324">
        <v>43952</v>
      </c>
      <c r="B18" s="322" t="s">
        <v>262</v>
      </c>
      <c r="C18" s="323">
        <v>8157.05</v>
      </c>
      <c r="D18" s="353"/>
    </row>
    <row r="19" spans="1:4" x14ac:dyDescent="0.25">
      <c r="A19" s="324">
        <v>43952</v>
      </c>
      <c r="B19" s="322" t="s">
        <v>462</v>
      </c>
      <c r="C19" s="323">
        <v>0</v>
      </c>
      <c r="D19" s="353"/>
    </row>
    <row r="20" spans="1:4" x14ac:dyDescent="0.25">
      <c r="A20" s="324">
        <v>43983</v>
      </c>
      <c r="B20" s="322" t="s">
        <v>444</v>
      </c>
      <c r="C20" s="323">
        <v>0</v>
      </c>
      <c r="D20" s="321"/>
    </row>
    <row r="21" spans="1:4" x14ac:dyDescent="0.25">
      <c r="A21" s="324">
        <v>43983</v>
      </c>
      <c r="B21" s="322" t="s">
        <v>460</v>
      </c>
      <c r="C21" s="323">
        <v>0</v>
      </c>
      <c r="D21" s="353"/>
    </row>
    <row r="22" spans="1:4" x14ac:dyDescent="0.25">
      <c r="A22" s="324">
        <v>43983</v>
      </c>
      <c r="B22" s="322" t="s">
        <v>261</v>
      </c>
      <c r="C22" s="323">
        <v>0</v>
      </c>
      <c r="D22" s="321"/>
    </row>
    <row r="23" spans="1:4" x14ac:dyDescent="0.25">
      <c r="A23" s="324">
        <v>43983</v>
      </c>
      <c r="B23" s="322" t="s">
        <v>262</v>
      </c>
      <c r="C23" s="323">
        <v>0</v>
      </c>
      <c r="D23" s="353"/>
    </row>
    <row r="24" spans="1:4" x14ac:dyDescent="0.25">
      <c r="A24" s="324">
        <v>43983</v>
      </c>
      <c r="B24" s="322" t="s">
        <v>462</v>
      </c>
      <c r="C24" s="323">
        <v>201.92</v>
      </c>
      <c r="D24" s="353"/>
    </row>
    <row r="25" spans="1:4" x14ac:dyDescent="0.25">
      <c r="A25" s="324">
        <v>44013</v>
      </c>
      <c r="B25" s="322" t="s">
        <v>444</v>
      </c>
      <c r="C25" s="323">
        <v>0</v>
      </c>
      <c r="D25" s="321"/>
    </row>
    <row r="26" spans="1:4" x14ac:dyDescent="0.25">
      <c r="A26" s="324">
        <v>44013</v>
      </c>
      <c r="B26" s="322" t="s">
        <v>460</v>
      </c>
      <c r="C26" s="202">
        <v>0</v>
      </c>
      <c r="D26" s="353"/>
    </row>
    <row r="27" spans="1:4" x14ac:dyDescent="0.25">
      <c r="A27" s="324">
        <v>44013</v>
      </c>
      <c r="B27" s="322" t="s">
        <v>261</v>
      </c>
      <c r="C27" s="202">
        <v>0</v>
      </c>
      <c r="D27" s="321"/>
    </row>
    <row r="28" spans="1:4" x14ac:dyDescent="0.25">
      <c r="A28" s="324">
        <v>44013</v>
      </c>
      <c r="B28" s="322" t="s">
        <v>262</v>
      </c>
      <c r="C28" s="202">
        <v>13530.84</v>
      </c>
      <c r="D28" s="353"/>
    </row>
    <row r="29" spans="1:4" x14ac:dyDescent="0.25">
      <c r="A29" s="324">
        <v>44013</v>
      </c>
      <c r="B29" s="322" t="s">
        <v>462</v>
      </c>
      <c r="C29" s="202">
        <v>1316.42</v>
      </c>
      <c r="D29" s="353"/>
    </row>
    <row r="30" spans="1:4" x14ac:dyDescent="0.25">
      <c r="A30" s="324">
        <v>44044</v>
      </c>
      <c r="B30" s="322" t="s">
        <v>444</v>
      </c>
      <c r="C30" s="202">
        <v>0</v>
      </c>
      <c r="D30" s="321"/>
    </row>
    <row r="31" spans="1:4" x14ac:dyDescent="0.25">
      <c r="A31" s="324">
        <v>44044</v>
      </c>
      <c r="B31" s="322" t="s">
        <v>460</v>
      </c>
      <c r="C31" s="202">
        <v>0</v>
      </c>
      <c r="D31" s="353"/>
    </row>
    <row r="32" spans="1:4" x14ac:dyDescent="0.25">
      <c r="A32" s="324">
        <v>44044</v>
      </c>
      <c r="B32" s="322" t="s">
        <v>261</v>
      </c>
      <c r="C32" s="202">
        <v>0</v>
      </c>
      <c r="D32" s="321"/>
    </row>
    <row r="33" spans="1:4" x14ac:dyDescent="0.25">
      <c r="A33" s="324">
        <v>44044</v>
      </c>
      <c r="B33" s="322" t="s">
        <v>262</v>
      </c>
      <c r="C33" s="202">
        <v>1827.67</v>
      </c>
      <c r="D33" s="353"/>
    </row>
    <row r="34" spans="1:4" x14ac:dyDescent="0.25">
      <c r="A34" s="324">
        <v>44044</v>
      </c>
      <c r="B34" s="322" t="s">
        <v>462</v>
      </c>
      <c r="C34" s="202">
        <v>0</v>
      </c>
      <c r="D34" s="353"/>
    </row>
    <row r="35" spans="1:4" x14ac:dyDescent="0.25">
      <c r="A35" s="324">
        <v>44075</v>
      </c>
      <c r="B35" s="322" t="s">
        <v>444</v>
      </c>
      <c r="C35" s="202"/>
      <c r="D35" s="321"/>
    </row>
    <row r="36" spans="1:4" x14ac:dyDescent="0.25">
      <c r="A36" s="324">
        <v>44075</v>
      </c>
      <c r="B36" s="322" t="s">
        <v>460</v>
      </c>
      <c r="C36" s="202"/>
      <c r="D36" s="353"/>
    </row>
    <row r="37" spans="1:4" x14ac:dyDescent="0.25">
      <c r="A37" s="324">
        <v>44075</v>
      </c>
      <c r="B37" s="322" t="s">
        <v>261</v>
      </c>
      <c r="C37" s="202"/>
      <c r="D37" s="321"/>
    </row>
    <row r="38" spans="1:4" x14ac:dyDescent="0.25">
      <c r="A38" s="324">
        <v>44075</v>
      </c>
      <c r="B38" s="322" t="s">
        <v>262</v>
      </c>
      <c r="C38" s="202"/>
      <c r="D38" s="353"/>
    </row>
    <row r="39" spans="1:4" x14ac:dyDescent="0.25">
      <c r="A39" s="324">
        <v>44075</v>
      </c>
      <c r="B39" s="322" t="s">
        <v>462</v>
      </c>
      <c r="C39" s="202"/>
      <c r="D39" s="353"/>
    </row>
    <row r="40" spans="1:4" x14ac:dyDescent="0.25">
      <c r="A40" s="324">
        <v>44105</v>
      </c>
      <c r="B40" s="322" t="s">
        <v>444</v>
      </c>
      <c r="C40" s="202"/>
      <c r="D40" s="321"/>
    </row>
    <row r="41" spans="1:4" x14ac:dyDescent="0.25">
      <c r="A41" s="324">
        <v>44105</v>
      </c>
      <c r="B41" s="322" t="s">
        <v>460</v>
      </c>
      <c r="C41" s="202"/>
      <c r="D41" s="353"/>
    </row>
    <row r="42" spans="1:4" x14ac:dyDescent="0.25">
      <c r="A42" s="324">
        <v>44105</v>
      </c>
      <c r="B42" s="322" t="s">
        <v>261</v>
      </c>
      <c r="C42" s="202"/>
      <c r="D42" s="321"/>
    </row>
    <row r="43" spans="1:4" x14ac:dyDescent="0.25">
      <c r="A43" s="324">
        <v>44105</v>
      </c>
      <c r="B43" s="322" t="s">
        <v>262</v>
      </c>
      <c r="C43" s="202"/>
      <c r="D43" s="353"/>
    </row>
    <row r="44" spans="1:4" x14ac:dyDescent="0.25">
      <c r="A44" s="324">
        <v>44105</v>
      </c>
      <c r="B44" s="322" t="s">
        <v>462</v>
      </c>
      <c r="C44" s="202"/>
      <c r="D44" s="353"/>
    </row>
    <row r="45" spans="1:4" x14ac:dyDescent="0.25">
      <c r="A45" s="324">
        <v>44136</v>
      </c>
      <c r="B45" s="322" t="s">
        <v>444</v>
      </c>
      <c r="C45" s="202"/>
      <c r="D45" s="321"/>
    </row>
    <row r="46" spans="1:4" x14ac:dyDescent="0.25">
      <c r="A46" s="324">
        <v>44136</v>
      </c>
      <c r="B46" s="322" t="s">
        <v>460</v>
      </c>
      <c r="C46" s="202"/>
      <c r="D46" s="353"/>
    </row>
    <row r="47" spans="1:4" x14ac:dyDescent="0.25">
      <c r="A47" s="324">
        <v>44136</v>
      </c>
      <c r="B47" s="322" t="s">
        <v>261</v>
      </c>
      <c r="C47" s="202"/>
      <c r="D47" s="321"/>
    </row>
    <row r="48" spans="1:4" x14ac:dyDescent="0.25">
      <c r="A48" s="324">
        <v>44136</v>
      </c>
      <c r="B48" s="322" t="s">
        <v>262</v>
      </c>
      <c r="C48" s="202"/>
      <c r="D48" s="353"/>
    </row>
    <row r="49" spans="1:4" x14ac:dyDescent="0.25">
      <c r="A49" s="324">
        <v>44136</v>
      </c>
      <c r="B49" s="322" t="s">
        <v>462</v>
      </c>
      <c r="C49" s="202"/>
      <c r="D49" s="353"/>
    </row>
    <row r="50" spans="1:4" x14ac:dyDescent="0.25">
      <c r="A50" s="324">
        <v>44166</v>
      </c>
      <c r="B50" s="322" t="s">
        <v>444</v>
      </c>
      <c r="C50" s="202"/>
      <c r="D50" s="321"/>
    </row>
    <row r="51" spans="1:4" x14ac:dyDescent="0.25">
      <c r="A51" s="324">
        <v>44166</v>
      </c>
      <c r="B51" s="322" t="s">
        <v>460</v>
      </c>
      <c r="C51" s="202"/>
      <c r="D51" s="353"/>
    </row>
    <row r="52" spans="1:4" x14ac:dyDescent="0.25">
      <c r="A52" s="324">
        <v>44166</v>
      </c>
      <c r="B52" s="322" t="s">
        <v>261</v>
      </c>
      <c r="C52" s="202"/>
      <c r="D52" s="321"/>
    </row>
    <row r="53" spans="1:4" x14ac:dyDescent="0.25">
      <c r="A53" s="324">
        <v>44166</v>
      </c>
      <c r="B53" s="322" t="s">
        <v>262</v>
      </c>
      <c r="C53" s="202"/>
      <c r="D53" s="353"/>
    </row>
    <row r="54" spans="1:4" x14ac:dyDescent="0.25">
      <c r="A54" s="324">
        <v>44166</v>
      </c>
      <c r="B54" s="322" t="s">
        <v>462</v>
      </c>
      <c r="C54" s="202"/>
      <c r="D54" s="353"/>
    </row>
    <row r="55" spans="1:4" x14ac:dyDescent="0.25">
      <c r="A55" s="324">
        <v>44197</v>
      </c>
      <c r="B55" s="322" t="s">
        <v>444</v>
      </c>
      <c r="C55" s="202"/>
      <c r="D55" s="321"/>
    </row>
    <row r="56" spans="1:4" x14ac:dyDescent="0.25">
      <c r="A56" s="324">
        <v>44197</v>
      </c>
      <c r="B56" s="322" t="s">
        <v>460</v>
      </c>
      <c r="C56" s="202"/>
      <c r="D56" s="353"/>
    </row>
    <row r="57" spans="1:4" x14ac:dyDescent="0.25">
      <c r="A57" s="324">
        <v>44197</v>
      </c>
      <c r="B57" s="322" t="s">
        <v>261</v>
      </c>
      <c r="C57" s="202"/>
      <c r="D57" s="321"/>
    </row>
    <row r="58" spans="1:4" x14ac:dyDescent="0.25">
      <c r="A58" s="324">
        <v>44197</v>
      </c>
      <c r="B58" s="322" t="s">
        <v>262</v>
      </c>
      <c r="C58" s="202"/>
      <c r="D58" s="353"/>
    </row>
    <row r="59" spans="1:4" x14ac:dyDescent="0.25">
      <c r="A59" s="324">
        <v>44197</v>
      </c>
      <c r="B59" s="322" t="s">
        <v>462</v>
      </c>
      <c r="C59" s="202"/>
      <c r="D59" s="353"/>
    </row>
    <row r="60" spans="1:4" x14ac:dyDescent="0.25">
      <c r="A60" s="324">
        <v>44228</v>
      </c>
      <c r="B60" s="322" t="s">
        <v>444</v>
      </c>
      <c r="C60" s="202"/>
      <c r="D60" s="321"/>
    </row>
    <row r="61" spans="1:4" x14ac:dyDescent="0.25">
      <c r="A61" s="324">
        <v>44228</v>
      </c>
      <c r="B61" s="322" t="s">
        <v>460</v>
      </c>
      <c r="C61" s="202"/>
      <c r="D61" s="353"/>
    </row>
    <row r="62" spans="1:4" x14ac:dyDescent="0.25">
      <c r="A62" s="324">
        <v>44228</v>
      </c>
      <c r="B62" s="322" t="s">
        <v>261</v>
      </c>
      <c r="C62" s="202"/>
      <c r="D62" s="321"/>
    </row>
    <row r="63" spans="1:4" x14ac:dyDescent="0.25">
      <c r="A63" s="324">
        <v>44228</v>
      </c>
      <c r="B63" s="322" t="s">
        <v>262</v>
      </c>
      <c r="C63" s="202"/>
      <c r="D63" s="353"/>
    </row>
    <row r="64" spans="1:4" x14ac:dyDescent="0.25">
      <c r="A64" s="324">
        <v>44228</v>
      </c>
      <c r="B64" s="322" t="s">
        <v>462</v>
      </c>
      <c r="C64" s="202"/>
      <c r="D64" s="353"/>
    </row>
    <row r="65" spans="1:4" x14ac:dyDescent="0.25">
      <c r="A65" s="201"/>
      <c r="B65" s="244"/>
      <c r="C65" s="202"/>
      <c r="D65" s="326"/>
    </row>
    <row r="66" spans="1:4" x14ac:dyDescent="0.25">
      <c r="A66" s="201"/>
      <c r="B66" s="244"/>
      <c r="C66" s="202">
        <f>SUM(C5:C64)</f>
        <v>105678.26999999999</v>
      </c>
      <c r="D66" s="326"/>
    </row>
    <row r="67" spans="1:4" x14ac:dyDescent="0.25">
      <c r="A67" s="201"/>
      <c r="B67" s="244"/>
      <c r="C67" s="202"/>
    </row>
    <row r="68" spans="1:4" x14ac:dyDescent="0.25">
      <c r="A68" s="201"/>
      <c r="B68" s="244"/>
      <c r="C68" s="202"/>
    </row>
    <row r="69" spans="1:4" x14ac:dyDescent="0.25">
      <c r="A69" s="201"/>
      <c r="B69" s="244"/>
      <c r="C69" s="202"/>
    </row>
    <row r="70" spans="1:4" x14ac:dyDescent="0.25">
      <c r="A70" s="201"/>
      <c r="B70" s="206"/>
      <c r="C70" s="202"/>
    </row>
    <row r="71" spans="1:4" x14ac:dyDescent="0.25">
      <c r="A71" s="201"/>
      <c r="B71" s="206"/>
      <c r="C71" s="202"/>
    </row>
    <row r="72" spans="1:4" x14ac:dyDescent="0.25">
      <c r="A72" s="201"/>
      <c r="B72" s="206"/>
      <c r="C72" s="202"/>
    </row>
    <row r="73" spans="1:4" x14ac:dyDescent="0.25">
      <c r="A73" s="201"/>
      <c r="B73" s="206"/>
      <c r="C73" s="202"/>
    </row>
    <row r="74" spans="1:4" x14ac:dyDescent="0.25">
      <c r="A74" s="201"/>
      <c r="B74" s="205"/>
      <c r="C74" s="202"/>
    </row>
    <row r="75" spans="1:4" x14ac:dyDescent="0.25">
      <c r="A75" s="201"/>
      <c r="B75" s="206"/>
      <c r="C75" s="202"/>
    </row>
    <row r="76" spans="1:4" x14ac:dyDescent="0.25">
      <c r="A76" s="201"/>
      <c r="B76" s="205"/>
      <c r="C76" s="202"/>
    </row>
    <row r="77" spans="1:4" x14ac:dyDescent="0.25">
      <c r="A77" s="201"/>
      <c r="B77" s="206"/>
      <c r="C77" s="202"/>
    </row>
    <row r="78" spans="1:4" x14ac:dyDescent="0.25">
      <c r="A78" s="201"/>
      <c r="B78" s="206"/>
      <c r="C78" s="202"/>
    </row>
    <row r="79" spans="1:4" x14ac:dyDescent="0.25">
      <c r="A79" s="201"/>
      <c r="B79" s="206"/>
      <c r="C79" s="202"/>
    </row>
    <row r="80" spans="1:4" x14ac:dyDescent="0.25">
      <c r="A80" s="201"/>
      <c r="B80" s="206"/>
      <c r="C80" s="202"/>
    </row>
    <row r="81" spans="1:3" x14ac:dyDescent="0.25">
      <c r="A81" s="201"/>
      <c r="B81" s="206"/>
      <c r="C81" s="202"/>
    </row>
    <row r="82" spans="1:3" x14ac:dyDescent="0.25">
      <c r="A82" s="201"/>
      <c r="B82" s="205"/>
      <c r="C82" s="202"/>
    </row>
    <row r="83" spans="1:3" x14ac:dyDescent="0.25">
      <c r="A83" s="201"/>
      <c r="B83" s="206"/>
      <c r="C83" s="202"/>
    </row>
    <row r="84" spans="1:3" x14ac:dyDescent="0.25">
      <c r="A84" s="201"/>
      <c r="B84" s="205"/>
      <c r="C84" s="202"/>
    </row>
    <row r="85" spans="1:3" x14ac:dyDescent="0.25">
      <c r="A85" s="201"/>
      <c r="B85" s="206"/>
      <c r="C85" s="202"/>
    </row>
    <row r="86" spans="1:3" x14ac:dyDescent="0.25">
      <c r="A86" s="201"/>
      <c r="B86" s="206"/>
      <c r="C86" s="202"/>
    </row>
    <row r="87" spans="1:3" x14ac:dyDescent="0.25">
      <c r="A87" s="201"/>
      <c r="B87" s="206"/>
      <c r="C87" s="202"/>
    </row>
    <row r="88" spans="1:3" x14ac:dyDescent="0.25">
      <c r="A88" s="201"/>
      <c r="B88" s="206"/>
      <c r="C88" s="202"/>
    </row>
    <row r="89" spans="1:3" x14ac:dyDescent="0.25">
      <c r="A89" s="201"/>
      <c r="B89" s="206"/>
      <c r="C89" s="202"/>
    </row>
    <row r="90" spans="1:3" x14ac:dyDescent="0.25">
      <c r="A90" s="201"/>
      <c r="B90" s="205"/>
      <c r="C90" s="202"/>
    </row>
    <row r="91" spans="1:3" x14ac:dyDescent="0.25">
      <c r="A91" s="201"/>
      <c r="B91" s="206"/>
      <c r="C91" s="202"/>
    </row>
    <row r="92" spans="1:3" x14ac:dyDescent="0.25">
      <c r="A92" s="201"/>
      <c r="B92" s="205"/>
      <c r="C92" s="202"/>
    </row>
    <row r="93" spans="1:3" x14ac:dyDescent="0.25">
      <c r="A93" s="201"/>
      <c r="B93" s="206"/>
      <c r="C93" s="202"/>
    </row>
    <row r="94" spans="1:3" x14ac:dyDescent="0.25">
      <c r="A94" s="201"/>
      <c r="B94" s="206"/>
      <c r="C94" s="202"/>
    </row>
    <row r="95" spans="1:3" x14ac:dyDescent="0.25">
      <c r="A95" s="201"/>
      <c r="B95" s="206"/>
      <c r="C95" s="202"/>
    </row>
    <row r="96" spans="1:3" x14ac:dyDescent="0.25">
      <c r="A96" s="201"/>
      <c r="B96" s="206"/>
      <c r="C96" s="202"/>
    </row>
    <row r="97" spans="1:3" x14ac:dyDescent="0.25">
      <c r="A97" s="201"/>
      <c r="B97" s="206"/>
      <c r="C97" s="20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E44"/>
  <sheetViews>
    <sheetView view="pageBreakPreview" zoomScaleNormal="100" zoomScaleSheetLayoutView="100" workbookViewId="0">
      <selection activeCell="C16" sqref="C16"/>
    </sheetView>
  </sheetViews>
  <sheetFormatPr defaultRowHeight="12.75" x14ac:dyDescent="0.2"/>
  <cols>
    <col min="1" max="1" width="77.28515625" style="8" customWidth="1"/>
    <col min="2" max="2" width="25.7109375" style="8" customWidth="1"/>
    <col min="3" max="3" width="19.140625" style="8" customWidth="1"/>
    <col min="4" max="4" width="20.140625" style="8" customWidth="1"/>
    <col min="5" max="5" width="20.28515625" style="8" customWidth="1"/>
    <col min="6" max="16384" width="9.140625" style="8"/>
  </cols>
  <sheetData>
    <row r="1" spans="1:5" x14ac:dyDescent="0.2">
      <c r="A1" s="918" t="str">
        <f>Index!A5</f>
        <v>LOUISVILLE GAS AND ELECTRIC COMPANY</v>
      </c>
      <c r="B1" s="918"/>
    </row>
    <row r="2" spans="1:5" x14ac:dyDescent="0.2">
      <c r="A2" s="918" t="str">
        <f>Index!A7</f>
        <v>CASE NO. 2020-00350</v>
      </c>
      <c r="B2" s="918"/>
    </row>
    <row r="3" spans="1:5" x14ac:dyDescent="0.2">
      <c r="A3" s="918" t="str">
        <f>Index!C19</f>
        <v>BASE PERIOD REVENUES AT CURRENT GAS RATES</v>
      </c>
      <c r="B3" s="918"/>
    </row>
    <row r="4" spans="1:5" x14ac:dyDescent="0.2">
      <c r="A4" s="918" t="str">
        <f>Index!C11</f>
        <v>FOR THE 12 MONTHS ENDED FEBRUARY 28, 2021</v>
      </c>
      <c r="B4" s="918"/>
    </row>
    <row r="5" spans="1:5" x14ac:dyDescent="0.2">
      <c r="A5" s="918" t="s">
        <v>774</v>
      </c>
      <c r="B5" s="918"/>
    </row>
    <row r="7" spans="1:5" x14ac:dyDescent="0.2">
      <c r="A7" s="546" t="s">
        <v>397</v>
      </c>
      <c r="B7" s="547" t="s">
        <v>418</v>
      </c>
      <c r="C7" s="548"/>
    </row>
    <row r="8" spans="1:5" x14ac:dyDescent="0.2">
      <c r="A8" s="548" t="s">
        <v>398</v>
      </c>
      <c r="B8" s="547" t="s">
        <v>497</v>
      </c>
      <c r="C8" s="548"/>
    </row>
    <row r="9" spans="1:5" x14ac:dyDescent="0.2">
      <c r="A9" s="548" t="s">
        <v>399</v>
      </c>
      <c r="B9" s="547" t="s">
        <v>419</v>
      </c>
      <c r="C9" s="548"/>
    </row>
    <row r="10" spans="1:5" x14ac:dyDescent="0.2">
      <c r="A10" s="548"/>
      <c r="B10" s="548"/>
      <c r="C10" s="548"/>
      <c r="D10" s="547"/>
    </row>
    <row r="11" spans="1:5" x14ac:dyDescent="0.2">
      <c r="A11" s="548"/>
      <c r="B11" s="548"/>
      <c r="C11" s="548"/>
      <c r="D11" s="547"/>
    </row>
    <row r="12" spans="1:5" x14ac:dyDescent="0.2">
      <c r="A12" s="549"/>
      <c r="B12" s="549"/>
      <c r="C12" s="549"/>
      <c r="D12" s="550"/>
    </row>
    <row r="13" spans="1:5" ht="26.25" thickBot="1" x14ac:dyDescent="0.25">
      <c r="A13" s="551" t="s">
        <v>87</v>
      </c>
      <c r="B13" s="552" t="s">
        <v>1106</v>
      </c>
    </row>
    <row r="14" spans="1:5" x14ac:dyDescent="0.2">
      <c r="A14" s="553"/>
      <c r="B14" s="553"/>
    </row>
    <row r="15" spans="1:5" x14ac:dyDescent="0.2">
      <c r="A15" s="554" t="s">
        <v>748</v>
      </c>
      <c r="B15" s="540">
        <f>'Sch M-1.2-G'!G13</f>
        <v>233422200.20569071</v>
      </c>
      <c r="D15" s="274"/>
      <c r="E15" s="37"/>
    </row>
    <row r="16" spans="1:5" x14ac:dyDescent="0.2">
      <c r="A16" s="554"/>
      <c r="B16" s="540"/>
      <c r="D16" s="274"/>
    </row>
    <row r="17" spans="1:4" x14ac:dyDescent="0.2">
      <c r="A17" s="554" t="s">
        <v>413</v>
      </c>
      <c r="B17" s="540">
        <f>'Sch M-1.2-G'!G15</f>
        <v>97394522.439195991</v>
      </c>
      <c r="D17" s="274"/>
    </row>
    <row r="18" spans="1:4" x14ac:dyDescent="0.2">
      <c r="A18" s="554"/>
      <c r="B18" s="540"/>
      <c r="D18" s="274"/>
    </row>
    <row r="19" spans="1:4" x14ac:dyDescent="0.2">
      <c r="A19" s="554" t="s">
        <v>414</v>
      </c>
      <c r="B19" s="540">
        <f ca="1">'Sch M-1.2-G'!G17</f>
        <v>8031345.8668818427</v>
      </c>
      <c r="D19" s="274"/>
    </row>
    <row r="20" spans="1:4" x14ac:dyDescent="0.2">
      <c r="A20" s="554"/>
      <c r="B20" s="540"/>
      <c r="D20" s="274"/>
    </row>
    <row r="21" spans="1:4" x14ac:dyDescent="0.2">
      <c r="A21" s="554" t="s">
        <v>177</v>
      </c>
      <c r="B21" s="540">
        <f>'Sch M-1.2-G'!G19</f>
        <v>623288.99639714451</v>
      </c>
      <c r="D21" s="274"/>
    </row>
    <row r="22" spans="1:4" x14ac:dyDescent="0.2">
      <c r="A22" s="554"/>
      <c r="B22" s="540"/>
      <c r="D22" s="274"/>
    </row>
    <row r="23" spans="1:4" x14ac:dyDescent="0.2">
      <c r="A23" s="554" t="s">
        <v>416</v>
      </c>
      <c r="B23" s="540">
        <f>'Sch M-1.2-G'!G21</f>
        <v>6694300.2951493785</v>
      </c>
      <c r="D23" s="274"/>
    </row>
    <row r="24" spans="1:4" x14ac:dyDescent="0.2">
      <c r="A24" s="554"/>
      <c r="B24" s="540"/>
      <c r="D24" s="274"/>
    </row>
    <row r="25" spans="1:4" x14ac:dyDescent="0.2">
      <c r="A25" s="554" t="s">
        <v>415</v>
      </c>
      <c r="B25" s="540">
        <f>'Sch M-1.2-G'!G23</f>
        <v>3120508.5145415664</v>
      </c>
      <c r="D25" s="274"/>
    </row>
    <row r="26" spans="1:4" x14ac:dyDescent="0.2">
      <c r="A26" s="554"/>
      <c r="B26" s="540"/>
      <c r="D26" s="274"/>
    </row>
    <row r="27" spans="1:4" x14ac:dyDescent="0.2">
      <c r="A27" s="554" t="s">
        <v>417</v>
      </c>
      <c r="B27" s="555">
        <f>'Sch M-1.2-G'!G25</f>
        <v>22901.277161015216</v>
      </c>
      <c r="D27" s="274"/>
    </row>
    <row r="28" spans="1:4" x14ac:dyDescent="0.2">
      <c r="A28" s="554"/>
      <c r="B28" s="540"/>
      <c r="D28" s="274"/>
    </row>
    <row r="29" spans="1:4" x14ac:dyDescent="0.2">
      <c r="A29" s="554" t="s">
        <v>795</v>
      </c>
      <c r="B29" s="540">
        <f>'Sch M-1.2-G'!G27</f>
        <v>221490.90999999997</v>
      </c>
      <c r="D29" s="274"/>
    </row>
    <row r="30" spans="1:4" x14ac:dyDescent="0.2">
      <c r="A30" s="554"/>
      <c r="B30" s="540"/>
      <c r="D30" s="274"/>
    </row>
    <row r="31" spans="1:4" x14ac:dyDescent="0.2">
      <c r="A31" s="554" t="s">
        <v>796</v>
      </c>
      <c r="B31" s="540">
        <f>'Sch M-1.2-G'!G29</f>
        <v>0</v>
      </c>
      <c r="D31" s="274"/>
    </row>
    <row r="32" spans="1:4" x14ac:dyDescent="0.2">
      <c r="A32" s="554"/>
      <c r="B32" s="540"/>
      <c r="D32" s="274"/>
    </row>
    <row r="33" spans="1:5" x14ac:dyDescent="0.2">
      <c r="A33" s="554" t="s">
        <v>768</v>
      </c>
      <c r="B33" s="540">
        <f>'Sch M-1.2-G'!G31</f>
        <v>0</v>
      </c>
      <c r="D33" s="274"/>
    </row>
    <row r="34" spans="1:5" x14ac:dyDescent="0.2">
      <c r="A34" s="554"/>
      <c r="B34" s="540"/>
      <c r="D34" s="274"/>
    </row>
    <row r="35" spans="1:5" x14ac:dyDescent="0.2">
      <c r="A35" s="556" t="s">
        <v>542</v>
      </c>
      <c r="B35" s="914">
        <f ca="1">SUM(B15:B33)</f>
        <v>349530558.5050177</v>
      </c>
      <c r="D35" s="274"/>
      <c r="E35" s="37"/>
    </row>
    <row r="37" spans="1:5" x14ac:dyDescent="0.2">
      <c r="A37" s="554" t="s">
        <v>543</v>
      </c>
      <c r="B37" s="57"/>
    </row>
    <row r="38" spans="1:5" x14ac:dyDescent="0.2">
      <c r="A38" s="558" t="s">
        <v>782</v>
      </c>
      <c r="B38" s="540">
        <v>460418.40547537239</v>
      </c>
    </row>
    <row r="39" spans="1:5" x14ac:dyDescent="0.2">
      <c r="A39" s="558" t="s">
        <v>303</v>
      </c>
      <c r="B39" s="540">
        <v>73628.499999999985</v>
      </c>
    </row>
    <row r="40" spans="1:5" x14ac:dyDescent="0.2">
      <c r="A40" s="558" t="s">
        <v>544</v>
      </c>
      <c r="B40" s="540">
        <v>166598.90999999997</v>
      </c>
    </row>
    <row r="41" spans="1:5" x14ac:dyDescent="0.2">
      <c r="A41" s="558" t="s">
        <v>302</v>
      </c>
      <c r="B41" s="540">
        <v>11693.040000000003</v>
      </c>
    </row>
    <row r="43" spans="1:5" ht="13.5" thickBot="1" x14ac:dyDescent="0.25">
      <c r="A43" s="556" t="s">
        <v>156</v>
      </c>
      <c r="B43" s="557">
        <f ca="1">B35+SUM(B38:B41)</f>
        <v>350242897.36049306</v>
      </c>
    </row>
    <row r="44" spans="1:5" ht="13.5" thickTop="1" x14ac:dyDescent="0.2"/>
  </sheetData>
  <mergeCells count="5">
    <mergeCell ref="A1:B1"/>
    <mergeCell ref="A2:B2"/>
    <mergeCell ref="A3:B3"/>
    <mergeCell ref="A4:B4"/>
    <mergeCell ref="A5:B5"/>
  </mergeCells>
  <printOptions horizontalCentered="1"/>
  <pageMargins left="0.75" right="0.75" top="1.75" bottom="0.5" header="0.75" footer="0.25"/>
  <pageSetup scale="8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  <pageSetUpPr fitToPage="1"/>
  </sheetPr>
  <dimension ref="A1:O134"/>
  <sheetViews>
    <sheetView view="pageBreakPreview" topLeftCell="A7" zoomScaleNormal="100" zoomScaleSheetLayoutView="100" workbookViewId="0">
      <selection activeCell="E23" sqref="E23"/>
    </sheetView>
  </sheetViews>
  <sheetFormatPr defaultRowHeight="12.75" x14ac:dyDescent="0.2"/>
  <cols>
    <col min="1" max="1" width="55.5703125" style="8" bestFit="1" customWidth="1"/>
    <col min="2" max="2" width="16" style="8" customWidth="1"/>
    <col min="3" max="3" width="14.140625" style="8" customWidth="1"/>
    <col min="4" max="4" width="3.7109375" style="8" customWidth="1"/>
    <col min="5" max="5" width="14.5703125" style="8" customWidth="1"/>
    <col min="6" max="6" width="3.7109375" style="8" customWidth="1"/>
    <col min="7" max="7" width="16.42578125" style="8" customWidth="1"/>
    <col min="8" max="8" width="3.7109375" style="8" customWidth="1"/>
    <col min="9" max="9" width="15.7109375" style="8" customWidth="1"/>
    <col min="10" max="10" width="8.42578125" style="8" customWidth="1"/>
    <col min="11" max="11" width="15.140625" style="8" bestFit="1" customWidth="1"/>
    <col min="12" max="12" width="16" style="8" bestFit="1" customWidth="1"/>
    <col min="13" max="13" width="15.85546875" style="8" bestFit="1" customWidth="1"/>
    <col min="14" max="14" width="12.42578125" style="8" bestFit="1" customWidth="1"/>
    <col min="15" max="15" width="8.28515625" style="8" bestFit="1" customWidth="1"/>
    <col min="16" max="16384" width="9.140625" style="8"/>
  </cols>
  <sheetData>
    <row r="1" spans="1:15" x14ac:dyDescent="0.2">
      <c r="A1" s="918" t="str">
        <f>Index!A5</f>
        <v>LOUISVILLE GAS AND ELECTRIC COMPANY</v>
      </c>
      <c r="B1" s="918"/>
      <c r="C1" s="918"/>
      <c r="D1" s="918"/>
      <c r="E1" s="918"/>
      <c r="F1" s="918"/>
      <c r="G1" s="918"/>
      <c r="H1" s="918"/>
      <c r="I1" s="918"/>
    </row>
    <row r="2" spans="1:15" x14ac:dyDescent="0.2">
      <c r="A2" s="918" t="str">
        <f>Index!A7</f>
        <v>CASE NO. 2020-00350</v>
      </c>
      <c r="B2" s="918"/>
      <c r="C2" s="918"/>
      <c r="D2" s="918"/>
      <c r="E2" s="918"/>
      <c r="F2" s="918"/>
      <c r="G2" s="918"/>
      <c r="H2" s="918"/>
      <c r="I2" s="918"/>
    </row>
    <row r="3" spans="1:15" x14ac:dyDescent="0.2">
      <c r="A3" s="918" t="str">
        <f>Index!C20</f>
        <v xml:space="preserve">AVERAGE BILL AT CURRENT GAS RATES </v>
      </c>
      <c r="B3" s="918"/>
      <c r="C3" s="918"/>
      <c r="D3" s="918"/>
      <c r="E3" s="918"/>
      <c r="F3" s="918"/>
      <c r="G3" s="918"/>
      <c r="H3" s="918"/>
      <c r="I3" s="918"/>
    </row>
    <row r="4" spans="1:15" x14ac:dyDescent="0.2">
      <c r="A4" s="918" t="str">
        <f>Index!C11</f>
        <v>FOR THE 12 MONTHS ENDED FEBRUARY 28, 2021</v>
      </c>
      <c r="B4" s="918"/>
      <c r="C4" s="918"/>
      <c r="D4" s="918"/>
      <c r="E4" s="918"/>
      <c r="F4" s="918"/>
      <c r="G4" s="918"/>
      <c r="H4" s="918"/>
      <c r="I4" s="918"/>
    </row>
    <row r="5" spans="1:15" x14ac:dyDescent="0.2">
      <c r="A5" s="918" t="s">
        <v>774</v>
      </c>
      <c r="B5" s="918"/>
      <c r="C5" s="918"/>
      <c r="D5" s="918"/>
      <c r="E5" s="918"/>
      <c r="F5" s="918"/>
      <c r="G5" s="918"/>
      <c r="H5" s="918"/>
      <c r="I5" s="918"/>
    </row>
    <row r="7" spans="1:15" x14ac:dyDescent="0.2">
      <c r="A7" s="559" t="s">
        <v>397</v>
      </c>
      <c r="I7" s="560" t="s">
        <v>427</v>
      </c>
      <c r="J7" s="560"/>
    </row>
    <row r="8" spans="1:15" x14ac:dyDescent="0.2">
      <c r="A8" s="561" t="s">
        <v>398</v>
      </c>
      <c r="I8" s="547" t="s">
        <v>497</v>
      </c>
      <c r="J8" s="560"/>
    </row>
    <row r="9" spans="1:15" x14ac:dyDescent="0.2">
      <c r="A9" s="561" t="s">
        <v>399</v>
      </c>
      <c r="I9" s="560" t="s">
        <v>419</v>
      </c>
      <c r="J9" s="562"/>
    </row>
    <row r="10" spans="1:15" x14ac:dyDescent="0.2">
      <c r="A10" s="563"/>
    </row>
    <row r="11" spans="1:15" ht="39" thickBot="1" x14ac:dyDescent="0.25">
      <c r="A11" s="391"/>
      <c r="B11" s="564" t="s">
        <v>420</v>
      </c>
      <c r="C11" s="564" t="s">
        <v>425</v>
      </c>
      <c r="D11" s="564"/>
      <c r="E11" s="564" t="s">
        <v>426</v>
      </c>
      <c r="F11" s="564"/>
      <c r="G11" s="564" t="s">
        <v>421</v>
      </c>
      <c r="H11" s="564"/>
      <c r="I11" s="565" t="s">
        <v>422</v>
      </c>
      <c r="J11" s="566"/>
    </row>
    <row r="12" spans="1:15" x14ac:dyDescent="0.2">
      <c r="B12" s="567"/>
      <c r="C12" s="567"/>
      <c r="D12" s="567"/>
      <c r="E12" s="567"/>
      <c r="F12" s="567"/>
      <c r="G12" s="568"/>
      <c r="H12" s="568"/>
      <c r="J12" s="568"/>
    </row>
    <row r="13" spans="1:15" x14ac:dyDescent="0.2">
      <c r="A13" s="554" t="s">
        <v>748</v>
      </c>
      <c r="B13" s="569">
        <f>SBR!C9</f>
        <v>3619866</v>
      </c>
      <c r="C13" s="569">
        <f>'Sch M-1.3 Pg. 2-11'!G23</f>
        <v>20843747.678806618</v>
      </c>
      <c r="D13" s="370"/>
      <c r="E13" s="570">
        <f>C13/B13</f>
        <v>5.7581544948919703</v>
      </c>
      <c r="G13" s="372">
        <f>'Sch M-1.3 Pg.1'!H15</f>
        <v>233422200.20569071</v>
      </c>
      <c r="H13" s="372"/>
      <c r="I13" s="571">
        <f>(G13/C13)*E13</f>
        <v>64.483657739178938</v>
      </c>
      <c r="J13" s="42"/>
      <c r="K13" s="372"/>
      <c r="L13" s="37"/>
    </row>
    <row r="14" spans="1:15" x14ac:dyDescent="0.2">
      <c r="A14" s="554"/>
      <c r="B14" s="569"/>
      <c r="C14" s="569"/>
      <c r="D14" s="370"/>
      <c r="E14" s="570"/>
      <c r="G14" s="372"/>
      <c r="H14" s="372"/>
      <c r="I14" s="571"/>
      <c r="J14" s="42"/>
      <c r="K14" s="372"/>
    </row>
    <row r="15" spans="1:15" x14ac:dyDescent="0.2">
      <c r="A15" s="554" t="s">
        <v>413</v>
      </c>
      <c r="B15" s="569">
        <f>SBR!C17</f>
        <v>310464</v>
      </c>
      <c r="C15" s="569">
        <f>'Sch M-1.3 Pg. 2-11'!G55+'Sch M-1.3 Pg. 2-11'!H56</f>
        <v>10728474.226360627</v>
      </c>
      <c r="D15" s="370"/>
      <c r="E15" s="570">
        <f>C15/B15</f>
        <v>34.556258459469142</v>
      </c>
      <c r="F15" s="370"/>
      <c r="G15" s="372">
        <f>'Sch M-1.3 Pg.1'!H17</f>
        <v>97394522.439195991</v>
      </c>
      <c r="H15" s="372"/>
      <c r="I15" s="571">
        <f>(G15/C15)*E15</f>
        <v>313.70633129508087</v>
      </c>
      <c r="J15" s="42"/>
      <c r="K15" s="372"/>
      <c r="L15" s="37"/>
      <c r="O15" s="37"/>
    </row>
    <row r="16" spans="1:15" x14ac:dyDescent="0.2">
      <c r="A16" s="554"/>
      <c r="B16" s="569"/>
      <c r="C16" s="569"/>
      <c r="D16" s="370"/>
      <c r="E16" s="570"/>
      <c r="F16" s="370"/>
      <c r="G16" s="372"/>
      <c r="H16" s="372"/>
      <c r="I16" s="571"/>
      <c r="J16" s="42"/>
      <c r="K16" s="372"/>
      <c r="O16" s="37"/>
    </row>
    <row r="17" spans="1:12" x14ac:dyDescent="0.2">
      <c r="A17" s="554" t="s">
        <v>414</v>
      </c>
      <c r="B17" s="569">
        <f>SBR!C23+SBR!C62+SBR!C63</f>
        <v>2681</v>
      </c>
      <c r="C17" s="569">
        <f ca="1">'Sch M-1.3 Pg. 2-11'!G107+'Sch M-1.3 Pg. 2-11'!H108+'Sch M-1.3 Pg. 2-11'!G121+'Sch M-1.3 Pg. 2-11'!H122</f>
        <v>1355139.9945659607</v>
      </c>
      <c r="D17" s="370"/>
      <c r="E17" s="570">
        <f ca="1">C17/B17</f>
        <v>505.46064698469257</v>
      </c>
      <c r="F17" s="370"/>
      <c r="G17" s="372">
        <f ca="1">'Sch M-1.3 Pg.1'!H19</f>
        <v>8031345.8668818427</v>
      </c>
      <c r="H17" s="372"/>
      <c r="I17" s="571">
        <f ca="1">(G17/C17)*E17</f>
        <v>2995.6530648570842</v>
      </c>
      <c r="J17" s="42"/>
      <c r="K17" s="372"/>
      <c r="L17" s="37"/>
    </row>
    <row r="18" spans="1:12" x14ac:dyDescent="0.2">
      <c r="A18" s="554"/>
      <c r="B18" s="569"/>
      <c r="C18" s="569"/>
      <c r="D18" s="370"/>
      <c r="E18" s="570"/>
      <c r="F18" s="370"/>
      <c r="G18" s="372"/>
      <c r="H18" s="372"/>
      <c r="I18" s="571"/>
      <c r="J18" s="42"/>
      <c r="K18" s="372"/>
    </row>
    <row r="19" spans="1:12" x14ac:dyDescent="0.2">
      <c r="A19" s="554" t="s">
        <v>177</v>
      </c>
      <c r="B19" s="545">
        <f>'Sch M-1.3 Pg. 2-11'!F154+'Sch M-1.3 Pg. 2-11'!F163</f>
        <v>44</v>
      </c>
      <c r="C19" s="569">
        <f>'Sch M-1.3 Pg. 2-11'!G155+'Sch M-1.3 Pg. 2-11'!G166</f>
        <v>216322.79998381282</v>
      </c>
      <c r="D19" s="370"/>
      <c r="E19" s="570">
        <f>C19/B19</f>
        <v>4916.4272723593822</v>
      </c>
      <c r="G19" s="372">
        <f>'Sch M-1.3 Pg.1'!H21</f>
        <v>623288.99639714451</v>
      </c>
      <c r="H19" s="372"/>
      <c r="I19" s="571">
        <f>(G19/C19)*E19</f>
        <v>14165.659009026012</v>
      </c>
      <c r="J19" s="42"/>
      <c r="K19" s="372"/>
      <c r="L19" s="37"/>
    </row>
    <row r="20" spans="1:12" x14ac:dyDescent="0.2">
      <c r="A20" s="554"/>
      <c r="B20" s="569"/>
      <c r="C20" s="569"/>
      <c r="D20" s="370"/>
      <c r="E20" s="570"/>
      <c r="F20" s="370"/>
      <c r="G20" s="372"/>
      <c r="H20" s="372"/>
      <c r="I20" s="571"/>
      <c r="J20" s="42"/>
      <c r="K20" s="372"/>
    </row>
    <row r="21" spans="1:12" x14ac:dyDescent="0.2">
      <c r="A21" s="778" t="s">
        <v>416</v>
      </c>
      <c r="B21" s="572">
        <f>'Sch M-1.3 Pg. 2-11'!F198</f>
        <v>942</v>
      </c>
      <c r="C21" s="569">
        <f>'Sch M-1.3 Pg. 2-11'!G201</f>
        <v>12152434.154115342</v>
      </c>
      <c r="D21" s="370"/>
      <c r="E21" s="570">
        <f>C21/B21</f>
        <v>12900.673199697814</v>
      </c>
      <c r="G21" s="372">
        <f>'Sch M-1.3 Pg.1'!H23</f>
        <v>6694300.2951493785</v>
      </c>
      <c r="H21" s="372"/>
      <c r="I21" s="571">
        <f>(G21/C21)*E21</f>
        <v>7106.4758971861766</v>
      </c>
      <c r="J21" s="42"/>
      <c r="K21" s="372"/>
      <c r="L21" s="37"/>
    </row>
    <row r="22" spans="1:12" x14ac:dyDescent="0.2">
      <c r="A22" s="554"/>
      <c r="B22" s="569"/>
      <c r="C22" s="569"/>
      <c r="D22" s="370"/>
      <c r="E22" s="570"/>
      <c r="F22" s="370"/>
      <c r="G22" s="372"/>
      <c r="H22" s="372"/>
      <c r="I22" s="571"/>
      <c r="J22" s="42"/>
      <c r="K22" s="372"/>
    </row>
    <row r="23" spans="1:12" x14ac:dyDescent="0.2">
      <c r="A23" s="554" t="s">
        <v>415</v>
      </c>
      <c r="B23" s="43">
        <f>'Sch M-1.3 Pg. 2-11'!F237</f>
        <v>12</v>
      </c>
      <c r="C23" s="569">
        <f>'Sch M-1.3 Pg. 2-11'!G238</f>
        <v>257652.5</v>
      </c>
      <c r="D23" s="370"/>
      <c r="E23" s="570">
        <f>C23/B23</f>
        <v>21471.041666666668</v>
      </c>
      <c r="G23" s="372">
        <f>'Sch M-1.3 Pg.1'!H25</f>
        <v>3120508.5145415664</v>
      </c>
      <c r="H23" s="372"/>
      <c r="I23" s="571">
        <f>(G23/C23)*E23</f>
        <v>260042.37621179721</v>
      </c>
      <c r="J23" s="42"/>
      <c r="K23" s="372"/>
      <c r="L23" s="37"/>
    </row>
    <row r="24" spans="1:12" x14ac:dyDescent="0.2">
      <c r="A24" s="554"/>
      <c r="B24" s="569"/>
      <c r="C24" s="569"/>
      <c r="D24" s="370"/>
      <c r="E24" s="570"/>
      <c r="G24" s="372"/>
      <c r="H24" s="372"/>
      <c r="I24" s="571"/>
      <c r="J24" s="42"/>
      <c r="K24" s="372"/>
    </row>
    <row r="25" spans="1:12" x14ac:dyDescent="0.2">
      <c r="A25" s="554" t="s">
        <v>417</v>
      </c>
      <c r="B25" s="569">
        <f>'Sch M-1.3 Pg. 2-11'!F268+'Sch M-1.3 Pg. 2-11'!F279</f>
        <v>28</v>
      </c>
      <c r="C25" s="569">
        <f>'Sch M-1.3 Pg. 2-11'!G270</f>
        <v>25.8</v>
      </c>
      <c r="D25" s="370"/>
      <c r="E25" s="570">
        <f>C25/B25</f>
        <v>0.92142857142857149</v>
      </c>
      <c r="G25" s="372">
        <f>'Sch M-1.3 Pg.1'!H27</f>
        <v>22901.277161015216</v>
      </c>
      <c r="H25" s="372"/>
      <c r="I25" s="571">
        <f>(G25/C25)*E25</f>
        <v>817.90275575054341</v>
      </c>
      <c r="J25" s="42"/>
      <c r="K25" s="372"/>
      <c r="L25" s="37"/>
    </row>
    <row r="26" spans="1:12" x14ac:dyDescent="0.2">
      <c r="A26" s="554"/>
      <c r="B26" s="370"/>
      <c r="C26" s="370"/>
      <c r="D26" s="370"/>
      <c r="E26" s="573"/>
      <c r="G26" s="372"/>
      <c r="H26" s="372"/>
      <c r="I26" s="571"/>
      <c r="J26" s="42"/>
      <c r="K26" s="372"/>
    </row>
    <row r="27" spans="1:12" x14ac:dyDescent="0.2">
      <c r="A27" s="554" t="s">
        <v>795</v>
      </c>
      <c r="B27" s="569">
        <f>'Sch M-1.3 Pg. 2-11'!F316</f>
        <v>12</v>
      </c>
      <c r="C27" s="569">
        <f>'Sch M-1.3 Pg. 2-11'!G317</f>
        <v>1252.5</v>
      </c>
      <c r="E27" s="570">
        <f>C27/B27</f>
        <v>104.375</v>
      </c>
      <c r="G27" s="372">
        <f>'Sch M-1.3 Pg.1'!H29</f>
        <v>221490.90999999997</v>
      </c>
      <c r="I27" s="571">
        <f>(G27/C27)*E27</f>
        <v>18457.575833333329</v>
      </c>
    </row>
    <row r="28" spans="1:12" x14ac:dyDescent="0.2">
      <c r="A28" s="554"/>
      <c r="C28" s="370"/>
      <c r="D28" s="370"/>
      <c r="E28" s="573"/>
      <c r="G28" s="372"/>
      <c r="H28" s="372"/>
      <c r="I28" s="571"/>
      <c r="J28" s="42"/>
      <c r="K28" s="372"/>
    </row>
    <row r="29" spans="1:12" x14ac:dyDescent="0.2">
      <c r="A29" s="554" t="s">
        <v>796</v>
      </c>
      <c r="B29" s="569">
        <f>'Sch M-1.3 Pg. 2-11'!F347</f>
        <v>0</v>
      </c>
      <c r="C29" s="569">
        <f>'Sch M-1.3 Pg. 2-11'!G348</f>
        <v>0</v>
      </c>
      <c r="D29" s="370"/>
      <c r="E29" s="570">
        <f>IF(C29=0,0,C29/B29)</f>
        <v>0</v>
      </c>
      <c r="G29" s="372">
        <f>'Sch M-1.3 Pg.1'!H31</f>
        <v>0</v>
      </c>
      <c r="H29" s="372"/>
      <c r="I29" s="571">
        <f>IF(C29=0,0,(G29/C29))*E29</f>
        <v>0</v>
      </c>
      <c r="J29" s="42"/>
      <c r="K29" s="372"/>
    </row>
    <row r="30" spans="1:12" x14ac:dyDescent="0.2">
      <c r="A30" s="554"/>
      <c r="C30" s="370"/>
      <c r="D30" s="370"/>
      <c r="E30" s="573"/>
      <c r="G30" s="372"/>
      <c r="H30" s="372"/>
      <c r="I30" s="571"/>
      <c r="J30" s="42"/>
      <c r="K30" s="372"/>
    </row>
    <row r="31" spans="1:12" x14ac:dyDescent="0.2">
      <c r="A31" s="554" t="s">
        <v>768</v>
      </c>
      <c r="B31" s="43">
        <f>'Sch M-1.3 Pg. 2-11'!F379</f>
        <v>0</v>
      </c>
      <c r="C31" s="569">
        <f>'Sch M-1.3 Pg. 2-11'!G380</f>
        <v>0</v>
      </c>
      <c r="D31" s="370"/>
      <c r="E31" s="570">
        <f>IF(C31=0,0,C31/B31)</f>
        <v>0</v>
      </c>
      <c r="G31" s="372">
        <f>'Sch M-1.3 Pg.1'!H31</f>
        <v>0</v>
      </c>
      <c r="H31" s="372"/>
      <c r="I31" s="571">
        <f>IF(G31=0,0,(G31/C31))*E31</f>
        <v>0</v>
      </c>
      <c r="J31" s="42"/>
      <c r="K31" s="372"/>
    </row>
    <row r="32" spans="1:12" x14ac:dyDescent="0.2">
      <c r="A32" s="554"/>
      <c r="C32" s="370"/>
      <c r="D32" s="370"/>
      <c r="E32" s="573"/>
      <c r="G32" s="372"/>
      <c r="H32" s="372"/>
      <c r="I32" s="571"/>
      <c r="J32" s="42"/>
      <c r="K32" s="372"/>
    </row>
    <row r="33" spans="1:9" ht="13.5" thickBot="1" x14ac:dyDescent="0.25">
      <c r="A33" s="554" t="s">
        <v>1105</v>
      </c>
      <c r="B33" s="909">
        <f>SUM(B13:B31)</f>
        <v>3934049</v>
      </c>
      <c r="C33" s="909">
        <f ca="1">SUM(C13:C31)</f>
        <v>45555049.653832361</v>
      </c>
      <c r="D33" s="910"/>
      <c r="E33" s="911">
        <f ca="1">SUM(E13:E31)</f>
        <v>39939.213627234349</v>
      </c>
      <c r="F33" s="910"/>
      <c r="G33" s="912">
        <f ca="1">SUM(G13:G31)</f>
        <v>349530558.5050177</v>
      </c>
      <c r="H33" s="910"/>
      <c r="I33" s="913">
        <f ca="1">IF(G33=0,0,(G33/C33))*E33</f>
        <v>306441.89286278258</v>
      </c>
    </row>
    <row r="34" spans="1:9" ht="13.5" thickTop="1" x14ac:dyDescent="0.2">
      <c r="A34" s="554"/>
      <c r="B34" s="569"/>
      <c r="C34" s="569"/>
      <c r="E34" s="570"/>
      <c r="G34" s="372"/>
      <c r="I34" s="571"/>
    </row>
    <row r="35" spans="1:9" x14ac:dyDescent="0.2">
      <c r="A35" s="554"/>
      <c r="B35" s="569"/>
      <c r="C35" s="569"/>
      <c r="E35" s="570"/>
      <c r="G35" s="372"/>
      <c r="I35" s="571"/>
    </row>
    <row r="36" spans="1:9" x14ac:dyDescent="0.2">
      <c r="C36" s="370"/>
      <c r="D36" s="370"/>
      <c r="G36" s="372"/>
      <c r="H36" s="372"/>
      <c r="I36" s="571"/>
    </row>
    <row r="37" spans="1:9" x14ac:dyDescent="0.2">
      <c r="C37" s="370"/>
      <c r="G37" s="372"/>
      <c r="H37" s="372"/>
      <c r="I37" s="571"/>
    </row>
    <row r="38" spans="1:9" x14ac:dyDescent="0.2">
      <c r="B38" s="370"/>
      <c r="C38" s="370"/>
      <c r="G38" s="370"/>
      <c r="H38" s="372"/>
    </row>
    <row r="39" spans="1:9" x14ac:dyDescent="0.2">
      <c r="B39" s="370"/>
      <c r="C39" s="370"/>
      <c r="G39" s="370"/>
      <c r="H39" s="372"/>
      <c r="I39" s="571"/>
    </row>
    <row r="40" spans="1:9" x14ac:dyDescent="0.2">
      <c r="B40" s="370"/>
      <c r="C40" s="370"/>
      <c r="G40" s="370"/>
      <c r="H40" s="372"/>
      <c r="I40" s="571"/>
    </row>
    <row r="56" spans="1:10" x14ac:dyDescent="0.2">
      <c r="A56" s="574"/>
      <c r="B56" s="575"/>
      <c r="C56" s="575"/>
      <c r="D56" s="575"/>
      <c r="E56" s="575"/>
      <c r="F56" s="575"/>
      <c r="G56" s="576"/>
      <c r="H56" s="576"/>
      <c r="I56" s="576"/>
      <c r="J56" s="576"/>
    </row>
    <row r="57" spans="1:10" x14ac:dyDescent="0.2">
      <c r="A57" s="577"/>
      <c r="B57" s="578"/>
      <c r="C57" s="578"/>
      <c r="D57" s="578"/>
      <c r="E57" s="578"/>
      <c r="F57" s="578"/>
      <c r="G57" s="578"/>
      <c r="H57" s="578"/>
      <c r="I57" s="578"/>
      <c r="J57" s="578"/>
    </row>
    <row r="58" spans="1:10" x14ac:dyDescent="0.2">
      <c r="B58" s="578"/>
      <c r="C58" s="578"/>
      <c r="D58" s="578"/>
      <c r="E58" s="578"/>
      <c r="F58" s="578"/>
      <c r="G58" s="578"/>
      <c r="H58" s="578"/>
      <c r="I58" s="578"/>
      <c r="J58" s="578"/>
    </row>
    <row r="59" spans="1:10" x14ac:dyDescent="0.2">
      <c r="A59" s="579"/>
      <c r="B59" s="575"/>
      <c r="C59" s="575"/>
      <c r="D59" s="575"/>
      <c r="E59" s="575"/>
      <c r="F59" s="575"/>
      <c r="G59" s="576"/>
      <c r="H59" s="576"/>
      <c r="I59" s="576"/>
      <c r="J59" s="576"/>
    </row>
    <row r="60" spans="1:10" ht="15" x14ac:dyDescent="0.35">
      <c r="A60" s="579"/>
      <c r="B60" s="580"/>
      <c r="C60" s="580"/>
      <c r="D60" s="580"/>
      <c r="E60" s="580"/>
      <c r="F60" s="580"/>
      <c r="G60" s="580"/>
      <c r="H60" s="580"/>
      <c r="I60" s="580"/>
      <c r="J60" s="580"/>
    </row>
    <row r="61" spans="1:10" x14ac:dyDescent="0.2">
      <c r="A61" s="539"/>
      <c r="B61" s="578"/>
      <c r="C61" s="578"/>
      <c r="D61" s="578"/>
      <c r="E61" s="578"/>
      <c r="F61" s="578"/>
      <c r="G61" s="372"/>
      <c r="H61" s="372"/>
      <c r="I61" s="372"/>
      <c r="J61" s="372"/>
    </row>
    <row r="62" spans="1:10" x14ac:dyDescent="0.2">
      <c r="B62" s="578"/>
      <c r="C62" s="578"/>
      <c r="D62" s="578"/>
      <c r="E62" s="578"/>
      <c r="F62" s="578"/>
      <c r="G62" s="578"/>
      <c r="H62" s="578"/>
      <c r="I62" s="578"/>
      <c r="J62" s="578"/>
    </row>
    <row r="63" spans="1:10" x14ac:dyDescent="0.2">
      <c r="B63" s="575"/>
      <c r="C63" s="575"/>
      <c r="D63" s="575"/>
      <c r="E63" s="575"/>
      <c r="F63" s="575"/>
      <c r="G63" s="576"/>
      <c r="H63" s="576"/>
      <c r="I63" s="576"/>
      <c r="J63" s="576"/>
    </row>
    <row r="64" spans="1:10" x14ac:dyDescent="0.2">
      <c r="B64" s="578"/>
      <c r="C64" s="578"/>
      <c r="D64" s="578"/>
      <c r="E64" s="578"/>
      <c r="F64" s="578"/>
      <c r="G64" s="372"/>
      <c r="H64" s="372"/>
      <c r="I64" s="372"/>
      <c r="J64" s="372"/>
    </row>
    <row r="65" spans="2:10" x14ac:dyDescent="0.2">
      <c r="B65" s="575"/>
      <c r="C65" s="575"/>
      <c r="D65" s="575"/>
      <c r="E65" s="575"/>
      <c r="F65" s="575"/>
      <c r="G65" s="576"/>
      <c r="H65" s="576"/>
      <c r="I65" s="576"/>
      <c r="J65" s="576"/>
    </row>
    <row r="66" spans="2:10" x14ac:dyDescent="0.2">
      <c r="B66" s="578"/>
      <c r="C66" s="578"/>
      <c r="D66" s="578"/>
      <c r="E66" s="578"/>
      <c r="F66" s="578"/>
      <c r="G66" s="372"/>
      <c r="H66" s="372"/>
      <c r="I66" s="372"/>
      <c r="J66" s="372"/>
    </row>
    <row r="67" spans="2:10" x14ac:dyDescent="0.2">
      <c r="B67" s="575"/>
      <c r="C67" s="575"/>
      <c r="D67" s="575"/>
      <c r="E67" s="575"/>
      <c r="F67" s="575"/>
      <c r="G67" s="576"/>
      <c r="H67" s="576"/>
      <c r="I67" s="576"/>
      <c r="J67" s="576"/>
    </row>
    <row r="68" spans="2:10" x14ac:dyDescent="0.2">
      <c r="B68" s="575"/>
      <c r="C68" s="575"/>
      <c r="D68" s="575"/>
      <c r="E68" s="575"/>
      <c r="F68" s="575"/>
      <c r="G68" s="576"/>
      <c r="H68" s="576"/>
      <c r="I68" s="576"/>
      <c r="J68" s="576"/>
    </row>
    <row r="69" spans="2:10" x14ac:dyDescent="0.2">
      <c r="B69" s="581"/>
      <c r="C69" s="581"/>
      <c r="D69" s="581"/>
      <c r="E69" s="581"/>
      <c r="F69" s="581"/>
      <c r="G69" s="581"/>
      <c r="H69" s="581"/>
      <c r="I69" s="581"/>
      <c r="J69" s="581"/>
    </row>
    <row r="70" spans="2:10" x14ac:dyDescent="0.2">
      <c r="B70" s="578"/>
      <c r="C70" s="578"/>
      <c r="D70" s="578"/>
      <c r="E70" s="578"/>
      <c r="F70" s="578"/>
      <c r="G70" s="372"/>
      <c r="H70" s="372"/>
      <c r="I70" s="372"/>
      <c r="J70" s="372"/>
    </row>
    <row r="71" spans="2:10" x14ac:dyDescent="0.2">
      <c r="B71" s="578"/>
      <c r="C71" s="578"/>
      <c r="D71" s="578"/>
      <c r="E71" s="578"/>
      <c r="F71" s="578"/>
    </row>
    <row r="72" spans="2:10" ht="15" x14ac:dyDescent="0.35">
      <c r="B72" s="582"/>
      <c r="C72" s="582"/>
      <c r="D72" s="582"/>
      <c r="E72" s="582"/>
      <c r="F72" s="582"/>
      <c r="G72" s="583"/>
      <c r="H72" s="583"/>
      <c r="I72" s="583"/>
      <c r="J72" s="583"/>
    </row>
    <row r="74" spans="2:10" x14ac:dyDescent="0.2">
      <c r="B74" s="37"/>
    </row>
    <row r="77" spans="2:10" x14ac:dyDescent="0.2">
      <c r="B77" s="578"/>
      <c r="C77" s="578"/>
      <c r="D77" s="578"/>
      <c r="E77" s="578"/>
      <c r="F77" s="578"/>
      <c r="G77" s="578"/>
      <c r="H77" s="578"/>
      <c r="I77" s="578"/>
      <c r="J77" s="578"/>
    </row>
    <row r="78" spans="2:10" x14ac:dyDescent="0.2">
      <c r="B78" s="578"/>
      <c r="C78" s="578"/>
      <c r="D78" s="578"/>
      <c r="E78" s="578"/>
      <c r="F78" s="578"/>
      <c r="G78" s="578"/>
      <c r="H78" s="578"/>
      <c r="I78" s="578"/>
      <c r="J78" s="578"/>
    </row>
    <row r="79" spans="2:10" x14ac:dyDescent="0.2">
      <c r="B79" s="578"/>
      <c r="C79" s="578"/>
      <c r="D79" s="578"/>
      <c r="E79" s="578"/>
      <c r="F79" s="578"/>
      <c r="G79" s="578"/>
      <c r="H79" s="578"/>
      <c r="I79" s="578"/>
      <c r="J79" s="578"/>
    </row>
    <row r="80" spans="2:10" x14ac:dyDescent="0.2">
      <c r="B80" s="578"/>
      <c r="C80" s="578"/>
      <c r="D80" s="578"/>
      <c r="E80" s="578"/>
      <c r="F80" s="578"/>
      <c r="G80" s="578"/>
      <c r="H80" s="578"/>
      <c r="I80" s="578"/>
      <c r="J80" s="578"/>
    </row>
    <row r="81" spans="1:14" x14ac:dyDescent="0.2">
      <c r="B81" s="575"/>
      <c r="C81" s="575"/>
      <c r="D81" s="575"/>
      <c r="E81" s="575"/>
      <c r="F81" s="575"/>
      <c r="G81" s="578"/>
      <c r="H81" s="578"/>
      <c r="I81" s="578"/>
      <c r="J81" s="578"/>
    </row>
    <row r="82" spans="1:14" x14ac:dyDescent="0.2">
      <c r="B82" s="370"/>
      <c r="C82" s="370"/>
      <c r="D82" s="370"/>
      <c r="E82" s="370"/>
      <c r="F82" s="370"/>
      <c r="G82" s="370"/>
      <c r="H82" s="370"/>
      <c r="I82" s="370"/>
    </row>
    <row r="83" spans="1:14" x14ac:dyDescent="0.2">
      <c r="B83" s="370"/>
      <c r="C83" s="370"/>
      <c r="D83" s="370"/>
      <c r="E83" s="370"/>
      <c r="F83" s="370"/>
      <c r="G83" s="370"/>
      <c r="H83" s="370"/>
      <c r="I83" s="370"/>
    </row>
    <row r="84" spans="1:14" s="585" customFormat="1" x14ac:dyDescent="0.2">
      <c r="B84" s="584"/>
      <c r="C84" s="584"/>
      <c r="D84" s="584"/>
      <c r="E84" s="584"/>
      <c r="F84" s="584"/>
      <c r="G84" s="584"/>
      <c r="H84" s="584"/>
      <c r="I84" s="584"/>
      <c r="K84" s="8"/>
      <c r="L84" s="8"/>
      <c r="M84" s="8"/>
      <c r="N84" s="8"/>
    </row>
    <row r="85" spans="1:14" s="57" customFormat="1" x14ac:dyDescent="0.2">
      <c r="B85" s="586"/>
      <c r="C85" s="586"/>
      <c r="D85" s="586"/>
      <c r="E85" s="586"/>
      <c r="F85" s="586"/>
      <c r="G85" s="586"/>
      <c r="H85" s="586"/>
      <c r="I85" s="586"/>
      <c r="K85" s="8"/>
      <c r="L85" s="8"/>
      <c r="M85" s="8"/>
      <c r="N85" s="8"/>
    </row>
    <row r="86" spans="1:14" s="57" customFormat="1" x14ac:dyDescent="0.2">
      <c r="B86" s="586"/>
      <c r="C86" s="586"/>
      <c r="D86" s="586"/>
      <c r="E86" s="586"/>
      <c r="F86" s="586"/>
      <c r="G86" s="586"/>
      <c r="H86" s="586"/>
      <c r="I86" s="586"/>
      <c r="K86" s="8"/>
      <c r="L86" s="8"/>
      <c r="M86" s="8"/>
      <c r="N86" s="8"/>
    </row>
    <row r="87" spans="1:14" s="57" customFormat="1" x14ac:dyDescent="0.2">
      <c r="B87" s="586"/>
      <c r="C87" s="586"/>
      <c r="D87" s="586"/>
      <c r="E87" s="586"/>
      <c r="F87" s="586"/>
      <c r="G87" s="586"/>
      <c r="H87" s="586"/>
      <c r="I87" s="586"/>
      <c r="K87" s="8"/>
      <c r="L87" s="8"/>
      <c r="M87" s="8"/>
      <c r="N87" s="8"/>
    </row>
    <row r="88" spans="1:14" s="57" customFormat="1" x14ac:dyDescent="0.2">
      <c r="B88" s="586"/>
      <c r="C88" s="586"/>
      <c r="D88" s="586"/>
      <c r="E88" s="586"/>
      <c r="F88" s="586"/>
      <c r="G88" s="586"/>
      <c r="H88" s="586"/>
      <c r="I88" s="586"/>
      <c r="K88" s="8"/>
      <c r="L88" s="8"/>
      <c r="M88" s="8"/>
      <c r="N88" s="8"/>
    </row>
    <row r="89" spans="1:14" s="57" customFormat="1" x14ac:dyDescent="0.2">
      <c r="B89" s="586"/>
      <c r="C89" s="586"/>
      <c r="D89" s="586"/>
      <c r="E89" s="586"/>
      <c r="F89" s="586"/>
      <c r="G89" s="586"/>
      <c r="H89" s="586"/>
      <c r="I89" s="586"/>
      <c r="K89" s="8"/>
      <c r="L89" s="8"/>
      <c r="M89" s="8"/>
      <c r="N89" s="8"/>
    </row>
    <row r="90" spans="1:14" s="57" customFormat="1" x14ac:dyDescent="0.2">
      <c r="B90" s="586"/>
      <c r="C90" s="586"/>
      <c r="D90" s="586"/>
      <c r="E90" s="586"/>
      <c r="F90" s="586"/>
      <c r="G90" s="586"/>
      <c r="H90" s="586"/>
      <c r="I90" s="586"/>
      <c r="K90" s="8"/>
      <c r="L90" s="8"/>
      <c r="M90" s="8"/>
      <c r="N90" s="8"/>
    </row>
    <row r="91" spans="1:14" s="57" customFormat="1" x14ac:dyDescent="0.2">
      <c r="A91" s="579"/>
      <c r="B91" s="372"/>
      <c r="C91" s="372"/>
      <c r="D91" s="372"/>
      <c r="E91" s="372"/>
      <c r="F91" s="372"/>
      <c r="G91" s="372"/>
      <c r="H91" s="372"/>
      <c r="I91" s="372"/>
      <c r="J91" s="372"/>
      <c r="K91" s="8"/>
      <c r="L91" s="8"/>
      <c r="M91" s="8"/>
      <c r="N91" s="8"/>
    </row>
    <row r="92" spans="1:14" ht="15" x14ac:dyDescent="0.35">
      <c r="A92" s="579"/>
      <c r="B92" s="587"/>
      <c r="C92" s="587"/>
      <c r="D92" s="587"/>
      <c r="E92" s="587"/>
      <c r="F92" s="587"/>
      <c r="G92" s="587"/>
      <c r="H92" s="587"/>
      <c r="I92" s="587"/>
      <c r="J92" s="587"/>
    </row>
    <row r="93" spans="1:14" x14ac:dyDescent="0.2">
      <c r="B93" s="372"/>
      <c r="C93" s="372"/>
      <c r="D93" s="372"/>
      <c r="E93" s="372"/>
      <c r="F93" s="372"/>
      <c r="G93" s="372"/>
      <c r="H93" s="372"/>
      <c r="I93" s="372"/>
      <c r="J93" s="372"/>
    </row>
    <row r="94" spans="1:14" x14ac:dyDescent="0.2">
      <c r="B94" s="370"/>
      <c r="C94" s="370"/>
      <c r="D94" s="370"/>
      <c r="E94" s="370"/>
      <c r="F94" s="370"/>
      <c r="G94" s="370"/>
      <c r="H94" s="370"/>
      <c r="I94" s="370"/>
    </row>
    <row r="95" spans="1:14" x14ac:dyDescent="0.2">
      <c r="A95" s="588"/>
      <c r="B95" s="370"/>
      <c r="C95" s="370"/>
      <c r="D95" s="370"/>
      <c r="E95" s="370"/>
      <c r="F95" s="370"/>
      <c r="G95" s="370"/>
      <c r="H95" s="370"/>
      <c r="I95" s="370"/>
    </row>
    <row r="96" spans="1:14" x14ac:dyDescent="0.2">
      <c r="A96" s="579"/>
      <c r="B96" s="372"/>
      <c r="C96" s="372"/>
      <c r="D96" s="372"/>
      <c r="E96" s="372"/>
      <c r="F96" s="372"/>
      <c r="G96" s="372"/>
      <c r="H96" s="372"/>
      <c r="I96" s="372"/>
      <c r="J96" s="372"/>
    </row>
    <row r="97" spans="1:10" ht="15" x14ac:dyDescent="0.35">
      <c r="A97" s="579"/>
      <c r="B97" s="587"/>
      <c r="C97" s="587"/>
      <c r="D97" s="587"/>
      <c r="E97" s="587"/>
      <c r="F97" s="587"/>
      <c r="G97" s="587"/>
      <c r="H97" s="587"/>
      <c r="I97" s="587"/>
      <c r="J97" s="587"/>
    </row>
    <row r="98" spans="1:10" x14ac:dyDescent="0.2">
      <c r="B98" s="372"/>
      <c r="C98" s="372"/>
      <c r="D98" s="372"/>
      <c r="E98" s="372"/>
      <c r="F98" s="372"/>
      <c r="G98" s="372"/>
      <c r="H98" s="372"/>
      <c r="I98" s="372"/>
      <c r="J98" s="372"/>
    </row>
    <row r="99" spans="1:10" x14ac:dyDescent="0.2">
      <c r="B99" s="370"/>
      <c r="C99" s="370"/>
      <c r="D99" s="370"/>
      <c r="E99" s="370"/>
      <c r="F99" s="370"/>
      <c r="G99" s="370"/>
      <c r="H99" s="370"/>
      <c r="I99" s="370"/>
    </row>
    <row r="100" spans="1:10" x14ac:dyDescent="0.2">
      <c r="B100" s="372"/>
      <c r="C100" s="372"/>
      <c r="D100" s="372"/>
      <c r="E100" s="372"/>
      <c r="F100" s="372"/>
      <c r="G100" s="372"/>
      <c r="H100" s="372"/>
      <c r="I100" s="372"/>
      <c r="J100" s="372"/>
    </row>
    <row r="101" spans="1:10" x14ac:dyDescent="0.2">
      <c r="B101" s="372"/>
      <c r="C101" s="372"/>
      <c r="D101" s="372"/>
      <c r="E101" s="372"/>
      <c r="F101" s="372"/>
      <c r="G101" s="372"/>
      <c r="H101" s="372"/>
      <c r="I101" s="372"/>
      <c r="J101" s="372"/>
    </row>
    <row r="102" spans="1:10" ht="15" x14ac:dyDescent="0.35">
      <c r="B102" s="587"/>
      <c r="C102" s="587"/>
      <c r="D102" s="587"/>
      <c r="E102" s="587"/>
      <c r="F102" s="587"/>
      <c r="G102" s="587"/>
      <c r="H102" s="587"/>
      <c r="I102" s="587"/>
      <c r="J102" s="587"/>
    </row>
    <row r="103" spans="1:10" x14ac:dyDescent="0.2">
      <c r="B103" s="372"/>
      <c r="C103" s="372"/>
      <c r="D103" s="372"/>
      <c r="E103" s="372"/>
      <c r="F103" s="372"/>
      <c r="G103" s="372"/>
      <c r="H103" s="372"/>
      <c r="I103" s="372"/>
      <c r="J103" s="372"/>
    </row>
    <row r="104" spans="1:10" x14ac:dyDescent="0.2">
      <c r="B104" s="370"/>
      <c r="C104" s="370"/>
      <c r="D104" s="370"/>
      <c r="E104" s="370"/>
      <c r="F104" s="370"/>
      <c r="G104" s="370"/>
      <c r="H104" s="370"/>
      <c r="I104" s="370"/>
    </row>
    <row r="105" spans="1:10" x14ac:dyDescent="0.2">
      <c r="B105" s="372"/>
      <c r="C105" s="372"/>
      <c r="D105" s="372"/>
      <c r="E105" s="372"/>
      <c r="F105" s="372"/>
      <c r="G105" s="372"/>
      <c r="H105" s="372"/>
      <c r="I105" s="372"/>
      <c r="J105" s="372"/>
    </row>
    <row r="106" spans="1:10" x14ac:dyDescent="0.2">
      <c r="B106" s="372"/>
      <c r="C106" s="372"/>
      <c r="D106" s="372"/>
      <c r="E106" s="372"/>
      <c r="F106" s="372"/>
      <c r="G106" s="372"/>
      <c r="H106" s="372"/>
      <c r="I106" s="372"/>
      <c r="J106" s="372"/>
    </row>
    <row r="107" spans="1:10" x14ac:dyDescent="0.2">
      <c r="B107" s="578"/>
      <c r="C107" s="578"/>
      <c r="D107" s="578"/>
      <c r="E107" s="578"/>
      <c r="F107" s="578"/>
      <c r="G107" s="578"/>
      <c r="H107" s="578"/>
      <c r="I107" s="578"/>
      <c r="J107" s="578"/>
    </row>
    <row r="108" spans="1:10" ht="15" x14ac:dyDescent="0.35">
      <c r="B108" s="580"/>
      <c r="C108" s="580"/>
      <c r="D108" s="580"/>
      <c r="E108" s="580"/>
      <c r="F108" s="580"/>
      <c r="G108" s="580"/>
      <c r="H108" s="580"/>
      <c r="I108" s="580"/>
      <c r="J108" s="580"/>
    </row>
    <row r="109" spans="1:10" x14ac:dyDescent="0.2">
      <c r="B109" s="372"/>
      <c r="C109" s="372"/>
      <c r="D109" s="372"/>
      <c r="E109" s="372"/>
      <c r="F109" s="372"/>
      <c r="G109" s="372"/>
      <c r="H109" s="372"/>
      <c r="I109" s="372"/>
      <c r="J109" s="372"/>
    </row>
    <row r="110" spans="1:10" x14ac:dyDescent="0.2">
      <c r="B110" s="370"/>
      <c r="C110" s="370"/>
      <c r="D110" s="370"/>
      <c r="E110" s="370"/>
      <c r="F110" s="370"/>
      <c r="G110" s="370"/>
      <c r="H110" s="370"/>
      <c r="I110" s="370"/>
    </row>
    <row r="111" spans="1:10" x14ac:dyDescent="0.2">
      <c r="B111" s="372"/>
      <c r="C111" s="372"/>
      <c r="D111" s="372"/>
      <c r="E111" s="372"/>
      <c r="F111" s="372"/>
      <c r="G111" s="372"/>
      <c r="H111" s="372"/>
      <c r="I111" s="372"/>
      <c r="J111" s="372"/>
    </row>
    <row r="112" spans="1:10" x14ac:dyDescent="0.2">
      <c r="B112" s="370"/>
      <c r="C112" s="370"/>
      <c r="D112" s="370"/>
      <c r="E112" s="370"/>
      <c r="F112" s="370"/>
      <c r="G112" s="370"/>
      <c r="H112" s="370"/>
      <c r="I112" s="370"/>
    </row>
    <row r="113" spans="1:10" x14ac:dyDescent="0.2">
      <c r="B113" s="372"/>
      <c r="C113" s="372"/>
      <c r="D113" s="372"/>
      <c r="E113" s="372"/>
      <c r="F113" s="372"/>
      <c r="G113" s="372"/>
      <c r="H113" s="372"/>
      <c r="I113" s="372"/>
      <c r="J113" s="372"/>
    </row>
    <row r="115" spans="1:10" x14ac:dyDescent="0.2">
      <c r="B115" s="372"/>
      <c r="C115" s="372"/>
      <c r="D115" s="372"/>
      <c r="E115" s="372"/>
      <c r="F115" s="372"/>
      <c r="G115" s="372"/>
      <c r="H115" s="372"/>
      <c r="I115" s="372"/>
      <c r="J115" s="372"/>
    </row>
    <row r="116" spans="1:10" x14ac:dyDescent="0.2">
      <c r="A116" s="579"/>
      <c r="B116" s="372"/>
      <c r="C116" s="372"/>
      <c r="D116" s="372"/>
      <c r="E116" s="372"/>
      <c r="F116" s="372"/>
      <c r="G116" s="372"/>
      <c r="H116" s="372"/>
      <c r="I116" s="372"/>
      <c r="J116" s="372"/>
    </row>
    <row r="117" spans="1:10" ht="15" x14ac:dyDescent="0.35">
      <c r="A117" s="579"/>
      <c r="B117" s="587"/>
      <c r="C117" s="587"/>
      <c r="D117" s="587"/>
      <c r="E117" s="587"/>
      <c r="F117" s="587"/>
      <c r="G117" s="587"/>
      <c r="H117" s="587"/>
      <c r="I117" s="587"/>
      <c r="J117" s="587"/>
    </row>
    <row r="118" spans="1:10" x14ac:dyDescent="0.2">
      <c r="B118" s="372"/>
      <c r="C118" s="372"/>
      <c r="D118" s="372"/>
      <c r="E118" s="372"/>
      <c r="F118" s="372"/>
      <c r="G118" s="372"/>
      <c r="H118" s="372"/>
      <c r="I118" s="372"/>
      <c r="J118" s="372"/>
    </row>
    <row r="120" spans="1:10" x14ac:dyDescent="0.2">
      <c r="B120" s="37"/>
      <c r="C120" s="37"/>
      <c r="D120" s="37"/>
      <c r="E120" s="37"/>
      <c r="F120" s="37"/>
      <c r="G120" s="37"/>
      <c r="H120" s="37"/>
      <c r="I120" s="37"/>
      <c r="J120" s="37"/>
    </row>
    <row r="122" spans="1:10" x14ac:dyDescent="0.2">
      <c r="B122" s="372"/>
      <c r="C122" s="372"/>
      <c r="D122" s="372"/>
      <c r="E122" s="372"/>
      <c r="F122" s="372"/>
      <c r="G122" s="372"/>
      <c r="H122" s="372"/>
      <c r="I122" s="372"/>
      <c r="J122" s="372"/>
    </row>
    <row r="124" spans="1:10" x14ac:dyDescent="0.2">
      <c r="B124" s="372"/>
      <c r="C124" s="372"/>
      <c r="D124" s="372"/>
      <c r="E124" s="372"/>
      <c r="F124" s="372"/>
      <c r="G124" s="372"/>
      <c r="H124" s="372"/>
      <c r="I124" s="372"/>
      <c r="J124" s="372"/>
    </row>
    <row r="126" spans="1:10" x14ac:dyDescent="0.2">
      <c r="B126" s="372"/>
      <c r="C126" s="372"/>
      <c r="D126" s="372"/>
      <c r="E126" s="372"/>
      <c r="F126" s="372"/>
      <c r="G126" s="372"/>
      <c r="H126" s="372"/>
      <c r="I126" s="372"/>
      <c r="J126" s="372"/>
    </row>
    <row r="128" spans="1:10" ht="15" x14ac:dyDescent="0.35">
      <c r="B128" s="589"/>
      <c r="C128" s="589"/>
      <c r="D128" s="589"/>
      <c r="E128" s="589"/>
      <c r="F128" s="589"/>
      <c r="G128" s="589"/>
      <c r="H128" s="589"/>
      <c r="I128" s="589"/>
      <c r="J128" s="589"/>
    </row>
    <row r="133" spans="2:10" x14ac:dyDescent="0.2">
      <c r="B133" s="37"/>
      <c r="C133" s="37"/>
      <c r="D133" s="37"/>
      <c r="E133" s="37"/>
      <c r="F133" s="37"/>
      <c r="G133" s="37"/>
      <c r="H133" s="37"/>
      <c r="I133" s="37"/>
      <c r="J133" s="37"/>
    </row>
    <row r="134" spans="2:10" x14ac:dyDescent="0.2">
      <c r="B134" s="37"/>
      <c r="C134" s="37"/>
      <c r="D134" s="37"/>
      <c r="E134" s="37"/>
      <c r="F134" s="37"/>
      <c r="G134" s="37"/>
      <c r="H134" s="37"/>
      <c r="I134" s="37"/>
      <c r="J134" s="37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5" right="0.75" top="1" bottom="0.5" header="0.5" footer="0.25"/>
  <pageSetup scale="84" orientation="landscape" r:id="rId1"/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">
    <tabColor theme="6" tint="0.39997558519241921"/>
    <pageSetUpPr fitToPage="1"/>
  </sheetPr>
  <dimension ref="A1:P234"/>
  <sheetViews>
    <sheetView view="pageBreakPreview" zoomScaleNormal="100" zoomScaleSheetLayoutView="100" workbookViewId="0">
      <selection activeCell="B45" sqref="B45"/>
    </sheetView>
  </sheetViews>
  <sheetFormatPr defaultRowHeight="12.75" x14ac:dyDescent="0.2"/>
  <cols>
    <col min="1" max="1" width="63.42578125" style="8" customWidth="1"/>
    <col min="2" max="2" width="17" style="8" customWidth="1"/>
    <col min="3" max="3" width="18.85546875" style="8" customWidth="1"/>
    <col min="4" max="4" width="19.7109375" style="8" customWidth="1"/>
    <col min="5" max="5" width="17.42578125" style="8" customWidth="1"/>
    <col min="6" max="6" width="20.140625" style="8" customWidth="1"/>
    <col min="7" max="7" width="17.42578125" style="8" customWidth="1"/>
    <col min="8" max="8" width="19.5703125" style="8" customWidth="1"/>
    <col min="9" max="9" width="9.140625" style="8"/>
    <col min="10" max="10" width="13.7109375" style="8" customWidth="1"/>
    <col min="11" max="12" width="9.28515625" style="8" bestFit="1" customWidth="1"/>
    <col min="13" max="13" width="20.5703125" style="8" customWidth="1"/>
    <col min="14" max="14" width="9.140625" style="8"/>
    <col min="15" max="15" width="17.85546875" style="8" customWidth="1"/>
    <col min="16" max="16" width="9.28515625" style="8" bestFit="1" customWidth="1"/>
    <col min="17" max="17" width="9.140625" style="8"/>
    <col min="18" max="18" width="15.85546875" style="8" customWidth="1"/>
    <col min="19" max="19" width="9.28515625" style="8" bestFit="1" customWidth="1"/>
    <col min="20" max="20" width="17.5703125" style="8" bestFit="1" customWidth="1"/>
    <col min="21" max="21" width="15.42578125" style="8" bestFit="1" customWidth="1"/>
    <col min="22" max="22" width="12.7109375" style="8" bestFit="1" customWidth="1"/>
    <col min="23" max="16384" width="9.140625" style="8"/>
  </cols>
  <sheetData>
    <row r="1" spans="1:15" x14ac:dyDescent="0.2">
      <c r="A1" s="919" t="str">
        <f>Index!A5</f>
        <v>LOUISVILLE GAS AND ELECTRIC COMPANY</v>
      </c>
      <c r="B1" s="918"/>
      <c r="C1" s="918"/>
      <c r="D1" s="918"/>
      <c r="E1" s="918"/>
      <c r="F1" s="918"/>
      <c r="G1" s="918"/>
      <c r="H1" s="918"/>
    </row>
    <row r="2" spans="1:15" x14ac:dyDescent="0.2">
      <c r="A2" s="918" t="str">
        <f>Index!A7</f>
        <v>CASE NO. 2020-00350</v>
      </c>
      <c r="B2" s="918"/>
      <c r="C2" s="918"/>
      <c r="D2" s="918"/>
      <c r="E2" s="918"/>
      <c r="F2" s="918"/>
      <c r="G2" s="918"/>
      <c r="H2" s="918"/>
    </row>
    <row r="3" spans="1:15" x14ac:dyDescent="0.2">
      <c r="A3" s="918" t="str">
        <f>Index!C21</f>
        <v>SUMMARY OF BASE GAS REVENUES</v>
      </c>
      <c r="B3" s="918"/>
      <c r="C3" s="918"/>
      <c r="D3" s="918"/>
      <c r="E3" s="918"/>
      <c r="F3" s="918"/>
      <c r="G3" s="918"/>
      <c r="H3" s="918"/>
    </row>
    <row r="4" spans="1:15" x14ac:dyDescent="0.2">
      <c r="A4" s="918" t="str">
        <f>Index!C11</f>
        <v>FOR THE 12 MONTHS ENDED FEBRUARY 28, 2021</v>
      </c>
      <c r="B4" s="918"/>
      <c r="C4" s="918"/>
      <c r="D4" s="918"/>
      <c r="E4" s="918"/>
      <c r="F4" s="918"/>
      <c r="G4" s="918"/>
      <c r="H4" s="918"/>
    </row>
    <row r="5" spans="1:15" x14ac:dyDescent="0.2">
      <c r="A5" s="918" t="s">
        <v>774</v>
      </c>
      <c r="B5" s="918"/>
      <c r="C5" s="918"/>
      <c r="D5" s="918"/>
      <c r="E5" s="918"/>
      <c r="F5" s="918"/>
      <c r="G5" s="918"/>
      <c r="H5" s="918"/>
    </row>
    <row r="7" spans="1:15" x14ac:dyDescent="0.2">
      <c r="A7" s="590" t="s">
        <v>397</v>
      </c>
      <c r="B7" s="591"/>
      <c r="C7" s="591"/>
      <c r="D7" s="591"/>
      <c r="E7" s="591"/>
      <c r="F7" s="591"/>
      <c r="G7" s="591"/>
      <c r="H7" s="592" t="s">
        <v>424</v>
      </c>
      <c r="J7" s="593"/>
      <c r="K7" s="594"/>
      <c r="L7" s="594"/>
      <c r="M7" s="594"/>
      <c r="N7" s="594"/>
      <c r="O7" s="594"/>
    </row>
    <row r="8" spans="1:15" x14ac:dyDescent="0.2">
      <c r="A8" s="595" t="s">
        <v>398</v>
      </c>
      <c r="B8" s="591"/>
      <c r="C8" s="591"/>
      <c r="D8" s="591"/>
      <c r="E8" s="591"/>
      <c r="F8" s="591"/>
      <c r="G8" s="591"/>
      <c r="H8" s="596" t="s">
        <v>498</v>
      </c>
      <c r="J8" s="593"/>
    </row>
    <row r="9" spans="1:15" x14ac:dyDescent="0.2">
      <c r="A9" s="595" t="s">
        <v>399</v>
      </c>
      <c r="B9" s="591"/>
      <c r="C9" s="591"/>
      <c r="D9" s="591"/>
      <c r="E9" s="591"/>
      <c r="F9" s="591"/>
      <c r="G9" s="591"/>
      <c r="H9" s="592" t="s">
        <v>773</v>
      </c>
      <c r="J9" s="593"/>
    </row>
    <row r="10" spans="1:15" x14ac:dyDescent="0.2">
      <c r="A10" s="593"/>
      <c r="B10" s="593"/>
      <c r="C10" s="593"/>
      <c r="D10" s="593"/>
      <c r="E10" s="593"/>
      <c r="F10" s="593"/>
      <c r="G10" s="593"/>
      <c r="H10" s="593"/>
      <c r="J10" s="593"/>
    </row>
    <row r="11" spans="1:15" x14ac:dyDescent="0.2">
      <c r="A11" s="598"/>
      <c r="B11" s="598"/>
      <c r="C11" s="598"/>
      <c r="D11" s="598"/>
      <c r="E11" s="598"/>
      <c r="F11" s="598"/>
      <c r="G11" s="598"/>
      <c r="H11" s="599" t="s">
        <v>131</v>
      </c>
      <c r="J11" s="593"/>
    </row>
    <row r="12" spans="1:15" x14ac:dyDescent="0.2">
      <c r="A12" s="598"/>
      <c r="B12" s="599" t="s">
        <v>288</v>
      </c>
      <c r="C12" s="599" t="s">
        <v>403</v>
      </c>
      <c r="D12" s="599" t="s">
        <v>107</v>
      </c>
      <c r="E12" s="599" t="s">
        <v>109</v>
      </c>
      <c r="F12" s="599" t="s">
        <v>171</v>
      </c>
      <c r="G12" s="599" t="s">
        <v>652</v>
      </c>
      <c r="H12" s="599" t="s">
        <v>301</v>
      </c>
    </row>
    <row r="13" spans="1:15" ht="13.5" thickBot="1" x14ac:dyDescent="0.25">
      <c r="A13" s="600" t="s">
        <v>87</v>
      </c>
      <c r="B13" s="601" t="s">
        <v>83</v>
      </c>
      <c r="C13" s="601" t="s">
        <v>83</v>
      </c>
      <c r="D13" s="601" t="s">
        <v>83</v>
      </c>
      <c r="E13" s="601" t="s">
        <v>83</v>
      </c>
      <c r="F13" s="601" t="s">
        <v>83</v>
      </c>
      <c r="G13" s="601" t="s">
        <v>664</v>
      </c>
      <c r="H13" s="601" t="s">
        <v>83</v>
      </c>
    </row>
    <row r="15" spans="1:15" x14ac:dyDescent="0.2">
      <c r="A15" s="8" t="s">
        <v>797</v>
      </c>
      <c r="B15" s="372">
        <f>'Sch M-1.3 Pg. 2-11'!J27</f>
        <v>147699054</v>
      </c>
      <c r="C15" s="372">
        <f>'Sch M-1.3 Pg. 2-11'!J29</f>
        <v>9943587.1545493845</v>
      </c>
      <c r="D15" s="372">
        <f>'Sch M-1.3 Pg. 2-11'!J30</f>
        <v>74275617.716191456</v>
      </c>
      <c r="E15" s="372">
        <f>'Sch M-1.3 Pg. 2-11'!J31</f>
        <v>443138.73494988779</v>
      </c>
      <c r="F15" s="372">
        <f>'Sch M-1.3 Pg. 2-11'!J32</f>
        <v>1061031.6299999999</v>
      </c>
      <c r="G15" s="372">
        <f>'Sch M-1.3 Pg. 2-11'!J33</f>
        <v>-229.02999999999997</v>
      </c>
      <c r="H15" s="372">
        <f>SUM(B15:G15)</f>
        <v>233422200.20569071</v>
      </c>
    </row>
    <row r="16" spans="1:15" x14ac:dyDescent="0.2">
      <c r="B16" s="372"/>
      <c r="C16" s="372"/>
      <c r="D16" s="372"/>
      <c r="E16" s="372"/>
      <c r="F16" s="372"/>
      <c r="G16" s="372"/>
      <c r="H16" s="372"/>
    </row>
    <row r="17" spans="1:8" x14ac:dyDescent="0.2">
      <c r="A17" s="8" t="s">
        <v>798</v>
      </c>
      <c r="B17" s="372">
        <f>'Sch M-1.3 Pg. 2-11'!J61+'Sch M-1.3 Pg. 2-11'!J76+'Sch M-1.3 Pg. 2-11'!J85</f>
        <v>54230102.20213335</v>
      </c>
      <c r="C17" s="372">
        <f>'Sch M-1.3 Pg. 2-11'!J78</f>
        <v>4167245.3717866219</v>
      </c>
      <c r="D17" s="372">
        <f>'Sch M-1.3 Pg. 2-11'!J79</f>
        <v>38276221.246945404</v>
      </c>
      <c r="E17" s="372">
        <f>'Sch M-1.3 Pg. 2-11'!J80</f>
        <v>322510.86833061429</v>
      </c>
      <c r="F17" s="372">
        <f>'Sch M-1.3 Pg. 2-11'!J81</f>
        <v>398441.93999999994</v>
      </c>
      <c r="G17" s="372">
        <f>'Sch M-1.3 Pg. 2-11'!J82</f>
        <v>0.81</v>
      </c>
      <c r="H17" s="372">
        <f>SUM(B17:G17)</f>
        <v>97394522.439195991</v>
      </c>
    </row>
    <row r="18" spans="1:8" x14ac:dyDescent="0.2">
      <c r="B18" s="372"/>
      <c r="C18" s="372"/>
      <c r="D18" s="372"/>
      <c r="E18" s="372"/>
      <c r="F18" s="372"/>
      <c r="G18" s="372"/>
      <c r="H18" s="372"/>
    </row>
    <row r="19" spans="1:8" x14ac:dyDescent="0.2">
      <c r="A19" s="8" t="s">
        <v>799</v>
      </c>
      <c r="B19" s="544">
        <f ca="1">'Sch M-1.3 Pg. 2-11'!J113+'Sch M-1.3 Pg. 2-11'!J126+'Sch M-1.3 Pg. 2-11'!J135</f>
        <v>4043522.7035626639</v>
      </c>
      <c r="C19" s="372">
        <f>'Sch M-1.3 Pg. 2-11'!J128</f>
        <v>486653.43130186998</v>
      </c>
      <c r="D19" s="372">
        <f>'Sch M-1.3 Pg. 2-11'!J129</f>
        <v>3499686.4220173093</v>
      </c>
      <c r="E19" s="372">
        <f>'Sch M-1.3 Pg. 2-11'!J130</f>
        <v>1483.31</v>
      </c>
      <c r="F19" s="372">
        <v>0</v>
      </c>
      <c r="G19" s="372">
        <f>'Sch M-1.3 Pg. 2-11'!J132</f>
        <v>0</v>
      </c>
      <c r="H19" s="372">
        <f ca="1">SUM(B19:G19)</f>
        <v>8031345.8668818427</v>
      </c>
    </row>
    <row r="20" spans="1:8" x14ac:dyDescent="0.2">
      <c r="B20" s="372"/>
      <c r="C20" s="372"/>
      <c r="D20" s="372"/>
      <c r="E20" s="372"/>
      <c r="F20" s="372"/>
      <c r="G20" s="372"/>
      <c r="H20" s="372"/>
    </row>
    <row r="21" spans="1:8" x14ac:dyDescent="0.2">
      <c r="A21" s="8" t="s">
        <v>800</v>
      </c>
      <c r="B21" s="372">
        <f>'Sch M-1.3 Pg. 2-11'!J160+'Sch M-1.3 Pg. 2-11'!J170+'Sch M-1.3 Pg. 2-11'!J179</f>
        <v>263126.04001159896</v>
      </c>
      <c r="C21" s="372">
        <f>'Sch M-1.3 Pg. 2-11'!J172</f>
        <v>31847.921537671231</v>
      </c>
      <c r="D21" s="372">
        <f>'Sch M-1.3 Pg. 2-11'!J173</f>
        <v>325811.07219336601</v>
      </c>
      <c r="E21" s="372">
        <f>'Sch M-1.3 Pg. 2-11'!J174</f>
        <v>2503.9626545083433</v>
      </c>
      <c r="F21" s="372">
        <v>0</v>
      </c>
      <c r="G21" s="372">
        <f>'Sch M-1.3 Pg. 2-11'!J176</f>
        <v>0</v>
      </c>
      <c r="H21" s="372">
        <f>SUM(B21:G21)</f>
        <v>623288.99639714451</v>
      </c>
    </row>
    <row r="22" spans="1:8" x14ac:dyDescent="0.2">
      <c r="B22" s="372"/>
      <c r="C22" s="372"/>
      <c r="D22" s="372"/>
      <c r="E22" s="372"/>
      <c r="F22" s="372"/>
      <c r="G22" s="372"/>
      <c r="H22" s="576"/>
    </row>
    <row r="23" spans="1:8" x14ac:dyDescent="0.2">
      <c r="A23" s="57" t="s">
        <v>801</v>
      </c>
      <c r="B23" s="372">
        <f>'Sch M-1.3 Pg. 2-11'!J207+'Sch M-1.3 Pg. 2-11'!J217</f>
        <v>6410496.734682573</v>
      </c>
      <c r="C23" s="372">
        <f>'Sch M-1.3 Pg. 2-11'!J209</f>
        <v>115954.00046680489</v>
      </c>
      <c r="D23" s="372">
        <f>'Sch M-1.3 Pg. 2-11'!J210+'Sch M-1.3 Pg. 2-11'!J218</f>
        <v>165171.74000000002</v>
      </c>
      <c r="E23" s="372">
        <f>'Sch M-1.3 Pg. 2-11'!J211</f>
        <v>2677.8199999999997</v>
      </c>
      <c r="F23" s="372">
        <v>0</v>
      </c>
      <c r="G23" s="372">
        <f>'Sch M-1.3 Pg. 2-11'!J213</f>
        <v>0</v>
      </c>
      <c r="H23" s="372">
        <f>SUM(B23:G23)</f>
        <v>6694300.2951493785</v>
      </c>
    </row>
    <row r="24" spans="1:8" x14ac:dyDescent="0.2">
      <c r="B24" s="372"/>
      <c r="C24" s="372"/>
      <c r="D24" s="372"/>
      <c r="E24" s="372"/>
      <c r="F24" s="372"/>
      <c r="G24" s="372"/>
      <c r="H24" s="576"/>
    </row>
    <row r="25" spans="1:8" x14ac:dyDescent="0.2">
      <c r="A25" s="8" t="s">
        <v>299</v>
      </c>
      <c r="B25" s="372">
        <f>'Sch M-1.3 Pg. 2-11'!J243</f>
        <v>2251700.4882707852</v>
      </c>
      <c r="C25" s="372">
        <f>'Sch M-1.3 Pg. 2-11'!J245</f>
        <v>7636.48</v>
      </c>
      <c r="D25" s="372">
        <f>'Sch M-1.3 Pg. 2-11'!J246</f>
        <v>861171.54627078143</v>
      </c>
      <c r="E25" s="372">
        <f>'Sch M-1.3 Pg. 2-11'!J247</f>
        <v>0</v>
      </c>
      <c r="F25" s="372">
        <f>'Sch M-1.3 Pg. 2-11'!J248</f>
        <v>0</v>
      </c>
      <c r="G25" s="372">
        <f>'Sch M-1.3 Pg. 2-11'!J249</f>
        <v>0</v>
      </c>
      <c r="H25" s="372">
        <f>SUM(B25:G25)</f>
        <v>3120508.5145415664</v>
      </c>
    </row>
    <row r="26" spans="1:8" x14ac:dyDescent="0.2">
      <c r="B26" s="372"/>
      <c r="C26" s="372"/>
      <c r="D26" s="372"/>
      <c r="E26" s="372"/>
      <c r="F26" s="372"/>
      <c r="G26" s="372"/>
      <c r="H26" s="576"/>
    </row>
    <row r="27" spans="1:8" x14ac:dyDescent="0.2">
      <c r="A27" s="8" t="s">
        <v>417</v>
      </c>
      <c r="B27" s="372">
        <f>'Sch M-1.3 Pg. 2-11'!J276+'Sch M-1.3 Pg. 2-11'!J288+'Sch M-1.3 Pg. 2-11'!J297</f>
        <v>20570.964790616265</v>
      </c>
      <c r="C27" s="372">
        <f>'Sch M-1.3 Pg. 2-11'!J290</f>
        <v>2252.3888508914911</v>
      </c>
      <c r="D27" s="372">
        <f>'Sch M-1.3 Pg. 2-11'!J291</f>
        <v>77.923519507462814</v>
      </c>
      <c r="E27" s="372">
        <f>'Sch M-1.3 Pg. 2-11'!J292</f>
        <v>0</v>
      </c>
      <c r="F27" s="372">
        <f>'Sch M-1.3 Pg. 2-11'!J293</f>
        <v>0</v>
      </c>
      <c r="G27" s="372">
        <f>'Sch M-1.3 Pg. 2-11'!J294</f>
        <v>0</v>
      </c>
      <c r="H27" s="372">
        <f>SUM(B27:G27)</f>
        <v>22901.277161015216</v>
      </c>
    </row>
    <row r="28" spans="1:8" x14ac:dyDescent="0.2">
      <c r="B28" s="372"/>
      <c r="C28" s="372"/>
      <c r="D28" s="372"/>
      <c r="E28" s="372"/>
      <c r="F28" s="372"/>
      <c r="G28" s="372"/>
      <c r="H28" s="576"/>
    </row>
    <row r="29" spans="1:8" x14ac:dyDescent="0.2">
      <c r="A29" s="8" t="s">
        <v>795</v>
      </c>
      <c r="B29" s="372">
        <f>'Sch M-1.3 Pg. 2-11'!J322</f>
        <v>205513.11830490225</v>
      </c>
      <c r="C29" s="372">
        <f>'Sch M-1.3 Pg. 2-11'!J324</f>
        <v>5476.1015374135595</v>
      </c>
      <c r="D29" s="372">
        <f>'Sch M-1.3 Pg. 2-11'!J325</f>
        <v>10468.589022697131</v>
      </c>
      <c r="E29" s="372">
        <f>'Sch M-1.3 Pg. 2-11'!J326</f>
        <v>33.101134987067731</v>
      </c>
      <c r="F29" s="372">
        <f>'Sch M-1.3 Pg. 2-11'!J327</f>
        <v>0</v>
      </c>
      <c r="G29" s="372">
        <f>'Sch M-1.3 Pg. 2-11'!J328</f>
        <v>0</v>
      </c>
      <c r="H29" s="372">
        <f>SUM(B29:G29)</f>
        <v>221490.90999999997</v>
      </c>
    </row>
    <row r="30" spans="1:8" x14ac:dyDescent="0.2">
      <c r="B30" s="372"/>
      <c r="C30" s="372"/>
      <c r="D30" s="372"/>
      <c r="E30" s="372"/>
      <c r="F30" s="372"/>
      <c r="G30" s="372"/>
      <c r="H30" s="372"/>
    </row>
    <row r="31" spans="1:8" x14ac:dyDescent="0.2">
      <c r="A31" s="8" t="s">
        <v>796</v>
      </c>
      <c r="B31" s="372">
        <f>'Sch M-1.3 Pg. 2-11'!J353</f>
        <v>0</v>
      </c>
      <c r="C31" s="372">
        <f>'Sch M-1.3 Pg. 2-11'!J355</f>
        <v>0</v>
      </c>
      <c r="D31" s="372">
        <f>'Sch M-1.3 Pg. 2-11'!J356</f>
        <v>0</v>
      </c>
      <c r="E31" s="372">
        <f>'Sch M-1.3 Pg. 2-11'!J357</f>
        <v>0</v>
      </c>
      <c r="F31" s="372">
        <f>'Sch M-1.3 Pg. 2-11'!J358</f>
        <v>0</v>
      </c>
      <c r="G31" s="372">
        <f>'Sch M-1.3 Pg. 2-11'!J359</f>
        <v>0</v>
      </c>
      <c r="H31" s="372">
        <f>SUM(B31:G31)</f>
        <v>0</v>
      </c>
    </row>
    <row r="32" spans="1:8" x14ac:dyDescent="0.2">
      <c r="B32" s="372"/>
      <c r="C32" s="372"/>
      <c r="D32" s="372"/>
      <c r="E32" s="372"/>
      <c r="F32" s="372"/>
      <c r="G32" s="372"/>
      <c r="H32" s="372"/>
    </row>
    <row r="33" spans="1:8" x14ac:dyDescent="0.2">
      <c r="A33" s="8" t="s">
        <v>768</v>
      </c>
      <c r="B33" s="372">
        <f>'Sch M-1.3 Pg. 2-11'!J385</f>
        <v>0</v>
      </c>
      <c r="C33" s="372">
        <f>'Sch M-1.3 Pg. 2-11'!J387</f>
        <v>0</v>
      </c>
      <c r="D33" s="372">
        <f>'Sch M-1.3 Pg. 2-11'!J388</f>
        <v>0</v>
      </c>
      <c r="E33" s="372">
        <f>'Sch M-1.3 Pg. 2-11'!J389</f>
        <v>0</v>
      </c>
      <c r="F33" s="372">
        <f>'Sch M-1.3 Pg. 2-11'!J390</f>
        <v>0</v>
      </c>
      <c r="G33" s="372">
        <f>'Sch M-1.3 Pg. 2-11'!J391</f>
        <v>0</v>
      </c>
      <c r="H33" s="372">
        <f>SUM(B33:G33)</f>
        <v>0</v>
      </c>
    </row>
    <row r="34" spans="1:8" x14ac:dyDescent="0.2">
      <c r="B34" s="372"/>
      <c r="C34" s="372"/>
      <c r="D34" s="372"/>
      <c r="E34" s="372"/>
      <c r="F34" s="372"/>
      <c r="G34" s="372"/>
      <c r="H34" s="576"/>
    </row>
    <row r="35" spans="1:8" x14ac:dyDescent="0.2">
      <c r="A35" s="8" t="s">
        <v>304</v>
      </c>
      <c r="B35" s="602">
        <f t="shared" ref="B35:H35" ca="1" si="0">SUM(B14:B33)</f>
        <v>215124086.25175649</v>
      </c>
      <c r="C35" s="602">
        <f t="shared" si="0"/>
        <v>14760652.850030659</v>
      </c>
      <c r="D35" s="602">
        <f t="shared" si="0"/>
        <v>117414226.25616051</v>
      </c>
      <c r="E35" s="602">
        <f t="shared" si="0"/>
        <v>772347.79706999753</v>
      </c>
      <c r="F35" s="602">
        <f t="shared" si="0"/>
        <v>1459473.5699999998</v>
      </c>
      <c r="G35" s="602">
        <f t="shared" si="0"/>
        <v>-228.21999999999997</v>
      </c>
      <c r="H35" s="602">
        <f t="shared" ca="1" si="0"/>
        <v>349530558.5050177</v>
      </c>
    </row>
    <row r="36" spans="1:8" x14ac:dyDescent="0.2">
      <c r="B36" s="372"/>
      <c r="C36" s="372"/>
      <c r="D36" s="372"/>
      <c r="E36" s="372"/>
      <c r="F36" s="372"/>
      <c r="G36" s="372"/>
      <c r="H36" s="576"/>
    </row>
    <row r="37" spans="1:8" x14ac:dyDescent="0.2">
      <c r="A37" s="810" t="str">
        <f>'Sch M-1.1-G'!A38</f>
        <v>Late Payment Charges</v>
      </c>
      <c r="B37" s="576">
        <f>'Sch M-1.1-G'!B38</f>
        <v>460418.40547537239</v>
      </c>
      <c r="C37" s="576"/>
      <c r="D37" s="576"/>
      <c r="E37" s="576"/>
      <c r="F37" s="576"/>
      <c r="G37" s="576"/>
      <c r="H37" s="576">
        <f>B37</f>
        <v>460418.40547537239</v>
      </c>
    </row>
    <row r="38" spans="1:8" x14ac:dyDescent="0.2">
      <c r="A38" s="558" t="str">
        <f>'Sch M-1.1-G'!A39</f>
        <v>Miscellaneous Service Revenue</v>
      </c>
      <c r="B38" s="576">
        <f>'Sch M-1.1-G'!B39</f>
        <v>73628.499999999985</v>
      </c>
      <c r="C38" s="576"/>
      <c r="D38" s="576"/>
      <c r="E38" s="576"/>
      <c r="F38" s="576"/>
      <c r="G38" s="576"/>
      <c r="H38" s="576">
        <f>B38</f>
        <v>73628.499999999985</v>
      </c>
    </row>
    <row r="39" spans="1:8" x14ac:dyDescent="0.2">
      <c r="A39" s="558" t="str">
        <f>'Sch M-1.1-G'!A40</f>
        <v>Rent from Gas Property</v>
      </c>
      <c r="B39" s="576">
        <f>'Sch M-1.1-G'!B40</f>
        <v>166598.90999999997</v>
      </c>
      <c r="C39" s="576"/>
      <c r="D39" s="576"/>
      <c r="E39" s="576"/>
      <c r="F39" s="576"/>
      <c r="G39" s="576"/>
      <c r="H39" s="576">
        <f>B39</f>
        <v>166598.90999999997</v>
      </c>
    </row>
    <row r="40" spans="1:8" x14ac:dyDescent="0.2">
      <c r="A40" s="558" t="str">
        <f>'Sch M-1.1-G'!A41</f>
        <v>Other Gas Revenue</v>
      </c>
      <c r="B40" s="576">
        <f>'Sch M-1.1-G'!B41</f>
        <v>11693.040000000003</v>
      </c>
      <c r="C40" s="576"/>
      <c r="D40" s="576"/>
      <c r="E40" s="576"/>
      <c r="F40" s="576"/>
      <c r="G40" s="576"/>
      <c r="H40" s="576">
        <f>B40</f>
        <v>11693.040000000003</v>
      </c>
    </row>
    <row r="41" spans="1:8" x14ac:dyDescent="0.2">
      <c r="A41" s="57"/>
      <c r="B41" s="576"/>
      <c r="C41" s="576"/>
      <c r="D41" s="576"/>
      <c r="E41" s="576"/>
      <c r="F41" s="576"/>
      <c r="G41" s="576"/>
      <c r="H41" s="576"/>
    </row>
    <row r="42" spans="1:8" x14ac:dyDescent="0.2">
      <c r="A42" s="57" t="s">
        <v>300</v>
      </c>
      <c r="B42" s="602">
        <f t="shared" ref="B42:H42" ca="1" si="1">+B35+SUM(B37:B40)</f>
        <v>215836425.10723186</v>
      </c>
      <c r="C42" s="602">
        <f t="shared" si="1"/>
        <v>14760652.850030659</v>
      </c>
      <c r="D42" s="602">
        <f t="shared" si="1"/>
        <v>117414226.25616051</v>
      </c>
      <c r="E42" s="602">
        <f t="shared" si="1"/>
        <v>772347.79706999753</v>
      </c>
      <c r="F42" s="602">
        <f t="shared" si="1"/>
        <v>1459473.5699999998</v>
      </c>
      <c r="G42" s="602">
        <f t="shared" si="1"/>
        <v>-228.21999999999997</v>
      </c>
      <c r="H42" s="602">
        <f t="shared" ca="1" si="1"/>
        <v>350242897.36049306</v>
      </c>
    </row>
    <row r="43" spans="1:8" x14ac:dyDescent="0.2">
      <c r="H43" s="57"/>
    </row>
    <row r="44" spans="1:8" x14ac:dyDescent="0.2">
      <c r="B44" s="816"/>
    </row>
    <row r="45" spans="1:8" x14ac:dyDescent="0.2">
      <c r="B45" s="571"/>
      <c r="C45" s="571"/>
      <c r="D45" s="571"/>
      <c r="E45" s="571"/>
      <c r="F45" s="571"/>
      <c r="G45" s="571"/>
      <c r="H45" s="44"/>
    </row>
    <row r="46" spans="1:8" x14ac:dyDescent="0.2">
      <c r="A46" s="362"/>
      <c r="B46" s="571"/>
      <c r="C46" s="571"/>
      <c r="D46" s="571"/>
      <c r="E46" s="571"/>
      <c r="F46" s="571"/>
      <c r="G46" s="571"/>
    </row>
    <row r="47" spans="1:8" x14ac:dyDescent="0.2">
      <c r="A47" s="362"/>
      <c r="B47" s="571"/>
      <c r="C47" s="571"/>
      <c r="D47" s="571"/>
      <c r="E47" s="571"/>
      <c r="F47" s="571"/>
      <c r="G47" s="571"/>
    </row>
    <row r="48" spans="1:8" x14ac:dyDescent="0.2">
      <c r="B48" s="571"/>
      <c r="C48" s="571"/>
      <c r="D48" s="571"/>
      <c r="E48" s="571"/>
      <c r="F48" s="571"/>
      <c r="G48" s="571"/>
    </row>
    <row r="49" spans="2:16" x14ac:dyDescent="0.2">
      <c r="B49" s="571"/>
      <c r="C49" s="571"/>
      <c r="D49" s="571"/>
      <c r="E49" s="571"/>
      <c r="F49" s="571"/>
      <c r="G49" s="571"/>
    </row>
    <row r="50" spans="2:16" x14ac:dyDescent="0.2">
      <c r="B50" s="571"/>
      <c r="C50" s="571"/>
      <c r="D50" s="571"/>
      <c r="E50" s="571"/>
      <c r="F50" s="571"/>
      <c r="G50" s="571"/>
    </row>
    <row r="51" spans="2:16" x14ac:dyDescent="0.2">
      <c r="B51" s="571"/>
      <c r="C51" s="571"/>
      <c r="D51" s="571"/>
      <c r="E51" s="571"/>
      <c r="F51" s="571"/>
      <c r="G51" s="571"/>
    </row>
    <row r="52" spans="2:16" x14ac:dyDescent="0.2">
      <c r="B52" s="571"/>
      <c r="C52" s="571"/>
      <c r="D52" s="571"/>
      <c r="E52" s="571"/>
      <c r="F52" s="571"/>
      <c r="G52" s="571"/>
    </row>
    <row r="53" spans="2:16" x14ac:dyDescent="0.2">
      <c r="B53" s="571"/>
      <c r="C53" s="571"/>
      <c r="D53" s="571"/>
      <c r="E53" s="571"/>
      <c r="F53" s="571"/>
      <c r="G53" s="571"/>
      <c r="J53" s="603"/>
      <c r="P53" s="604"/>
    </row>
    <row r="54" spans="2:16" x14ac:dyDescent="0.2">
      <c r="B54" s="571"/>
      <c r="C54" s="571"/>
      <c r="D54" s="571"/>
      <c r="E54" s="571"/>
      <c r="F54" s="571"/>
      <c r="G54" s="571"/>
      <c r="J54" s="603"/>
    </row>
    <row r="55" spans="2:16" x14ac:dyDescent="0.2">
      <c r="B55" s="571"/>
      <c r="C55" s="571"/>
      <c r="D55" s="571"/>
      <c r="E55" s="571"/>
      <c r="F55" s="571"/>
      <c r="G55" s="571"/>
      <c r="J55" s="603"/>
    </row>
    <row r="56" spans="2:16" x14ac:dyDescent="0.2">
      <c r="B56" s="571"/>
      <c r="C56" s="571"/>
      <c r="D56" s="571"/>
      <c r="E56" s="571"/>
      <c r="F56" s="571"/>
      <c r="G56" s="571"/>
    </row>
    <row r="57" spans="2:16" x14ac:dyDescent="0.2">
      <c r="B57" s="571"/>
      <c r="C57" s="571"/>
      <c r="D57" s="571"/>
      <c r="E57" s="571"/>
      <c r="F57" s="571"/>
      <c r="G57" s="571"/>
    </row>
    <row r="58" spans="2:16" x14ac:dyDescent="0.2">
      <c r="B58" s="571"/>
      <c r="C58" s="571"/>
      <c r="D58" s="571"/>
      <c r="E58" s="571"/>
      <c r="F58" s="571"/>
      <c r="G58" s="571"/>
    </row>
    <row r="59" spans="2:16" x14ac:dyDescent="0.2">
      <c r="B59" s="571"/>
      <c r="C59" s="571"/>
      <c r="D59" s="571"/>
      <c r="E59" s="571"/>
      <c r="F59" s="571"/>
      <c r="G59" s="571"/>
    </row>
    <row r="60" spans="2:16" x14ac:dyDescent="0.2">
      <c r="B60" s="571"/>
      <c r="C60" s="571"/>
      <c r="D60" s="571"/>
      <c r="E60" s="571"/>
      <c r="F60" s="571"/>
      <c r="G60" s="571"/>
    </row>
    <row r="61" spans="2:16" x14ac:dyDescent="0.2">
      <c r="B61" s="571"/>
      <c r="C61" s="571"/>
      <c r="D61" s="571"/>
      <c r="E61" s="571"/>
      <c r="F61" s="571"/>
      <c r="G61" s="571"/>
    </row>
    <row r="62" spans="2:16" x14ac:dyDescent="0.2">
      <c r="B62" s="571"/>
      <c r="C62" s="571"/>
      <c r="D62" s="571"/>
      <c r="E62" s="571"/>
      <c r="F62" s="571"/>
      <c r="G62" s="571"/>
    </row>
    <row r="63" spans="2:16" x14ac:dyDescent="0.2">
      <c r="B63" s="571"/>
      <c r="C63" s="571"/>
      <c r="D63" s="571"/>
      <c r="E63" s="571"/>
      <c r="F63" s="571"/>
      <c r="G63" s="571"/>
    </row>
    <row r="65" spans="2:7" x14ac:dyDescent="0.2">
      <c r="B65" s="816"/>
    </row>
    <row r="67" spans="2:7" x14ac:dyDescent="0.2">
      <c r="B67" s="37"/>
      <c r="C67" s="42"/>
      <c r="D67" s="42"/>
      <c r="E67" s="42"/>
      <c r="F67" s="42"/>
      <c r="G67" s="42"/>
    </row>
    <row r="68" spans="2:7" x14ac:dyDescent="0.2">
      <c r="B68" s="37"/>
    </row>
    <row r="69" spans="2:7" x14ac:dyDescent="0.2">
      <c r="B69" s="37"/>
      <c r="C69" s="42"/>
      <c r="D69" s="42"/>
      <c r="E69" s="42"/>
      <c r="F69" s="42"/>
      <c r="G69" s="42"/>
    </row>
    <row r="70" spans="2:7" x14ac:dyDescent="0.2">
      <c r="B70" s="37"/>
    </row>
    <row r="71" spans="2:7" x14ac:dyDescent="0.2">
      <c r="B71" s="37"/>
      <c r="C71" s="42"/>
      <c r="D71" s="42"/>
      <c r="E71" s="42"/>
      <c r="F71" s="42"/>
      <c r="G71" s="42"/>
    </row>
    <row r="72" spans="2:7" x14ac:dyDescent="0.2">
      <c r="B72" s="37"/>
    </row>
    <row r="73" spans="2:7" x14ac:dyDescent="0.2">
      <c r="B73" s="37"/>
      <c r="C73" s="42"/>
      <c r="D73" s="42"/>
      <c r="E73" s="42"/>
      <c r="F73" s="42"/>
      <c r="G73" s="42"/>
    </row>
    <row r="74" spans="2:7" x14ac:dyDescent="0.2">
      <c r="B74" s="37"/>
    </row>
    <row r="75" spans="2:7" x14ac:dyDescent="0.2">
      <c r="B75" s="37"/>
      <c r="C75" s="42"/>
      <c r="D75" s="42"/>
      <c r="E75" s="42"/>
      <c r="F75" s="42"/>
      <c r="G75" s="42"/>
    </row>
    <row r="76" spans="2:7" x14ac:dyDescent="0.2">
      <c r="B76" s="37"/>
    </row>
    <row r="77" spans="2:7" x14ac:dyDescent="0.2">
      <c r="B77" s="37"/>
      <c r="C77" s="42"/>
      <c r="D77" s="42"/>
      <c r="E77" s="42"/>
      <c r="F77" s="42"/>
      <c r="G77" s="42"/>
    </row>
    <row r="78" spans="2:7" x14ac:dyDescent="0.2">
      <c r="B78" s="37"/>
    </row>
    <row r="79" spans="2:7" x14ac:dyDescent="0.2">
      <c r="B79" s="37"/>
      <c r="C79" s="42"/>
      <c r="D79" s="42"/>
      <c r="E79" s="42"/>
      <c r="F79" s="42"/>
      <c r="G79" s="42"/>
    </row>
    <row r="80" spans="2:7" x14ac:dyDescent="0.2">
      <c r="B80" s="37"/>
    </row>
    <row r="81" spans="2:7" x14ac:dyDescent="0.2">
      <c r="B81" s="37"/>
      <c r="C81" s="42"/>
      <c r="D81" s="42"/>
      <c r="E81" s="42"/>
      <c r="F81" s="42"/>
      <c r="G81" s="42"/>
    </row>
    <row r="82" spans="2:7" x14ac:dyDescent="0.2">
      <c r="B82" s="37"/>
    </row>
    <row r="83" spans="2:7" x14ac:dyDescent="0.2">
      <c r="B83" s="37"/>
      <c r="C83" s="42"/>
      <c r="D83" s="42"/>
      <c r="E83" s="42"/>
      <c r="F83" s="42"/>
      <c r="G83" s="42"/>
    </row>
    <row r="84" spans="2:7" x14ac:dyDescent="0.2">
      <c r="B84" s="37"/>
    </row>
    <row r="85" spans="2:7" x14ac:dyDescent="0.2">
      <c r="B85" s="37"/>
      <c r="C85" s="42"/>
      <c r="D85" s="42"/>
      <c r="E85" s="42"/>
      <c r="F85" s="42"/>
      <c r="G85" s="42"/>
    </row>
    <row r="234" spans="4:4" x14ac:dyDescent="0.2">
      <c r="D234" s="8" t="s">
        <v>308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75" right="0.75" top="1" bottom="0.5" header="0.75" footer="0.25"/>
  <pageSetup scale="6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3">
    <tabColor theme="6" tint="0.39997558519241921"/>
  </sheetPr>
  <dimension ref="A1:Q394"/>
  <sheetViews>
    <sheetView view="pageBreakPreview" zoomScaleNormal="100" zoomScaleSheetLayoutView="100" workbookViewId="0">
      <selection activeCell="I11" sqref="I11"/>
    </sheetView>
  </sheetViews>
  <sheetFormatPr defaultRowHeight="12.75" x14ac:dyDescent="0.2"/>
  <cols>
    <col min="1" max="2" width="9.140625" style="57"/>
    <col min="3" max="3" width="5.85546875" style="543" customWidth="1"/>
    <col min="4" max="4" width="30.85546875" style="543" customWidth="1"/>
    <col min="5" max="5" width="10.42578125" style="543" customWidth="1"/>
    <col min="6" max="6" width="23.28515625" style="233" customWidth="1"/>
    <col min="7" max="7" width="20.85546875" style="233" customWidth="1"/>
    <col min="8" max="8" width="19.42578125" style="233" customWidth="1"/>
    <col min="9" max="9" width="18.85546875" style="543" customWidth="1"/>
    <col min="10" max="11" width="21" style="543" customWidth="1"/>
    <col min="12" max="12" width="22.140625" style="57" customWidth="1"/>
    <col min="13" max="13" width="18.28515625" style="57" bestFit="1" customWidth="1"/>
    <col min="14" max="14" width="16.85546875" style="57" customWidth="1"/>
    <col min="15" max="15" width="16" style="57" customWidth="1"/>
    <col min="16" max="17" width="15.42578125" style="57" customWidth="1"/>
    <col min="18" max="16384" width="9.140625" style="57"/>
  </cols>
  <sheetData>
    <row r="1" spans="3:17" x14ac:dyDescent="0.2">
      <c r="C1" s="920" t="str">
        <f>Index!A5</f>
        <v>LOUISVILLE GAS AND ELECTRIC COMPANY</v>
      </c>
      <c r="D1" s="920"/>
      <c r="E1" s="920"/>
      <c r="F1" s="920"/>
      <c r="G1" s="920"/>
      <c r="H1" s="920"/>
      <c r="I1" s="920"/>
      <c r="J1" s="920"/>
    </row>
    <row r="2" spans="3:17" x14ac:dyDescent="0.2">
      <c r="C2" s="920" t="str">
        <f>Index!A7</f>
        <v>CASE NO. 2020-00350</v>
      </c>
      <c r="D2" s="920"/>
      <c r="E2" s="920"/>
      <c r="F2" s="920"/>
      <c r="G2" s="920"/>
      <c r="H2" s="920"/>
      <c r="I2" s="920"/>
      <c r="J2" s="920"/>
    </row>
    <row r="3" spans="3:17" x14ac:dyDescent="0.2">
      <c r="C3" s="920" t="str">
        <f>Index!C22</f>
        <v>DETAILED CALCULATION OF BASE PERIOD GAS REVENUES</v>
      </c>
      <c r="D3" s="920"/>
      <c r="E3" s="920"/>
      <c r="F3" s="920"/>
      <c r="G3" s="920"/>
      <c r="H3" s="920"/>
      <c r="I3" s="920"/>
      <c r="J3" s="920"/>
    </row>
    <row r="4" spans="3:17" x14ac:dyDescent="0.2">
      <c r="C4" s="920" t="str">
        <f>Index!C11</f>
        <v>FOR THE 12 MONTHS ENDED FEBRUARY 28, 2021</v>
      </c>
      <c r="D4" s="920"/>
      <c r="E4" s="920"/>
      <c r="F4" s="920"/>
      <c r="G4" s="920"/>
      <c r="H4" s="920"/>
      <c r="I4" s="920"/>
      <c r="J4" s="920"/>
    </row>
    <row r="5" spans="3:17" x14ac:dyDescent="0.2">
      <c r="C5" s="920" t="s">
        <v>774</v>
      </c>
      <c r="D5" s="920"/>
      <c r="E5" s="920"/>
      <c r="F5" s="920"/>
      <c r="G5" s="920"/>
      <c r="H5" s="920"/>
      <c r="I5" s="920"/>
      <c r="J5" s="920"/>
    </row>
    <row r="6" spans="3:17" x14ac:dyDescent="0.2">
      <c r="C6" s="613"/>
      <c r="D6" s="613"/>
      <c r="E6" s="613"/>
      <c r="F6" s="613"/>
      <c r="G6" s="613"/>
      <c r="H6" s="613"/>
      <c r="I6" s="613"/>
      <c r="J6" s="613"/>
    </row>
    <row r="7" spans="3:17" x14ac:dyDescent="0.2">
      <c r="C7" s="613"/>
      <c r="D7" s="613"/>
      <c r="E7" s="613"/>
      <c r="F7" s="613"/>
      <c r="G7" s="613"/>
      <c r="H7" s="613"/>
      <c r="I7" s="613"/>
      <c r="J7" s="613"/>
    </row>
    <row r="8" spans="3:17" x14ac:dyDescent="0.2">
      <c r="C8" s="590" t="s">
        <v>397</v>
      </c>
      <c r="D8" s="593"/>
      <c r="E8" s="593"/>
      <c r="F8" s="605"/>
      <c r="G8" s="605"/>
      <c r="H8" s="605"/>
      <c r="I8" s="593"/>
      <c r="J8" s="592" t="s">
        <v>424</v>
      </c>
    </row>
    <row r="9" spans="3:17" x14ac:dyDescent="0.2">
      <c r="C9" s="595" t="s">
        <v>398</v>
      </c>
      <c r="D9" s="593"/>
      <c r="E9" s="593"/>
      <c r="F9" s="605"/>
      <c r="G9" s="605"/>
      <c r="H9" s="605"/>
      <c r="I9" s="593"/>
      <c r="J9" s="606" t="s">
        <v>498</v>
      </c>
    </row>
    <row r="10" spans="3:17" x14ac:dyDescent="0.2">
      <c r="C10" s="595" t="s">
        <v>399</v>
      </c>
      <c r="D10" s="593"/>
      <c r="E10" s="593"/>
      <c r="F10" s="605"/>
      <c r="G10" s="605"/>
      <c r="H10" s="605"/>
      <c r="I10" s="593"/>
      <c r="J10" s="606" t="s">
        <v>758</v>
      </c>
    </row>
    <row r="11" spans="3:17" x14ac:dyDescent="0.2">
      <c r="C11" s="597"/>
      <c r="D11" s="607"/>
      <c r="E11" s="608"/>
      <c r="F11" s="609"/>
      <c r="G11" s="610"/>
      <c r="H11" s="610"/>
      <c r="I11" s="611"/>
      <c r="J11" s="611"/>
    </row>
    <row r="13" spans="3:17" x14ac:dyDescent="0.2">
      <c r="G13" s="612"/>
      <c r="I13" s="233"/>
      <c r="J13" s="613" t="s">
        <v>185</v>
      </c>
      <c r="K13" s="8"/>
      <c r="L13" s="8"/>
      <c r="M13" s="8"/>
      <c r="N13" s="8"/>
      <c r="O13" s="8"/>
      <c r="P13" s="8"/>
      <c r="Q13" s="8"/>
    </row>
    <row r="14" spans="3:17" x14ac:dyDescent="0.2">
      <c r="I14" s="233"/>
      <c r="J14" s="613" t="s">
        <v>83</v>
      </c>
      <c r="K14" s="8"/>
      <c r="L14" s="8"/>
      <c r="M14" s="8"/>
      <c r="N14" s="8"/>
      <c r="O14" s="8"/>
      <c r="P14" s="8"/>
      <c r="Q14" s="8"/>
    </row>
    <row r="15" spans="3:17" x14ac:dyDescent="0.2">
      <c r="F15" s="614"/>
      <c r="G15" s="615"/>
      <c r="H15" s="616"/>
      <c r="I15" s="613" t="s">
        <v>301</v>
      </c>
      <c r="J15" s="617" t="s">
        <v>1107</v>
      </c>
      <c r="K15" s="8"/>
      <c r="L15" s="8"/>
      <c r="M15" s="8"/>
      <c r="N15" s="8"/>
      <c r="O15" s="8"/>
      <c r="P15" s="8"/>
      <c r="Q15" s="8"/>
    </row>
    <row r="16" spans="3:17" ht="13.5" thickBot="1" x14ac:dyDescent="0.25">
      <c r="C16" s="618" t="s">
        <v>87</v>
      </c>
      <c r="D16" s="618"/>
      <c r="E16" s="618"/>
      <c r="F16" s="619" t="s">
        <v>1072</v>
      </c>
      <c r="G16" s="620" t="s">
        <v>82</v>
      </c>
      <c r="H16" s="620"/>
      <c r="I16" s="619" t="s">
        <v>212</v>
      </c>
      <c r="J16" s="619" t="s">
        <v>212</v>
      </c>
      <c r="K16" s="8"/>
      <c r="L16" s="8"/>
      <c r="M16" s="8"/>
      <c r="N16" s="8"/>
      <c r="O16" s="8"/>
      <c r="P16" s="8"/>
      <c r="Q16" s="8"/>
    </row>
    <row r="17" spans="1:17" x14ac:dyDescent="0.2">
      <c r="C17" s="621"/>
      <c r="D17" s="621"/>
      <c r="E17" s="621"/>
      <c r="F17" s="228"/>
      <c r="G17" s="228"/>
      <c r="H17" s="228"/>
      <c r="I17" s="622"/>
      <c r="J17" s="622"/>
      <c r="K17" s="672"/>
      <c r="L17" s="8"/>
      <c r="M17" s="8"/>
      <c r="N17" s="8"/>
      <c r="O17" s="8"/>
      <c r="P17" s="8"/>
      <c r="Q17" s="8"/>
    </row>
    <row r="18" spans="1:17" x14ac:dyDescent="0.2">
      <c r="C18" s="623" t="s">
        <v>772</v>
      </c>
      <c r="E18" s="624"/>
      <c r="F18" s="613"/>
      <c r="G18" s="613"/>
      <c r="K18" s="672"/>
      <c r="L18" s="8"/>
      <c r="M18" s="8"/>
      <c r="N18" s="8"/>
      <c r="O18" s="8"/>
      <c r="P18" s="8"/>
      <c r="Q18" s="8"/>
    </row>
    <row r="19" spans="1:17" x14ac:dyDescent="0.2">
      <c r="C19" s="624"/>
      <c r="E19" s="624"/>
      <c r="F19" s="613"/>
      <c r="G19" s="613"/>
      <c r="K19" s="672"/>
      <c r="L19" s="8"/>
      <c r="M19" s="8"/>
      <c r="N19" s="8"/>
      <c r="O19" s="8"/>
      <c r="P19" s="8"/>
      <c r="Q19" s="8"/>
    </row>
    <row r="20" spans="1:17" x14ac:dyDescent="0.2">
      <c r="A20" s="57" t="s">
        <v>62</v>
      </c>
      <c r="C20" s="624" t="s">
        <v>749</v>
      </c>
      <c r="E20" s="625"/>
      <c r="K20" s="672"/>
      <c r="L20" s="8"/>
      <c r="M20" s="8"/>
      <c r="N20" s="8"/>
      <c r="O20" s="8"/>
      <c r="P20" s="8"/>
      <c r="Q20" s="8"/>
    </row>
    <row r="21" spans="1:17" x14ac:dyDescent="0.2">
      <c r="C21" s="624"/>
      <c r="D21" s="792" t="s">
        <v>775</v>
      </c>
      <c r="E21" s="625"/>
      <c r="F21" s="864"/>
      <c r="K21" s="672"/>
      <c r="L21" s="8"/>
      <c r="M21" s="8"/>
      <c r="N21" s="8"/>
      <c r="O21" s="8"/>
      <c r="P21" s="8"/>
      <c r="Q21" s="8"/>
    </row>
    <row r="22" spans="1:17" x14ac:dyDescent="0.2">
      <c r="C22" s="542"/>
      <c r="D22" s="542" t="s">
        <v>289</v>
      </c>
      <c r="E22" s="626"/>
      <c r="F22" s="627">
        <f>SBR!D9</f>
        <v>109297064.99999997</v>
      </c>
      <c r="G22" s="628"/>
      <c r="I22" s="629">
        <f>VLOOKUP($A$20,'Retail Rates'!$C$7:$P$40,3,FALSE)</f>
        <v>0.65</v>
      </c>
      <c r="J22" s="630">
        <f>+F22*I22</f>
        <v>71043092.249999985</v>
      </c>
      <c r="K22" s="672"/>
      <c r="L22" s="42"/>
      <c r="M22" s="8"/>
      <c r="N22" s="8"/>
      <c r="O22" s="8"/>
      <c r="P22" s="8"/>
      <c r="Q22" s="8"/>
    </row>
    <row r="23" spans="1:17" x14ac:dyDescent="0.2">
      <c r="B23" s="543"/>
      <c r="D23" s="631" t="s">
        <v>214</v>
      </c>
      <c r="G23" s="627">
        <f>SBR!E9</f>
        <v>20843747.678806618</v>
      </c>
      <c r="I23" s="632">
        <f>VLOOKUP($A$20,'Retail Rates'!$C$7:$P$40,9,FALSE)</f>
        <v>3.6781999999999999</v>
      </c>
      <c r="J23" s="630">
        <f>+G23*I23</f>
        <v>76667472.7121865</v>
      </c>
      <c r="K23" s="672"/>
      <c r="L23" s="42"/>
      <c r="M23" s="8"/>
      <c r="N23" s="8"/>
      <c r="O23" s="8"/>
      <c r="P23" s="8"/>
      <c r="Q23" s="8"/>
    </row>
    <row r="24" spans="1:17" x14ac:dyDescent="0.2">
      <c r="D24" s="755" t="s">
        <v>211</v>
      </c>
      <c r="G24" s="627"/>
      <c r="J24" s="756">
        <f>SBR!BL9+'12-MO Billed Summary ALL'!S8+'12-MO Billed Summary ALL'!S9+'12-MO Billed Summary ALL'!W8+'12-MO Billed Summary ALL'!W9</f>
        <v>-11510.693799999997</v>
      </c>
      <c r="K24" s="672"/>
      <c r="L24" s="42"/>
      <c r="M24" s="8"/>
      <c r="N24" s="8"/>
      <c r="O24" s="8"/>
      <c r="P24" s="8"/>
      <c r="Q24" s="8"/>
    </row>
    <row r="25" spans="1:17" x14ac:dyDescent="0.2">
      <c r="D25" s="633" t="s">
        <v>290</v>
      </c>
      <c r="G25" s="634"/>
      <c r="J25" s="635">
        <f>SUM(J22:J24)</f>
        <v>147699054.26838648</v>
      </c>
      <c r="K25" s="672"/>
      <c r="L25" s="8"/>
      <c r="M25" s="8"/>
      <c r="N25" s="8"/>
      <c r="O25" s="8"/>
      <c r="P25" s="8"/>
      <c r="Q25" s="8"/>
    </row>
    <row r="26" spans="1:17" x14ac:dyDescent="0.2">
      <c r="K26" s="672"/>
      <c r="L26" s="8"/>
      <c r="M26" s="8"/>
      <c r="N26" s="8"/>
      <c r="O26" s="8"/>
      <c r="P26" s="8"/>
      <c r="Q26" s="8"/>
    </row>
    <row r="27" spans="1:17" x14ac:dyDescent="0.2">
      <c r="D27" s="793" t="s">
        <v>538</v>
      </c>
      <c r="H27" s="233" t="s">
        <v>678</v>
      </c>
      <c r="I27" s="637">
        <f>'Revenue Summary B'!O11</f>
        <v>0.99999999818288288</v>
      </c>
      <c r="J27" s="635">
        <f>J25*I27</f>
        <v>147699054</v>
      </c>
      <c r="K27" s="672"/>
      <c r="L27" s="37"/>
      <c r="M27" s="8"/>
      <c r="N27" s="8"/>
      <c r="O27" s="8"/>
      <c r="P27" s="8"/>
      <c r="Q27" s="8"/>
    </row>
    <row r="28" spans="1:17" x14ac:dyDescent="0.2">
      <c r="D28" s="542"/>
      <c r="J28" s="630"/>
      <c r="K28" s="672"/>
      <c r="L28" s="8"/>
      <c r="M28" s="8"/>
      <c r="N28" s="8"/>
      <c r="O28" s="8"/>
      <c r="P28" s="8"/>
      <c r="Q28" s="8"/>
    </row>
    <row r="29" spans="1:17" x14ac:dyDescent="0.2">
      <c r="D29" s="631" t="s">
        <v>316</v>
      </c>
      <c r="G29" s="638"/>
      <c r="I29" s="639"/>
      <c r="J29" s="630">
        <f>'12-MO Billed Summary ALL'!AK8+'12-MO Billed Summary ALL'!AL8+'12-MO Billed Summary ALL'!AK9+'12-MO Billed Summary ALL'!AL9</f>
        <v>9943587.1545493845</v>
      </c>
      <c r="K29" s="672"/>
      <c r="L29" s="8"/>
      <c r="M29" s="8"/>
      <c r="N29" s="8"/>
      <c r="O29" s="8"/>
      <c r="P29" s="8"/>
      <c r="Q29" s="8"/>
    </row>
    <row r="30" spans="1:17" x14ac:dyDescent="0.2">
      <c r="D30" s="631" t="s">
        <v>400</v>
      </c>
      <c r="G30" s="638"/>
      <c r="I30" s="639"/>
      <c r="J30" s="630">
        <f>'12-MO Billed Summary ALL'!AI8+'12-MO Billed Summary ALL'!AI9</f>
        <v>74275617.716191456</v>
      </c>
      <c r="K30" s="672"/>
      <c r="L30" s="8"/>
      <c r="M30" s="8"/>
      <c r="N30" s="8"/>
      <c r="O30" s="8"/>
      <c r="P30" s="8"/>
      <c r="Q30" s="8"/>
    </row>
    <row r="31" spans="1:17" x14ac:dyDescent="0.2">
      <c r="D31" s="631" t="s">
        <v>401</v>
      </c>
      <c r="G31" s="638"/>
      <c r="I31" s="639"/>
      <c r="J31" s="630">
        <f>'12-MO Billed Summary ALL'!AH8+'12-MO Billed Summary ALL'!AH9</f>
        <v>443138.73494988779</v>
      </c>
      <c r="K31" s="672"/>
      <c r="L31" s="8"/>
      <c r="M31" s="8"/>
      <c r="N31" s="8"/>
      <c r="O31" s="8"/>
      <c r="P31" s="8"/>
      <c r="Q31" s="8"/>
    </row>
    <row r="32" spans="1:17" x14ac:dyDescent="0.2">
      <c r="D32" s="631" t="s">
        <v>402</v>
      </c>
      <c r="G32" s="638"/>
      <c r="I32" s="639"/>
      <c r="J32" s="630">
        <f>'12-MO Billed Summary ALL'!AJ8+'12-MO Billed Summary ALL'!AJ9</f>
        <v>1061031.6299999999</v>
      </c>
      <c r="K32" s="672"/>
      <c r="L32" s="8"/>
      <c r="M32" s="8"/>
      <c r="N32" s="8"/>
      <c r="O32" s="8"/>
      <c r="P32" s="8"/>
      <c r="Q32" s="8"/>
    </row>
    <row r="33" spans="3:17" x14ac:dyDescent="0.2">
      <c r="D33" s="543" t="s">
        <v>650</v>
      </c>
      <c r="G33" s="638"/>
      <c r="I33" s="639"/>
      <c r="J33" s="630">
        <f>'12-MO Billed Summary ALL'!AG8+'12-MO Billed Summary ALL'!AG9</f>
        <v>-229.02999999999997</v>
      </c>
      <c r="K33" s="672"/>
      <c r="L33" s="8"/>
      <c r="M33" s="8"/>
      <c r="N33" s="8"/>
      <c r="O33" s="8"/>
      <c r="P33" s="8"/>
      <c r="Q33" s="8"/>
    </row>
    <row r="34" spans="3:17" x14ac:dyDescent="0.2">
      <c r="D34" s="542"/>
      <c r="J34" s="630"/>
      <c r="K34" s="672"/>
      <c r="L34" s="8"/>
      <c r="M34" s="8"/>
      <c r="N34" s="8"/>
      <c r="O34" s="8"/>
      <c r="P34" s="8"/>
      <c r="Q34" s="8"/>
    </row>
    <row r="35" spans="3:17" ht="13.5" thickBot="1" x14ac:dyDescent="0.25">
      <c r="C35" s="57"/>
      <c r="D35" s="624" t="s">
        <v>776</v>
      </c>
      <c r="G35" s="638"/>
      <c r="J35" s="640">
        <f>SUM(J27:J33)</f>
        <v>233422200.20569071</v>
      </c>
      <c r="K35" s="274"/>
      <c r="L35" s="37"/>
      <c r="M35" s="8"/>
      <c r="N35" s="8"/>
      <c r="O35" s="8"/>
      <c r="P35" s="8"/>
      <c r="Q35" s="8"/>
    </row>
    <row r="36" spans="3:17" ht="13.5" thickTop="1" x14ac:dyDescent="0.2">
      <c r="C36" s="57"/>
      <c r="D36" s="624"/>
      <c r="G36" s="638"/>
      <c r="J36" s="641"/>
      <c r="K36" s="274"/>
      <c r="L36" s="37"/>
      <c r="M36" s="8"/>
      <c r="N36" s="8"/>
      <c r="O36" s="8"/>
      <c r="P36" s="8"/>
      <c r="Q36" s="8"/>
    </row>
    <row r="37" spans="3:17" x14ac:dyDescent="0.2">
      <c r="D37" s="542"/>
      <c r="K37" s="8"/>
      <c r="L37" s="8"/>
      <c r="M37" s="8"/>
      <c r="N37" s="8"/>
      <c r="O37" s="8"/>
      <c r="P37" s="8"/>
      <c r="Q37" s="8"/>
    </row>
    <row r="38" spans="3:17" x14ac:dyDescent="0.2">
      <c r="C38" s="590" t="s">
        <v>397</v>
      </c>
      <c r="D38" s="593"/>
      <c r="E38" s="593"/>
      <c r="F38" s="605"/>
      <c r="G38" s="605"/>
      <c r="H38" s="605"/>
      <c r="I38" s="593"/>
      <c r="J38" s="592" t="s">
        <v>424</v>
      </c>
      <c r="K38" s="8"/>
      <c r="L38" s="8"/>
      <c r="M38" s="8"/>
      <c r="N38" s="8"/>
      <c r="O38" s="8"/>
      <c r="P38" s="8"/>
      <c r="Q38" s="8"/>
    </row>
    <row r="39" spans="3:17" x14ac:dyDescent="0.2">
      <c r="C39" s="595" t="s">
        <v>398</v>
      </c>
      <c r="D39" s="593"/>
      <c r="E39" s="593"/>
      <c r="F39" s="605"/>
      <c r="G39" s="605"/>
      <c r="H39" s="605"/>
      <c r="I39" s="593"/>
      <c r="J39" s="606" t="s">
        <v>498</v>
      </c>
      <c r="K39" s="8"/>
      <c r="L39" s="8"/>
      <c r="M39" s="8"/>
      <c r="N39" s="8"/>
      <c r="O39" s="8"/>
      <c r="P39" s="8"/>
      <c r="Q39" s="8"/>
    </row>
    <row r="40" spans="3:17" x14ac:dyDescent="0.2">
      <c r="C40" s="595" t="s">
        <v>399</v>
      </c>
      <c r="D40" s="593"/>
      <c r="E40" s="593"/>
      <c r="F40" s="605"/>
      <c r="G40" s="605"/>
      <c r="H40" s="605"/>
      <c r="I40" s="593"/>
      <c r="J40" s="606" t="s">
        <v>759</v>
      </c>
      <c r="K40" s="8"/>
      <c r="L40" s="8"/>
      <c r="M40" s="8"/>
      <c r="N40" s="8"/>
      <c r="O40" s="8"/>
      <c r="P40" s="8"/>
      <c r="Q40" s="8"/>
    </row>
    <row r="41" spans="3:17" x14ac:dyDescent="0.2">
      <c r="C41" s="597"/>
      <c r="D41" s="607"/>
      <c r="E41" s="608"/>
      <c r="F41" s="609"/>
      <c r="G41" s="610"/>
      <c r="H41" s="610"/>
      <c r="I41" s="611"/>
      <c r="J41" s="611"/>
      <c r="K41" s="8"/>
      <c r="L41" s="8"/>
      <c r="M41" s="8"/>
      <c r="N41" s="8"/>
      <c r="O41" s="8"/>
      <c r="P41" s="8"/>
      <c r="Q41" s="8"/>
    </row>
    <row r="42" spans="3:17" x14ac:dyDescent="0.2">
      <c r="I42" s="233"/>
      <c r="J42" s="233"/>
      <c r="K42" s="8"/>
      <c r="L42" s="8"/>
      <c r="M42" s="8"/>
      <c r="N42" s="8"/>
      <c r="O42" s="8"/>
      <c r="P42" s="8"/>
      <c r="Q42" s="8"/>
    </row>
    <row r="43" spans="3:17" x14ac:dyDescent="0.2">
      <c r="I43" s="233"/>
      <c r="J43" s="613" t="s">
        <v>185</v>
      </c>
      <c r="K43" s="8"/>
      <c r="L43" s="8"/>
      <c r="M43" s="8"/>
      <c r="N43" s="8"/>
      <c r="O43" s="8"/>
      <c r="P43" s="8"/>
      <c r="Q43" s="8"/>
    </row>
    <row r="44" spans="3:17" x14ac:dyDescent="0.2">
      <c r="I44" s="233"/>
      <c r="J44" s="613" t="s">
        <v>83</v>
      </c>
      <c r="K44" s="8"/>
      <c r="L44" s="8"/>
      <c r="M44" s="8"/>
      <c r="N44" s="8"/>
      <c r="O44" s="8"/>
      <c r="P44" s="8"/>
      <c r="Q44" s="8"/>
    </row>
    <row r="45" spans="3:17" x14ac:dyDescent="0.2">
      <c r="F45" s="614"/>
      <c r="G45" s="616" t="s">
        <v>1094</v>
      </c>
      <c r="H45" s="616" t="s">
        <v>252</v>
      </c>
      <c r="I45" s="613" t="s">
        <v>301</v>
      </c>
      <c r="J45" s="617" t="s">
        <v>1107</v>
      </c>
      <c r="K45" s="8"/>
      <c r="L45" s="8"/>
      <c r="M45" s="8"/>
      <c r="N45" s="8"/>
      <c r="O45" s="8"/>
      <c r="P45" s="8"/>
      <c r="Q45" s="8"/>
    </row>
    <row r="46" spans="3:17" ht="13.5" thickBot="1" x14ac:dyDescent="0.25">
      <c r="C46" s="618" t="s">
        <v>87</v>
      </c>
      <c r="D46" s="618"/>
      <c r="E46" s="618"/>
      <c r="F46" s="619" t="s">
        <v>1072</v>
      </c>
      <c r="G46" s="620" t="s">
        <v>82</v>
      </c>
      <c r="H46" s="620" t="s">
        <v>82</v>
      </c>
      <c r="I46" s="619" t="s">
        <v>212</v>
      </c>
      <c r="J46" s="619" t="s">
        <v>212</v>
      </c>
      <c r="K46" s="8"/>
      <c r="L46" s="8"/>
      <c r="M46" s="8"/>
      <c r="N46" s="8"/>
      <c r="O46" s="8"/>
      <c r="P46" s="8"/>
      <c r="Q46" s="8"/>
    </row>
    <row r="47" spans="3:17" x14ac:dyDescent="0.2">
      <c r="K47" s="8"/>
      <c r="L47" s="8"/>
      <c r="M47" s="8"/>
      <c r="N47" s="8"/>
      <c r="O47" s="8"/>
      <c r="P47" s="8"/>
      <c r="Q47" s="8"/>
    </row>
    <row r="48" spans="3:17" x14ac:dyDescent="0.2">
      <c r="C48" s="623" t="s">
        <v>215</v>
      </c>
      <c r="E48" s="624"/>
      <c r="F48" s="613"/>
      <c r="G48" s="613"/>
      <c r="K48" s="8"/>
      <c r="L48" s="8"/>
      <c r="M48" s="8"/>
      <c r="N48" s="8"/>
      <c r="O48" s="8"/>
      <c r="P48" s="8"/>
      <c r="Q48" s="8"/>
    </row>
    <row r="49" spans="1:17" x14ac:dyDescent="0.2">
      <c r="C49" s="624"/>
      <c r="E49" s="624"/>
      <c r="F49" s="613"/>
      <c r="G49" s="613"/>
      <c r="K49" s="8"/>
      <c r="L49" s="8"/>
      <c r="M49" s="8"/>
      <c r="N49" s="8"/>
      <c r="O49" s="8"/>
      <c r="P49" s="8"/>
      <c r="Q49" s="8"/>
    </row>
    <row r="50" spans="1:17" x14ac:dyDescent="0.2">
      <c r="C50" s="624" t="s">
        <v>751</v>
      </c>
      <c r="K50" s="8"/>
      <c r="L50" s="8"/>
      <c r="M50" s="8"/>
      <c r="N50" s="8"/>
      <c r="O50" s="8"/>
      <c r="P50" s="8"/>
      <c r="Q50" s="8"/>
    </row>
    <row r="51" spans="1:17" x14ac:dyDescent="0.2">
      <c r="D51" s="794" t="s">
        <v>775</v>
      </c>
      <c r="F51" s="864"/>
      <c r="K51" s="8"/>
      <c r="L51" s="8"/>
      <c r="M51" s="8"/>
      <c r="N51" s="8"/>
      <c r="O51" s="8"/>
      <c r="P51" s="8"/>
      <c r="Q51" s="8"/>
    </row>
    <row r="52" spans="1:17" x14ac:dyDescent="0.2">
      <c r="A52" s="57" t="s">
        <v>56</v>
      </c>
      <c r="C52" s="644"/>
      <c r="D52" s="645" t="s">
        <v>294</v>
      </c>
      <c r="F52" s="627">
        <f>SUMIF('12-MO Billed Summary ALL'!$C$8:$C$22,$A$52,'12-MO Billed Summary ALL'!$I$8:$I$22)</f>
        <v>8905649</v>
      </c>
      <c r="I52" s="865">
        <f>VLOOKUP($A$52,'Retail Rates'!$C$7:$P$40,3,FALSE)</f>
        <v>1.97</v>
      </c>
      <c r="J52" s="630">
        <f>+F52*I52</f>
        <v>17544128.530000001</v>
      </c>
      <c r="K52" s="8"/>
      <c r="L52" s="8"/>
      <c r="M52" s="8"/>
      <c r="N52" s="8"/>
      <c r="O52" s="8"/>
      <c r="P52" s="8"/>
      <c r="Q52" s="8"/>
    </row>
    <row r="53" spans="1:17" x14ac:dyDescent="0.2">
      <c r="C53" s="644"/>
      <c r="D53" s="645" t="s">
        <v>295</v>
      </c>
      <c r="F53" s="627">
        <f>SUMIF('12-MO Billed Summary ALL'!$C$8:$C$22,$A$52,'12-MO Billed Summary ALL'!$J$8:$J$22)</f>
        <v>433804.99999999953</v>
      </c>
      <c r="I53" s="865">
        <f>VLOOKUP($A$52,'Retail Rates'!$C$7:$P$40,4,FALSE)</f>
        <v>9.3699999999999992</v>
      </c>
      <c r="J53" s="630">
        <f>+F53*I53</f>
        <v>4064752.8499999954</v>
      </c>
      <c r="K53" s="8"/>
      <c r="L53" s="8"/>
      <c r="M53" s="8"/>
      <c r="N53" s="8"/>
      <c r="O53" s="8"/>
      <c r="P53" s="8"/>
      <c r="Q53" s="8"/>
    </row>
    <row r="54" spans="1:17" x14ac:dyDescent="0.2">
      <c r="D54" s="795" t="s">
        <v>214</v>
      </c>
      <c r="I54" s="639"/>
      <c r="K54" s="8"/>
      <c r="L54" s="8"/>
      <c r="M54" s="8"/>
      <c r="N54" s="8"/>
      <c r="O54" s="8"/>
      <c r="P54" s="8"/>
      <c r="Q54" s="8"/>
    </row>
    <row r="55" spans="1:17" x14ac:dyDescent="0.2">
      <c r="C55" s="646"/>
      <c r="D55" s="645" t="s">
        <v>216</v>
      </c>
      <c r="G55" s="627">
        <f>SUMIF('12-MO Billed Summary ALL'!$C$8:$C$22,$A$52,'12-MO Billed Summary ALL'!$K$8:$K$22)/10</f>
        <v>9859296.8143223822</v>
      </c>
      <c r="I55" s="632">
        <f>VLOOKUP($A$52,'Retail Rates'!$C$7:$P$40,9,FALSE)</f>
        <v>3.0669999999999997</v>
      </c>
      <c r="J55" s="647">
        <f>+G55*I55</f>
        <v>30238463.329526745</v>
      </c>
      <c r="K55" s="8"/>
      <c r="L55" s="8"/>
      <c r="M55" s="8"/>
      <c r="N55" s="8"/>
      <c r="O55" s="8"/>
      <c r="P55" s="8"/>
      <c r="Q55" s="8"/>
    </row>
    <row r="56" spans="1:17" x14ac:dyDescent="0.2">
      <c r="C56" s="644"/>
      <c r="D56" s="645" t="s">
        <v>217</v>
      </c>
      <c r="H56" s="627">
        <f>SUMIF('12-MO Billed Summary ALL'!$C$8:$C$22,$A$52,'12-MO Billed Summary ALL'!$L$8:$L$22)/10</f>
        <v>869177.41203824396</v>
      </c>
      <c r="I56" s="632">
        <f>VLOOKUP($A$52,'Retail Rates'!$C$7:$P$40,10,FALSE)</f>
        <v>2.5669999999999997</v>
      </c>
      <c r="J56" s="647">
        <f>+I56*H56</f>
        <v>2231178.4167021718</v>
      </c>
      <c r="K56" s="8"/>
      <c r="L56" s="8"/>
      <c r="M56" s="8"/>
      <c r="N56" s="8"/>
      <c r="O56" s="8"/>
      <c r="P56" s="8"/>
      <c r="Q56" s="8"/>
    </row>
    <row r="57" spans="1:17" x14ac:dyDescent="0.2">
      <c r="D57" s="760" t="s">
        <v>672</v>
      </c>
      <c r="H57" s="627"/>
      <c r="I57" s="632"/>
      <c r="J57" s="790">
        <f>SBR!F15+SBR!F16</f>
        <v>1629.5191959999997</v>
      </c>
      <c r="K57" s="8"/>
      <c r="L57" s="8"/>
      <c r="M57" s="8"/>
      <c r="N57" s="8"/>
      <c r="O57" s="8"/>
      <c r="P57" s="8"/>
      <c r="Q57" s="8"/>
    </row>
    <row r="58" spans="1:17" x14ac:dyDescent="0.2">
      <c r="D58" s="759" t="s">
        <v>211</v>
      </c>
      <c r="H58" s="638"/>
      <c r="J58" s="756">
        <f>SBR!BL17+'12-MO Billed Summary ALL'!S10+'12-MO Billed Summary ALL'!T10+'12-MO Billed Summary ALL'!W10</f>
        <v>149937.69</v>
      </c>
      <c r="K58" s="8"/>
      <c r="L58" s="8"/>
      <c r="M58" s="8"/>
      <c r="N58" s="8"/>
      <c r="O58" s="8"/>
      <c r="P58" s="8"/>
      <c r="Q58" s="8"/>
    </row>
    <row r="59" spans="1:17" x14ac:dyDescent="0.2">
      <c r="D59" s="624" t="s">
        <v>777</v>
      </c>
      <c r="H59" s="638"/>
      <c r="J59" s="648">
        <f>SUM(J52:J58)</f>
        <v>54230090.335424915</v>
      </c>
      <c r="K59" s="8"/>
      <c r="L59" s="8"/>
      <c r="M59" s="8"/>
      <c r="N59" s="8"/>
      <c r="O59" s="8"/>
      <c r="P59" s="8"/>
      <c r="Q59" s="8"/>
    </row>
    <row r="60" spans="1:17" x14ac:dyDescent="0.2">
      <c r="D60" s="624"/>
      <c r="H60" s="638"/>
      <c r="J60" s="648"/>
      <c r="K60" s="8"/>
      <c r="L60" s="8"/>
      <c r="M60" s="8"/>
      <c r="N60" s="8"/>
      <c r="O60" s="8"/>
      <c r="P60" s="8"/>
      <c r="Q60" s="8"/>
    </row>
    <row r="61" spans="1:17" x14ac:dyDescent="0.2">
      <c r="D61" s="624" t="s">
        <v>538</v>
      </c>
      <c r="H61" s="638" t="s">
        <v>679</v>
      </c>
      <c r="I61" s="637">
        <f>'Revenue Summary B'!O15</f>
        <v>1.0000002188214765</v>
      </c>
      <c r="J61" s="648">
        <f>J59*I61</f>
        <v>54230102.20213335</v>
      </c>
      <c r="K61" s="37"/>
      <c r="L61" s="37"/>
      <c r="M61" s="8"/>
      <c r="N61" s="8"/>
      <c r="O61" s="8"/>
      <c r="P61" s="8"/>
      <c r="Q61" s="8"/>
    </row>
    <row r="62" spans="1:17" x14ac:dyDescent="0.2">
      <c r="D62" s="57"/>
      <c r="H62" s="57"/>
      <c r="J62" s="57"/>
      <c r="K62" s="8"/>
      <c r="L62" s="8"/>
      <c r="M62" s="8"/>
      <c r="N62" s="8"/>
      <c r="O62" s="8"/>
      <c r="P62" s="8"/>
      <c r="Q62" s="8"/>
    </row>
    <row r="63" spans="1:17" x14ac:dyDescent="0.2">
      <c r="D63" s="624"/>
      <c r="H63" s="638"/>
      <c r="J63" s="648"/>
      <c r="K63" s="8"/>
      <c r="L63" s="8"/>
      <c r="M63" s="8"/>
      <c r="N63" s="8"/>
      <c r="O63" s="8"/>
      <c r="P63" s="8"/>
      <c r="Q63" s="8"/>
    </row>
    <row r="64" spans="1:17" x14ac:dyDescent="0.2">
      <c r="C64" s="621" t="s">
        <v>802</v>
      </c>
      <c r="D64" s="643"/>
      <c r="K64" s="8"/>
      <c r="L64" s="8"/>
      <c r="M64" s="8"/>
      <c r="N64" s="8"/>
      <c r="O64" s="8"/>
      <c r="P64" s="8"/>
      <c r="Q64" s="8"/>
    </row>
    <row r="65" spans="1:17" x14ac:dyDescent="0.2">
      <c r="D65" s="57"/>
      <c r="K65" s="8"/>
      <c r="L65" s="8"/>
      <c r="M65" s="8"/>
      <c r="N65" s="8"/>
      <c r="O65" s="8"/>
      <c r="P65" s="8"/>
      <c r="Q65" s="8"/>
    </row>
    <row r="66" spans="1:17" x14ac:dyDescent="0.2">
      <c r="A66" s="57" t="s">
        <v>546</v>
      </c>
      <c r="D66" s="645" t="s">
        <v>218</v>
      </c>
      <c r="F66" s="876">
        <f>SUMIF('12-MO Billed Summary ALL'!$C$26:$C$42,$A$66,'12-MO Billed Summary ALL'!$G$26:$G$42)+SUMIF('12-MO Billed Summary ALL'!$C$26:$C$42,$A$66,'12-MO Billed Summary ALL'!$H$26:$H$42)</f>
        <v>0</v>
      </c>
      <c r="I66" s="540">
        <f>VLOOKUP($A$66,'Retail Rates'!$C$7:$P$40,5,FALSE)</f>
        <v>550</v>
      </c>
      <c r="J66" s="649">
        <f>+F66*I66</f>
        <v>0</v>
      </c>
      <c r="K66" s="8"/>
      <c r="L66" s="8"/>
      <c r="M66" s="8"/>
      <c r="N66" s="8"/>
      <c r="O66" s="8"/>
      <c r="P66" s="8"/>
      <c r="Q66" s="8"/>
    </row>
    <row r="67" spans="1:17" x14ac:dyDescent="0.2">
      <c r="D67" s="794" t="s">
        <v>775</v>
      </c>
    </row>
    <row r="68" spans="1:17" x14ac:dyDescent="0.2">
      <c r="D68" s="645" t="s">
        <v>668</v>
      </c>
      <c r="F68" s="877">
        <f>SUMIF('12-MO Billed Summary ALL'!$C$26:$C$42,$A$66,'12-MO Billed Summary ALL'!$G$26:$G$42)</f>
        <v>0</v>
      </c>
      <c r="I68" s="865">
        <f>VLOOKUP($A$66,'Retail Rates'!$C$7:$P$40,3,FALSE)</f>
        <v>1.97</v>
      </c>
      <c r="J68" s="649">
        <f>+F68*I68</f>
        <v>0</v>
      </c>
      <c r="K68" s="8"/>
      <c r="L68" s="8"/>
      <c r="M68" s="8"/>
      <c r="N68" s="8"/>
      <c r="O68" s="8"/>
      <c r="P68" s="8"/>
      <c r="Q68" s="8"/>
    </row>
    <row r="69" spans="1:17" x14ac:dyDescent="0.2">
      <c r="D69" s="645" t="s">
        <v>669</v>
      </c>
      <c r="F69" s="876">
        <f>SUMIF('12-MO Billed Summary ALL'!$C$26:$C$42,$A$66,'12-MO Billed Summary ALL'!$H$26:$H$42)</f>
        <v>0</v>
      </c>
      <c r="I69" s="865">
        <f>VLOOKUP($A$66,'Retail Rates'!$C$7:$P$40,4,FALSE)</f>
        <v>9.3699999999999992</v>
      </c>
      <c r="J69" s="649">
        <f>+F69*I69</f>
        <v>0</v>
      </c>
      <c r="K69" s="8"/>
      <c r="L69" s="8"/>
      <c r="M69" s="8"/>
      <c r="N69" s="8"/>
      <c r="O69" s="8"/>
      <c r="P69" s="8"/>
      <c r="Q69" s="8"/>
    </row>
    <row r="70" spans="1:17" x14ac:dyDescent="0.2">
      <c r="C70" s="57"/>
      <c r="D70" s="795" t="s">
        <v>214</v>
      </c>
      <c r="K70" s="8"/>
      <c r="L70" s="8"/>
      <c r="M70" s="8"/>
      <c r="N70" s="8"/>
      <c r="O70" s="8"/>
      <c r="P70" s="8"/>
      <c r="Q70" s="8"/>
    </row>
    <row r="71" spans="1:17" x14ac:dyDescent="0.2">
      <c r="D71" s="645" t="s">
        <v>216</v>
      </c>
      <c r="G71" s="876">
        <f>SUMIF('12-MO Billed Summary ALL'!$C$26:$C$42,$A$66,'12-MO Billed Summary ALL'!$K$26:$K$42)</f>
        <v>0</v>
      </c>
      <c r="I71" s="632">
        <f>VLOOKUP($A$52,'Retail Rates'!$C$7:$P$40,9,FALSE)</f>
        <v>3.0669999999999997</v>
      </c>
      <c r="J71" s="649">
        <f>+G71*I71</f>
        <v>0</v>
      </c>
      <c r="K71" s="8"/>
      <c r="L71" s="8"/>
      <c r="M71" s="8"/>
      <c r="N71" s="8"/>
      <c r="O71" s="8"/>
      <c r="P71" s="8"/>
      <c r="Q71" s="8"/>
    </row>
    <row r="72" spans="1:17" x14ac:dyDescent="0.2">
      <c r="D72" s="760" t="s">
        <v>217</v>
      </c>
      <c r="H72" s="877">
        <f>SUMIF('12-MO Billed Summary ALL'!$C$26:$C$42,$A$66,'12-MO Billed Summary ALL'!$K$26:$K$42)</f>
        <v>0</v>
      </c>
      <c r="I72" s="632">
        <f>VLOOKUP($A$52,'Retail Rates'!$C$7:$P$40,10,FALSE)</f>
        <v>2.5669999999999997</v>
      </c>
      <c r="J72" s="762">
        <f>+H72*I72</f>
        <v>0</v>
      </c>
      <c r="K72" s="8"/>
      <c r="L72" s="8"/>
      <c r="M72" s="8"/>
      <c r="N72" s="8"/>
      <c r="O72" s="8"/>
      <c r="P72" s="8"/>
      <c r="Q72" s="8"/>
    </row>
    <row r="73" spans="1:17" x14ac:dyDescent="0.2">
      <c r="D73" s="759" t="s">
        <v>211</v>
      </c>
      <c r="H73" s="627"/>
      <c r="I73" s="632"/>
      <c r="J73" s="761">
        <f>SBR!BL60+SBR!BL61</f>
        <v>0</v>
      </c>
      <c r="K73" s="8"/>
      <c r="L73" s="8"/>
      <c r="M73" s="8"/>
      <c r="N73" s="8"/>
      <c r="O73" s="8"/>
      <c r="P73" s="8"/>
      <c r="Q73" s="8"/>
    </row>
    <row r="74" spans="1:17" x14ac:dyDescent="0.2">
      <c r="C74" s="57"/>
      <c r="D74" s="624" t="s">
        <v>777</v>
      </c>
      <c r="E74" s="624"/>
      <c r="F74" s="613"/>
      <c r="G74" s="638"/>
      <c r="H74" s="638"/>
      <c r="I74" s="624"/>
      <c r="J74" s="651">
        <f>SUM(J66:J73)</f>
        <v>0</v>
      </c>
      <c r="K74" s="8"/>
      <c r="L74" s="8"/>
      <c r="M74" s="8"/>
      <c r="N74" s="8"/>
      <c r="O74" s="8"/>
      <c r="P74" s="8"/>
      <c r="Q74" s="8"/>
    </row>
    <row r="75" spans="1:17" x14ac:dyDescent="0.2">
      <c r="C75" s="650"/>
      <c r="D75" s="650"/>
      <c r="J75" s="57"/>
      <c r="K75" s="8"/>
      <c r="L75" s="8"/>
      <c r="M75" s="8"/>
      <c r="N75" s="8"/>
      <c r="O75" s="8"/>
      <c r="P75" s="8"/>
      <c r="Q75" s="8"/>
    </row>
    <row r="76" spans="1:17" x14ac:dyDescent="0.2">
      <c r="C76" s="57"/>
      <c r="D76" s="624" t="s">
        <v>538</v>
      </c>
      <c r="H76" s="638" t="s">
        <v>679</v>
      </c>
      <c r="I76" s="637">
        <f>'Revenue Summary B'!O15</f>
        <v>1.0000002188214765</v>
      </c>
      <c r="J76" s="635">
        <f>J74/I76</f>
        <v>0</v>
      </c>
      <c r="K76" s="8"/>
      <c r="L76" s="8"/>
      <c r="M76" s="8"/>
      <c r="N76" s="8"/>
      <c r="O76" s="8"/>
      <c r="P76" s="8"/>
      <c r="Q76" s="8"/>
    </row>
    <row r="77" spans="1:17" x14ac:dyDescent="0.2">
      <c r="C77" s="633"/>
      <c r="J77" s="651"/>
      <c r="K77" s="8"/>
      <c r="L77" s="8"/>
      <c r="M77" s="8"/>
      <c r="N77" s="8"/>
      <c r="O77" s="8"/>
      <c r="P77" s="8"/>
      <c r="Q77" s="8"/>
    </row>
    <row r="78" spans="1:17" x14ac:dyDescent="0.2">
      <c r="D78" s="631" t="s">
        <v>316</v>
      </c>
      <c r="G78" s="627"/>
      <c r="H78" s="627"/>
      <c r="J78" s="630">
        <f>SUMIF('12-MO Billed Summary ALL'!$C$8:$C$22,$A$52,'12-MO Billed Summary ALL'!$AK$8:$AK$22)+SUMIF('12-MO Billed Summary ALL'!$C$8:$C$22,$A$52,'12-MO Billed Summary ALL'!$AL$8:$AL$22)</f>
        <v>4167245.3717866219</v>
      </c>
      <c r="K78" s="37"/>
      <c r="L78" s="37"/>
      <c r="M78" s="8"/>
      <c r="N78" s="8"/>
      <c r="O78" s="8"/>
      <c r="P78" s="8"/>
      <c r="Q78" s="8"/>
    </row>
    <row r="79" spans="1:17" x14ac:dyDescent="0.2">
      <c r="C79" s="542"/>
      <c r="D79" s="631" t="s">
        <v>400</v>
      </c>
      <c r="G79" s="627"/>
      <c r="H79" s="627"/>
      <c r="J79" s="630">
        <f>SUMIF('12-MO Billed Summary ALL'!$C$8:$C$22,$A$52,'12-MO Billed Summary ALL'!$AI$8:$AI$22)</f>
        <v>38276221.246945404</v>
      </c>
      <c r="K79" s="37"/>
      <c r="L79" s="37"/>
      <c r="M79" s="8"/>
      <c r="N79" s="8"/>
      <c r="O79" s="8"/>
      <c r="P79" s="8"/>
      <c r="Q79" s="8"/>
    </row>
    <row r="80" spans="1:17" x14ac:dyDescent="0.2">
      <c r="D80" s="631" t="s">
        <v>401</v>
      </c>
      <c r="G80" s="627"/>
      <c r="H80" s="627"/>
      <c r="I80" s="639"/>
      <c r="J80" s="630">
        <f>SUMIF('12-MO Billed Summary ALL'!$C$8:$C$22,$A$52,'12-MO Billed Summary ALL'!$AH$8:$AH$22)</f>
        <v>322510.86833061429</v>
      </c>
      <c r="K80" s="37"/>
      <c r="L80" s="37"/>
      <c r="M80" s="8"/>
      <c r="N80" s="8"/>
      <c r="O80" s="8"/>
      <c r="P80" s="8"/>
      <c r="Q80" s="8"/>
    </row>
    <row r="81" spans="1:17" x14ac:dyDescent="0.2">
      <c r="D81" s="631" t="s">
        <v>402</v>
      </c>
      <c r="G81" s="627"/>
      <c r="I81" s="639"/>
      <c r="J81" s="630">
        <f>SUMIF('12-MO Billed Summary ALL'!$C$8:$C$22,$A$52,'12-MO Billed Summary ALL'!$AJ$8:$AJ$22)</f>
        <v>398441.93999999994</v>
      </c>
      <c r="K81" s="37"/>
      <c r="L81" s="37"/>
      <c r="M81" s="8"/>
      <c r="N81" s="8"/>
      <c r="O81" s="8"/>
      <c r="P81" s="8"/>
      <c r="Q81" s="8"/>
    </row>
    <row r="82" spans="1:17" x14ac:dyDescent="0.2">
      <c r="D82" s="543" t="s">
        <v>650</v>
      </c>
      <c r="G82" s="627"/>
      <c r="I82" s="639"/>
      <c r="J82" s="630">
        <f>SUMIF('12-MO Billed Summary ALL'!$C$8:$C$22,$A$52,'12-MO Billed Summary ALL'!$AG$8:$AG$22)</f>
        <v>0.81</v>
      </c>
      <c r="K82" s="37"/>
      <c r="L82" s="37"/>
      <c r="M82" s="8"/>
      <c r="N82" s="8"/>
      <c r="O82" s="8"/>
      <c r="P82" s="8"/>
      <c r="Q82" s="8"/>
    </row>
    <row r="83" spans="1:17" x14ac:dyDescent="0.2">
      <c r="C83" s="542"/>
      <c r="G83" s="627"/>
      <c r="J83" s="651"/>
      <c r="K83" s="8"/>
      <c r="L83" s="8"/>
      <c r="M83" s="8"/>
      <c r="N83" s="8"/>
      <c r="O83" s="8"/>
      <c r="P83" s="8"/>
      <c r="Q83" s="8"/>
    </row>
    <row r="84" spans="1:17" x14ac:dyDescent="0.2">
      <c r="C84" s="624" t="s">
        <v>539</v>
      </c>
      <c r="G84" s="627"/>
      <c r="J84" s="635"/>
      <c r="K84" s="274"/>
      <c r="L84" s="37"/>
      <c r="M84" s="8"/>
      <c r="N84" s="8"/>
      <c r="O84" s="8"/>
      <c r="P84" s="8"/>
      <c r="Q84" s="8"/>
    </row>
    <row r="85" spans="1:17" x14ac:dyDescent="0.2">
      <c r="A85" s="57" t="s">
        <v>673</v>
      </c>
      <c r="C85" s="624"/>
      <c r="D85" s="543" t="s">
        <v>540</v>
      </c>
      <c r="F85" s="875">
        <v>0</v>
      </c>
      <c r="G85" s="627"/>
      <c r="I85" s="540">
        <f>VLOOKUP($A$135,'Retail Rates'!$C$7:$P$40,6,FALSE)</f>
        <v>75</v>
      </c>
      <c r="J85" s="647">
        <f>F85*I85</f>
        <v>0</v>
      </c>
      <c r="K85" s="274"/>
      <c r="L85" s="37"/>
      <c r="M85" s="8"/>
      <c r="N85" s="8"/>
      <c r="O85" s="8"/>
      <c r="P85" s="8"/>
      <c r="Q85" s="8"/>
    </row>
    <row r="86" spans="1:17" x14ac:dyDescent="0.2">
      <c r="C86" s="624"/>
      <c r="G86" s="627"/>
      <c r="J86" s="635"/>
      <c r="K86" s="274"/>
      <c r="L86" s="37"/>
      <c r="M86" s="8"/>
      <c r="N86" s="8"/>
      <c r="O86" s="8"/>
      <c r="P86" s="8"/>
      <c r="Q86" s="8"/>
    </row>
    <row r="87" spans="1:17" ht="13.5" thickBot="1" x14ac:dyDescent="0.25">
      <c r="C87" s="57"/>
      <c r="D87" s="624" t="s">
        <v>149</v>
      </c>
      <c r="G87" s="627"/>
      <c r="J87" s="652">
        <f>J61+J76+SUM(J78:J82)+J85</f>
        <v>97394522.439195991</v>
      </c>
      <c r="K87" s="372"/>
      <c r="L87" s="274"/>
      <c r="M87" s="8"/>
      <c r="N87" s="8"/>
      <c r="O87" s="8"/>
      <c r="P87" s="8"/>
      <c r="Q87" s="8"/>
    </row>
    <row r="88" spans="1:17" ht="13.5" thickTop="1" x14ac:dyDescent="0.2">
      <c r="C88" s="57"/>
      <c r="D88" s="624"/>
      <c r="G88" s="627"/>
      <c r="J88" s="635"/>
      <c r="K88" s="372"/>
      <c r="L88" s="274"/>
      <c r="M88" s="8"/>
      <c r="N88" s="8"/>
      <c r="O88" s="8"/>
      <c r="P88" s="8"/>
      <c r="Q88" s="8"/>
    </row>
    <row r="89" spans="1:17" x14ac:dyDescent="0.2">
      <c r="C89" s="57"/>
      <c r="D89" s="624"/>
      <c r="G89" s="627"/>
      <c r="J89" s="635"/>
      <c r="K89" s="274"/>
      <c r="L89" s="37"/>
      <c r="M89" s="8"/>
      <c r="N89" s="8"/>
      <c r="O89" s="8"/>
      <c r="P89" s="8"/>
      <c r="Q89" s="8"/>
    </row>
    <row r="90" spans="1:17" x14ac:dyDescent="0.2">
      <c r="C90" s="590" t="s">
        <v>397</v>
      </c>
      <c r="D90" s="593"/>
      <c r="E90" s="593"/>
      <c r="F90" s="605"/>
      <c r="G90" s="605"/>
      <c r="H90" s="605"/>
      <c r="I90" s="593"/>
      <c r="J90" s="592" t="s">
        <v>424</v>
      </c>
      <c r="K90" s="8"/>
      <c r="L90" s="8"/>
      <c r="M90" s="8"/>
      <c r="N90" s="8"/>
      <c r="O90" s="8"/>
      <c r="P90" s="8"/>
      <c r="Q90" s="8"/>
    </row>
    <row r="91" spans="1:17" x14ac:dyDescent="0.2">
      <c r="C91" s="595" t="s">
        <v>398</v>
      </c>
      <c r="D91" s="593"/>
      <c r="E91" s="593"/>
      <c r="F91" s="605"/>
      <c r="G91" s="605"/>
      <c r="H91" s="605"/>
      <c r="I91" s="593"/>
      <c r="J91" s="606" t="s">
        <v>498</v>
      </c>
      <c r="K91" s="8"/>
      <c r="L91" s="8"/>
      <c r="M91" s="8"/>
      <c r="N91" s="8"/>
      <c r="O91" s="8"/>
      <c r="P91" s="8"/>
      <c r="Q91" s="8"/>
    </row>
    <row r="92" spans="1:17" x14ac:dyDescent="0.2">
      <c r="C92" s="595" t="s">
        <v>399</v>
      </c>
      <c r="D92" s="593"/>
      <c r="E92" s="593"/>
      <c r="F92" s="605"/>
      <c r="G92" s="605"/>
      <c r="H92" s="605"/>
      <c r="I92" s="593"/>
      <c r="J92" s="606" t="s">
        <v>760</v>
      </c>
      <c r="K92" s="8"/>
      <c r="L92" s="8"/>
      <c r="M92" s="8"/>
      <c r="N92" s="8"/>
      <c r="O92" s="8"/>
      <c r="P92" s="8"/>
      <c r="Q92" s="8"/>
    </row>
    <row r="93" spans="1:17" x14ac:dyDescent="0.2">
      <c r="C93" s="597"/>
      <c r="D93" s="607"/>
      <c r="E93" s="608"/>
      <c r="F93" s="609"/>
      <c r="G93" s="610"/>
      <c r="H93" s="610"/>
      <c r="I93" s="611"/>
      <c r="J93" s="611"/>
      <c r="K93" s="8"/>
      <c r="L93" s="8"/>
      <c r="M93" s="8"/>
      <c r="N93" s="8"/>
      <c r="O93" s="8"/>
      <c r="P93" s="8"/>
      <c r="Q93" s="8"/>
    </row>
    <row r="94" spans="1:17" x14ac:dyDescent="0.2">
      <c r="K94" s="8"/>
      <c r="L94" s="8"/>
      <c r="M94" s="8"/>
      <c r="N94" s="8"/>
      <c r="O94" s="8"/>
      <c r="P94" s="8"/>
      <c r="Q94" s="8"/>
    </row>
    <row r="95" spans="1:17" x14ac:dyDescent="0.2">
      <c r="I95" s="233"/>
      <c r="J95" s="613" t="s">
        <v>185</v>
      </c>
      <c r="K95" s="8"/>
      <c r="L95" s="8"/>
      <c r="M95" s="8"/>
      <c r="N95" s="8"/>
      <c r="O95" s="8"/>
      <c r="P95" s="8"/>
      <c r="Q95" s="8"/>
    </row>
    <row r="96" spans="1:17" x14ac:dyDescent="0.2">
      <c r="I96" s="233"/>
      <c r="J96" s="613" t="s">
        <v>83</v>
      </c>
      <c r="K96" s="8"/>
      <c r="L96" s="8"/>
      <c r="M96" s="8"/>
      <c r="N96" s="8"/>
      <c r="O96" s="8"/>
      <c r="P96" s="8"/>
      <c r="Q96" s="8"/>
    </row>
    <row r="97" spans="1:17" x14ac:dyDescent="0.2">
      <c r="F97" s="614"/>
      <c r="G97" s="616" t="s">
        <v>1094</v>
      </c>
      <c r="H97" s="616" t="s">
        <v>252</v>
      </c>
      <c r="I97" s="613" t="s">
        <v>301</v>
      </c>
      <c r="J97" s="617" t="s">
        <v>1107</v>
      </c>
      <c r="K97" s="8"/>
      <c r="L97" s="8"/>
      <c r="M97" s="8"/>
      <c r="N97" s="8"/>
      <c r="O97" s="8"/>
      <c r="P97" s="8"/>
      <c r="Q97" s="8"/>
    </row>
    <row r="98" spans="1:17" ht="13.5" thickBot="1" x14ac:dyDescent="0.25">
      <c r="C98" s="618" t="s">
        <v>87</v>
      </c>
      <c r="D98" s="618"/>
      <c r="E98" s="618"/>
      <c r="F98" s="619" t="s">
        <v>1072</v>
      </c>
      <c r="G98" s="620" t="s">
        <v>82</v>
      </c>
      <c r="H98" s="620" t="s">
        <v>82</v>
      </c>
      <c r="I98" s="619" t="s">
        <v>212</v>
      </c>
      <c r="J98" s="619" t="s">
        <v>212</v>
      </c>
      <c r="K98" s="8"/>
      <c r="L98" s="8"/>
      <c r="M98" s="8"/>
      <c r="N98" s="8"/>
      <c r="O98" s="8"/>
      <c r="P98" s="8"/>
      <c r="Q98" s="8"/>
    </row>
    <row r="99" spans="1:17" x14ac:dyDescent="0.2">
      <c r="C99" s="624"/>
      <c r="D99" s="624"/>
      <c r="E99" s="624"/>
      <c r="F99" s="613"/>
      <c r="G99" s="613"/>
      <c r="K99" s="8"/>
      <c r="L99" s="8"/>
      <c r="M99" s="8"/>
      <c r="N99" s="8"/>
      <c r="O99" s="8"/>
      <c r="P99" s="8"/>
      <c r="Q99" s="8"/>
    </row>
    <row r="100" spans="1:17" x14ac:dyDescent="0.2">
      <c r="C100" s="623" t="s">
        <v>219</v>
      </c>
      <c r="E100" s="624"/>
      <c r="F100" s="613"/>
      <c r="G100" s="613"/>
      <c r="K100" s="8"/>
      <c r="L100" s="8"/>
      <c r="M100" s="8"/>
      <c r="N100" s="8"/>
      <c r="O100" s="8"/>
      <c r="P100" s="8"/>
      <c r="Q100" s="8"/>
    </row>
    <row r="101" spans="1:17" x14ac:dyDescent="0.2">
      <c r="C101" s="624"/>
      <c r="E101" s="624"/>
      <c r="F101" s="613"/>
      <c r="G101" s="613"/>
      <c r="K101" s="8"/>
      <c r="L101" s="8"/>
      <c r="M101" s="8"/>
      <c r="N101" s="8"/>
      <c r="O101" s="8"/>
      <c r="P101" s="8"/>
      <c r="Q101" s="8"/>
    </row>
    <row r="102" spans="1:17" x14ac:dyDescent="0.2">
      <c r="C102" s="624" t="s">
        <v>752</v>
      </c>
      <c r="K102" s="8"/>
      <c r="L102" s="8"/>
      <c r="M102" s="8"/>
      <c r="N102" s="8"/>
      <c r="O102" s="8"/>
      <c r="P102" s="8"/>
      <c r="Q102" s="8"/>
    </row>
    <row r="103" spans="1:17" x14ac:dyDescent="0.2">
      <c r="D103" s="792" t="s">
        <v>775</v>
      </c>
      <c r="F103" s="864"/>
      <c r="K103" s="8"/>
      <c r="L103" s="8"/>
      <c r="M103" s="8"/>
      <c r="N103" s="8"/>
      <c r="O103" s="8"/>
      <c r="P103" s="8"/>
      <c r="Q103" s="8"/>
    </row>
    <row r="104" spans="1:17" x14ac:dyDescent="0.2">
      <c r="A104" s="57" t="s">
        <v>59</v>
      </c>
      <c r="C104" s="644"/>
      <c r="D104" s="645" t="s">
        <v>294</v>
      </c>
      <c r="F104" s="627">
        <f>SUMIF('12-MO Billed Summary ALL'!$C$8:$C$22,$A$104,'12-MO Billed Summary ALL'!$I$8:$I$22)</f>
        <v>41579</v>
      </c>
      <c r="G104" s="638"/>
      <c r="I104" s="865">
        <f>VLOOKUP($A$104,'Retail Rates'!$C$7:$P$40,3,FALSE)</f>
        <v>5.42</v>
      </c>
      <c r="J104" s="630">
        <f>+F104*I104</f>
        <v>225358.18</v>
      </c>
      <c r="K104" s="8"/>
      <c r="L104" s="43"/>
      <c r="M104" s="43"/>
      <c r="N104" s="8"/>
      <c r="O104" s="8"/>
      <c r="P104" s="8"/>
      <c r="Q104" s="8"/>
    </row>
    <row r="105" spans="1:17" x14ac:dyDescent="0.2">
      <c r="C105" s="644"/>
      <c r="D105" s="645" t="s">
        <v>295</v>
      </c>
      <c r="F105" s="627">
        <f>SUMIF('12-MO Billed Summary ALL'!$C$8:$C$22,$A$104,'12-MO Billed Summary ALL'!$J$8:$J$22)</f>
        <v>36033</v>
      </c>
      <c r="G105" s="638"/>
      <c r="I105" s="865">
        <f>VLOOKUP($A$104,'Retail Rates'!$C$7:$P$40,4,FALSE)</f>
        <v>24.64</v>
      </c>
      <c r="J105" s="630">
        <f>+F105*I105</f>
        <v>887853.12</v>
      </c>
      <c r="K105" s="37"/>
      <c r="L105" s="8"/>
      <c r="M105" s="37"/>
      <c r="N105" s="8"/>
      <c r="O105" s="8"/>
      <c r="P105" s="8"/>
      <c r="Q105" s="8"/>
    </row>
    <row r="106" spans="1:17" x14ac:dyDescent="0.2">
      <c r="B106" s="653"/>
      <c r="D106" s="796" t="s">
        <v>214</v>
      </c>
      <c r="G106" s="638"/>
      <c r="I106" s="632"/>
      <c r="K106" s="8"/>
      <c r="L106" s="8"/>
      <c r="M106" s="8"/>
      <c r="N106" s="8"/>
      <c r="O106" s="8"/>
      <c r="P106" s="8"/>
      <c r="Q106" s="8"/>
    </row>
    <row r="107" spans="1:17" x14ac:dyDescent="0.2">
      <c r="D107" s="543" t="s">
        <v>216</v>
      </c>
      <c r="G107" s="627">
        <f>SUMIF('12-MO Billed Summary ALL'!$C$8:$C$22,$A$104,'12-MO Billed Summary ALL'!$K$8:$K$22)/10</f>
        <v>615122.12444412487</v>
      </c>
      <c r="I107" s="632">
        <f>VLOOKUP($A$104,'Retail Rates'!$C$7:$P$40,9,FALSE)</f>
        <v>2.1929000000000003</v>
      </c>
      <c r="J107" s="647">
        <f>+G107*I107</f>
        <v>1348901.3066935216</v>
      </c>
      <c r="K107" s="8"/>
      <c r="L107" s="8"/>
      <c r="M107" s="8"/>
      <c r="N107" s="8"/>
      <c r="O107" s="8"/>
      <c r="P107" s="8"/>
      <c r="Q107" s="8"/>
    </row>
    <row r="108" spans="1:17" x14ac:dyDescent="0.2">
      <c r="D108" s="543" t="s">
        <v>217</v>
      </c>
      <c r="E108" s="625"/>
      <c r="H108" s="627">
        <f>SUMIF('12-MO Billed Summary ALL'!$C$8:$C$22,$A$104,'12-MO Billed Summary ALL'!$L$8:$L$22)/10</f>
        <v>388960.46932546602</v>
      </c>
      <c r="I108" s="632">
        <f>VLOOKUP($A$104,'Retail Rates'!$C$7:$P$40,10,FALSE)</f>
        <v>1.6928999999999998</v>
      </c>
      <c r="J108" s="647">
        <f>+I108*H108</f>
        <v>658471.17852108134</v>
      </c>
      <c r="K108" s="654"/>
      <c r="L108" s="8"/>
      <c r="M108" s="654"/>
      <c r="N108" s="8"/>
      <c r="O108" s="8"/>
      <c r="P108" s="8"/>
      <c r="Q108" s="8"/>
    </row>
    <row r="109" spans="1:17" x14ac:dyDescent="0.2">
      <c r="D109" s="543" t="s">
        <v>211</v>
      </c>
      <c r="H109" s="638"/>
      <c r="J109" s="630">
        <f>SBR!BL23+'12-MO Billed Summary ALL'!S12+'12-MO Billed Summary ALL'!T13+'12-MO Billed Summary ALL'!W13</f>
        <v>3650.64</v>
      </c>
      <c r="K109" s="37"/>
      <c r="L109" s="37"/>
      <c r="M109" s="42"/>
      <c r="N109" s="42"/>
      <c r="O109" s="8"/>
      <c r="P109" s="8"/>
      <c r="Q109" s="8"/>
    </row>
    <row r="110" spans="1:17" x14ac:dyDescent="0.2">
      <c r="C110" s="644"/>
      <c r="D110" s="755" t="s">
        <v>672</v>
      </c>
      <c r="E110" s="625"/>
      <c r="H110" s="627"/>
      <c r="I110" s="632"/>
      <c r="J110" s="763">
        <f>SBR!F21+SBR!F22</f>
        <v>104174.911722</v>
      </c>
      <c r="K110" s="57"/>
      <c r="L110" s="8"/>
      <c r="M110" s="8"/>
      <c r="N110" s="8"/>
      <c r="O110" s="8"/>
      <c r="P110" s="8"/>
      <c r="Q110" s="8"/>
    </row>
    <row r="111" spans="1:17" x14ac:dyDescent="0.2">
      <c r="D111" s="655" t="s">
        <v>670</v>
      </c>
      <c r="H111" s="638"/>
      <c r="J111" s="648">
        <f>SUM(J104:J110)</f>
        <v>3228409.3369366033</v>
      </c>
      <c r="K111" s="37"/>
      <c r="L111" s="37"/>
      <c r="M111" s="42"/>
      <c r="N111" s="42"/>
      <c r="O111" s="8"/>
      <c r="P111" s="8"/>
      <c r="Q111" s="8"/>
    </row>
    <row r="112" spans="1:17" x14ac:dyDescent="0.2">
      <c r="D112" s="655"/>
      <c r="H112" s="638"/>
      <c r="J112" s="648"/>
      <c r="K112" s="37"/>
      <c r="L112" s="37"/>
      <c r="M112" s="42"/>
      <c r="N112" s="42"/>
      <c r="O112" s="8"/>
      <c r="P112" s="8"/>
      <c r="Q112" s="8"/>
    </row>
    <row r="113" spans="1:17" x14ac:dyDescent="0.2">
      <c r="D113" s="655" t="s">
        <v>538</v>
      </c>
      <c r="H113" s="656" t="s">
        <v>680</v>
      </c>
      <c r="I113" s="637">
        <f>'Revenue Summary B'!O17</f>
        <v>0.99999762740096765</v>
      </c>
      <c r="J113" s="648">
        <f>J111*I113</f>
        <v>3228401.6772157345</v>
      </c>
      <c r="K113" s="37"/>
      <c r="L113" s="37"/>
      <c r="M113" s="42"/>
      <c r="N113" s="42"/>
      <c r="O113" s="8"/>
      <c r="P113" s="8"/>
      <c r="Q113" s="8"/>
    </row>
    <row r="114" spans="1:17" x14ac:dyDescent="0.2">
      <c r="D114" s="625"/>
      <c r="H114" s="638"/>
      <c r="J114" s="630"/>
      <c r="K114" s="657"/>
      <c r="L114" s="37"/>
      <c r="M114" s="42"/>
      <c r="N114" s="42"/>
      <c r="O114" s="8"/>
      <c r="P114" s="8"/>
      <c r="Q114" s="8"/>
    </row>
    <row r="115" spans="1:17" x14ac:dyDescent="0.2">
      <c r="C115" s="624" t="s">
        <v>803</v>
      </c>
      <c r="H115" s="638"/>
      <c r="K115" s="57"/>
      <c r="L115" s="8"/>
      <c r="M115" s="8"/>
      <c r="N115" s="8"/>
      <c r="O115" s="8"/>
      <c r="P115" s="8"/>
      <c r="Q115" s="8"/>
    </row>
    <row r="116" spans="1:17" x14ac:dyDescent="0.2">
      <c r="A116" s="57" t="s">
        <v>549</v>
      </c>
      <c r="D116" s="645" t="s">
        <v>218</v>
      </c>
      <c r="F116" s="627">
        <f>SUMIF('12-MO Billed Summary ALL'!$C$26:$C$42,$A$116,'12-MO Billed Summary ALL'!$G$26:$G$42)+SUMIF('12-MO Billed Summary ALL'!$C$26:$C$42,$A$116,'12-MO Billed Summary ALL'!$H$26:$H$42)</f>
        <v>96</v>
      </c>
      <c r="I116" s="865">
        <f>VLOOKUP($A$116,'Retail Rates'!$C$7:$P$40,5,FALSE)</f>
        <v>550</v>
      </c>
      <c r="J116" s="647">
        <f>+F116*I116</f>
        <v>52800</v>
      </c>
      <c r="K116" s="57"/>
      <c r="L116" s="8"/>
      <c r="M116" s="8"/>
      <c r="N116" s="8"/>
      <c r="O116" s="8"/>
      <c r="P116" s="8"/>
      <c r="Q116" s="8"/>
    </row>
    <row r="117" spans="1:17" x14ac:dyDescent="0.2">
      <c r="D117" s="792" t="s">
        <v>775</v>
      </c>
      <c r="F117" s="627"/>
      <c r="H117" s="638"/>
      <c r="K117" s="57"/>
      <c r="L117" s="8"/>
      <c r="M117" s="8"/>
      <c r="N117" s="8"/>
      <c r="O117" s="8"/>
      <c r="P117" s="8"/>
      <c r="Q117" s="8"/>
    </row>
    <row r="118" spans="1:17" x14ac:dyDescent="0.2">
      <c r="D118" s="645" t="s">
        <v>294</v>
      </c>
      <c r="F118" s="627">
        <f>SUMIF('12-MO Billed Summary ALL'!$C$26:$C$42,$A$116,'12-MO Billed Summary ALL'!$G$26:$G$42)</f>
        <v>0</v>
      </c>
      <c r="I118" s="865">
        <f>VLOOKUP($A$116,'Retail Rates'!$C$7:$P$40,3,FALSE)</f>
        <v>5.42</v>
      </c>
      <c r="J118" s="647">
        <f>F118*I118</f>
        <v>0</v>
      </c>
      <c r="K118" s="658"/>
      <c r="L118" s="8"/>
      <c r="M118" s="8"/>
      <c r="N118" s="8"/>
      <c r="O118" s="8"/>
      <c r="P118" s="8"/>
      <c r="Q118" s="8"/>
    </row>
    <row r="119" spans="1:17" x14ac:dyDescent="0.2">
      <c r="D119" s="645" t="s">
        <v>295</v>
      </c>
      <c r="F119" s="627">
        <f>SUMIF('12-MO Billed Summary ALL'!$C$26:$C$42,$A$116,'12-MO Billed Summary ALL'!$I$26:$I$42)+SUMIF('12-MO Billed Summary ALL'!$C$26:$C$42,$A$116,'12-MO Billed Summary ALL'!$J$26:$J$42)</f>
        <v>2904</v>
      </c>
      <c r="I119" s="865">
        <f>VLOOKUP($A$116,'Retail Rates'!$C$7:$P$40,4,FALSE)</f>
        <v>24.64</v>
      </c>
      <c r="J119" s="647">
        <f>(F119*I119)</f>
        <v>71554.559999999998</v>
      </c>
      <c r="K119" s="57"/>
      <c r="L119" s="8"/>
      <c r="M119" s="8"/>
      <c r="N119" s="8"/>
      <c r="O119" s="8"/>
      <c r="P119" s="8"/>
      <c r="Q119" s="8"/>
    </row>
    <row r="120" spans="1:17" x14ac:dyDescent="0.2">
      <c r="D120" s="796" t="s">
        <v>214</v>
      </c>
      <c r="G120" s="627"/>
      <c r="K120" s="57"/>
      <c r="L120" s="8"/>
      <c r="M120" s="8"/>
      <c r="N120" s="8"/>
      <c r="O120" s="8"/>
      <c r="P120" s="8"/>
      <c r="Q120" s="8"/>
    </row>
    <row r="121" spans="1:17" x14ac:dyDescent="0.2">
      <c r="C121" s="644"/>
      <c r="D121" s="543" t="s">
        <v>216</v>
      </c>
      <c r="G121" s="627">
        <f>SUMIF('12-MO Billed Summary ALL'!$C$26:$C$42,$A$116,'12-MO Billed Summary ALL'!$N$26:$N$42)</f>
        <v>134947.21537268505</v>
      </c>
      <c r="H121" s="627"/>
      <c r="I121" s="632">
        <f>I107</f>
        <v>2.1929000000000003</v>
      </c>
      <c r="J121" s="647">
        <f>+G121*I121</f>
        <v>295925.7485907611</v>
      </c>
      <c r="K121" s="57"/>
      <c r="L121" s="8"/>
      <c r="M121" s="8"/>
      <c r="N121" s="8"/>
      <c r="O121" s="8"/>
      <c r="P121" s="8"/>
      <c r="Q121" s="8"/>
    </row>
    <row r="122" spans="1:17" x14ac:dyDescent="0.2">
      <c r="C122" s="644"/>
      <c r="D122" s="543" t="s">
        <v>217</v>
      </c>
      <c r="E122" s="625"/>
      <c r="H122" s="627">
        <f ca="1">SUMIF('12-MO Billed Summary ALL'!$C$26:$C$42,$A$116,'12-MO Billed Summary ALL'!$O$26:$O$42)</f>
        <v>216110.18542368483</v>
      </c>
      <c r="I122" s="632">
        <f>I108</f>
        <v>1.6928999999999998</v>
      </c>
      <c r="J122" s="647">
        <f ca="1">+I122*H122</f>
        <v>365852.93290375604</v>
      </c>
      <c r="K122" s="658"/>
      <c r="L122" s="8"/>
      <c r="M122" s="8"/>
      <c r="N122" s="8"/>
      <c r="O122" s="8"/>
      <c r="P122" s="8"/>
      <c r="Q122" s="8"/>
    </row>
    <row r="123" spans="1:17" x14ac:dyDescent="0.2">
      <c r="C123" s="644"/>
      <c r="D123" s="755" t="s">
        <v>392</v>
      </c>
      <c r="E123" s="625"/>
      <c r="H123" s="627"/>
      <c r="I123" s="632"/>
      <c r="J123" s="763">
        <f>SUM(SBR!BL62:'SBR'!BL64)</f>
        <v>20887.785159843286</v>
      </c>
      <c r="K123" s="57"/>
      <c r="L123" s="8"/>
      <c r="M123" s="8"/>
      <c r="N123" s="8"/>
      <c r="O123" s="8"/>
      <c r="P123" s="8"/>
      <c r="Q123" s="8"/>
    </row>
    <row r="124" spans="1:17" x14ac:dyDescent="0.2">
      <c r="C124" s="57"/>
      <c r="D124" s="624" t="s">
        <v>671</v>
      </c>
      <c r="E124" s="624"/>
      <c r="F124" s="613"/>
      <c r="G124" s="638"/>
      <c r="H124" s="638"/>
      <c r="I124" s="624"/>
      <c r="J124" s="635">
        <f ca="1">SUM(J116:J123)</f>
        <v>807021.02665436035</v>
      </c>
      <c r="K124" s="8"/>
      <c r="L124" s="8"/>
      <c r="M124" s="8"/>
      <c r="N124" s="8"/>
      <c r="O124" s="8"/>
      <c r="P124" s="8"/>
      <c r="Q124" s="8"/>
    </row>
    <row r="125" spans="1:17" x14ac:dyDescent="0.2">
      <c r="C125" s="57"/>
      <c r="D125" s="624"/>
      <c r="E125" s="624"/>
      <c r="F125" s="613"/>
      <c r="G125" s="638"/>
      <c r="H125" s="638"/>
      <c r="I125" s="624"/>
      <c r="J125" s="635"/>
      <c r="K125" s="8"/>
      <c r="L125" s="8"/>
      <c r="M125" s="8"/>
      <c r="N125" s="8"/>
      <c r="O125" s="8"/>
      <c r="P125" s="8"/>
      <c r="Q125" s="8"/>
    </row>
    <row r="126" spans="1:17" x14ac:dyDescent="0.2">
      <c r="C126" s="624" t="s">
        <v>778</v>
      </c>
      <c r="D126" s="57"/>
      <c r="H126" s="636" t="s">
        <v>680</v>
      </c>
      <c r="I126" s="637">
        <f ca="1">'Revenue Summary B'!O18</f>
        <v>0.99999999961905461</v>
      </c>
      <c r="J126" s="635">
        <f ca="1">J124*I126</f>
        <v>807021.02634692937</v>
      </c>
      <c r="K126" s="8"/>
      <c r="L126" s="37"/>
      <c r="M126" s="8"/>
      <c r="N126" s="8"/>
      <c r="O126" s="8"/>
      <c r="P126" s="8"/>
      <c r="Q126" s="8"/>
    </row>
    <row r="127" spans="1:17" x14ac:dyDescent="0.2">
      <c r="C127" s="633"/>
      <c r="J127" s="651"/>
      <c r="K127" s="8"/>
      <c r="L127" s="8"/>
      <c r="M127" s="8"/>
      <c r="N127" s="8"/>
      <c r="O127" s="8"/>
      <c r="P127" s="8"/>
      <c r="Q127" s="8"/>
    </row>
    <row r="128" spans="1:17" x14ac:dyDescent="0.2">
      <c r="C128" s="542"/>
      <c r="D128" s="631" t="s">
        <v>316</v>
      </c>
      <c r="J128" s="630">
        <f>SUMIF('12-MO Billed Summary ALL'!$C$8:$C$22,$A$104,'12-MO Billed Summary ALL'!$AK$8:$AK$22)+SUMIF('12-MO Billed Summary ALL'!$C$8:$C$22,$A$104,'12-MO Billed Summary ALL'!$AL$8:$AL$22)+SUMIF('12-MO Billed Summary ALL'!$C$26:$C$42,$A$116,'12-MO Billed Summary ALL'!$AK$26:$AK$42)+SUMIF('12-MO Billed Summary ALL'!$C$26:$C$42,$A$116,'12-MO Billed Summary ALL'!$AL$26:AL$42)</f>
        <v>486653.43130186998</v>
      </c>
      <c r="K128" s="37"/>
      <c r="L128" s="37"/>
      <c r="M128" s="8"/>
      <c r="N128" s="8"/>
      <c r="O128" s="8"/>
      <c r="P128" s="8"/>
      <c r="Q128" s="8"/>
    </row>
    <row r="129" spans="1:17" x14ac:dyDescent="0.2">
      <c r="D129" s="631" t="s">
        <v>400</v>
      </c>
      <c r="G129" s="627"/>
      <c r="I129" s="639"/>
      <c r="J129" s="630">
        <f>SUMIF('12-MO Billed Summary ALL'!$C$8:$C$22,$A$104,'12-MO Billed Summary ALL'!$AI$8:$AI$22)+SUMIF('12-MO Billed Summary ALL'!$C$26:$C$42,$A$116,'12-MO Billed Summary ALL'!$AI$26:$AI$42)</f>
        <v>3499686.4220173093</v>
      </c>
      <c r="K129" s="37"/>
      <c r="L129" s="37"/>
      <c r="M129" s="8"/>
      <c r="N129" s="8"/>
      <c r="O129" s="8"/>
      <c r="P129" s="8"/>
      <c r="Q129" s="8"/>
    </row>
    <row r="130" spans="1:17" x14ac:dyDescent="0.2">
      <c r="D130" s="631" t="s">
        <v>401</v>
      </c>
      <c r="G130" s="627"/>
      <c r="I130" s="639"/>
      <c r="J130" s="630">
        <f>SUMIF('12-MO Billed Summary ALL'!$C$8:$C$22,$A$104,'12-MO Billed Summary ALL'!$AH$8:$AH$22)+SUMIF('12-MO Billed Summary ALL'!$C$8:$C$29,$A$116,'12-MO Billed Summary ALL'!$AH$8:$AH$29)</f>
        <v>1483.31</v>
      </c>
      <c r="K130" s="37"/>
      <c r="L130" s="37"/>
      <c r="M130" s="8"/>
      <c r="N130" s="8"/>
      <c r="O130" s="8"/>
      <c r="P130" s="8"/>
      <c r="Q130" s="8"/>
    </row>
    <row r="131" spans="1:17" x14ac:dyDescent="0.2">
      <c r="D131" s="631" t="s">
        <v>402</v>
      </c>
      <c r="G131" s="627"/>
      <c r="I131" s="639"/>
      <c r="J131" s="630">
        <f>SUMIF('12-MO Billed Summary ALL'!$C$8:$C$22,$A$104,'12-MO Billed Summary ALL'!$AJ$8:$AJ$22)+SUMIF('12-MO Billed Summary ALL'!$C$8:$C$22,$A$116,'12-MO Billed Summary ALL'!$AJ$8:$AJ$22)</f>
        <v>0</v>
      </c>
      <c r="K131" s="37"/>
      <c r="L131" s="37"/>
      <c r="M131" s="8"/>
      <c r="N131" s="8"/>
      <c r="O131" s="8"/>
      <c r="P131" s="8"/>
      <c r="Q131" s="8"/>
    </row>
    <row r="132" spans="1:17" x14ac:dyDescent="0.2">
      <c r="D132" s="643" t="s">
        <v>650</v>
      </c>
      <c r="E132" s="643"/>
      <c r="F132" s="662"/>
      <c r="G132" s="798"/>
      <c r="H132" s="662"/>
      <c r="I132" s="799"/>
      <c r="J132" s="790">
        <f>SUMIF('12-MO Billed Summary ALL'!$C$8:$C$22,$A$104,'12-MO Billed Summary ALL'!$AG$8:$AG$22)+SUMIF('12-MO Billed Summary ALL'!$C$26:$C$42,$A$116,'12-MO Billed Summary ALL'!$AG$26:$AG$42)</f>
        <v>0</v>
      </c>
      <c r="K132" s="37"/>
      <c r="L132" s="37"/>
      <c r="M132" s="8"/>
      <c r="N132" s="8"/>
      <c r="O132" s="8"/>
      <c r="P132" s="8"/>
      <c r="Q132" s="8"/>
    </row>
    <row r="133" spans="1:17" x14ac:dyDescent="0.2">
      <c r="C133" s="542"/>
      <c r="J133" s="651"/>
      <c r="K133" s="8"/>
      <c r="L133" s="8"/>
      <c r="M133" s="8"/>
      <c r="N133" s="8"/>
      <c r="O133" s="8"/>
      <c r="P133" s="8"/>
      <c r="Q133" s="8"/>
    </row>
    <row r="134" spans="1:17" x14ac:dyDescent="0.2">
      <c r="C134" s="624" t="s">
        <v>539</v>
      </c>
      <c r="G134" s="627"/>
      <c r="J134" s="635"/>
      <c r="K134" s="8"/>
      <c r="L134" s="37"/>
      <c r="M134" s="8"/>
      <c r="N134" s="8"/>
      <c r="O134" s="8"/>
      <c r="P134" s="8"/>
      <c r="Q134" s="8"/>
    </row>
    <row r="135" spans="1:17" ht="12" customHeight="1" x14ac:dyDescent="0.2">
      <c r="A135" s="57" t="s">
        <v>550</v>
      </c>
      <c r="C135" s="624"/>
      <c r="D135" s="543" t="s">
        <v>540</v>
      </c>
      <c r="F135" s="638">
        <f>SBR!C83</f>
        <v>108</v>
      </c>
      <c r="G135" s="627"/>
      <c r="I135" s="540">
        <f>VLOOKUP($A$135,'Retail Rates'!$C$7:$P$40,6,FALSE)</f>
        <v>75</v>
      </c>
      <c r="J135" s="647">
        <f>F135*I135</f>
        <v>8100</v>
      </c>
      <c r="K135" s="8"/>
      <c r="L135" s="37"/>
      <c r="M135" s="37"/>
      <c r="N135" s="8"/>
      <c r="O135" s="8"/>
      <c r="P135" s="8"/>
      <c r="Q135" s="8"/>
    </row>
    <row r="136" spans="1:17" x14ac:dyDescent="0.2">
      <c r="C136" s="613"/>
      <c r="G136" s="627"/>
      <c r="J136" s="635"/>
      <c r="K136" s="8"/>
      <c r="L136" s="37"/>
      <c r="M136" s="8"/>
      <c r="N136" s="8"/>
      <c r="O136" s="8"/>
      <c r="P136" s="8"/>
      <c r="Q136" s="8"/>
    </row>
    <row r="137" spans="1:17" ht="13.5" thickBot="1" x14ac:dyDescent="0.25">
      <c r="C137" s="624" t="s">
        <v>753</v>
      </c>
      <c r="G137" s="627"/>
      <c r="J137" s="652">
        <f ca="1">J113+J126+SUM(J128:J132)+J135</f>
        <v>8031345.8668818437</v>
      </c>
      <c r="K137" s="274"/>
      <c r="L137" s="37"/>
      <c r="M137" s="8"/>
      <c r="N137" s="8"/>
      <c r="O137" s="8"/>
      <c r="P137" s="8"/>
      <c r="Q137" s="8"/>
    </row>
    <row r="138" spans="1:17" ht="13.5" thickTop="1" x14ac:dyDescent="0.2">
      <c r="C138" s="613"/>
      <c r="G138" s="627"/>
      <c r="J138" s="635"/>
      <c r="K138" s="8"/>
      <c r="L138" s="37"/>
      <c r="M138" s="8"/>
      <c r="N138" s="8"/>
      <c r="O138" s="8"/>
      <c r="P138" s="8"/>
      <c r="Q138" s="8"/>
    </row>
    <row r="139" spans="1:17" x14ac:dyDescent="0.2">
      <c r="C139" s="542"/>
      <c r="J139" s="651"/>
      <c r="K139" s="8"/>
      <c r="L139" s="8"/>
      <c r="M139" s="8"/>
      <c r="N139" s="8"/>
      <c r="O139" s="8"/>
      <c r="P139" s="8"/>
      <c r="Q139" s="8"/>
    </row>
    <row r="140" spans="1:17" x14ac:dyDescent="0.2">
      <c r="C140" s="590" t="s">
        <v>397</v>
      </c>
      <c r="D140" s="593"/>
      <c r="E140" s="593"/>
      <c r="F140" s="605"/>
      <c r="G140" s="605"/>
      <c r="H140" s="605"/>
      <c r="I140" s="593"/>
      <c r="J140" s="592" t="s">
        <v>424</v>
      </c>
      <c r="K140" s="8"/>
      <c r="L140" s="8"/>
      <c r="M140" s="8"/>
      <c r="N140" s="8"/>
      <c r="O140" s="8"/>
      <c r="P140" s="8"/>
      <c r="Q140" s="8"/>
    </row>
    <row r="141" spans="1:17" x14ac:dyDescent="0.2">
      <c r="C141" s="595" t="s">
        <v>398</v>
      </c>
      <c r="D141" s="593"/>
      <c r="E141" s="593"/>
      <c r="F141" s="605"/>
      <c r="G141" s="605"/>
      <c r="H141" s="605"/>
      <c r="I141" s="593"/>
      <c r="J141" s="606" t="s">
        <v>498</v>
      </c>
      <c r="K141" s="8"/>
      <c r="L141" s="8"/>
      <c r="M141" s="8"/>
      <c r="N141" s="8"/>
      <c r="O141" s="8"/>
      <c r="P141" s="8"/>
      <c r="Q141" s="8"/>
    </row>
    <row r="142" spans="1:17" x14ac:dyDescent="0.2">
      <c r="C142" s="595" t="s">
        <v>399</v>
      </c>
      <c r="D142" s="593"/>
      <c r="E142" s="593"/>
      <c r="F142" s="605"/>
      <c r="G142" s="605"/>
      <c r="H142" s="605"/>
      <c r="I142" s="593"/>
      <c r="J142" s="606" t="s">
        <v>761</v>
      </c>
      <c r="K142" s="8"/>
      <c r="L142" s="8"/>
      <c r="M142" s="8"/>
      <c r="N142" s="8"/>
      <c r="O142" s="8"/>
      <c r="P142" s="8"/>
      <c r="Q142" s="8"/>
    </row>
    <row r="143" spans="1:17" x14ac:dyDescent="0.2">
      <c r="C143" s="597"/>
      <c r="D143" s="607"/>
      <c r="E143" s="608"/>
      <c r="F143" s="609"/>
      <c r="G143" s="610"/>
      <c r="H143" s="610"/>
      <c r="I143" s="611"/>
      <c r="J143" s="611"/>
      <c r="K143" s="8"/>
      <c r="L143" s="8"/>
      <c r="M143" s="8"/>
      <c r="N143" s="8"/>
      <c r="O143" s="8"/>
      <c r="P143" s="8"/>
      <c r="Q143" s="8"/>
    </row>
    <row r="144" spans="1:17" x14ac:dyDescent="0.2">
      <c r="K144" s="8"/>
      <c r="L144" s="8"/>
      <c r="M144" s="8"/>
      <c r="N144" s="8"/>
      <c r="O144" s="8"/>
      <c r="P144" s="8"/>
      <c r="Q144" s="8"/>
    </row>
    <row r="145" spans="1:17" x14ac:dyDescent="0.2">
      <c r="I145" s="233"/>
      <c r="J145" s="613" t="s">
        <v>185</v>
      </c>
      <c r="K145" s="8"/>
      <c r="L145" s="8"/>
      <c r="M145" s="8"/>
      <c r="N145" s="8"/>
      <c r="O145" s="8"/>
      <c r="P145" s="8"/>
      <c r="Q145" s="8"/>
    </row>
    <row r="146" spans="1:17" x14ac:dyDescent="0.2">
      <c r="I146" s="233"/>
      <c r="J146" s="613" t="s">
        <v>83</v>
      </c>
      <c r="K146" s="8"/>
      <c r="L146" s="8"/>
      <c r="M146" s="8"/>
      <c r="N146" s="8"/>
      <c r="O146" s="8"/>
      <c r="P146" s="8"/>
      <c r="Q146" s="8"/>
    </row>
    <row r="147" spans="1:17" x14ac:dyDescent="0.2">
      <c r="F147" s="614"/>
      <c r="G147" s="616"/>
      <c r="H147" s="616"/>
      <c r="I147" s="613" t="s">
        <v>301</v>
      </c>
      <c r="J147" s="617" t="s">
        <v>1107</v>
      </c>
      <c r="K147" s="8"/>
      <c r="L147" s="8"/>
      <c r="M147" s="8"/>
      <c r="N147" s="8"/>
      <c r="O147" s="8"/>
      <c r="P147" s="8"/>
      <c r="Q147" s="8"/>
    </row>
    <row r="148" spans="1:17" ht="13.5" thickBot="1" x14ac:dyDescent="0.25">
      <c r="C148" s="618" t="s">
        <v>87</v>
      </c>
      <c r="D148" s="618"/>
      <c r="E148" s="618"/>
      <c r="F148" s="619" t="s">
        <v>420</v>
      </c>
      <c r="G148" s="620" t="s">
        <v>82</v>
      </c>
      <c r="H148" s="620"/>
      <c r="I148" s="619" t="s">
        <v>212</v>
      </c>
      <c r="J148" s="619" t="s">
        <v>212</v>
      </c>
      <c r="K148" s="8"/>
      <c r="L148" s="8"/>
      <c r="M148" s="8"/>
      <c r="N148" s="8"/>
      <c r="O148" s="8"/>
      <c r="P148" s="8"/>
      <c r="Q148" s="8"/>
    </row>
    <row r="149" spans="1:17" x14ac:dyDescent="0.2">
      <c r="K149" s="8"/>
      <c r="L149" s="8"/>
      <c r="M149" s="8"/>
      <c r="N149" s="8"/>
      <c r="O149" s="8"/>
      <c r="P149" s="8"/>
      <c r="Q149" s="8"/>
    </row>
    <row r="150" spans="1:17" x14ac:dyDescent="0.2">
      <c r="C150" s="660" t="s">
        <v>676</v>
      </c>
      <c r="K150" s="8"/>
      <c r="L150" s="8"/>
      <c r="M150" s="8"/>
      <c r="N150" s="8"/>
      <c r="O150" s="8"/>
      <c r="P150" s="8"/>
      <c r="Q150" s="8"/>
    </row>
    <row r="151" spans="1:17" x14ac:dyDescent="0.2">
      <c r="K151" s="8"/>
      <c r="L151" s="8"/>
      <c r="M151" s="8"/>
      <c r="N151" s="8"/>
      <c r="O151" s="8"/>
      <c r="P151" s="8"/>
      <c r="Q151" s="8"/>
    </row>
    <row r="152" spans="1:17" x14ac:dyDescent="0.2">
      <c r="C152" s="633" t="s">
        <v>754</v>
      </c>
      <c r="K152" s="8"/>
      <c r="L152" s="8"/>
      <c r="M152" s="8"/>
      <c r="N152" s="8"/>
      <c r="O152" s="8"/>
      <c r="P152" s="8"/>
      <c r="Q152" s="8"/>
    </row>
    <row r="153" spans="1:17" x14ac:dyDescent="0.2">
      <c r="C153" s="633"/>
      <c r="D153" s="796" t="s">
        <v>775</v>
      </c>
      <c r="K153" s="8"/>
      <c r="L153" s="8"/>
      <c r="M153" s="8"/>
      <c r="N153" s="8"/>
      <c r="O153" s="8"/>
      <c r="P153" s="8"/>
      <c r="Q153" s="8"/>
    </row>
    <row r="154" spans="1:17" x14ac:dyDescent="0.2">
      <c r="D154" s="542" t="s">
        <v>289</v>
      </c>
      <c r="F154" s="627">
        <f>SUMIF('12-MO Billed Summary ALL'!$C$8:$C$22,$A$155,'12-MO Billed Summary ALL'!$G$8:$G$22)</f>
        <v>32</v>
      </c>
      <c r="I154" s="629">
        <f>VLOOKUP("AAGS",'Retail Rates'!$C$7:$P$40,3,FALSE)</f>
        <v>500</v>
      </c>
      <c r="J154" s="647">
        <f>+F154*I154</f>
        <v>16000</v>
      </c>
      <c r="K154" s="8"/>
      <c r="L154" s="8"/>
      <c r="M154" s="8"/>
      <c r="N154" s="8"/>
      <c r="O154" s="8"/>
      <c r="P154" s="8"/>
      <c r="Q154" s="8"/>
    </row>
    <row r="155" spans="1:17" x14ac:dyDescent="0.2">
      <c r="A155" s="661" t="s">
        <v>223</v>
      </c>
      <c r="D155" s="543" t="s">
        <v>1</v>
      </c>
      <c r="G155" s="627">
        <f>SUMIF('12-MO Billed Summary ALL'!$C$8:$C$22,$A$155,'12-MO Billed Summary ALL'!$N$8:$N$22)</f>
        <v>84282.57498381281</v>
      </c>
      <c r="I155" s="632">
        <f>VLOOKUP("AAGS",'Retail Rates'!$C$7:$P$40,9,FALSE)</f>
        <v>1.0644</v>
      </c>
      <c r="J155" s="647">
        <f>+G155*I155</f>
        <v>89710.372812770351</v>
      </c>
      <c r="K155" s="8"/>
      <c r="L155" s="8"/>
      <c r="M155" s="8"/>
      <c r="N155" s="8"/>
      <c r="O155" s="8"/>
      <c r="P155" s="8"/>
      <c r="Q155" s="8"/>
    </row>
    <row r="156" spans="1:17" x14ac:dyDescent="0.2">
      <c r="C156" s="621"/>
      <c r="D156" s="543" t="s">
        <v>211</v>
      </c>
      <c r="E156" s="643"/>
      <c r="F156" s="662"/>
      <c r="G156" s="662"/>
      <c r="J156" s="630">
        <f>SBR!BL39</f>
        <v>26.69</v>
      </c>
      <c r="K156" s="43"/>
      <c r="L156" s="43"/>
      <c r="M156" s="43"/>
      <c r="O156" s="8"/>
      <c r="P156" s="8"/>
      <c r="Q156" s="8"/>
    </row>
    <row r="157" spans="1:17" x14ac:dyDescent="0.2">
      <c r="C157" s="621"/>
      <c r="D157" s="755" t="s">
        <v>683</v>
      </c>
      <c r="E157" s="643"/>
      <c r="F157" s="662"/>
      <c r="G157" s="662"/>
      <c r="J157" s="756">
        <f>SBR!F37+SBR!F38</f>
        <v>0</v>
      </c>
      <c r="K157" s="8"/>
      <c r="L157" s="8"/>
      <c r="M157" s="8"/>
      <c r="N157" s="37"/>
      <c r="O157" s="8"/>
      <c r="P157" s="8"/>
      <c r="Q157" s="8"/>
    </row>
    <row r="158" spans="1:17" x14ac:dyDescent="0.2">
      <c r="D158" s="624" t="s">
        <v>290</v>
      </c>
      <c r="E158" s="624"/>
      <c r="F158" s="613"/>
      <c r="G158" s="638"/>
      <c r="J158" s="635">
        <f>SUM(J154:J157)</f>
        <v>105737.06281277035</v>
      </c>
      <c r="K158" s="8"/>
      <c r="L158" s="8"/>
      <c r="M158" s="8"/>
      <c r="N158" s="37"/>
      <c r="O158" s="8"/>
      <c r="P158" s="8"/>
      <c r="Q158" s="8"/>
    </row>
    <row r="159" spans="1:17" x14ac:dyDescent="0.2">
      <c r="C159" s="650"/>
      <c r="D159" s="57"/>
      <c r="H159" s="57"/>
      <c r="I159" s="57"/>
      <c r="K159" s="8"/>
      <c r="L159" s="8"/>
      <c r="M159" s="8"/>
      <c r="N159" s="8"/>
      <c r="O159" s="8"/>
      <c r="P159" s="8"/>
      <c r="Q159" s="8"/>
    </row>
    <row r="160" spans="1:17" x14ac:dyDescent="0.2">
      <c r="D160" s="624" t="s">
        <v>538</v>
      </c>
      <c r="H160" s="650" t="s">
        <v>680</v>
      </c>
      <c r="I160" s="637">
        <f>'Revenue Summary B'!O21</f>
        <v>0.99999993660516928</v>
      </c>
      <c r="J160" s="635">
        <f>J158/I160</f>
        <v>105737.06951595398</v>
      </c>
      <c r="K160" s="8"/>
      <c r="L160" s="8"/>
      <c r="M160" s="8"/>
      <c r="N160" s="8"/>
      <c r="O160" s="8"/>
      <c r="P160" s="8"/>
      <c r="Q160" s="8"/>
    </row>
    <row r="161" spans="1:17" x14ac:dyDescent="0.2">
      <c r="C161" s="633"/>
      <c r="J161" s="651"/>
      <c r="K161" s="8"/>
      <c r="L161" s="8"/>
      <c r="M161" s="8"/>
      <c r="N161" s="8"/>
      <c r="O161" s="8"/>
      <c r="P161" s="8"/>
      <c r="Q161" s="8"/>
    </row>
    <row r="162" spans="1:17" x14ac:dyDescent="0.2">
      <c r="C162" s="633" t="s">
        <v>804</v>
      </c>
      <c r="J162" s="651"/>
      <c r="K162" s="8"/>
      <c r="L162" s="8"/>
      <c r="M162" s="8"/>
      <c r="N162" s="8"/>
      <c r="O162" s="8"/>
      <c r="P162" s="8"/>
      <c r="Q162" s="8"/>
    </row>
    <row r="163" spans="1:17" x14ac:dyDescent="0.2">
      <c r="A163" s="57" t="s">
        <v>445</v>
      </c>
      <c r="C163" s="633"/>
      <c r="D163" s="542" t="s">
        <v>371</v>
      </c>
      <c r="F163" s="233">
        <f>SUMIF('12-MO Billed Summary ALL'!$C$26:$C$42,$A$163,'12-MO Billed Summary ALL'!$G$26:$G$42)</f>
        <v>12</v>
      </c>
      <c r="I163" s="629">
        <f>VLOOKUP($A$163,'Retail Rates'!$C$7:$P$40,5,FALSE)</f>
        <v>550</v>
      </c>
      <c r="J163" s="651">
        <f>F163*I163</f>
        <v>6600</v>
      </c>
      <c r="K163" s="8"/>
      <c r="L163" s="8"/>
      <c r="M163" s="8"/>
      <c r="N163" s="37"/>
      <c r="O163" s="8"/>
      <c r="P163" s="8"/>
      <c r="Q163" s="8"/>
    </row>
    <row r="164" spans="1:17" x14ac:dyDescent="0.2">
      <c r="C164" s="633"/>
      <c r="D164" s="796" t="s">
        <v>775</v>
      </c>
      <c r="I164" s="629"/>
      <c r="J164" s="651"/>
      <c r="K164" s="8"/>
      <c r="L164" s="8"/>
      <c r="M164" s="8"/>
      <c r="N164" s="37"/>
      <c r="O164" s="8"/>
      <c r="P164" s="8"/>
      <c r="Q164" s="8"/>
    </row>
    <row r="165" spans="1:17" x14ac:dyDescent="0.2">
      <c r="C165" s="633"/>
      <c r="D165" s="542" t="s">
        <v>289</v>
      </c>
      <c r="F165" s="627">
        <f>F163</f>
        <v>12</v>
      </c>
      <c r="I165" s="629">
        <f>VLOOKUP("AAGS",'Retail Rates'!$C$7:$P$40,3,FALSE)</f>
        <v>500</v>
      </c>
      <c r="J165" s="647">
        <f>+F165*I165</f>
        <v>6000</v>
      </c>
      <c r="K165" s="8"/>
      <c r="L165" s="8"/>
      <c r="M165" s="8"/>
      <c r="N165" s="37"/>
      <c r="O165" s="8"/>
      <c r="P165" s="8"/>
      <c r="Q165" s="8"/>
    </row>
    <row r="166" spans="1:17" x14ac:dyDescent="0.2">
      <c r="C166" s="633"/>
      <c r="D166" s="543" t="s">
        <v>1</v>
      </c>
      <c r="G166" s="627">
        <f>SUMIF('12-MO Billed Summary ALL'!$C$26:$C$42,$A$163,'12-MO Billed Summary ALL'!$N$26:$N$42)</f>
        <v>132040.22500000001</v>
      </c>
      <c r="I166" s="663">
        <f>I155</f>
        <v>1.0644</v>
      </c>
      <c r="J166" s="651">
        <f>G166*I166</f>
        <v>140543.61549</v>
      </c>
      <c r="K166" s="8"/>
      <c r="L166" s="8"/>
      <c r="M166" s="8"/>
      <c r="N166" s="37"/>
      <c r="O166" s="8"/>
      <c r="P166" s="8"/>
      <c r="Q166" s="8"/>
    </row>
    <row r="167" spans="1:17" x14ac:dyDescent="0.2">
      <c r="C167" s="633"/>
      <c r="D167" s="755" t="s">
        <v>211</v>
      </c>
      <c r="J167" s="764">
        <f>SUM(SBR!BL65:BL69)</f>
        <v>4245.3538707776806</v>
      </c>
      <c r="K167" s="8"/>
      <c r="L167" s="8"/>
      <c r="M167" s="8"/>
      <c r="N167" s="8"/>
      <c r="O167" s="8"/>
      <c r="P167" s="8"/>
      <c r="Q167" s="8"/>
    </row>
    <row r="168" spans="1:17" x14ac:dyDescent="0.2">
      <c r="C168" s="633"/>
      <c r="D168" s="633" t="s">
        <v>290</v>
      </c>
      <c r="J168" s="635">
        <f>SUM(J163:J167)</f>
        <v>157388.96936077767</v>
      </c>
      <c r="K168" s="37"/>
      <c r="L168" s="8"/>
      <c r="M168" s="8"/>
      <c r="N168" s="8"/>
      <c r="O168" s="8"/>
      <c r="P168" s="8"/>
      <c r="Q168" s="8"/>
    </row>
    <row r="169" spans="1:17" x14ac:dyDescent="0.2">
      <c r="C169" s="57"/>
      <c r="K169" s="8"/>
      <c r="L169" s="8"/>
      <c r="M169" s="8"/>
      <c r="N169" s="8"/>
      <c r="O169" s="8"/>
      <c r="P169" s="8"/>
      <c r="Q169" s="8"/>
    </row>
    <row r="170" spans="1:17" x14ac:dyDescent="0.2">
      <c r="C170" s="633"/>
      <c r="D170" s="624" t="s">
        <v>538</v>
      </c>
      <c r="H170" s="656" t="s">
        <v>293</v>
      </c>
      <c r="I170" s="664">
        <f>'Revenue Summary B'!O22</f>
        <v>1.0000000072105901</v>
      </c>
      <c r="J170" s="635">
        <f>I170*J168</f>
        <v>157388.97049564502</v>
      </c>
      <c r="K170" s="8"/>
      <c r="L170" s="8"/>
      <c r="M170" s="8"/>
      <c r="N170" s="8"/>
      <c r="O170" s="8"/>
      <c r="P170" s="8"/>
      <c r="Q170" s="8"/>
    </row>
    <row r="171" spans="1:17" x14ac:dyDescent="0.2">
      <c r="C171" s="57"/>
      <c r="J171" s="651"/>
      <c r="K171" s="8"/>
      <c r="L171" s="8"/>
      <c r="M171" s="8"/>
      <c r="N171" s="8"/>
      <c r="O171" s="8"/>
      <c r="P171" s="8"/>
      <c r="Q171" s="8"/>
    </row>
    <row r="172" spans="1:17" x14ac:dyDescent="0.2">
      <c r="D172" s="543" t="s">
        <v>316</v>
      </c>
      <c r="F172" s="638"/>
      <c r="G172" s="638"/>
      <c r="I172" s="639"/>
      <c r="J172" s="630">
        <f>SUMIF('12-MO Billed Summary ALL'!$C$8:$C$22,$A$155,'12-MO Billed Summary ALL'!$AK$8:$AK$22)+SUMIF('12-MO Billed Summary ALL'!$C$8:$C$22,$A$155,'12-MO Billed Summary ALL'!$AL$8:$AL$22)+SUMIF('12-MO Billed Summary ALL'!$C$33:$C$37,$A$163,'12-MO Billed Summary ALL'!$AK$33:$AK$37)+SUMIF('12-MO Billed Summary ALL'!$C$33:$C$37,$A$163,'12-MO Billed Summary ALL'!$AL$33:$AL$37)</f>
        <v>31847.921537671231</v>
      </c>
      <c r="K172" s="654"/>
      <c r="L172" s="37"/>
      <c r="M172" s="8"/>
      <c r="N172" s="8"/>
      <c r="O172" s="8"/>
      <c r="P172" s="8"/>
      <c r="Q172" s="8"/>
    </row>
    <row r="173" spans="1:17" x14ac:dyDescent="0.2">
      <c r="D173" s="631" t="s">
        <v>400</v>
      </c>
      <c r="G173" s="638"/>
      <c r="I173" s="639"/>
      <c r="J173" s="630">
        <f>SUMIF('12-MO Billed Summary ALL'!$C$8:$C$22,$A$155,'12-MO Billed Summary ALL'!$AI$8:$AI$22)+SUMIF('12-MO Billed Summary ALL'!$C$33:$C$37,$A$163,'12-MO Billed Summary ALL'!$AI$33:$AI$37)</f>
        <v>325811.07219336601</v>
      </c>
      <c r="K173" s="654"/>
      <c r="L173" s="37"/>
      <c r="M173" s="8"/>
      <c r="N173" s="8"/>
      <c r="O173" s="8"/>
      <c r="P173" s="8"/>
      <c r="Q173" s="8"/>
    </row>
    <row r="174" spans="1:17" x14ac:dyDescent="0.2">
      <c r="D174" s="543" t="s">
        <v>401</v>
      </c>
      <c r="E174" s="57"/>
      <c r="F174" s="7"/>
      <c r="G174" s="7"/>
      <c r="H174" s="7"/>
      <c r="I174" s="57"/>
      <c r="J174" s="630">
        <f>SUMIF('12-MO Billed Summary ALL'!$C$8:$C$22,$A$155,'12-MO Billed Summary ALL'!$AH$8:$AH$22)+SUMIF('12-MO Billed Summary ALL'!$C$33:$C$37,$A$163,'12-MO Billed Summary ALL'!$AH$33:$AH$37)</f>
        <v>2503.9626545083433</v>
      </c>
      <c r="K174" s="654"/>
      <c r="L174" s="37"/>
      <c r="M174" s="8"/>
      <c r="N174" s="8"/>
      <c r="O174" s="8"/>
      <c r="P174" s="8"/>
      <c r="Q174" s="8"/>
    </row>
    <row r="175" spans="1:17" x14ac:dyDescent="0.2">
      <c r="D175" s="631" t="s">
        <v>402</v>
      </c>
      <c r="E175" s="57"/>
      <c r="F175" s="7"/>
      <c r="G175" s="7"/>
      <c r="H175" s="7"/>
      <c r="I175" s="57"/>
      <c r="J175" s="630">
        <f>SUMIF('12-MO Billed Summary ALL'!$C$8:$C$22,$A$155,'12-MO Billed Summary ALL'!$AJ$8:$AJ$22)</f>
        <v>0</v>
      </c>
      <c r="K175" s="654"/>
      <c r="L175" s="37"/>
      <c r="M175" s="8"/>
      <c r="N175" s="8"/>
      <c r="O175" s="8"/>
      <c r="P175" s="8"/>
      <c r="Q175" s="8"/>
    </row>
    <row r="176" spans="1:17" x14ac:dyDescent="0.2">
      <c r="D176" s="543" t="s">
        <v>650</v>
      </c>
      <c r="E176" s="57"/>
      <c r="F176" s="7"/>
      <c r="G176" s="7"/>
      <c r="H176" s="7"/>
      <c r="I176" s="57"/>
      <c r="J176" s="630">
        <f>SUMIF('12-MO Billed Summary ALL'!$C$8:$C$22,$A$155,'12-MO Billed Summary ALL'!$AG$8:$AG$22)+SUMIF('12-MO Billed Summary ALL'!$C$33:$C$37,$A$163,'12-MO Billed Summary ALL'!$AG$33:$AG$37)</f>
        <v>0</v>
      </c>
      <c r="K176" s="654"/>
      <c r="L176" s="37"/>
      <c r="M176" s="8"/>
      <c r="N176" s="8"/>
      <c r="O176" s="8"/>
      <c r="P176" s="8"/>
      <c r="Q176" s="8"/>
    </row>
    <row r="177" spans="1:17" x14ac:dyDescent="0.2">
      <c r="E177" s="57"/>
      <c r="F177" s="7"/>
      <c r="G177" s="7"/>
      <c r="H177" s="7"/>
      <c r="I177" s="57"/>
      <c r="J177" s="630"/>
      <c r="K177" s="654"/>
      <c r="L177" s="37"/>
      <c r="M177" s="8"/>
      <c r="N177" s="8"/>
      <c r="O177" s="8"/>
      <c r="P177" s="8"/>
      <c r="Q177" s="8"/>
    </row>
    <row r="178" spans="1:17" x14ac:dyDescent="0.2">
      <c r="C178" s="624" t="s">
        <v>539</v>
      </c>
      <c r="G178" s="627"/>
      <c r="J178" s="635"/>
      <c r="K178" s="274"/>
      <c r="L178" s="37"/>
      <c r="M178" s="8"/>
      <c r="N178" s="8"/>
      <c r="O178" s="8"/>
      <c r="P178" s="8"/>
      <c r="Q178" s="8"/>
    </row>
    <row r="179" spans="1:17" x14ac:dyDescent="0.2">
      <c r="A179" s="57" t="s">
        <v>449</v>
      </c>
      <c r="C179" s="624"/>
      <c r="D179" s="543" t="s">
        <v>540</v>
      </c>
      <c r="F179" s="878">
        <v>0</v>
      </c>
      <c r="G179" s="627"/>
      <c r="I179" s="540">
        <f>VLOOKUP($A$135,'Retail Rates'!$C$7:$P$40,6,FALSE)</f>
        <v>75</v>
      </c>
      <c r="J179" s="647">
        <f>F179*I179</f>
        <v>0</v>
      </c>
      <c r="K179" s="274"/>
      <c r="L179" s="37"/>
      <c r="M179" s="8"/>
      <c r="N179" s="8"/>
      <c r="O179" s="8"/>
      <c r="P179" s="8"/>
      <c r="Q179" s="8"/>
    </row>
    <row r="180" spans="1:17" x14ac:dyDescent="0.2">
      <c r="E180" s="57"/>
      <c r="F180" s="7"/>
      <c r="G180" s="7"/>
      <c r="H180" s="7"/>
      <c r="I180" s="57"/>
      <c r="J180" s="630"/>
      <c r="K180" s="654"/>
      <c r="L180" s="37"/>
      <c r="M180" s="8"/>
      <c r="N180" s="8"/>
      <c r="O180" s="8"/>
      <c r="P180" s="8"/>
      <c r="Q180" s="8"/>
    </row>
    <row r="181" spans="1:17" x14ac:dyDescent="0.2">
      <c r="E181" s="57"/>
      <c r="F181" s="7"/>
      <c r="G181" s="7"/>
      <c r="H181" s="7"/>
      <c r="I181" s="57"/>
      <c r="J181" s="630"/>
      <c r="K181" s="654"/>
      <c r="L181" s="37"/>
      <c r="M181" s="8"/>
      <c r="N181" s="8"/>
      <c r="O181" s="8"/>
      <c r="P181" s="8"/>
      <c r="Q181" s="8"/>
    </row>
    <row r="182" spans="1:17" ht="13.5" thickBot="1" x14ac:dyDescent="0.25">
      <c r="C182" s="57"/>
      <c r="D182" s="624" t="s">
        <v>150</v>
      </c>
      <c r="G182" s="638"/>
      <c r="J182" s="652">
        <f>J160+J170+SUM(J172:J176)+J179</f>
        <v>623288.99639714463</v>
      </c>
      <c r="K182" s="274"/>
      <c r="L182" s="37"/>
      <c r="M182" s="8"/>
      <c r="N182" s="8"/>
      <c r="O182" s="8"/>
      <c r="P182" s="8"/>
      <c r="Q182" s="8"/>
    </row>
    <row r="183" spans="1:17" ht="13.5" thickTop="1" x14ac:dyDescent="0.2">
      <c r="C183" s="57"/>
      <c r="D183" s="624"/>
      <c r="G183" s="638"/>
      <c r="J183" s="635"/>
      <c r="K183" s="274"/>
      <c r="L183" s="37"/>
      <c r="M183" s="8"/>
      <c r="N183" s="8"/>
      <c r="O183" s="8"/>
      <c r="P183" s="8"/>
      <c r="Q183" s="8"/>
    </row>
    <row r="184" spans="1:17" x14ac:dyDescent="0.2">
      <c r="C184" s="57"/>
      <c r="D184" s="624"/>
      <c r="G184" s="638"/>
      <c r="J184" s="635"/>
      <c r="K184" s="274"/>
      <c r="L184" s="37"/>
      <c r="M184" s="8"/>
      <c r="N184" s="8"/>
      <c r="O184" s="8"/>
      <c r="P184" s="8"/>
      <c r="Q184" s="8"/>
    </row>
    <row r="185" spans="1:17" x14ac:dyDescent="0.2">
      <c r="C185" s="590" t="s">
        <v>397</v>
      </c>
      <c r="D185" s="593"/>
      <c r="E185" s="593"/>
      <c r="F185" s="605"/>
      <c r="G185" s="605"/>
      <c r="H185" s="605"/>
      <c r="I185" s="593"/>
      <c r="J185" s="592" t="s">
        <v>424</v>
      </c>
      <c r="K185" s="8"/>
      <c r="L185" s="8"/>
      <c r="M185" s="8"/>
      <c r="N185" s="8"/>
      <c r="O185" s="8"/>
      <c r="P185" s="8"/>
      <c r="Q185" s="8"/>
    </row>
    <row r="186" spans="1:17" x14ac:dyDescent="0.2">
      <c r="C186" s="595" t="s">
        <v>398</v>
      </c>
      <c r="D186" s="593"/>
      <c r="E186" s="593"/>
      <c r="F186" s="605"/>
      <c r="G186" s="605"/>
      <c r="H186" s="605"/>
      <c r="I186" s="593"/>
      <c r="J186" s="606" t="s">
        <v>498</v>
      </c>
      <c r="K186" s="8"/>
      <c r="L186" s="8"/>
      <c r="M186" s="8"/>
      <c r="N186" s="8"/>
      <c r="O186" s="8"/>
      <c r="P186" s="8"/>
      <c r="Q186" s="8"/>
    </row>
    <row r="187" spans="1:17" x14ac:dyDescent="0.2">
      <c r="C187" s="595" t="s">
        <v>399</v>
      </c>
      <c r="D187" s="593"/>
      <c r="E187" s="593"/>
      <c r="F187" s="605"/>
      <c r="G187" s="605"/>
      <c r="H187" s="605"/>
      <c r="I187" s="593"/>
      <c r="J187" s="606" t="s">
        <v>762</v>
      </c>
      <c r="K187" s="8"/>
      <c r="L187" s="8"/>
      <c r="M187" s="8"/>
      <c r="N187" s="8"/>
      <c r="O187" s="8"/>
      <c r="P187" s="8"/>
      <c r="Q187" s="8"/>
    </row>
    <row r="188" spans="1:17" x14ac:dyDescent="0.2">
      <c r="C188" s="597"/>
      <c r="D188" s="607"/>
      <c r="E188" s="608"/>
      <c r="F188" s="609"/>
      <c r="G188" s="610"/>
      <c r="H188" s="610"/>
      <c r="I188" s="611"/>
      <c r="J188" s="611"/>
      <c r="K188" s="8"/>
      <c r="L188" s="8"/>
      <c r="M188" s="8"/>
      <c r="N188" s="8"/>
      <c r="O188" s="8"/>
      <c r="P188" s="8"/>
      <c r="Q188" s="8"/>
    </row>
    <row r="189" spans="1:17" x14ac:dyDescent="0.2">
      <c r="K189" s="8"/>
      <c r="L189" s="8"/>
      <c r="M189" s="8"/>
      <c r="N189" s="8"/>
      <c r="O189" s="8"/>
      <c r="P189" s="8"/>
      <c r="Q189" s="8"/>
    </row>
    <row r="190" spans="1:17" x14ac:dyDescent="0.2">
      <c r="I190" s="233"/>
      <c r="J190" s="613" t="s">
        <v>185</v>
      </c>
      <c r="K190" s="8"/>
      <c r="L190" s="8"/>
      <c r="M190" s="8"/>
      <c r="N190" s="8"/>
      <c r="O190" s="8"/>
      <c r="P190" s="8"/>
      <c r="Q190" s="8"/>
    </row>
    <row r="191" spans="1:17" x14ac:dyDescent="0.2">
      <c r="I191" s="233"/>
      <c r="J191" s="613" t="s">
        <v>83</v>
      </c>
      <c r="K191" s="8"/>
      <c r="L191" s="8"/>
      <c r="M191" s="8"/>
      <c r="N191" s="8"/>
      <c r="O191" s="8"/>
      <c r="P191" s="8"/>
      <c r="Q191" s="8"/>
    </row>
    <row r="192" spans="1:17" x14ac:dyDescent="0.2">
      <c r="F192" s="614"/>
      <c r="G192" s="616"/>
      <c r="H192" s="616"/>
      <c r="I192" s="613" t="s">
        <v>301</v>
      </c>
      <c r="J192" s="617" t="s">
        <v>1107</v>
      </c>
      <c r="K192" s="8"/>
      <c r="L192" s="8"/>
      <c r="M192" s="8"/>
      <c r="N192" s="8"/>
      <c r="O192" s="8"/>
      <c r="P192" s="8"/>
      <c r="Q192" s="8"/>
    </row>
    <row r="193" spans="1:17" ht="13.5" thickBot="1" x14ac:dyDescent="0.25">
      <c r="C193" s="618" t="s">
        <v>87</v>
      </c>
      <c r="D193" s="618"/>
      <c r="E193" s="618"/>
      <c r="F193" s="619" t="s">
        <v>420</v>
      </c>
      <c r="G193" s="620" t="s">
        <v>82</v>
      </c>
      <c r="H193" s="620"/>
      <c r="I193" s="619" t="s">
        <v>212</v>
      </c>
      <c r="J193" s="619" t="s">
        <v>212</v>
      </c>
      <c r="K193" s="8"/>
      <c r="L193" s="8"/>
      <c r="M193" s="8"/>
      <c r="N193" s="8"/>
      <c r="O193" s="8"/>
      <c r="P193" s="8"/>
      <c r="Q193" s="8"/>
    </row>
    <row r="194" spans="1:17" x14ac:dyDescent="0.2">
      <c r="K194" s="8"/>
      <c r="L194" s="8"/>
      <c r="M194" s="8"/>
      <c r="N194" s="8"/>
      <c r="O194" s="8"/>
      <c r="P194" s="8"/>
      <c r="Q194" s="8"/>
    </row>
    <row r="195" spans="1:17" x14ac:dyDescent="0.2">
      <c r="C195" s="623" t="s">
        <v>220</v>
      </c>
      <c r="K195" s="8"/>
      <c r="L195" s="8"/>
      <c r="M195" s="8"/>
      <c r="N195" s="8"/>
      <c r="O195" s="8"/>
      <c r="P195" s="8"/>
      <c r="Q195" s="8"/>
    </row>
    <row r="196" spans="1:17" x14ac:dyDescent="0.2">
      <c r="K196" s="8"/>
      <c r="L196" s="8"/>
      <c r="M196" s="8"/>
      <c r="N196" s="8"/>
      <c r="O196" s="8"/>
      <c r="P196" s="8"/>
      <c r="Q196" s="8"/>
    </row>
    <row r="197" spans="1:17" x14ac:dyDescent="0.2">
      <c r="A197" s="57" t="s">
        <v>610</v>
      </c>
      <c r="C197" s="624" t="s">
        <v>755</v>
      </c>
      <c r="K197" s="8"/>
      <c r="L197" s="8"/>
      <c r="M197" s="8"/>
      <c r="N197" s="8"/>
      <c r="O197" s="8"/>
      <c r="P197" s="8"/>
      <c r="Q197" s="8"/>
    </row>
    <row r="198" spans="1:17" x14ac:dyDescent="0.2">
      <c r="A198" s="57" t="s">
        <v>60</v>
      </c>
      <c r="C198" s="643"/>
      <c r="D198" s="543" t="s">
        <v>218</v>
      </c>
      <c r="E198" s="643"/>
      <c r="F198" s="665">
        <f>SUMIF('12-MO Billed Summary ALL'!$C$26:$C$42,$A$197,'12-MO Billed Summary ALL'!$G$26:$G$42)</f>
        <v>942</v>
      </c>
      <c r="G198" s="662"/>
      <c r="I198" s="629">
        <f>VLOOKUP($A$198,'Retail Rates'!$C$7:$P$40,5,FALSE)</f>
        <v>550</v>
      </c>
      <c r="J198" s="647">
        <f>(+F198*I198)</f>
        <v>518100</v>
      </c>
      <c r="K198" s="8"/>
      <c r="L198" s="654"/>
      <c r="M198" s="8"/>
      <c r="N198" s="8"/>
      <c r="O198" s="8"/>
      <c r="P198" s="8"/>
      <c r="Q198" s="8"/>
    </row>
    <row r="199" spans="1:17" x14ac:dyDescent="0.2">
      <c r="C199" s="643"/>
      <c r="D199" s="796" t="s">
        <v>779</v>
      </c>
      <c r="E199" s="643"/>
      <c r="F199" s="665"/>
      <c r="G199" s="662"/>
      <c r="I199" s="629"/>
      <c r="J199" s="647"/>
      <c r="K199" s="8"/>
      <c r="L199" s="654"/>
      <c r="M199" s="8"/>
      <c r="N199" s="8"/>
      <c r="O199" s="8"/>
      <c r="P199" s="8"/>
      <c r="Q199" s="8"/>
    </row>
    <row r="200" spans="1:17" x14ac:dyDescent="0.2">
      <c r="C200" s="643"/>
      <c r="D200" s="543" t="s">
        <v>289</v>
      </c>
      <c r="E200" s="643"/>
      <c r="F200" s="665">
        <f>SBR!C78</f>
        <v>942</v>
      </c>
      <c r="G200" s="662"/>
      <c r="I200" s="865">
        <f>VLOOKUP($A$198,'Retail Rates'!$C$7:$P$40,4,FALSE)</f>
        <v>750</v>
      </c>
      <c r="J200" s="647">
        <f>(F200*I200)</f>
        <v>706500</v>
      </c>
      <c r="K200" s="8"/>
      <c r="L200" s="654"/>
      <c r="M200" s="8"/>
      <c r="N200" s="8"/>
      <c r="O200" s="8"/>
      <c r="P200" s="8"/>
      <c r="Q200" s="8"/>
    </row>
    <row r="201" spans="1:17" x14ac:dyDescent="0.2">
      <c r="D201" s="543" t="s">
        <v>214</v>
      </c>
      <c r="G201" s="666">
        <f>SUMIF('12-MO Billed Summary ALL'!$C$26:$C$42,$A$197,'12-MO Billed Summary ALL'!$N$26:$N$42)</f>
        <v>12152434.154115342</v>
      </c>
      <c r="I201" s="632">
        <f>VLOOKUP($A$198,'Retail Rates'!$C$7:$P$40,9,FALSE)</f>
        <v>3.7999999999999999E-2</v>
      </c>
      <c r="J201" s="647">
        <f>+G201*I201</f>
        <v>461792.49785638298</v>
      </c>
      <c r="K201" s="8"/>
      <c r="L201" s="659"/>
      <c r="M201" s="659"/>
      <c r="N201" s="37"/>
      <c r="O201" s="8"/>
      <c r="P201" s="8"/>
      <c r="Q201" s="8"/>
    </row>
    <row r="202" spans="1:17" x14ac:dyDescent="0.2">
      <c r="D202" s="543" t="s">
        <v>168</v>
      </c>
      <c r="G202" s="666">
        <f>SUMIF('12-MO Billed Summary ALL'!$C$26:$C$42,$A$197,'12-MO Billed Summary ALL'!$P$26:$P$42)</f>
        <v>925912.43486658658</v>
      </c>
      <c r="I202" s="865">
        <f>VLOOKUP($A$198,'Retail Rates'!$C$7:$P$40,14,FALSE)</f>
        <v>4.8899999999999997</v>
      </c>
      <c r="J202" s="647">
        <f>G202*I202</f>
        <v>4527711.8064976083</v>
      </c>
      <c r="K202" s="8"/>
      <c r="L202" s="659"/>
      <c r="M202" s="659"/>
      <c r="N202" s="37"/>
      <c r="O202" s="8"/>
      <c r="P202" s="8"/>
      <c r="Q202" s="8"/>
    </row>
    <row r="203" spans="1:17" x14ac:dyDescent="0.2">
      <c r="D203" s="643" t="s">
        <v>1073</v>
      </c>
      <c r="E203" s="667"/>
      <c r="F203" s="668"/>
      <c r="G203" s="668"/>
      <c r="I203" s="639"/>
      <c r="J203" s="790">
        <f>SBR!BL78+'12-MO Billed Summary ALL'!S40+'12-MO Billed Summary ALL'!S41</f>
        <v>132492.44096937907</v>
      </c>
      <c r="K203" s="8"/>
      <c r="L203" s="659"/>
      <c r="M203" s="659"/>
      <c r="N203" s="37"/>
      <c r="O203" s="8"/>
      <c r="P203" s="8"/>
      <c r="Q203" s="8"/>
    </row>
    <row r="204" spans="1:17" x14ac:dyDescent="0.2">
      <c r="D204" s="227" t="s">
        <v>285</v>
      </c>
      <c r="E204" s="57"/>
      <c r="F204" s="57"/>
      <c r="G204" s="57"/>
      <c r="H204" s="57"/>
      <c r="I204" s="57"/>
      <c r="J204" s="763">
        <v>0</v>
      </c>
      <c r="K204" s="8"/>
      <c r="L204" s="8"/>
      <c r="M204" s="8"/>
      <c r="N204" s="8"/>
      <c r="O204" s="8"/>
      <c r="P204" s="8"/>
      <c r="Q204" s="8"/>
    </row>
    <row r="205" spans="1:17" x14ac:dyDescent="0.2">
      <c r="D205" s="624" t="s">
        <v>290</v>
      </c>
      <c r="J205" s="635">
        <f>SUM(J198:J204)</f>
        <v>6346596.7453233702</v>
      </c>
      <c r="K205" s="8"/>
      <c r="L205" s="8"/>
      <c r="M205" s="8"/>
      <c r="N205" s="8"/>
      <c r="O205" s="8"/>
      <c r="P205" s="8"/>
      <c r="Q205" s="8"/>
    </row>
    <row r="206" spans="1:17" x14ac:dyDescent="0.2">
      <c r="C206" s="650"/>
      <c r="D206" s="57"/>
      <c r="J206" s="57"/>
      <c r="K206" s="8"/>
      <c r="L206" s="8"/>
      <c r="M206" s="8"/>
      <c r="N206" s="8"/>
      <c r="O206" s="8"/>
      <c r="P206" s="8"/>
      <c r="Q206" s="8"/>
    </row>
    <row r="207" spans="1:17" x14ac:dyDescent="0.2">
      <c r="D207" s="624" t="s">
        <v>538</v>
      </c>
      <c r="H207" s="636" t="s">
        <v>680</v>
      </c>
      <c r="I207" s="637">
        <f>'Revenue Summary B'!O26</f>
        <v>0.99999999832338538</v>
      </c>
      <c r="J207" s="635">
        <f>J205*I207</f>
        <v>6346596.734682573</v>
      </c>
      <c r="K207" s="37"/>
      <c r="L207" s="37"/>
      <c r="M207" s="8"/>
      <c r="N207" s="8"/>
      <c r="O207" s="8"/>
      <c r="P207" s="8"/>
      <c r="Q207" s="8"/>
    </row>
    <row r="208" spans="1:17" x14ac:dyDescent="0.2">
      <c r="J208" s="635"/>
      <c r="K208" s="8"/>
      <c r="L208" s="8"/>
      <c r="M208" s="8"/>
      <c r="N208" s="8"/>
      <c r="O208" s="8"/>
      <c r="P208" s="8"/>
      <c r="Q208" s="8"/>
    </row>
    <row r="209" spans="1:17" x14ac:dyDescent="0.2">
      <c r="C209" s="633"/>
      <c r="D209" s="543" t="s">
        <v>316</v>
      </c>
      <c r="J209" s="647">
        <f>SUMIF('12-MO Billed Summary ALL'!$C$26:$C$42,$A$197,'12-MO Billed Summary ALL'!$AL$26:$AL$42)</f>
        <v>115954.00046680489</v>
      </c>
      <c r="K209" s="654"/>
      <c r="L209" s="654"/>
      <c r="M209" s="8"/>
      <c r="N209" s="8"/>
      <c r="O209" s="8"/>
      <c r="P209" s="8"/>
      <c r="Q209" s="8"/>
    </row>
    <row r="210" spans="1:17" x14ac:dyDescent="0.2">
      <c r="D210" s="631" t="s">
        <v>400</v>
      </c>
      <c r="J210" s="647">
        <f>SUMIF('12-MO Billed Summary ALL'!$C$26:$C$42,$A$197,'12-MO Billed Summary ALL'!$AI$26:$AI$42)</f>
        <v>12865.17</v>
      </c>
      <c r="K210" s="654"/>
      <c r="L210" s="654"/>
      <c r="M210" s="8"/>
      <c r="N210" s="8"/>
      <c r="O210" s="8"/>
      <c r="P210" s="8"/>
      <c r="Q210" s="8"/>
    </row>
    <row r="211" spans="1:17" x14ac:dyDescent="0.2">
      <c r="D211" s="543" t="s">
        <v>401</v>
      </c>
      <c r="J211" s="647">
        <f>SUMIF('12-MO Billed Summary ALL'!$C$26:$C$42,$A$197,'12-MO Billed Summary ALL'!$AH$26:$AH$42)</f>
        <v>2677.8199999999997</v>
      </c>
      <c r="K211" s="654"/>
      <c r="L211" s="654"/>
      <c r="M211" s="8"/>
      <c r="N211" s="8"/>
      <c r="O211" s="8"/>
      <c r="P211" s="8"/>
      <c r="Q211" s="8"/>
    </row>
    <row r="212" spans="1:17" x14ac:dyDescent="0.2">
      <c r="D212" s="631" t="s">
        <v>402</v>
      </c>
      <c r="J212" s="647">
        <f>SUMIF('12-MO Billed Summary ALL'!$C$26:$C$42,$A$197,'12-MO Billed Summary ALL'!$AJ$26:$AJ$42)</f>
        <v>0</v>
      </c>
      <c r="K212" s="654"/>
      <c r="L212" s="654"/>
      <c r="M212" s="8"/>
      <c r="N212" s="8"/>
      <c r="O212" s="8"/>
      <c r="P212" s="8"/>
      <c r="Q212" s="8"/>
    </row>
    <row r="213" spans="1:17" x14ac:dyDescent="0.2">
      <c r="D213" s="543" t="s">
        <v>650</v>
      </c>
      <c r="J213" s="647">
        <f>SUMIF('12-MO Billed Summary ALL'!$C$26:$C$42,$A$197,'12-MO Billed Summary ALL'!$AG$26:$AG$42)</f>
        <v>0</v>
      </c>
      <c r="K213" s="654"/>
      <c r="L213" s="654"/>
      <c r="M213" s="8"/>
      <c r="N213" s="8"/>
      <c r="O213" s="8"/>
      <c r="P213" s="8"/>
      <c r="Q213" s="8"/>
    </row>
    <row r="214" spans="1:17" x14ac:dyDescent="0.2">
      <c r="J214" s="647"/>
      <c r="K214" s="654"/>
      <c r="L214" s="654"/>
      <c r="M214" s="8"/>
      <c r="N214" s="8"/>
      <c r="O214" s="8"/>
      <c r="P214" s="8"/>
      <c r="Q214" s="8"/>
    </row>
    <row r="215" spans="1:17" x14ac:dyDescent="0.2">
      <c r="C215" s="623" t="s">
        <v>221</v>
      </c>
      <c r="K215" s="8"/>
      <c r="L215" s="8"/>
      <c r="M215" s="8"/>
      <c r="N215" s="8"/>
      <c r="O215" s="8"/>
      <c r="P215" s="8"/>
      <c r="Q215" s="8"/>
    </row>
    <row r="216" spans="1:17" x14ac:dyDescent="0.2">
      <c r="C216" s="624" t="s">
        <v>222</v>
      </c>
      <c r="K216" s="8"/>
      <c r="L216" s="8"/>
      <c r="M216" s="8"/>
      <c r="N216" s="8"/>
      <c r="O216" s="8"/>
      <c r="P216" s="8"/>
      <c r="Q216" s="8"/>
    </row>
    <row r="217" spans="1:17" x14ac:dyDescent="0.2">
      <c r="A217" s="57" t="s">
        <v>548</v>
      </c>
      <c r="C217" s="643"/>
      <c r="D217" s="543" t="s">
        <v>540</v>
      </c>
      <c r="E217" s="643"/>
      <c r="F217" s="233">
        <f>SBR!C81+SBR!C82</f>
        <v>852</v>
      </c>
      <c r="G217" s="662"/>
      <c r="I217" s="540">
        <f>VLOOKUP($A$217,'Retail Rates'!$C$7:$P$40,6,FALSE)</f>
        <v>75</v>
      </c>
      <c r="J217" s="647">
        <f>+F217*I217</f>
        <v>63900</v>
      </c>
      <c r="K217" s="8"/>
      <c r="L217" s="8"/>
      <c r="M217" s="8"/>
      <c r="N217" s="8"/>
      <c r="O217" s="8"/>
      <c r="P217" s="8"/>
      <c r="Q217" s="8"/>
    </row>
    <row r="218" spans="1:17" x14ac:dyDescent="0.2">
      <c r="D218" s="755" t="s">
        <v>400</v>
      </c>
      <c r="G218" s="8"/>
      <c r="H218" s="8"/>
      <c r="J218" s="763">
        <f>'12-MO Billed Summary ALL'!AI42</f>
        <v>152306.57</v>
      </c>
      <c r="K218" s="8"/>
      <c r="L218" s="8"/>
      <c r="M218" s="8"/>
      <c r="N218" s="8"/>
      <c r="O218" s="8"/>
      <c r="P218" s="8"/>
      <c r="Q218" s="8"/>
    </row>
    <row r="219" spans="1:17" x14ac:dyDescent="0.2">
      <c r="D219" s="624" t="s">
        <v>290</v>
      </c>
      <c r="G219" s="8"/>
      <c r="H219" s="8"/>
      <c r="J219" s="635">
        <f>SUM(J217:J218)</f>
        <v>216206.57</v>
      </c>
      <c r="K219" s="37"/>
      <c r="L219" s="8"/>
      <c r="M219" s="8"/>
      <c r="N219" s="8"/>
      <c r="O219" s="8"/>
      <c r="P219" s="8"/>
      <c r="Q219" s="8"/>
    </row>
    <row r="220" spans="1:17" x14ac:dyDescent="0.2">
      <c r="J220" s="647"/>
      <c r="K220" s="654"/>
      <c r="L220" s="654"/>
      <c r="M220" s="8"/>
      <c r="N220" s="8"/>
      <c r="O220" s="8"/>
      <c r="P220" s="8"/>
      <c r="Q220" s="8"/>
    </row>
    <row r="221" spans="1:17" ht="13.5" thickBot="1" x14ac:dyDescent="0.25">
      <c r="D221" s="624" t="s">
        <v>151</v>
      </c>
      <c r="G221" s="638"/>
      <c r="J221" s="652">
        <f>J207+SUM(J209:J213)+J219</f>
        <v>6694300.2951493785</v>
      </c>
      <c r="K221" s="274"/>
      <c r="L221" s="37"/>
      <c r="M221" s="8"/>
      <c r="N221" s="8"/>
      <c r="O221" s="8"/>
      <c r="P221" s="8"/>
      <c r="Q221" s="8"/>
    </row>
    <row r="222" spans="1:17" ht="13.5" thickTop="1" x14ac:dyDescent="0.2">
      <c r="D222" s="624"/>
      <c r="G222" s="638"/>
      <c r="J222" s="635"/>
      <c r="K222" s="274"/>
      <c r="L222" s="37"/>
      <c r="M222" s="8"/>
      <c r="N222" s="8"/>
      <c r="O222" s="8"/>
      <c r="P222" s="8"/>
      <c r="Q222" s="8"/>
    </row>
    <row r="223" spans="1:17" x14ac:dyDescent="0.2">
      <c r="C223" s="542"/>
      <c r="J223" s="647"/>
      <c r="K223" s="8"/>
      <c r="L223" s="8"/>
      <c r="M223" s="8"/>
      <c r="N223" s="8"/>
      <c r="O223" s="8"/>
      <c r="P223" s="8"/>
      <c r="Q223" s="8"/>
    </row>
    <row r="224" spans="1:17" x14ac:dyDescent="0.2">
      <c r="C224" s="590" t="s">
        <v>397</v>
      </c>
      <c r="D224" s="593"/>
      <c r="E224" s="593"/>
      <c r="F224" s="605"/>
      <c r="G224" s="605"/>
      <c r="H224" s="605"/>
      <c r="I224" s="593"/>
      <c r="J224" s="592" t="s">
        <v>424</v>
      </c>
      <c r="K224" s="8"/>
      <c r="L224" s="8"/>
      <c r="M224" s="8"/>
      <c r="N224" s="8"/>
      <c r="O224" s="8"/>
      <c r="P224" s="8"/>
      <c r="Q224" s="8"/>
    </row>
    <row r="225" spans="1:17" x14ac:dyDescent="0.2">
      <c r="C225" s="595" t="s">
        <v>398</v>
      </c>
      <c r="D225" s="593"/>
      <c r="E225" s="593"/>
      <c r="F225" s="605"/>
      <c r="G225" s="605"/>
      <c r="H225" s="605"/>
      <c r="I225" s="593"/>
      <c r="J225" s="606" t="s">
        <v>498</v>
      </c>
      <c r="K225" s="8"/>
      <c r="L225" s="8"/>
      <c r="M225" s="8"/>
      <c r="N225" s="8"/>
      <c r="O225" s="8"/>
      <c r="P225" s="8"/>
      <c r="Q225" s="8"/>
    </row>
    <row r="226" spans="1:17" x14ac:dyDescent="0.2">
      <c r="C226" s="595" t="s">
        <v>399</v>
      </c>
      <c r="D226" s="593"/>
      <c r="E226" s="593"/>
      <c r="F226" s="605"/>
      <c r="G226" s="605"/>
      <c r="H226" s="605"/>
      <c r="I226" s="593"/>
      <c r="J226" s="606" t="s">
        <v>763</v>
      </c>
      <c r="K226" s="8"/>
      <c r="L226" s="8"/>
      <c r="M226" s="8"/>
      <c r="N226" s="8"/>
      <c r="O226" s="8"/>
      <c r="P226" s="8"/>
      <c r="Q226" s="8"/>
    </row>
    <row r="227" spans="1:17" x14ac:dyDescent="0.2">
      <c r="C227" s="597"/>
      <c r="D227" s="607"/>
      <c r="E227" s="608"/>
      <c r="F227" s="609"/>
      <c r="G227" s="610"/>
      <c r="H227" s="610"/>
      <c r="I227" s="611"/>
      <c r="J227" s="611"/>
      <c r="K227" s="8"/>
      <c r="L227" s="8"/>
      <c r="M227" s="8"/>
      <c r="N227" s="8"/>
      <c r="O227" s="8"/>
      <c r="P227" s="8"/>
      <c r="Q227" s="8"/>
    </row>
    <row r="228" spans="1:17" x14ac:dyDescent="0.2">
      <c r="K228" s="8"/>
      <c r="L228" s="8"/>
      <c r="M228" s="8"/>
      <c r="N228" s="8"/>
      <c r="O228" s="8"/>
      <c r="P228" s="8"/>
      <c r="Q228" s="8"/>
    </row>
    <row r="229" spans="1:17" x14ac:dyDescent="0.2">
      <c r="I229" s="233"/>
      <c r="J229" s="613" t="s">
        <v>185</v>
      </c>
      <c r="K229" s="8"/>
      <c r="L229" s="8"/>
      <c r="M229" s="8"/>
      <c r="N229" s="8"/>
      <c r="O229" s="8"/>
      <c r="P229" s="8"/>
      <c r="Q229" s="8"/>
    </row>
    <row r="230" spans="1:17" x14ac:dyDescent="0.2">
      <c r="I230" s="233"/>
      <c r="J230" s="613" t="s">
        <v>83</v>
      </c>
      <c r="K230" s="8"/>
      <c r="L230" s="8"/>
      <c r="M230" s="8"/>
      <c r="N230" s="8"/>
      <c r="O230" s="8"/>
      <c r="P230" s="8"/>
      <c r="Q230" s="8"/>
    </row>
    <row r="231" spans="1:17" x14ac:dyDescent="0.2">
      <c r="F231" s="614"/>
      <c r="G231" s="616"/>
      <c r="H231" s="616"/>
      <c r="I231" s="613" t="s">
        <v>301</v>
      </c>
      <c r="J231" s="617" t="s">
        <v>1107</v>
      </c>
      <c r="K231" s="8"/>
      <c r="L231" s="8"/>
      <c r="M231" s="8"/>
      <c r="N231" s="8"/>
      <c r="O231" s="8"/>
      <c r="P231" s="8"/>
      <c r="Q231" s="8"/>
    </row>
    <row r="232" spans="1:17" ht="13.5" thickBot="1" x14ac:dyDescent="0.25">
      <c r="C232" s="618" t="s">
        <v>87</v>
      </c>
      <c r="D232" s="618"/>
      <c r="E232" s="618"/>
      <c r="F232" s="619" t="s">
        <v>420</v>
      </c>
      <c r="G232" s="620" t="s">
        <v>82</v>
      </c>
      <c r="H232" s="620"/>
      <c r="I232" s="619" t="s">
        <v>212</v>
      </c>
      <c r="J232" s="619" t="s">
        <v>212</v>
      </c>
      <c r="K232" s="8"/>
      <c r="L232" s="8"/>
      <c r="M232" s="8"/>
      <c r="N232" s="8"/>
      <c r="O232" s="8"/>
      <c r="P232" s="8"/>
      <c r="Q232" s="8"/>
    </row>
    <row r="233" spans="1:17" x14ac:dyDescent="0.2">
      <c r="K233" s="8"/>
      <c r="L233" s="8"/>
      <c r="M233" s="8"/>
      <c r="N233" s="8"/>
      <c r="O233" s="8"/>
      <c r="P233" s="8"/>
      <c r="Q233" s="8"/>
    </row>
    <row r="234" spans="1:17" x14ac:dyDescent="0.2">
      <c r="C234" s="623" t="s">
        <v>253</v>
      </c>
      <c r="K234" s="8"/>
      <c r="L234" s="8"/>
      <c r="M234" s="8"/>
      <c r="N234" s="8"/>
      <c r="O234" s="8"/>
      <c r="P234" s="8"/>
      <c r="Q234" s="8"/>
    </row>
    <row r="235" spans="1:17" x14ac:dyDescent="0.2">
      <c r="C235" s="542"/>
      <c r="K235" s="8"/>
      <c r="L235" s="8"/>
      <c r="M235" s="8"/>
      <c r="N235" s="8"/>
      <c r="O235" s="8"/>
      <c r="P235" s="8"/>
      <c r="Q235" s="8"/>
    </row>
    <row r="236" spans="1:17" x14ac:dyDescent="0.2">
      <c r="C236" s="633" t="s">
        <v>297</v>
      </c>
      <c r="K236" s="8"/>
      <c r="L236" s="8"/>
      <c r="M236" s="8"/>
      <c r="N236" s="8"/>
      <c r="O236" s="8"/>
      <c r="P236" s="8"/>
      <c r="Q236" s="8"/>
    </row>
    <row r="237" spans="1:17" x14ac:dyDescent="0.2">
      <c r="C237" s="542"/>
      <c r="D237" s="792" t="s">
        <v>254</v>
      </c>
      <c r="F237" s="233">
        <f>SUMIF('12-MO Billed Summary ALL'!C26:C46,A238,'12-MO Billed Summary ALL'!G26:G46)</f>
        <v>12</v>
      </c>
      <c r="I237" s="865">
        <f>VLOOKUP($A$238,'Retail Rates'!$C$7:$P$40,3,FALSE)</f>
        <v>750</v>
      </c>
      <c r="J237" s="647">
        <f>+F237*I237</f>
        <v>9000</v>
      </c>
      <c r="K237" s="8"/>
      <c r="L237" s="8"/>
      <c r="M237" s="8"/>
      <c r="N237" s="8"/>
      <c r="O237" s="8"/>
      <c r="P237" s="8"/>
      <c r="Q237" s="8"/>
    </row>
    <row r="238" spans="1:17" x14ac:dyDescent="0.2">
      <c r="A238" s="670" t="s">
        <v>495</v>
      </c>
      <c r="C238" s="542"/>
      <c r="D238" s="543" t="s">
        <v>214</v>
      </c>
      <c r="G238" s="627">
        <f>SUMIF('12-MO Billed Summary ALL'!$C$8:$C$46,$A$238,'12-MO Billed Summary ALL'!$K$8:$K$46)/10</f>
        <v>257652.5</v>
      </c>
      <c r="H238" s="671"/>
      <c r="I238" s="632">
        <f>VLOOKUP($A$238,'Retail Rates'!$C$7:$P$40,9,FALSE)</f>
        <v>0.29920000000000002</v>
      </c>
      <c r="J238" s="647">
        <f>+G238*I238</f>
        <v>77089.628000000012</v>
      </c>
      <c r="K238" s="672"/>
      <c r="L238" s="8"/>
      <c r="M238" s="673"/>
      <c r="N238" s="8"/>
      <c r="O238" s="8"/>
      <c r="P238" s="8"/>
      <c r="Q238" s="8"/>
    </row>
    <row r="239" spans="1:17" x14ac:dyDescent="0.2">
      <c r="C239" s="542"/>
      <c r="D239" s="542" t="s">
        <v>168</v>
      </c>
      <c r="G239" s="627">
        <f>SUMIF('12-MO Billed Summary ALL'!$C$8:$C$46,$A$238,'12-MO Billed Summary ALL'!$M$8:$M$46)/10</f>
        <v>198720.00201875623</v>
      </c>
      <c r="H239" s="674"/>
      <c r="I239" s="675">
        <f>VLOOKUP($A$238,'Retail Rates'!$C$7:$P$40,14,FALSE)</f>
        <v>10.8978</v>
      </c>
      <c r="J239" s="676">
        <f>G239*I239</f>
        <v>2165610.8380000019</v>
      </c>
      <c r="K239" s="8"/>
      <c r="L239" s="8"/>
      <c r="M239" s="8"/>
      <c r="N239" s="8"/>
      <c r="O239" s="8"/>
      <c r="P239" s="8"/>
      <c r="Q239" s="8"/>
    </row>
    <row r="240" spans="1:17" x14ac:dyDescent="0.2">
      <c r="C240" s="542"/>
      <c r="D240" s="765" t="s">
        <v>211</v>
      </c>
      <c r="G240" s="677"/>
      <c r="H240" s="674"/>
      <c r="I240" s="675"/>
      <c r="J240" s="763">
        <f>SBR!BL50</f>
        <v>0</v>
      </c>
      <c r="K240" s="8"/>
      <c r="L240" s="8"/>
      <c r="M240" s="8"/>
      <c r="N240" s="8"/>
      <c r="O240" s="8"/>
      <c r="P240" s="8"/>
      <c r="Q240" s="8"/>
    </row>
    <row r="241" spans="3:17" x14ac:dyDescent="0.2">
      <c r="C241" s="542"/>
      <c r="D241" s="624" t="s">
        <v>298</v>
      </c>
      <c r="E241" s="624"/>
      <c r="F241" s="613"/>
      <c r="G241" s="678"/>
      <c r="H241" s="613"/>
      <c r="I241" s="624"/>
      <c r="J241" s="669">
        <f>SUM(J237:J240)</f>
        <v>2251700.4660000019</v>
      </c>
      <c r="K241" s="8"/>
      <c r="L241" s="8"/>
      <c r="M241" s="8"/>
      <c r="N241" s="8"/>
      <c r="O241" s="8"/>
      <c r="P241" s="8"/>
      <c r="Q241" s="8"/>
    </row>
    <row r="242" spans="3:17" x14ac:dyDescent="0.2">
      <c r="C242" s="542"/>
      <c r="D242" s="57"/>
      <c r="J242" s="57"/>
      <c r="K242" s="8"/>
      <c r="L242" s="8"/>
      <c r="M242" s="8"/>
      <c r="N242" s="8"/>
      <c r="O242" s="8"/>
      <c r="P242" s="8"/>
      <c r="Q242" s="8"/>
    </row>
    <row r="243" spans="3:17" x14ac:dyDescent="0.2">
      <c r="C243" s="57"/>
      <c r="D243" s="624" t="s">
        <v>538</v>
      </c>
      <c r="H243" s="636" t="s">
        <v>293</v>
      </c>
      <c r="I243" s="637">
        <f>'Revenue Summary B'!O33</f>
        <v>1.000000009890651</v>
      </c>
      <c r="J243" s="669">
        <f>J241*I243</f>
        <v>2251700.4882707852</v>
      </c>
      <c r="K243" s="8"/>
      <c r="L243" s="37"/>
      <c r="M243" s="8"/>
      <c r="N243" s="8"/>
      <c r="O243" s="8"/>
      <c r="P243" s="8"/>
      <c r="Q243" s="8"/>
    </row>
    <row r="244" spans="3:17" x14ac:dyDescent="0.2">
      <c r="C244" s="542"/>
      <c r="G244" s="677"/>
      <c r="J244" s="647"/>
      <c r="K244" s="8"/>
      <c r="L244" s="8"/>
      <c r="M244" s="8"/>
      <c r="N244" s="8"/>
      <c r="O244" s="8"/>
      <c r="P244" s="8"/>
      <c r="Q244" s="8"/>
    </row>
    <row r="245" spans="3:17" x14ac:dyDescent="0.2">
      <c r="C245" s="542"/>
      <c r="D245" s="543" t="s">
        <v>316</v>
      </c>
      <c r="G245" s="677"/>
      <c r="J245" s="647">
        <f>SUMIF('12-MO Billed Summary ALL'!$C$26:$C$46,$A$238,'12-MO Billed Summary ALL'!$AK$26:$AK$46)+SUMIF('12-MO Billed Summary ALL'!$C$26:$C$46,$A$238,'12-MO Billed Summary ALL'!$AL$26:$AL$46)</f>
        <v>7636.48</v>
      </c>
      <c r="K245" s="8"/>
      <c r="L245" s="8"/>
      <c r="M245" s="8"/>
      <c r="N245" s="8"/>
      <c r="O245" s="8"/>
      <c r="P245" s="8"/>
      <c r="Q245" s="8"/>
    </row>
    <row r="246" spans="3:17" x14ac:dyDescent="0.2">
      <c r="C246" s="542"/>
      <c r="D246" s="631" t="s">
        <v>400</v>
      </c>
      <c r="G246" s="638"/>
      <c r="I246" s="639"/>
      <c r="J246" s="647">
        <f>SUMIF('12-MO Billed Summary ALL'!$C$26:$C$46,$A$238,'12-MO Billed Summary ALL'!$AI$26:$AI$46)</f>
        <v>861171.54627078143</v>
      </c>
      <c r="K246" s="8"/>
      <c r="L246" s="8"/>
      <c r="M246" s="8"/>
      <c r="N246" s="8"/>
      <c r="O246" s="8"/>
      <c r="P246" s="8"/>
      <c r="Q246" s="8"/>
    </row>
    <row r="247" spans="3:17" x14ac:dyDescent="0.2">
      <c r="C247" s="542"/>
      <c r="D247" s="543" t="s">
        <v>401</v>
      </c>
      <c r="G247" s="638"/>
      <c r="I247" s="639"/>
      <c r="J247" s="647">
        <f>SUMIF('12-MO Billed Summary ALL'!$C$26:$C$46,$A$238,'12-MO Billed Summary ALL'!$AH$26:$AH$46)</f>
        <v>0</v>
      </c>
      <c r="K247" s="8"/>
      <c r="L247" s="8"/>
      <c r="M247" s="8"/>
      <c r="N247" s="8"/>
      <c r="O247" s="8"/>
      <c r="P247" s="8"/>
      <c r="Q247" s="8"/>
    </row>
    <row r="248" spans="3:17" x14ac:dyDescent="0.2">
      <c r="C248" s="542"/>
      <c r="D248" s="631" t="s">
        <v>402</v>
      </c>
      <c r="G248" s="638"/>
      <c r="I248" s="639"/>
      <c r="J248" s="647">
        <f>SUMIF('12-MO Billed Summary ALL'!$C$26:$C$46,$A$238,'12-MO Billed Summary ALL'!$AJ$26:$AJ$46)</f>
        <v>0</v>
      </c>
      <c r="K248" s="8"/>
      <c r="L248" s="8"/>
      <c r="M248" s="8"/>
      <c r="N248" s="8"/>
      <c r="O248" s="8"/>
      <c r="P248" s="8"/>
      <c r="Q248" s="8"/>
    </row>
    <row r="249" spans="3:17" x14ac:dyDescent="0.2">
      <c r="C249" s="542"/>
      <c r="D249" s="543" t="s">
        <v>650</v>
      </c>
      <c r="G249" s="638"/>
      <c r="I249" s="639"/>
      <c r="J249" s="647">
        <f>SUMIF('12-MO Billed Summary ALL'!$C$26:$C$46,$A$238,'12-MO Billed Summary ALL'!$AG$26:$AG$46)</f>
        <v>0</v>
      </c>
      <c r="K249" s="8"/>
      <c r="L249" s="8"/>
      <c r="M249" s="8"/>
      <c r="N249" s="8"/>
      <c r="O249" s="8"/>
      <c r="P249" s="8"/>
      <c r="Q249" s="8"/>
    </row>
    <row r="250" spans="3:17" x14ac:dyDescent="0.2">
      <c r="C250" s="542"/>
      <c r="G250" s="677"/>
      <c r="J250" s="647"/>
      <c r="K250" s="8"/>
      <c r="L250" s="8"/>
      <c r="M250" s="8"/>
      <c r="N250" s="8"/>
      <c r="O250" s="8"/>
      <c r="P250" s="8"/>
      <c r="Q250" s="8"/>
    </row>
    <row r="251" spans="3:17" ht="13.5" thickBot="1" x14ac:dyDescent="0.25">
      <c r="C251" s="57"/>
      <c r="D251" s="633" t="s">
        <v>296</v>
      </c>
      <c r="J251" s="679">
        <f>J243+SUM(J245:J249)</f>
        <v>3120508.5145415664</v>
      </c>
      <c r="K251" s="274"/>
      <c r="L251" s="37"/>
      <c r="M251" s="8"/>
      <c r="N251" s="8"/>
      <c r="O251" s="8"/>
      <c r="P251" s="8"/>
      <c r="Q251" s="8"/>
    </row>
    <row r="252" spans="3:17" ht="13.5" thickTop="1" x14ac:dyDescent="0.2">
      <c r="C252" s="57"/>
      <c r="D252" s="633"/>
      <c r="J252" s="680"/>
      <c r="K252" s="8"/>
      <c r="L252" s="8"/>
      <c r="M252" s="8"/>
      <c r="N252" s="8"/>
      <c r="O252" s="8"/>
      <c r="P252" s="8"/>
      <c r="Q252" s="8"/>
    </row>
    <row r="253" spans="3:17" x14ac:dyDescent="0.2">
      <c r="C253" s="542"/>
      <c r="K253" s="8"/>
      <c r="L253" s="8"/>
      <c r="M253" s="8"/>
      <c r="N253" s="8"/>
      <c r="O253" s="8"/>
      <c r="P253" s="8"/>
      <c r="Q253" s="8"/>
    </row>
    <row r="254" spans="3:17" x14ac:dyDescent="0.2">
      <c r="C254" s="590" t="s">
        <v>397</v>
      </c>
      <c r="D254" s="593"/>
      <c r="E254" s="593"/>
      <c r="F254" s="605"/>
      <c r="G254" s="605"/>
      <c r="H254" s="605"/>
      <c r="I254" s="593"/>
      <c r="J254" s="592" t="s">
        <v>424</v>
      </c>
      <c r="K254" s="8"/>
      <c r="L254" s="8"/>
      <c r="M254" s="8"/>
      <c r="N254" s="8"/>
      <c r="O254" s="8"/>
      <c r="P254" s="8"/>
      <c r="Q254" s="8"/>
    </row>
    <row r="255" spans="3:17" x14ac:dyDescent="0.2">
      <c r="C255" s="595" t="s">
        <v>398</v>
      </c>
      <c r="D255" s="593"/>
      <c r="E255" s="593"/>
      <c r="F255" s="605"/>
      <c r="G255" s="605"/>
      <c r="H255" s="605"/>
      <c r="I255" s="593"/>
      <c r="J255" s="606" t="s">
        <v>498</v>
      </c>
      <c r="K255" s="8"/>
      <c r="L255" s="8"/>
      <c r="M255" s="8"/>
      <c r="N255" s="8"/>
      <c r="O255" s="8"/>
      <c r="P255" s="8"/>
      <c r="Q255" s="8"/>
    </row>
    <row r="256" spans="3:17" x14ac:dyDescent="0.2">
      <c r="C256" s="595" t="s">
        <v>399</v>
      </c>
      <c r="D256" s="593"/>
      <c r="E256" s="593"/>
      <c r="F256" s="605"/>
      <c r="G256" s="605"/>
      <c r="H256" s="605"/>
      <c r="I256" s="593"/>
      <c r="J256" s="606" t="s">
        <v>764</v>
      </c>
      <c r="K256" s="8"/>
      <c r="L256" s="8"/>
      <c r="M256" s="8"/>
      <c r="N256" s="8"/>
      <c r="O256" s="8"/>
      <c r="P256" s="8"/>
      <c r="Q256" s="8"/>
    </row>
    <row r="257" spans="1:17" x14ac:dyDescent="0.2">
      <c r="C257" s="597"/>
      <c r="D257" s="607"/>
      <c r="E257" s="608"/>
      <c r="F257" s="609"/>
      <c r="G257" s="610"/>
      <c r="H257" s="610"/>
      <c r="I257" s="611"/>
      <c r="J257" s="611"/>
      <c r="K257" s="8"/>
      <c r="L257" s="8"/>
      <c r="M257" s="8"/>
      <c r="N257" s="8"/>
      <c r="O257" s="8"/>
      <c r="P257" s="8"/>
      <c r="Q257" s="8"/>
    </row>
    <row r="258" spans="1:17" x14ac:dyDescent="0.2">
      <c r="K258" s="8"/>
      <c r="L258" s="8"/>
      <c r="M258" s="8"/>
      <c r="N258" s="8"/>
      <c r="O258" s="8"/>
      <c r="P258" s="8"/>
      <c r="Q258" s="8"/>
    </row>
    <row r="259" spans="1:17" x14ac:dyDescent="0.2">
      <c r="I259" s="233"/>
      <c r="J259" s="613" t="s">
        <v>185</v>
      </c>
      <c r="K259" s="8"/>
      <c r="L259" s="8"/>
      <c r="M259" s="8"/>
      <c r="N259" s="8"/>
      <c r="O259" s="8"/>
      <c r="P259" s="8"/>
      <c r="Q259" s="8"/>
    </row>
    <row r="260" spans="1:17" x14ac:dyDescent="0.2">
      <c r="I260" s="233"/>
      <c r="J260" s="613" t="s">
        <v>83</v>
      </c>
      <c r="K260" s="8"/>
      <c r="L260" s="8"/>
      <c r="M260" s="8"/>
      <c r="N260" s="8"/>
      <c r="O260" s="8"/>
      <c r="P260" s="8"/>
      <c r="Q260" s="8"/>
    </row>
    <row r="261" spans="1:17" x14ac:dyDescent="0.2">
      <c r="F261" s="614"/>
      <c r="G261" s="616"/>
      <c r="H261" s="616"/>
      <c r="I261" s="613" t="s">
        <v>301</v>
      </c>
      <c r="J261" s="617" t="s">
        <v>1107</v>
      </c>
      <c r="K261" s="8"/>
      <c r="L261" s="8"/>
      <c r="M261" s="8"/>
      <c r="N261" s="8"/>
      <c r="O261" s="8"/>
      <c r="P261" s="8"/>
      <c r="Q261" s="8"/>
    </row>
    <row r="262" spans="1:17" ht="13.5" thickBot="1" x14ac:dyDescent="0.25">
      <c r="C262" s="618" t="s">
        <v>87</v>
      </c>
      <c r="D262" s="618"/>
      <c r="E262" s="618"/>
      <c r="F262" s="619" t="s">
        <v>420</v>
      </c>
      <c r="G262" s="620" t="s">
        <v>82</v>
      </c>
      <c r="H262" s="620"/>
      <c r="I262" s="619" t="s">
        <v>212</v>
      </c>
      <c r="J262" s="619" t="s">
        <v>212</v>
      </c>
      <c r="K262" s="8"/>
      <c r="L262" s="8"/>
      <c r="M262" s="8"/>
      <c r="N262" s="8"/>
      <c r="O262" s="8"/>
      <c r="P262" s="8"/>
      <c r="Q262" s="8"/>
    </row>
    <row r="263" spans="1:17" x14ac:dyDescent="0.2">
      <c r="K263" s="8"/>
      <c r="L263" s="8"/>
      <c r="M263" s="8"/>
      <c r="N263" s="8"/>
      <c r="O263" s="8"/>
      <c r="P263" s="8"/>
      <c r="Q263" s="8"/>
    </row>
    <row r="264" spans="1:17" x14ac:dyDescent="0.2">
      <c r="C264" s="623" t="s">
        <v>756</v>
      </c>
      <c r="K264" s="8"/>
      <c r="L264" s="8"/>
      <c r="M264" s="8"/>
      <c r="N264" s="8"/>
      <c r="O264" s="8"/>
      <c r="P264" s="8"/>
      <c r="Q264" s="8"/>
    </row>
    <row r="265" spans="1:17" x14ac:dyDescent="0.2">
      <c r="K265" s="8"/>
      <c r="L265" s="8"/>
      <c r="M265" s="8"/>
      <c r="N265" s="8"/>
      <c r="O265" s="8"/>
      <c r="P265" s="8"/>
      <c r="Q265" s="8"/>
    </row>
    <row r="266" spans="1:17" x14ac:dyDescent="0.2">
      <c r="C266" s="621" t="s">
        <v>757</v>
      </c>
      <c r="D266" s="681"/>
      <c r="K266" s="8"/>
      <c r="L266" s="8"/>
      <c r="M266" s="8"/>
      <c r="N266" s="8"/>
      <c r="O266" s="8"/>
      <c r="P266" s="8"/>
      <c r="Q266" s="8"/>
    </row>
    <row r="267" spans="1:17" x14ac:dyDescent="0.2">
      <c r="C267" s="621"/>
      <c r="D267" s="797" t="s">
        <v>775</v>
      </c>
      <c r="K267" s="8"/>
      <c r="L267" s="8"/>
      <c r="M267" s="8"/>
      <c r="N267" s="8"/>
      <c r="O267" s="8"/>
      <c r="P267" s="8"/>
      <c r="Q267" s="8"/>
    </row>
    <row r="268" spans="1:17" x14ac:dyDescent="0.2">
      <c r="A268" s="57" t="s">
        <v>428</v>
      </c>
      <c r="C268" s="624"/>
      <c r="D268" s="656" t="s">
        <v>294</v>
      </c>
      <c r="F268" s="627">
        <f>SUMIF('12-MO Billed Summary ALL'!$C$8:$C$22,$A$268,'12-MO Billed Summary ALL'!$G$8:$G$22)</f>
        <v>28</v>
      </c>
      <c r="I268" s="629">
        <f>VLOOKUP($A$268,'Retail Rates'!$C$7:$P$40,3,FALSE)</f>
        <v>165</v>
      </c>
      <c r="J268" s="647">
        <f>+F268*I268</f>
        <v>4620</v>
      </c>
      <c r="K268" s="8"/>
      <c r="L268" s="8"/>
      <c r="M268" s="8"/>
      <c r="N268" s="8"/>
      <c r="O268" s="8"/>
      <c r="P268" s="8"/>
      <c r="Q268" s="8"/>
    </row>
    <row r="269" spans="1:17" x14ac:dyDescent="0.2">
      <c r="C269" s="624"/>
      <c r="D269" s="656" t="s">
        <v>295</v>
      </c>
      <c r="F269" s="876">
        <v>0</v>
      </c>
      <c r="I269" s="629">
        <f>VLOOKUP($A$268,'Retail Rates'!$C$7:$P$40,4,FALSE)</f>
        <v>750</v>
      </c>
      <c r="J269" s="647">
        <f>+F269*I269</f>
        <v>0</v>
      </c>
      <c r="K269" s="8"/>
      <c r="L269" s="8"/>
      <c r="M269" s="8"/>
      <c r="N269" s="8"/>
      <c r="O269" s="8"/>
      <c r="P269" s="8"/>
      <c r="Q269" s="8"/>
    </row>
    <row r="270" spans="1:17" x14ac:dyDescent="0.2">
      <c r="D270" s="543" t="s">
        <v>1</v>
      </c>
      <c r="G270" s="627">
        <f>SUMIF('12-MO Billed Summary ALL'!$C$8:$C$22,$A$268,'12-MO Billed Summary ALL'!$K$8:$K$22)/10</f>
        <v>25.8</v>
      </c>
      <c r="I270" s="632">
        <f>VLOOKUP($A$268,'Retail Rates'!$C$7:$P$40,9,FALSE)</f>
        <v>0.29919999999999997</v>
      </c>
      <c r="J270" s="647">
        <f>ROUND(+G270*I270,2)</f>
        <v>7.72</v>
      </c>
      <c r="K270" s="8"/>
      <c r="L270" s="8"/>
      <c r="M270" s="8"/>
      <c r="N270" s="8"/>
      <c r="O270" s="8"/>
      <c r="P270" s="8"/>
      <c r="Q270" s="8"/>
    </row>
    <row r="271" spans="1:17" x14ac:dyDescent="0.2">
      <c r="D271" s="543" t="s">
        <v>168</v>
      </c>
      <c r="G271" s="627">
        <f>SUMIF('12-MO Billed Summary ALL'!$C$8:$C$22,$A$268,'12-MO Billed Summary ALL'!$M$8:$M$22)/10</f>
        <v>1462.8236891849733</v>
      </c>
      <c r="I271" s="663">
        <f>VLOOKUP($A$268,'Retail Rates'!$C$7:$P$40,14,FALSE)</f>
        <v>10.8978</v>
      </c>
      <c r="J271" s="647">
        <f>G271*I271</f>
        <v>15941.560000000003</v>
      </c>
      <c r="K271" s="8"/>
      <c r="L271" s="8"/>
      <c r="M271" s="8"/>
      <c r="N271" s="8"/>
      <c r="O271" s="8"/>
      <c r="P271" s="8"/>
      <c r="Q271" s="8"/>
    </row>
    <row r="272" spans="1:17" x14ac:dyDescent="0.2">
      <c r="D272" s="57" t="s">
        <v>672</v>
      </c>
      <c r="G272" s="627"/>
      <c r="J272" s="647">
        <v>0</v>
      </c>
      <c r="K272" s="8"/>
      <c r="L272" s="8"/>
      <c r="M272" s="8"/>
      <c r="N272" s="8"/>
      <c r="O272" s="8"/>
      <c r="P272" s="8"/>
      <c r="Q272" s="8"/>
    </row>
    <row r="273" spans="1:17" x14ac:dyDescent="0.2">
      <c r="D273" s="755" t="s">
        <v>392</v>
      </c>
      <c r="G273" s="677"/>
      <c r="J273" s="763">
        <f>SBR!BL26</f>
        <v>1.6800000000000004</v>
      </c>
      <c r="K273" s="8"/>
      <c r="L273" s="8"/>
      <c r="M273" s="8"/>
      <c r="N273" s="8"/>
      <c r="O273" s="8"/>
      <c r="P273" s="8"/>
      <c r="Q273" s="8"/>
    </row>
    <row r="274" spans="1:17" x14ac:dyDescent="0.2">
      <c r="D274" s="624" t="s">
        <v>290</v>
      </c>
      <c r="G274" s="677"/>
      <c r="J274" s="669">
        <f>SUM(J268:J273)</f>
        <v>20570.960000000003</v>
      </c>
      <c r="K274" s="8"/>
      <c r="L274" s="8"/>
      <c r="M274" s="8"/>
      <c r="N274" s="8"/>
      <c r="O274" s="8"/>
      <c r="P274" s="8"/>
      <c r="Q274" s="8"/>
    </row>
    <row r="275" spans="1:17" x14ac:dyDescent="0.2">
      <c r="D275" s="57"/>
      <c r="G275" s="677"/>
      <c r="J275" s="57"/>
      <c r="K275" s="8"/>
      <c r="L275" s="8"/>
      <c r="M275" s="8"/>
      <c r="N275" s="8"/>
      <c r="O275" s="8"/>
      <c r="P275" s="8"/>
      <c r="Q275" s="8"/>
    </row>
    <row r="276" spans="1:17" x14ac:dyDescent="0.2">
      <c r="D276" s="655" t="s">
        <v>538</v>
      </c>
      <c r="G276" s="677"/>
      <c r="H276" s="656" t="s">
        <v>680</v>
      </c>
      <c r="I276" s="682">
        <f>'Revenue Summary B'!O36</f>
        <v>1.000000232882484</v>
      </c>
      <c r="J276" s="669">
        <f>J274*I276</f>
        <v>20570.964790616265</v>
      </c>
      <c r="K276" s="8"/>
      <c r="L276" s="37"/>
      <c r="M276" s="8"/>
      <c r="N276" s="8"/>
      <c r="O276" s="8"/>
      <c r="P276" s="8"/>
      <c r="Q276" s="8"/>
    </row>
    <row r="277" spans="1:17" x14ac:dyDescent="0.2">
      <c r="D277" s="655"/>
      <c r="G277" s="677"/>
      <c r="I277" s="682"/>
      <c r="J277" s="669"/>
      <c r="K277" s="8"/>
      <c r="L277" s="8"/>
      <c r="M277" s="8"/>
      <c r="N277" s="8"/>
      <c r="O277" s="8"/>
      <c r="P277" s="8"/>
      <c r="Q277" s="8"/>
    </row>
    <row r="278" spans="1:17" x14ac:dyDescent="0.2">
      <c r="C278" s="633" t="s">
        <v>805</v>
      </c>
      <c r="J278" s="651"/>
      <c r="K278" s="8"/>
      <c r="L278" s="8"/>
      <c r="M278" s="8"/>
      <c r="N278" s="8"/>
      <c r="O278" s="8"/>
      <c r="P278" s="8"/>
      <c r="Q278" s="8"/>
    </row>
    <row r="279" spans="1:17" x14ac:dyDescent="0.2">
      <c r="A279" s="57" t="s">
        <v>576</v>
      </c>
      <c r="C279" s="633"/>
      <c r="D279" s="542" t="s">
        <v>371</v>
      </c>
      <c r="F279" s="875">
        <f>SUMIF('12-MO Billed Summary ALL'!$C$26:$C$46,$A$279,'12-MO Billed Summary ALL'!$G$26:$G$46)</f>
        <v>0</v>
      </c>
      <c r="I279" s="629">
        <f>VLOOKUP($A$279,'Retail Rates'!$C$7:$P$40,5,FALSE)</f>
        <v>550</v>
      </c>
      <c r="J279" s="651">
        <f>F279*I279</f>
        <v>0</v>
      </c>
      <c r="K279" s="8"/>
      <c r="L279" s="8"/>
      <c r="M279" s="8"/>
      <c r="N279" s="8"/>
      <c r="O279" s="8"/>
      <c r="P279" s="8"/>
      <c r="Q279" s="8"/>
    </row>
    <row r="280" spans="1:17" x14ac:dyDescent="0.2">
      <c r="C280" s="633"/>
      <c r="D280" s="797" t="s">
        <v>775</v>
      </c>
      <c r="I280" s="629"/>
      <c r="J280" s="651"/>
      <c r="K280" s="8"/>
      <c r="L280" s="8"/>
      <c r="M280" s="8"/>
      <c r="N280" s="8"/>
      <c r="O280" s="8"/>
      <c r="P280" s="8"/>
      <c r="Q280" s="8"/>
    </row>
    <row r="281" spans="1:17" x14ac:dyDescent="0.2">
      <c r="C281" s="633"/>
      <c r="D281" s="543" t="s">
        <v>289</v>
      </c>
      <c r="F281" s="668">
        <f>SUMIF('12-MO Billed Summary ALL'!$C$26:$C$46,$A$279,'12-MO Billed Summary ALL'!$G$26:$G$46)</f>
        <v>0</v>
      </c>
      <c r="I281" s="629">
        <f>VLOOKUP($A$279,'Retail Rates'!$C$7:$P$40,3,FALSE)</f>
        <v>165</v>
      </c>
      <c r="J281" s="651">
        <f>F281*I281</f>
        <v>0</v>
      </c>
      <c r="K281" s="8"/>
      <c r="L281" s="8"/>
      <c r="M281" s="8"/>
      <c r="N281" s="8"/>
      <c r="O281" s="8"/>
      <c r="P281" s="8"/>
      <c r="Q281" s="8"/>
    </row>
    <row r="282" spans="1:17" x14ac:dyDescent="0.2">
      <c r="C282" s="633"/>
      <c r="D282" s="543" t="s">
        <v>214</v>
      </c>
      <c r="G282" s="879">
        <f>SUMIF('12-MO Billed Summary ALL'!$C$26:$C$46,$A$279,'12-MO Billed Summary ALL'!$K$26:$K$46)/10</f>
        <v>0</v>
      </c>
      <c r="I282" s="632">
        <f>VLOOKUP($A$268,'Retail Rates'!$C$7:$P$40,9,FALSE)</f>
        <v>0.29919999999999997</v>
      </c>
      <c r="J282" s="651">
        <f>G282*I282</f>
        <v>0</v>
      </c>
      <c r="K282" s="8"/>
      <c r="L282" s="8"/>
      <c r="M282" s="8"/>
      <c r="N282" s="8"/>
      <c r="O282" s="8"/>
      <c r="P282" s="8"/>
      <c r="Q282" s="8"/>
    </row>
    <row r="283" spans="1:17" x14ac:dyDescent="0.2">
      <c r="C283" s="633"/>
      <c r="D283" s="57" t="s">
        <v>168</v>
      </c>
      <c r="E283" s="57"/>
      <c r="F283" s="57"/>
      <c r="G283" s="879">
        <f>SUMIF('12-MO Billed Summary ALL'!$C$8:$C$22,$A$279,'12-MO Billed Summary ALL'!$P$8:$P$22)/10</f>
        <v>0</v>
      </c>
      <c r="H283" s="57"/>
      <c r="I283" s="632">
        <f>VLOOKUP($A$268,'Retail Rates'!$C$7:$P$40,14,FALSE)</f>
        <v>10.8978</v>
      </c>
      <c r="J283" s="651">
        <f>G283*I283</f>
        <v>0</v>
      </c>
      <c r="K283" s="8"/>
      <c r="L283" s="8"/>
      <c r="M283" s="8"/>
      <c r="N283" s="8"/>
      <c r="O283" s="8"/>
      <c r="P283" s="8"/>
      <c r="Q283" s="8"/>
    </row>
    <row r="284" spans="1:17" x14ac:dyDescent="0.2">
      <c r="C284" s="633"/>
      <c r="D284" s="57" t="s">
        <v>392</v>
      </c>
      <c r="E284" s="57"/>
      <c r="F284" s="57"/>
      <c r="G284" s="57"/>
      <c r="H284" s="57"/>
      <c r="I284" s="57"/>
      <c r="J284" s="651">
        <v>0</v>
      </c>
      <c r="K284" s="8"/>
      <c r="L284" s="8"/>
      <c r="M284" s="8"/>
      <c r="N284" s="8"/>
      <c r="O284" s="8"/>
      <c r="P284" s="8"/>
      <c r="Q284" s="8"/>
    </row>
    <row r="285" spans="1:17" x14ac:dyDescent="0.2">
      <c r="C285" s="633"/>
      <c r="D285" s="227" t="s">
        <v>672</v>
      </c>
      <c r="E285" s="57"/>
      <c r="F285" s="57"/>
      <c r="G285" s="57"/>
      <c r="H285" s="57"/>
      <c r="I285" s="57"/>
      <c r="J285" s="764">
        <v>0</v>
      </c>
      <c r="K285" s="8"/>
      <c r="L285" s="8"/>
      <c r="M285" s="8"/>
      <c r="N285" s="8"/>
      <c r="O285" s="8"/>
      <c r="P285" s="8"/>
      <c r="Q285" s="8"/>
    </row>
    <row r="286" spans="1:17" x14ac:dyDescent="0.2">
      <c r="C286" s="57"/>
      <c r="D286" s="633" t="s">
        <v>290</v>
      </c>
      <c r="J286" s="635">
        <f>SUM(J279:J285)</f>
        <v>0</v>
      </c>
      <c r="K286" s="8"/>
      <c r="L286" s="8"/>
      <c r="M286" s="8"/>
      <c r="N286" s="8"/>
      <c r="O286" s="8"/>
      <c r="P286" s="8"/>
      <c r="Q286" s="8"/>
    </row>
    <row r="287" spans="1:17" x14ac:dyDescent="0.2">
      <c r="C287" s="633"/>
      <c r="K287" s="8"/>
      <c r="L287" s="8"/>
      <c r="M287" s="8"/>
      <c r="N287" s="8"/>
      <c r="O287" s="8"/>
      <c r="P287" s="8"/>
      <c r="Q287" s="8"/>
    </row>
    <row r="288" spans="1:17" x14ac:dyDescent="0.2">
      <c r="C288" s="57"/>
      <c r="D288" s="624" t="s">
        <v>538</v>
      </c>
      <c r="H288" s="656" t="s">
        <v>680</v>
      </c>
      <c r="I288" s="664">
        <f>'Revenue Summary B'!O36</f>
        <v>1.000000232882484</v>
      </c>
      <c r="J288" s="635">
        <f>I288*J286</f>
        <v>0</v>
      </c>
      <c r="K288" s="8"/>
      <c r="L288" s="8"/>
      <c r="M288" s="8"/>
      <c r="N288" s="8"/>
      <c r="O288" s="8"/>
      <c r="P288" s="8"/>
      <c r="Q288" s="8"/>
    </row>
    <row r="289" spans="1:17" x14ac:dyDescent="0.2">
      <c r="D289" s="683"/>
      <c r="G289" s="677"/>
      <c r="I289" s="639"/>
      <c r="J289" s="676"/>
      <c r="K289" s="8"/>
      <c r="L289" s="8"/>
      <c r="M289" s="8"/>
      <c r="N289" s="8"/>
      <c r="O289" s="8"/>
      <c r="P289" s="8"/>
      <c r="Q289" s="8"/>
    </row>
    <row r="290" spans="1:17" x14ac:dyDescent="0.2">
      <c r="D290" s="543" t="s">
        <v>316</v>
      </c>
      <c r="G290" s="677"/>
      <c r="I290" s="639"/>
      <c r="J290" s="647">
        <f>SUMIF('12-MO Billed Summary ALL'!$C$8:$C$22,$A$268,'12-MO Billed Summary ALL'!$AK$8:$AK$22)+SUMIF('12-MO Billed Summary ALL'!$C$8:$C$22,$A$268,'12-MO Billed Summary ALL'!$AL$8:$AL$22)</f>
        <v>2252.3888508914911</v>
      </c>
      <c r="K290" s="8"/>
      <c r="L290" s="8"/>
      <c r="M290" s="8"/>
      <c r="N290" s="8"/>
      <c r="O290" s="8"/>
      <c r="P290" s="8"/>
      <c r="Q290" s="8"/>
    </row>
    <row r="291" spans="1:17" x14ac:dyDescent="0.2">
      <c r="D291" s="631" t="s">
        <v>400</v>
      </c>
      <c r="G291" s="677"/>
      <c r="I291" s="639"/>
      <c r="J291" s="647">
        <f>SUMIF('12-MO Billed Summary ALL'!$C$8:$C$22,$A$268,'12-MO Billed Summary ALL'!$AI$8:$AI$22)</f>
        <v>77.923519507462814</v>
      </c>
      <c r="K291" s="8"/>
      <c r="L291" s="8"/>
      <c r="M291" s="8"/>
      <c r="N291" s="8"/>
      <c r="O291" s="8"/>
      <c r="P291" s="8"/>
      <c r="Q291" s="8"/>
    </row>
    <row r="292" spans="1:17" x14ac:dyDescent="0.2">
      <c r="D292" s="543" t="s">
        <v>401</v>
      </c>
      <c r="G292" s="677"/>
      <c r="I292" s="639"/>
      <c r="J292" s="647">
        <f>SUMIF('12-MO Billed Summary ALL'!$C$8:$C$22,$A$268,'12-MO Billed Summary ALL'!$AH$8:$AH$22)</f>
        <v>0</v>
      </c>
      <c r="K292" s="8"/>
      <c r="L292" s="8"/>
      <c r="M292" s="8"/>
      <c r="N292" s="8"/>
      <c r="O292" s="8"/>
      <c r="P292" s="8"/>
      <c r="Q292" s="8"/>
    </row>
    <row r="293" spans="1:17" x14ac:dyDescent="0.2">
      <c r="D293" s="631" t="s">
        <v>402</v>
      </c>
      <c r="G293" s="677"/>
      <c r="I293" s="639"/>
      <c r="J293" s="647">
        <f>SUMIF('12-MO Billed Summary ALL'!$C$8:$C$22,$A$268,'12-MO Billed Summary ALL'!$AJ$8:$AJ$22)</f>
        <v>0</v>
      </c>
      <c r="K293" s="8"/>
      <c r="L293" s="8"/>
      <c r="M293" s="8"/>
      <c r="N293" s="8"/>
      <c r="O293" s="8"/>
      <c r="P293" s="8"/>
      <c r="Q293" s="8"/>
    </row>
    <row r="294" spans="1:17" x14ac:dyDescent="0.2">
      <c r="D294" s="643" t="s">
        <v>650</v>
      </c>
      <c r="G294" s="677"/>
      <c r="I294" s="639"/>
      <c r="J294" s="676">
        <f>SUMIF('12-MO Billed Summary ALL'!$C$8:$C$22,$A$268,'12-MO Billed Summary ALL'!$AG$8:$AG$22)</f>
        <v>0</v>
      </c>
      <c r="K294" s="8"/>
      <c r="L294" s="8"/>
      <c r="M294" s="8"/>
      <c r="N294" s="8"/>
      <c r="O294" s="8"/>
      <c r="P294" s="8"/>
      <c r="Q294" s="8"/>
    </row>
    <row r="295" spans="1:17" x14ac:dyDescent="0.2">
      <c r="D295" s="643"/>
      <c r="G295" s="677"/>
      <c r="I295" s="639"/>
      <c r="J295" s="676"/>
      <c r="K295" s="8"/>
      <c r="L295" s="8"/>
      <c r="M295" s="8"/>
      <c r="N295" s="8"/>
      <c r="O295" s="8"/>
      <c r="P295" s="8"/>
      <c r="Q295" s="8"/>
    </row>
    <row r="296" spans="1:17" x14ac:dyDescent="0.2">
      <c r="C296" s="624" t="s">
        <v>539</v>
      </c>
      <c r="G296" s="627"/>
      <c r="J296" s="635"/>
      <c r="K296" s="659"/>
      <c r="L296" s="37"/>
      <c r="M296" s="8"/>
      <c r="N296" s="8"/>
      <c r="O296" s="8"/>
      <c r="P296" s="8"/>
      <c r="Q296" s="8"/>
    </row>
    <row r="297" spans="1:17" x14ac:dyDescent="0.2">
      <c r="C297" s="624"/>
      <c r="D297" s="543" t="s">
        <v>540</v>
      </c>
      <c r="F297" s="875">
        <v>0</v>
      </c>
      <c r="G297" s="627"/>
      <c r="I297" s="540">
        <f>VLOOKUP($A$135,'Retail Rates'!$C$7:$P$40,6,FALSE)</f>
        <v>75</v>
      </c>
      <c r="J297" s="635">
        <f>F297*I297</f>
        <v>0</v>
      </c>
      <c r="K297" s="659"/>
      <c r="L297" s="37"/>
      <c r="M297" s="8"/>
      <c r="N297" s="8"/>
      <c r="O297" s="8"/>
      <c r="P297" s="8"/>
      <c r="Q297" s="8"/>
    </row>
    <row r="298" spans="1:17" x14ac:dyDescent="0.2">
      <c r="C298" s="624"/>
      <c r="G298" s="627"/>
      <c r="J298" s="635"/>
      <c r="K298" s="659"/>
      <c r="L298" s="37"/>
      <c r="M298" s="8"/>
      <c r="N298" s="8"/>
      <c r="O298" s="8"/>
      <c r="P298" s="8"/>
      <c r="Q298" s="8"/>
    </row>
    <row r="299" spans="1:17" ht="13.5" thickBot="1" x14ac:dyDescent="0.25">
      <c r="D299" s="624" t="s">
        <v>545</v>
      </c>
      <c r="G299" s="677"/>
      <c r="I299" s="639"/>
      <c r="J299" s="679">
        <f>J276+J288+SUM(J290:J294)+J297</f>
        <v>22901.277161015219</v>
      </c>
      <c r="K299" s="659"/>
      <c r="L299" s="37"/>
      <c r="M299" s="8"/>
      <c r="N299" s="8"/>
      <c r="O299" s="8"/>
      <c r="P299" s="8"/>
      <c r="Q299" s="8"/>
    </row>
    <row r="300" spans="1:17" ht="13.5" thickTop="1" x14ac:dyDescent="0.2">
      <c r="A300" s="8"/>
      <c r="B300" s="8"/>
      <c r="C300" s="624"/>
      <c r="D300" s="624"/>
      <c r="G300" s="627"/>
      <c r="J300" s="635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8"/>
      <c r="C301" s="8"/>
      <c r="D301" s="8"/>
      <c r="E301" s="8"/>
      <c r="F301" s="43"/>
      <c r="G301" s="43"/>
      <c r="H301" s="43"/>
      <c r="I301" s="8"/>
      <c r="J301" s="8"/>
      <c r="K301" s="8"/>
      <c r="L301" s="8"/>
      <c r="M301" s="8"/>
      <c r="N301" s="8"/>
      <c r="O301" s="8"/>
      <c r="P301" s="8"/>
      <c r="Q301" s="8"/>
    </row>
    <row r="302" spans="1:17" x14ac:dyDescent="0.2">
      <c r="C302" s="590" t="s">
        <v>397</v>
      </c>
      <c r="D302" s="593"/>
      <c r="E302" s="593"/>
      <c r="F302" s="605"/>
      <c r="G302" s="605"/>
      <c r="H302" s="605"/>
      <c r="I302" s="593"/>
      <c r="J302" s="592" t="s">
        <v>424</v>
      </c>
      <c r="K302" s="8"/>
      <c r="L302" s="8"/>
      <c r="M302" s="8"/>
      <c r="N302" s="8"/>
    </row>
    <row r="303" spans="1:17" x14ac:dyDescent="0.2">
      <c r="C303" s="595" t="s">
        <v>398</v>
      </c>
      <c r="D303" s="593"/>
      <c r="E303" s="593"/>
      <c r="F303" s="605"/>
      <c r="G303" s="605"/>
      <c r="H303" s="605"/>
      <c r="I303" s="593"/>
      <c r="J303" s="606" t="s">
        <v>498</v>
      </c>
      <c r="K303" s="8"/>
      <c r="L303" s="8"/>
      <c r="M303" s="8"/>
      <c r="N303" s="8"/>
    </row>
    <row r="304" spans="1:17" x14ac:dyDescent="0.2">
      <c r="C304" s="595" t="s">
        <v>399</v>
      </c>
      <c r="D304" s="593"/>
      <c r="E304" s="593"/>
      <c r="F304" s="605"/>
      <c r="G304" s="605"/>
      <c r="H304" s="605"/>
      <c r="I304" s="593"/>
      <c r="J304" s="606" t="s">
        <v>765</v>
      </c>
      <c r="K304" s="8"/>
      <c r="L304" s="8"/>
      <c r="M304" s="8"/>
      <c r="N304" s="8"/>
    </row>
    <row r="305" spans="1:14" x14ac:dyDescent="0.2">
      <c r="C305" s="597"/>
      <c r="D305" s="607"/>
      <c r="E305" s="608"/>
      <c r="F305" s="609"/>
      <c r="G305" s="610"/>
      <c r="H305" s="610"/>
      <c r="I305" s="611"/>
      <c r="J305" s="611"/>
      <c r="K305" s="8"/>
      <c r="L305" s="8"/>
      <c r="M305" s="8"/>
      <c r="N305" s="8"/>
    </row>
    <row r="307" spans="1:14" x14ac:dyDescent="0.2">
      <c r="I307" s="233"/>
      <c r="J307" s="613" t="s">
        <v>185</v>
      </c>
    </row>
    <row r="308" spans="1:14" x14ac:dyDescent="0.2">
      <c r="I308" s="233"/>
      <c r="J308" s="613" t="s">
        <v>83</v>
      </c>
    </row>
    <row r="309" spans="1:14" x14ac:dyDescent="0.2">
      <c r="F309" s="614"/>
      <c r="G309" s="616"/>
      <c r="H309" s="616"/>
      <c r="I309" s="613" t="s">
        <v>301</v>
      </c>
      <c r="J309" s="617" t="s">
        <v>1107</v>
      </c>
    </row>
    <row r="310" spans="1:14" ht="13.5" thickBot="1" x14ac:dyDescent="0.25">
      <c r="C310" s="618" t="s">
        <v>87</v>
      </c>
      <c r="D310" s="618"/>
      <c r="E310" s="618"/>
      <c r="F310" s="619" t="s">
        <v>420</v>
      </c>
      <c r="G310" s="620" t="s">
        <v>82</v>
      </c>
      <c r="H310" s="620"/>
      <c r="I310" s="619" t="s">
        <v>212</v>
      </c>
      <c r="J310" s="619" t="s">
        <v>212</v>
      </c>
    </row>
    <row r="312" spans="1:14" x14ac:dyDescent="0.2">
      <c r="C312" s="623" t="s">
        <v>771</v>
      </c>
    </row>
    <row r="314" spans="1:14" x14ac:dyDescent="0.2">
      <c r="C314" s="624" t="s">
        <v>795</v>
      </c>
      <c r="D314" s="681"/>
    </row>
    <row r="315" spans="1:14" x14ac:dyDescent="0.2">
      <c r="C315" s="624"/>
      <c r="D315" s="797" t="s">
        <v>775</v>
      </c>
    </row>
    <row r="316" spans="1:14" x14ac:dyDescent="0.2">
      <c r="A316" s="57" t="s">
        <v>553</v>
      </c>
      <c r="C316" s="624"/>
      <c r="D316" s="543" t="s">
        <v>213</v>
      </c>
      <c r="F316" s="233">
        <f>SUMIF('12-MO Billed Summary ALL'!$C$8:$C$22,$A$316,'12-MO Billed Summary ALL'!$G$8:$G$22)</f>
        <v>12</v>
      </c>
      <c r="I316" s="629">
        <f>VLOOKUP($A$316,'Retail Rates'!$C$7:$P$40,3,FALSE)</f>
        <v>285</v>
      </c>
      <c r="J316" s="647">
        <f>+F316*I316</f>
        <v>3420</v>
      </c>
    </row>
    <row r="317" spans="1:14" x14ac:dyDescent="0.2">
      <c r="D317" s="543" t="s">
        <v>1</v>
      </c>
      <c r="G317" s="677">
        <f>SUMIF('12-MO Billed Summary ALL'!$C$8:$C$22,$A$316,'12-MO Billed Summary ALL'!$N$8:$N$22)</f>
        <v>1252.5</v>
      </c>
      <c r="I317" s="632">
        <f>VLOOKUP($A$316,'Retail Rates'!$C$7:$P$40,9,FALSE)</f>
        <v>0.36030000000000001</v>
      </c>
      <c r="J317" s="647">
        <f>ROUND(+G317*I317,2)</f>
        <v>451.28</v>
      </c>
    </row>
    <row r="318" spans="1:14" x14ac:dyDescent="0.2">
      <c r="D318" s="543" t="s">
        <v>168</v>
      </c>
      <c r="G318" s="677">
        <f>SUMIF('12-MO Billed Summary ALL'!$C$8:$C$22,$A$316,'12-MO Billed Summary ALL'!$P$8:$P$22)</f>
        <v>28181.006707317083</v>
      </c>
      <c r="I318" s="865">
        <f>VLOOKUP($A$316,'Retail Rates'!$C$7:$P$40,14,FALSE)</f>
        <v>6.56</v>
      </c>
      <c r="J318" s="647">
        <f>G318*I318</f>
        <v>184867.40400000007</v>
      </c>
    </row>
    <row r="319" spans="1:14" x14ac:dyDescent="0.2">
      <c r="D319" s="755" t="s">
        <v>392</v>
      </c>
      <c r="G319" s="677"/>
      <c r="J319" s="763">
        <f>SBR!BL29+'12-MO Billed Summary ALL'!S18+'12-MO Billed Summary ALL'!W18+'12-MO Billed Summary ALL'!Z18</f>
        <v>16774.45</v>
      </c>
    </row>
    <row r="320" spans="1:14" x14ac:dyDescent="0.2">
      <c r="D320" s="624" t="s">
        <v>290</v>
      </c>
      <c r="G320" s="677"/>
      <c r="J320" s="669">
        <f>SUM(J316:J319)</f>
        <v>205513.13400000008</v>
      </c>
    </row>
    <row r="321" spans="3:12" x14ac:dyDescent="0.2">
      <c r="D321" s="57"/>
      <c r="G321" s="677"/>
      <c r="I321" s="57"/>
      <c r="J321" s="57"/>
    </row>
    <row r="322" spans="3:12" x14ac:dyDescent="0.2">
      <c r="D322" s="655" t="s">
        <v>538</v>
      </c>
      <c r="G322" s="677"/>
      <c r="H322" s="656" t="s">
        <v>680</v>
      </c>
      <c r="I322" s="682">
        <f>'Revenue Summary B'!O39</f>
        <v>0.99999992362970913</v>
      </c>
      <c r="J322" s="669">
        <f>J320*I322</f>
        <v>205513.11830490225</v>
      </c>
      <c r="K322" s="647"/>
      <c r="L322" s="37"/>
    </row>
    <row r="323" spans="3:12" x14ac:dyDescent="0.2">
      <c r="D323" s="683"/>
      <c r="G323" s="677"/>
      <c r="I323" s="639"/>
      <c r="J323" s="676"/>
    </row>
    <row r="324" spans="3:12" x14ac:dyDescent="0.2">
      <c r="D324" s="543" t="s">
        <v>316</v>
      </c>
      <c r="G324" s="677"/>
      <c r="I324" s="639"/>
      <c r="J324" s="647">
        <f>SUMIF('12-MO Billed Summary ALL'!$C$8:$C$22,$A$316,'12-MO Billed Summary ALL'!$AK$8:$AK$22)+SUMIF('12-MO Billed Summary ALL'!$C$8:$C$22,$A$316,'12-MO Billed Summary ALL'!$AL$8:$AL$22)</f>
        <v>5476.1015374135595</v>
      </c>
    </row>
    <row r="325" spans="3:12" x14ac:dyDescent="0.2">
      <c r="D325" s="631" t="s">
        <v>400</v>
      </c>
      <c r="G325" s="677"/>
      <c r="I325" s="639"/>
      <c r="J325" s="647">
        <f>SUMIF('12-MO Billed Summary ALL'!$C$8:$C$22,$A$316,'12-MO Billed Summary ALL'!$AI$8:$AI$22)</f>
        <v>10468.589022697131</v>
      </c>
    </row>
    <row r="326" spans="3:12" x14ac:dyDescent="0.2">
      <c r="D326" s="543" t="s">
        <v>401</v>
      </c>
      <c r="G326" s="677"/>
      <c r="I326" s="639"/>
      <c r="J326" s="647">
        <f>SUMIF('12-MO Billed Summary ALL'!$C$8:$C$22,$A$316,'12-MO Billed Summary ALL'!$AH$8:$AH$22)</f>
        <v>33.101134987067731</v>
      </c>
    </row>
    <row r="327" spans="3:12" x14ac:dyDescent="0.2">
      <c r="D327" s="631" t="s">
        <v>402</v>
      </c>
      <c r="G327" s="677"/>
      <c r="I327" s="639"/>
      <c r="J327" s="647">
        <f>SUMIF('12-MO Billed Summary ALL'!$C$8:$C$22,$A$316,'12-MO Billed Summary ALL'!$AJ$8:$AJ$22)</f>
        <v>0</v>
      </c>
    </row>
    <row r="328" spans="3:12" x14ac:dyDescent="0.2">
      <c r="D328" s="543" t="s">
        <v>650</v>
      </c>
      <c r="G328" s="677"/>
      <c r="I328" s="639"/>
      <c r="J328" s="647">
        <f>SUMIF('12-MO Billed Summary ALL'!$C$8:$C$22,$A$316,'12-MO Billed Summary ALL'!$AG$8:$AG$22)</f>
        <v>0</v>
      </c>
      <c r="L328" s="657"/>
    </row>
    <row r="329" spans="3:12" x14ac:dyDescent="0.2">
      <c r="D329" s="683"/>
      <c r="G329" s="677"/>
      <c r="I329" s="639"/>
      <c r="J329" s="684"/>
    </row>
    <row r="330" spans="3:12" ht="13.5" thickBot="1" x14ac:dyDescent="0.25">
      <c r="D330" s="624" t="s">
        <v>663</v>
      </c>
      <c r="G330" s="677"/>
      <c r="I330" s="639"/>
      <c r="J330" s="679">
        <f>SUM(J322:J328)</f>
        <v>221490.90999999997</v>
      </c>
    </row>
    <row r="331" spans="3:12" ht="13.5" thickTop="1" x14ac:dyDescent="0.2">
      <c r="D331" s="624"/>
      <c r="G331" s="677"/>
      <c r="I331" s="639"/>
      <c r="J331" s="680"/>
    </row>
    <row r="332" spans="3:12" x14ac:dyDescent="0.2">
      <c r="D332" s="624"/>
      <c r="G332" s="677"/>
      <c r="I332" s="639"/>
      <c r="J332" s="680"/>
    </row>
    <row r="333" spans="3:12" x14ac:dyDescent="0.2">
      <c r="C333" s="590" t="s">
        <v>397</v>
      </c>
      <c r="D333" s="593"/>
      <c r="E333" s="593"/>
      <c r="F333" s="605"/>
      <c r="G333" s="605"/>
      <c r="H333" s="605"/>
      <c r="I333" s="593"/>
      <c r="J333" s="592" t="s">
        <v>424</v>
      </c>
    </row>
    <row r="334" spans="3:12" x14ac:dyDescent="0.2">
      <c r="C334" s="595" t="s">
        <v>398</v>
      </c>
      <c r="D334" s="593"/>
      <c r="E334" s="593"/>
      <c r="F334" s="605"/>
      <c r="G334" s="605"/>
      <c r="H334" s="605"/>
      <c r="I334" s="593"/>
      <c r="J334" s="606" t="s">
        <v>498</v>
      </c>
    </row>
    <row r="335" spans="3:12" x14ac:dyDescent="0.2">
      <c r="C335" s="595" t="s">
        <v>399</v>
      </c>
      <c r="D335" s="593"/>
      <c r="E335" s="593"/>
      <c r="F335" s="605"/>
      <c r="G335" s="605"/>
      <c r="H335" s="605"/>
      <c r="I335" s="593"/>
      <c r="J335" s="606" t="s">
        <v>766</v>
      </c>
    </row>
    <row r="336" spans="3:12" x14ac:dyDescent="0.2">
      <c r="C336" s="597"/>
      <c r="D336" s="607"/>
      <c r="E336" s="608"/>
      <c r="F336" s="609"/>
      <c r="G336" s="610"/>
      <c r="H336" s="610"/>
      <c r="I336" s="611"/>
      <c r="J336" s="611"/>
    </row>
    <row r="338" spans="1:10" x14ac:dyDescent="0.2">
      <c r="I338" s="233"/>
      <c r="J338" s="613" t="s">
        <v>185</v>
      </c>
    </row>
    <row r="339" spans="1:10" x14ac:dyDescent="0.2">
      <c r="I339" s="233"/>
      <c r="J339" s="613" t="s">
        <v>83</v>
      </c>
    </row>
    <row r="340" spans="1:10" x14ac:dyDescent="0.2">
      <c r="F340" s="614"/>
      <c r="G340" s="616"/>
      <c r="H340" s="616"/>
      <c r="I340" s="613" t="s">
        <v>301</v>
      </c>
      <c r="J340" s="617" t="s">
        <v>1107</v>
      </c>
    </row>
    <row r="341" spans="1:10" ht="13.5" thickBot="1" x14ac:dyDescent="0.25">
      <c r="C341" s="618" t="s">
        <v>87</v>
      </c>
      <c r="D341" s="618"/>
      <c r="E341" s="618"/>
      <c r="F341" s="619" t="s">
        <v>420</v>
      </c>
      <c r="G341" s="620" t="s">
        <v>82</v>
      </c>
      <c r="H341" s="620"/>
      <c r="I341" s="619" t="s">
        <v>212</v>
      </c>
      <c r="J341" s="619" t="s">
        <v>212</v>
      </c>
    </row>
    <row r="343" spans="1:10" x14ac:dyDescent="0.2">
      <c r="C343" s="623" t="s">
        <v>770</v>
      </c>
    </row>
    <row r="345" spans="1:10" x14ac:dyDescent="0.2">
      <c r="C345" s="624" t="s">
        <v>796</v>
      </c>
      <c r="D345" s="681"/>
    </row>
    <row r="346" spans="1:10" x14ac:dyDescent="0.2">
      <c r="C346" s="624"/>
      <c r="D346" s="797" t="s">
        <v>775</v>
      </c>
    </row>
    <row r="347" spans="1:10" x14ac:dyDescent="0.2">
      <c r="A347" s="57" t="s">
        <v>555</v>
      </c>
      <c r="C347" s="624"/>
      <c r="D347" s="543" t="s">
        <v>213</v>
      </c>
      <c r="F347" s="875">
        <f>SUMIF('12-MO Billed Summary ALL'!$C$8:$C$22,$A$347,'12-MO Billed Summary ALL'!$G$8:$G$22)</f>
        <v>0</v>
      </c>
      <c r="I347" s="629">
        <f>VLOOKUP($A$347,'Retail Rates'!$C$7:$P$40,3,FALSE)</f>
        <v>750</v>
      </c>
      <c r="J347" s="647">
        <f>+F347*I347</f>
        <v>0</v>
      </c>
    </row>
    <row r="348" spans="1:10" x14ac:dyDescent="0.2">
      <c r="D348" s="543" t="s">
        <v>1</v>
      </c>
      <c r="G348" s="677">
        <f>SUMIF('12-MO Billed Summary ALL'!$C$8:$C$22,$A$347,'12-MO Billed Summary ALL'!$K$8:$K$22)/10</f>
        <v>0</v>
      </c>
      <c r="I348" s="632">
        <f>VLOOKUP($A$347,'Retail Rates'!$C$7:$P$40,9,FALSE)</f>
        <v>0.29919999999999997</v>
      </c>
      <c r="J348" s="647">
        <f>ROUND(+G348*I348,2)</f>
        <v>0</v>
      </c>
    </row>
    <row r="349" spans="1:10" x14ac:dyDescent="0.2">
      <c r="D349" s="543" t="s">
        <v>168</v>
      </c>
      <c r="G349" s="677">
        <f>SUMIF('12-MO Billed Summary ALL'!$C$8:$C$22,$A$347,'12-MO Billed Summary ALL'!$P$8:$P$22)/10</f>
        <v>0</v>
      </c>
      <c r="I349" s="865">
        <f>VLOOKUP($A$347,'Retail Rates'!$C$7:$P$40,14,FALSE)</f>
        <v>10.9</v>
      </c>
      <c r="J349" s="647">
        <f>G349*I349</f>
        <v>0</v>
      </c>
    </row>
    <row r="350" spans="1:10" x14ac:dyDescent="0.2">
      <c r="D350" s="755" t="s">
        <v>392</v>
      </c>
      <c r="G350" s="677"/>
      <c r="J350" s="763">
        <f>SBR!BL97</f>
        <v>0</v>
      </c>
    </row>
    <row r="351" spans="1:10" x14ac:dyDescent="0.2">
      <c r="D351" s="624" t="s">
        <v>290</v>
      </c>
      <c r="G351" s="677"/>
      <c r="J351" s="669">
        <f>SUM(J347:J350)</f>
        <v>0</v>
      </c>
    </row>
    <row r="352" spans="1:10" x14ac:dyDescent="0.2">
      <c r="D352" s="57"/>
      <c r="G352" s="677"/>
      <c r="J352" s="57"/>
    </row>
    <row r="353" spans="3:10" x14ac:dyDescent="0.2">
      <c r="D353" s="655" t="s">
        <v>538</v>
      </c>
      <c r="G353" s="677"/>
      <c r="H353" s="656" t="s">
        <v>680</v>
      </c>
      <c r="I353" s="682">
        <v>0</v>
      </c>
      <c r="J353" s="669">
        <f>J351*I353</f>
        <v>0</v>
      </c>
    </row>
    <row r="354" spans="3:10" x14ac:dyDescent="0.2">
      <c r="D354" s="683"/>
      <c r="G354" s="677"/>
      <c r="I354" s="639"/>
      <c r="J354" s="676"/>
    </row>
    <row r="355" spans="3:10" x14ac:dyDescent="0.2">
      <c r="D355" s="543" t="s">
        <v>316</v>
      </c>
      <c r="G355" s="677"/>
      <c r="I355" s="639"/>
      <c r="J355" s="647">
        <f>SUMIF('12-MO Billed Summary ALL'!$C$8:$C$22,$A$347,'12-MO Billed Summary ALL'!$AK$8:$AK$22)+SUMIF('12-MO Billed Summary ALL'!$C$8:$C$22,$A$347,'12-MO Billed Summary ALL'!$AL$8:$AL$22)</f>
        <v>0</v>
      </c>
    </row>
    <row r="356" spans="3:10" x14ac:dyDescent="0.2">
      <c r="D356" s="631" t="s">
        <v>400</v>
      </c>
      <c r="G356" s="677"/>
      <c r="I356" s="639"/>
      <c r="J356" s="647">
        <f>SUMIF('12-MO Billed Summary ALL'!$C$8:$C$22,$A$347,'12-MO Billed Summary ALL'!$AI$8:$AI$22)</f>
        <v>0</v>
      </c>
    </row>
    <row r="357" spans="3:10" x14ac:dyDescent="0.2">
      <c r="D357" s="543" t="s">
        <v>401</v>
      </c>
      <c r="G357" s="677"/>
      <c r="I357" s="639"/>
      <c r="J357" s="647">
        <f>SUMIF('12-MO Billed Summary ALL'!$C$8:$C$22,$A$347,'12-MO Billed Summary ALL'!$AH$8:$AH$22)</f>
        <v>0</v>
      </c>
    </row>
    <row r="358" spans="3:10" x14ac:dyDescent="0.2">
      <c r="D358" s="631" t="s">
        <v>402</v>
      </c>
      <c r="G358" s="677"/>
      <c r="I358" s="639"/>
      <c r="J358" s="647">
        <f>SUMIF('12-MO Billed Summary ALL'!$C$8:$C$22,$A$347,'12-MO Billed Summary ALL'!$AJ$8:$AJ$22)</f>
        <v>0</v>
      </c>
    </row>
    <row r="359" spans="3:10" x14ac:dyDescent="0.2">
      <c r="D359" s="543" t="s">
        <v>650</v>
      </c>
      <c r="G359" s="677"/>
      <c r="I359" s="639"/>
      <c r="J359" s="647">
        <f>SUMIF('12-MO Billed Summary ALL'!$C$8:$C$22,$A$347,'12-MO Billed Summary ALL'!$AG$8:$AG$22)</f>
        <v>0</v>
      </c>
    </row>
    <row r="360" spans="3:10" x14ac:dyDescent="0.2">
      <c r="D360" s="683"/>
      <c r="G360" s="677"/>
      <c r="I360" s="639"/>
      <c r="J360" s="684"/>
    </row>
    <row r="361" spans="3:10" ht="13.5" thickBot="1" x14ac:dyDescent="0.25">
      <c r="D361" s="624" t="s">
        <v>663</v>
      </c>
      <c r="G361" s="677"/>
      <c r="I361" s="639"/>
      <c r="J361" s="679">
        <f>SUM(J353:J359)</f>
        <v>0</v>
      </c>
    </row>
    <row r="362" spans="3:10" ht="13.5" thickTop="1" x14ac:dyDescent="0.2">
      <c r="D362" s="624"/>
      <c r="G362" s="677"/>
      <c r="I362" s="639"/>
      <c r="J362" s="680"/>
    </row>
    <row r="364" spans="3:10" x14ac:dyDescent="0.2">
      <c r="C364" s="590" t="s">
        <v>397</v>
      </c>
      <c r="D364" s="593"/>
      <c r="E364" s="593"/>
      <c r="F364" s="605"/>
      <c r="G364" s="605"/>
      <c r="H364" s="605"/>
      <c r="I364" s="593"/>
      <c r="J364" s="592" t="s">
        <v>424</v>
      </c>
    </row>
    <row r="365" spans="3:10" x14ac:dyDescent="0.2">
      <c r="C365" s="595" t="s">
        <v>398</v>
      </c>
      <c r="D365" s="593"/>
      <c r="E365" s="593"/>
      <c r="F365" s="605"/>
      <c r="G365" s="605"/>
      <c r="H365" s="605"/>
      <c r="I365" s="593"/>
      <c r="J365" s="606" t="s">
        <v>498</v>
      </c>
    </row>
    <row r="366" spans="3:10" x14ac:dyDescent="0.2">
      <c r="C366" s="595" t="s">
        <v>399</v>
      </c>
      <c r="D366" s="593"/>
      <c r="E366" s="593"/>
      <c r="F366" s="605"/>
      <c r="G366" s="605"/>
      <c r="H366" s="605"/>
      <c r="I366" s="593"/>
      <c r="J366" s="606" t="s">
        <v>767</v>
      </c>
    </row>
    <row r="367" spans="3:10" x14ac:dyDescent="0.2">
      <c r="C367" s="597"/>
      <c r="D367" s="607"/>
      <c r="E367" s="608"/>
      <c r="F367" s="609"/>
      <c r="G367" s="610"/>
      <c r="H367" s="610"/>
      <c r="I367" s="611"/>
      <c r="J367" s="611"/>
    </row>
    <row r="369" spans="1:10" x14ac:dyDescent="0.2">
      <c r="I369" s="233"/>
      <c r="J369" s="613" t="s">
        <v>185</v>
      </c>
    </row>
    <row r="370" spans="1:10" x14ac:dyDescent="0.2">
      <c r="I370" s="233"/>
      <c r="J370" s="613" t="s">
        <v>83</v>
      </c>
    </row>
    <row r="371" spans="1:10" x14ac:dyDescent="0.2">
      <c r="F371" s="614"/>
      <c r="G371" s="616"/>
      <c r="H371" s="616"/>
      <c r="I371" s="613" t="s">
        <v>301</v>
      </c>
      <c r="J371" s="617" t="s">
        <v>1107</v>
      </c>
    </row>
    <row r="372" spans="1:10" ht="13.5" thickBot="1" x14ac:dyDescent="0.25">
      <c r="C372" s="618" t="s">
        <v>87</v>
      </c>
      <c r="D372" s="618"/>
      <c r="E372" s="618"/>
      <c r="F372" s="619" t="s">
        <v>420</v>
      </c>
      <c r="G372" s="620" t="s">
        <v>82</v>
      </c>
      <c r="H372" s="620"/>
      <c r="I372" s="619" t="s">
        <v>212</v>
      </c>
      <c r="J372" s="619" t="s">
        <v>212</v>
      </c>
    </row>
    <row r="374" spans="1:10" x14ac:dyDescent="0.2">
      <c r="C374" s="623" t="s">
        <v>769</v>
      </c>
    </row>
    <row r="376" spans="1:10" x14ac:dyDescent="0.2">
      <c r="C376" s="624" t="s">
        <v>768</v>
      </c>
      <c r="D376" s="681"/>
    </row>
    <row r="377" spans="1:10" x14ac:dyDescent="0.2">
      <c r="C377" s="624"/>
      <c r="D377" s="543" t="s">
        <v>371</v>
      </c>
      <c r="F377" s="875">
        <f>F379</f>
        <v>0</v>
      </c>
      <c r="I377" s="629">
        <v>550</v>
      </c>
      <c r="J377" s="647">
        <f>+F377*I377</f>
        <v>0</v>
      </c>
    </row>
    <row r="378" spans="1:10" x14ac:dyDescent="0.2">
      <c r="C378" s="624"/>
      <c r="D378" s="797" t="s">
        <v>775</v>
      </c>
    </row>
    <row r="379" spans="1:10" x14ac:dyDescent="0.2">
      <c r="A379" s="57" t="s">
        <v>551</v>
      </c>
      <c r="C379" s="624"/>
      <c r="D379" s="543" t="s">
        <v>213</v>
      </c>
      <c r="F379" s="677">
        <f>SUMIF('12-MO Billed Summary ALL'!$C$8:$C$22,$A$379,'12-MO Billed Summary ALL'!$G$8:$G$22)</f>
        <v>0</v>
      </c>
      <c r="I379" s="629">
        <f>VLOOKUP($A$379,'Retail Rates'!$C$7:$P$40,3,FALSE)</f>
        <v>750</v>
      </c>
      <c r="J379" s="647">
        <f>+F379*I379</f>
        <v>0</v>
      </c>
    </row>
    <row r="380" spans="1:10" x14ac:dyDescent="0.2">
      <c r="D380" s="543" t="s">
        <v>1</v>
      </c>
      <c r="G380" s="677">
        <f>SUMIF('12-MO Billed Summary ALL'!$C$8:$C$22,$A$379,'12-MO Billed Summary ALL'!$K$8:$K$22)/10</f>
        <v>0</v>
      </c>
      <c r="I380" s="632">
        <f>VLOOKUP($A$379,'Retail Rates'!$C$7:$P$40,9,FALSE)</f>
        <v>3.7999999999999999E-2</v>
      </c>
      <c r="J380" s="647">
        <f>ROUND(+G380*I380,2)</f>
        <v>0</v>
      </c>
    </row>
    <row r="381" spans="1:10" x14ac:dyDescent="0.2">
      <c r="D381" s="543" t="s">
        <v>168</v>
      </c>
      <c r="G381" s="677">
        <f>SUMIF('12-MO Billed Summary ALL'!$C$8:$C$22,$A$379,'12-MO Billed Summary ALL'!$P$8:$P$22)/10</f>
        <v>0</v>
      </c>
      <c r="I381" s="865">
        <f>VLOOKUP($A$379,'Retail Rates'!$C$7:$P$40,14,FALSE)</f>
        <v>4.8899999999999997</v>
      </c>
      <c r="J381" s="647">
        <f>G381*I381</f>
        <v>0</v>
      </c>
    </row>
    <row r="382" spans="1:10" x14ac:dyDescent="0.2">
      <c r="D382" s="755" t="s">
        <v>392</v>
      </c>
      <c r="G382" s="677"/>
      <c r="J382" s="763">
        <f>SBR!BL96</f>
        <v>0</v>
      </c>
    </row>
    <row r="383" spans="1:10" x14ac:dyDescent="0.2">
      <c r="D383" s="624" t="s">
        <v>290</v>
      </c>
      <c r="G383" s="677"/>
      <c r="J383" s="669">
        <f>SUM(J377:J382)</f>
        <v>0</v>
      </c>
    </row>
    <row r="384" spans="1:10" x14ac:dyDescent="0.2">
      <c r="D384" s="57"/>
      <c r="G384" s="677"/>
      <c r="J384" s="57"/>
    </row>
    <row r="385" spans="4:10" x14ac:dyDescent="0.2">
      <c r="D385" s="655" t="s">
        <v>538</v>
      </c>
      <c r="G385" s="677"/>
      <c r="H385" s="656" t="s">
        <v>680</v>
      </c>
      <c r="I385" s="682">
        <f>'Revenue Summary B'!O95</f>
        <v>0</v>
      </c>
      <c r="J385" s="669">
        <f>J383*I385</f>
        <v>0</v>
      </c>
    </row>
    <row r="386" spans="4:10" x14ac:dyDescent="0.2">
      <c r="D386" s="683"/>
      <c r="G386" s="677"/>
      <c r="I386" s="639"/>
      <c r="J386" s="676"/>
    </row>
    <row r="387" spans="4:10" x14ac:dyDescent="0.2">
      <c r="D387" s="543" t="s">
        <v>316</v>
      </c>
      <c r="G387" s="677"/>
      <c r="I387" s="639"/>
      <c r="J387" s="647">
        <f>SUMIF('12-MO Billed Summary ALL'!$C$8:$C$22,$A$379,'12-MO Billed Summary ALL'!$AK$8:$AK$22)+SUMIF('12-MO Billed Summary ALL'!$C$8:$C$22,$A$379,'12-MO Billed Summary ALL'!$AL$8:$AL$22)</f>
        <v>0</v>
      </c>
    </row>
    <row r="388" spans="4:10" x14ac:dyDescent="0.2">
      <c r="D388" s="631" t="s">
        <v>400</v>
      </c>
      <c r="G388" s="677"/>
      <c r="I388" s="639"/>
      <c r="J388" s="647">
        <f>SUMIF('12-MO Billed Summary ALL'!$C$8:$C$22,$A$379,'12-MO Billed Summary ALL'!$AI$8:$AI$22)</f>
        <v>0</v>
      </c>
    </row>
    <row r="389" spans="4:10" x14ac:dyDescent="0.2">
      <c r="D389" s="543" t="s">
        <v>401</v>
      </c>
      <c r="G389" s="677"/>
      <c r="I389" s="639"/>
      <c r="J389" s="647">
        <f>SUMIF('12-MO Billed Summary ALL'!$C$8:$C$22,$A$379,'12-MO Billed Summary ALL'!$AH$8:$AH$22)</f>
        <v>0</v>
      </c>
    </row>
    <row r="390" spans="4:10" x14ac:dyDescent="0.2">
      <c r="D390" s="631" t="s">
        <v>402</v>
      </c>
      <c r="G390" s="677"/>
      <c r="I390" s="639"/>
      <c r="J390" s="647">
        <f>SUMIF('12-MO Billed Summary ALL'!$C$8:$C$22,$A$379,'12-MO Billed Summary ALL'!$AJ$8:$AJ$22)</f>
        <v>0</v>
      </c>
    </row>
    <row r="391" spans="4:10" x14ac:dyDescent="0.2">
      <c r="D391" s="543" t="s">
        <v>650</v>
      </c>
      <c r="G391" s="677"/>
      <c r="I391" s="639"/>
      <c r="J391" s="647">
        <f>SUMIF('12-MO Billed Summary ALL'!$C$8:$C$22,$A$379,'12-MO Billed Summary ALL'!$AG$8:$AG$22)</f>
        <v>0</v>
      </c>
    </row>
    <row r="392" spans="4:10" x14ac:dyDescent="0.2">
      <c r="G392" s="677"/>
      <c r="I392" s="639"/>
    </row>
    <row r="393" spans="4:10" ht="13.5" thickBot="1" x14ac:dyDescent="0.25">
      <c r="D393" s="624" t="s">
        <v>662</v>
      </c>
      <c r="G393" s="677"/>
      <c r="I393" s="639"/>
      <c r="J393" s="679">
        <f>SUM(J385:J391)</f>
        <v>0</v>
      </c>
    </row>
    <row r="394" spans="4:10" ht="13.5" thickTop="1" x14ac:dyDescent="0.2"/>
  </sheetData>
  <mergeCells count="5">
    <mergeCell ref="C1:J1"/>
    <mergeCell ref="C2:J2"/>
    <mergeCell ref="C3:J3"/>
    <mergeCell ref="C4:J4"/>
    <mergeCell ref="C5:J5"/>
  </mergeCells>
  <printOptions horizontalCentered="1"/>
  <pageMargins left="0.75" right="0.75" top="1" bottom="0.5" header="0.75" footer="0.5"/>
  <pageSetup scale="72" fitToWidth="0" fitToHeight="0" orientation="landscape" r:id="rId1"/>
  <rowBreaks count="9" manualBreakCount="9">
    <brk id="36" max="16383" man="1"/>
    <brk id="88" min="2" max="9" man="1"/>
    <brk id="138" max="16383" man="1"/>
    <brk id="183" min="2" max="9" man="1"/>
    <brk id="222" min="2" max="9" man="1"/>
    <brk id="252" max="16383" man="1"/>
    <brk id="300" min="2" max="9" man="1"/>
    <brk id="331" max="16383" man="1"/>
    <brk id="362" min="2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>
    <tabColor theme="6" tint="0.39997558519241921"/>
    <pageSetUpPr fitToPage="1"/>
  </sheetPr>
  <dimension ref="A1:AE114"/>
  <sheetViews>
    <sheetView workbookViewId="0">
      <selection activeCell="E9" sqref="E9"/>
    </sheetView>
  </sheetViews>
  <sheetFormatPr defaultRowHeight="15" x14ac:dyDescent="0.25"/>
  <cols>
    <col min="1" max="1" width="21.7109375" style="57" customWidth="1"/>
    <col min="2" max="2" width="58.7109375" style="542" customWidth="1"/>
    <col min="3" max="3" width="3.28515625" style="542" customWidth="1"/>
    <col min="4" max="4" width="17.85546875" style="685" customWidth="1"/>
    <col min="5" max="5" width="19" style="685" customWidth="1"/>
    <col min="6" max="6" width="20.42578125" style="685" customWidth="1"/>
    <col min="7" max="9" width="16.7109375" style="685" customWidth="1"/>
    <col min="10" max="10" width="18.140625" style="685" customWidth="1"/>
    <col min="11" max="11" width="19" style="685" customWidth="1"/>
    <col min="12" max="12" width="2.7109375" style="686" customWidth="1"/>
    <col min="13" max="15" width="16.7109375" style="685" customWidth="1"/>
    <col min="16" max="16" width="25.42578125" style="542" hidden="1" customWidth="1"/>
    <col min="17" max="17" width="18.85546875" style="687" customWidth="1"/>
    <col min="18" max="19" width="18.85546875" customWidth="1"/>
    <col min="20" max="20" width="9.28515625" style="542" bestFit="1" customWidth="1"/>
    <col min="21" max="21" width="17.5703125" style="542" bestFit="1" customWidth="1"/>
    <col min="22" max="22" width="9.140625" style="542"/>
    <col min="23" max="23" width="16.42578125" style="542" customWidth="1"/>
    <col min="24" max="26" width="9.140625" style="542"/>
    <col min="27" max="16384" width="9.140625" style="57"/>
  </cols>
  <sheetData>
    <row r="1" spans="1:31" x14ac:dyDescent="0.25">
      <c r="AA1" s="542"/>
      <c r="AB1" s="542"/>
      <c r="AC1" s="542"/>
      <c r="AD1" s="542"/>
      <c r="AE1" s="542"/>
    </row>
    <row r="2" spans="1:31" x14ac:dyDescent="0.25">
      <c r="D2" s="688" t="s">
        <v>178</v>
      </c>
      <c r="E2" s="688" t="s">
        <v>179</v>
      </c>
      <c r="F2" s="688" t="s">
        <v>180</v>
      </c>
      <c r="G2" s="688" t="s">
        <v>181</v>
      </c>
      <c r="H2" s="688" t="s">
        <v>376</v>
      </c>
      <c r="I2" s="688"/>
      <c r="J2" s="688" t="s">
        <v>182</v>
      </c>
      <c r="K2" s="688" t="s">
        <v>183</v>
      </c>
      <c r="L2" s="689"/>
      <c r="M2" s="688" t="s">
        <v>305</v>
      </c>
      <c r="N2" s="688" t="s">
        <v>306</v>
      </c>
      <c r="O2" s="688" t="s">
        <v>175</v>
      </c>
      <c r="P2" s="690"/>
      <c r="Q2" s="691" t="s">
        <v>307</v>
      </c>
      <c r="U2" s="642"/>
      <c r="V2" s="642"/>
      <c r="W2" s="642"/>
      <c r="X2" s="642"/>
      <c r="Y2" s="642"/>
      <c r="Z2" s="642"/>
      <c r="AA2" s="642"/>
      <c r="AB2" s="642"/>
      <c r="AC2" s="542"/>
      <c r="AD2" s="542"/>
      <c r="AE2" s="542"/>
    </row>
    <row r="3" spans="1:31" x14ac:dyDescent="0.25">
      <c r="E3" s="542"/>
      <c r="H3" s="692"/>
      <c r="I3" s="692"/>
      <c r="J3" s="692"/>
      <c r="K3" s="692"/>
      <c r="L3" s="693"/>
      <c r="U3" s="642"/>
      <c r="V3" s="642"/>
      <c r="W3" s="642"/>
      <c r="X3" s="642"/>
      <c r="Y3" s="642"/>
      <c r="Z3" s="642"/>
      <c r="AA3" s="642"/>
      <c r="AB3" s="642"/>
      <c r="AC3" s="542"/>
      <c r="AD3" s="542"/>
      <c r="AE3" s="542"/>
    </row>
    <row r="4" spans="1:31" s="7" customFormat="1" x14ac:dyDescent="0.25">
      <c r="B4" s="671"/>
      <c r="C4" s="671"/>
      <c r="D4" s="694"/>
      <c r="E4" s="694" t="s">
        <v>184</v>
      </c>
      <c r="F4" s="694" t="s">
        <v>172</v>
      </c>
      <c r="G4" s="694" t="s">
        <v>174</v>
      </c>
      <c r="H4" s="671"/>
      <c r="I4" s="671"/>
      <c r="J4" s="671"/>
      <c r="K4" s="694"/>
      <c r="L4" s="695"/>
      <c r="M4" s="694"/>
      <c r="N4" s="696" t="s">
        <v>185</v>
      </c>
      <c r="O4" s="694"/>
      <c r="P4" s="671"/>
      <c r="Q4" s="697"/>
      <c r="R4"/>
      <c r="S4"/>
      <c r="T4" s="671"/>
      <c r="U4" s="674"/>
      <c r="V4" s="674"/>
      <c r="W4" s="674"/>
      <c r="X4" s="674"/>
      <c r="Y4" s="674"/>
      <c r="Z4" s="674"/>
      <c r="AA4" s="674"/>
      <c r="AB4" s="674"/>
      <c r="AC4" s="671"/>
      <c r="AD4" s="671"/>
      <c r="AE4" s="671"/>
    </row>
    <row r="5" spans="1:31" s="7" customFormat="1" x14ac:dyDescent="0.25">
      <c r="B5" s="671"/>
      <c r="C5" s="671"/>
      <c r="D5" s="694" t="s">
        <v>83</v>
      </c>
      <c r="E5" s="694" t="s">
        <v>112</v>
      </c>
      <c r="F5" s="694" t="s">
        <v>186</v>
      </c>
      <c r="G5" s="694" t="s">
        <v>187</v>
      </c>
      <c r="H5" s="694" t="s">
        <v>174</v>
      </c>
      <c r="I5" s="694" t="s">
        <v>174</v>
      </c>
      <c r="J5" s="694" t="s">
        <v>174</v>
      </c>
      <c r="K5" s="694" t="s">
        <v>176</v>
      </c>
      <c r="L5" s="695"/>
      <c r="M5" s="696" t="s">
        <v>176</v>
      </c>
      <c r="N5" s="696" t="s">
        <v>176</v>
      </c>
      <c r="O5" s="696" t="s">
        <v>681</v>
      </c>
      <c r="P5" s="671"/>
      <c r="Q5" s="697"/>
      <c r="R5"/>
      <c r="S5"/>
      <c r="T5" s="671"/>
      <c r="U5" s="674"/>
      <c r="V5" s="674"/>
      <c r="W5" s="674"/>
      <c r="X5" s="674"/>
      <c r="Y5" s="674"/>
      <c r="Z5" s="674"/>
      <c r="AA5" s="674"/>
      <c r="AB5" s="674"/>
      <c r="AC5" s="671"/>
      <c r="AD5" s="671"/>
      <c r="AE5" s="671"/>
    </row>
    <row r="6" spans="1:31" s="7" customFormat="1" x14ac:dyDescent="0.25">
      <c r="B6" s="699"/>
      <c r="C6" s="699"/>
      <c r="D6" s="694" t="s">
        <v>188</v>
      </c>
      <c r="E6" s="694" t="s">
        <v>189</v>
      </c>
      <c r="F6" s="694" t="s">
        <v>190</v>
      </c>
      <c r="G6" s="694" t="s">
        <v>191</v>
      </c>
      <c r="H6" s="694" t="s">
        <v>171</v>
      </c>
      <c r="I6" s="694" t="s">
        <v>652</v>
      </c>
      <c r="J6" s="694" t="s">
        <v>316</v>
      </c>
      <c r="K6" s="694" t="s">
        <v>83</v>
      </c>
      <c r="L6" s="700"/>
      <c r="M6" s="696" t="s">
        <v>83</v>
      </c>
      <c r="N6" s="696" t="s">
        <v>83</v>
      </c>
      <c r="O6" s="696" t="s">
        <v>192</v>
      </c>
      <c r="P6" s="671"/>
      <c r="Q6" s="698" t="s">
        <v>373</v>
      </c>
      <c r="R6"/>
      <c r="S6"/>
      <c r="T6" s="671"/>
      <c r="U6" s="674"/>
      <c r="V6" s="674"/>
      <c r="W6" s="674"/>
      <c r="X6" s="674"/>
      <c r="Y6" s="674"/>
      <c r="Z6" s="674"/>
      <c r="AA6" s="674"/>
      <c r="AB6" s="674"/>
      <c r="AC6" s="671"/>
      <c r="AD6" s="671"/>
      <c r="AE6" s="671"/>
    </row>
    <row r="7" spans="1:31" s="7" customFormat="1" x14ac:dyDescent="0.25">
      <c r="B7" s="699"/>
      <c r="C7" s="699"/>
      <c r="D7" s="701" t="s">
        <v>193</v>
      </c>
      <c r="E7" s="702" t="s">
        <v>162</v>
      </c>
      <c r="F7" s="702" t="s">
        <v>162</v>
      </c>
      <c r="G7" s="701" t="s">
        <v>162</v>
      </c>
      <c r="H7" s="701" t="s">
        <v>162</v>
      </c>
      <c r="I7" s="701" t="s">
        <v>162</v>
      </c>
      <c r="J7" s="701" t="s">
        <v>162</v>
      </c>
      <c r="K7" s="703" t="s">
        <v>423</v>
      </c>
      <c r="L7" s="700"/>
      <c r="M7" s="701" t="s">
        <v>194</v>
      </c>
      <c r="N7" s="701" t="s">
        <v>195</v>
      </c>
      <c r="O7" s="704" t="s">
        <v>682</v>
      </c>
      <c r="P7" s="671"/>
      <c r="Q7" s="705"/>
      <c r="R7"/>
      <c r="S7"/>
      <c r="T7" s="671"/>
      <c r="U7" s="674"/>
      <c r="V7" s="674"/>
      <c r="W7" s="674"/>
      <c r="X7" s="674"/>
      <c r="Y7" s="674"/>
      <c r="Z7" s="674"/>
      <c r="AA7" s="674"/>
      <c r="AB7" s="674"/>
      <c r="AC7" s="671"/>
      <c r="AD7" s="671"/>
      <c r="AE7" s="671"/>
    </row>
    <row r="8" spans="1:31" x14ac:dyDescent="0.25">
      <c r="B8" s="542" t="s">
        <v>196</v>
      </c>
      <c r="U8" s="642"/>
      <c r="V8" s="642"/>
      <c r="W8" s="642"/>
      <c r="X8" s="642"/>
      <c r="Y8" s="642"/>
      <c r="Z8" s="706"/>
      <c r="AA8" s="642"/>
      <c r="AB8" s="642"/>
      <c r="AC8" s="542"/>
      <c r="AD8" s="542"/>
      <c r="AE8" s="542"/>
    </row>
    <row r="9" spans="1:31" x14ac:dyDescent="0.25">
      <c r="U9" s="642"/>
      <c r="V9" s="642"/>
      <c r="W9" s="642"/>
      <c r="X9" s="642"/>
      <c r="Y9" s="642"/>
      <c r="Z9" s="642"/>
      <c r="AA9" s="642"/>
      <c r="AB9" s="642"/>
      <c r="AC9" s="542"/>
      <c r="AD9" s="542"/>
      <c r="AE9" s="542"/>
    </row>
    <row r="10" spans="1:31" x14ac:dyDescent="0.25">
      <c r="A10" s="57" t="s">
        <v>62</v>
      </c>
      <c r="B10" s="542" t="s">
        <v>747</v>
      </c>
      <c r="D10" s="540">
        <f>SBR!F9</f>
        <v>233422200.47</v>
      </c>
      <c r="E10" s="540">
        <f>SUMIF('12-MO Billed Summary ALL'!$C$8:$C$46,$A10,'12-MO Billed Summary ALL'!$AI$8:$AI$46)</f>
        <v>74275617.716191456</v>
      </c>
      <c r="F10" s="540">
        <f>D10-E10</f>
        <v>159146582.75380856</v>
      </c>
      <c r="G10" s="540">
        <f>SUMIF('12-MO Billed Summary ALL'!$C$8:$C$46,$A10,'12-MO Billed Summary ALL'!$AH$8:$AH$46)</f>
        <v>443138.73494988779</v>
      </c>
      <c r="H10" s="711">
        <f>SUMIF('12-MO Billed Summary ALL'!$C$8:$C$46,$A10,'12-MO Billed Summary ALL'!$AJ$8:$AJ$46)</f>
        <v>1061031.6299999999</v>
      </c>
      <c r="I10" s="540">
        <f>SUMIF('12-MO Billed Summary ALL'!$C$8:$C$46,$A10,'12-MO Billed Summary ALL'!$AG$8:$AG$46)</f>
        <v>-229.02999999999997</v>
      </c>
      <c r="J10" s="540">
        <f>SUMIF('12-MO Billed Summary ALL'!$C$8:$C$46,$A10,'12-MO Billed Summary ALL'!$AK$8:$AK$46)+SUMIF('12-MO Billed Summary ALL'!$C$8:$C$46,$A10,'12-MO Billed Summary ALL'!$AL$8:$AL$46)</f>
        <v>9943587.1545493864</v>
      </c>
      <c r="K10" s="540"/>
      <c r="L10" s="555"/>
      <c r="M10" s="540"/>
      <c r="N10" s="540"/>
      <c r="O10" s="540"/>
      <c r="P10" s="540"/>
      <c r="Q10" s="555"/>
      <c r="U10" s="686"/>
      <c r="V10" s="642"/>
      <c r="W10" s="707"/>
      <c r="X10" s="642"/>
      <c r="Y10" s="642"/>
      <c r="Z10" s="642"/>
      <c r="AA10" s="642"/>
      <c r="AB10" s="642"/>
      <c r="AC10" s="542"/>
      <c r="AD10" s="542"/>
      <c r="AE10" s="542"/>
    </row>
    <row r="11" spans="1:31" x14ac:dyDescent="0.25">
      <c r="B11" s="633" t="s">
        <v>197</v>
      </c>
      <c r="C11" s="633"/>
      <c r="D11" s="708">
        <f>D10</f>
        <v>233422200.47</v>
      </c>
      <c r="E11" s="708">
        <f>E10</f>
        <v>74275617.716191456</v>
      </c>
      <c r="F11" s="708">
        <f>D11-E11</f>
        <v>159146582.75380856</v>
      </c>
      <c r="G11" s="708">
        <f>SUM(G10:G10)</f>
        <v>443138.73494988779</v>
      </c>
      <c r="H11" s="711">
        <f>H10</f>
        <v>1061031.6299999999</v>
      </c>
      <c r="I11" s="708">
        <f>I10</f>
        <v>-229.02999999999997</v>
      </c>
      <c r="J11" s="708">
        <f>J10</f>
        <v>9943587.1545493864</v>
      </c>
      <c r="K11" s="708">
        <f>ROUND(F11-G11-H11-I11-J11,0)</f>
        <v>147699054</v>
      </c>
      <c r="M11" s="708">
        <f>K11</f>
        <v>147699054</v>
      </c>
      <c r="N11" s="708">
        <f>'Sch M-1.3 Pg. 2-11'!J25</f>
        <v>147699054.26838648</v>
      </c>
      <c r="O11" s="709">
        <f>M11/N11</f>
        <v>0.99999999818288288</v>
      </c>
      <c r="P11" s="555"/>
      <c r="Q11" s="708">
        <f>M11-N11</f>
        <v>-0.26838648319244385</v>
      </c>
      <c r="U11" s="686"/>
      <c r="V11" s="686"/>
      <c r="W11" s="686"/>
      <c r="X11" s="642"/>
      <c r="Y11" s="642"/>
      <c r="Z11" s="642"/>
      <c r="AA11" s="642"/>
      <c r="AB11" s="642"/>
      <c r="AC11" s="542"/>
      <c r="AD11" s="542"/>
      <c r="AE11" s="542"/>
    </row>
    <row r="12" spans="1:31" x14ac:dyDescent="0.25">
      <c r="B12" s="633"/>
      <c r="C12" s="633"/>
      <c r="D12" s="540"/>
      <c r="E12" s="540"/>
      <c r="F12" s="540"/>
      <c r="G12" s="540"/>
      <c r="H12" s="540"/>
      <c r="I12" s="540"/>
      <c r="J12" s="540"/>
      <c r="K12" s="540"/>
      <c r="M12" s="540"/>
      <c r="N12" s="540"/>
      <c r="O12" s="540"/>
      <c r="P12" s="555"/>
      <c r="Q12" s="555"/>
      <c r="U12" s="686"/>
      <c r="V12" s="642"/>
      <c r="W12" s="642"/>
      <c r="X12" s="642"/>
      <c r="Y12" s="642"/>
      <c r="Z12" s="642"/>
      <c r="AA12" s="642"/>
      <c r="AB12" s="642"/>
      <c r="AC12" s="542"/>
      <c r="AD12" s="542"/>
      <c r="AE12" s="542"/>
    </row>
    <row r="13" spans="1:31" x14ac:dyDescent="0.25">
      <c r="A13" s="57" t="s">
        <v>56</v>
      </c>
      <c r="B13" s="542" t="s">
        <v>198</v>
      </c>
      <c r="D13" s="540">
        <f>SBR!F17</f>
        <v>97394522.439195991</v>
      </c>
      <c r="E13" s="540">
        <f>SUMIF('12-MO Billed Summary ALL'!$C$8:$C$46,$A13,'12-MO Billed Summary ALL'!$AI$8:$AI$46)</f>
        <v>38276221.246945404</v>
      </c>
      <c r="F13" s="555">
        <f>D13-E13</f>
        <v>59118301.192250587</v>
      </c>
      <c r="G13" s="540">
        <f>SUMIF('12-MO Billed Summary ALL'!$C$8:$C$46,$A13,'12-MO Billed Summary ALL'!$AH$8:$AH$46)</f>
        <v>322510.86833061429</v>
      </c>
      <c r="H13" s="540">
        <f>SUMIF('12-MO Billed Summary ALL'!$C$8:$C$46,$A13,'12-MO Billed Summary ALL'!$AJ$8:$AJ$46)</f>
        <v>398441.93999999994</v>
      </c>
      <c r="I13" s="540">
        <f>SUMIF('12-MO Billed Summary ALL'!$C$8:$C$46,$A13,'12-MO Billed Summary ALL'!$AG$8:$AG$46)</f>
        <v>0.81</v>
      </c>
      <c r="J13" s="540">
        <f>SUMIF('12-MO Billed Summary ALL'!$C$8:$C$46,$A13,'12-MO Billed Summary ALL'!$AK$8:$AK$46)+SUMIF('12-MO Billed Summary ALL'!$C$8:$C$46,$A13,'12-MO Billed Summary ALL'!$AL$8:$AL$46)</f>
        <v>4167245.3717866219</v>
      </c>
      <c r="K13" s="540"/>
      <c r="M13" s="540"/>
      <c r="N13" s="540"/>
      <c r="O13" s="540"/>
      <c r="P13" s="540"/>
      <c r="Q13" s="540"/>
      <c r="U13" s="686"/>
      <c r="V13" s="642"/>
      <c r="W13" s="707"/>
      <c r="X13" s="642"/>
      <c r="Y13" s="642"/>
      <c r="Z13" s="642"/>
      <c r="AA13" s="642"/>
      <c r="AB13" s="642"/>
      <c r="AC13" s="542"/>
      <c r="AD13" s="542"/>
      <c r="AE13" s="542"/>
    </row>
    <row r="14" spans="1:31" x14ac:dyDescent="0.25">
      <c r="A14" s="710" t="s">
        <v>546</v>
      </c>
      <c r="B14" s="542" t="s">
        <v>199</v>
      </c>
      <c r="D14" s="540">
        <f>SBR!F60+SBR!F61</f>
        <v>0</v>
      </c>
      <c r="E14" s="540">
        <f>SUMIF('12-MO Billed Summary ALL'!$C$8:$C$46,$A14,'12-MO Billed Summary ALL'!$AI$8:$AI$46)</f>
        <v>0</v>
      </c>
      <c r="F14" s="555">
        <f>D14-E14</f>
        <v>0</v>
      </c>
      <c r="G14" s="540">
        <f>SUMIF('12-MO Billed Summary ALL'!$C$8:$C$46,$A14,'12-MO Billed Summary ALL'!$AH$8:$AH$46)</f>
        <v>0</v>
      </c>
      <c r="H14" s="540">
        <f>SUMIF('12-MO Billed Summary ALL'!$C$8:$C$46,$A14,'12-MO Billed Summary ALL'!$AJ$8:$AJ$46)</f>
        <v>0</v>
      </c>
      <c r="I14" s="540">
        <f>SUMIF('12-MO Billed Summary ALL'!$C$8:$C$46,$A14,'12-MO Billed Summary ALL'!$AG$8:$AG$46)</f>
        <v>0</v>
      </c>
      <c r="J14" s="540">
        <f>SUMIF('12-MO Billed Summary ALL'!$C$8:$C$46,$A14,'12-MO Billed Summary ALL'!$AK$8:$AK$46)+SUMIF('12-MO Billed Summary ALL'!$C$8:$C$46,$A14,'12-MO Billed Summary ALL'!$AL$8:$AL$46)</f>
        <v>0</v>
      </c>
      <c r="K14" s="540"/>
      <c r="M14" s="540"/>
      <c r="N14" s="540"/>
      <c r="O14" s="540"/>
      <c r="P14" s="540"/>
      <c r="Q14" s="555"/>
      <c r="U14" s="686"/>
      <c r="V14" s="642"/>
      <c r="W14" s="707"/>
      <c r="X14" s="642"/>
      <c r="Y14" s="642"/>
      <c r="Z14" s="642"/>
      <c r="AA14" s="642"/>
      <c r="AB14" s="642"/>
      <c r="AC14" s="542"/>
      <c r="AD14" s="542"/>
      <c r="AE14" s="542"/>
    </row>
    <row r="15" spans="1:31" x14ac:dyDescent="0.25">
      <c r="B15" s="633" t="s">
        <v>200</v>
      </c>
      <c r="C15" s="633"/>
      <c r="D15" s="708">
        <f>SUM(D13:D14)</f>
        <v>97394522.439195991</v>
      </c>
      <c r="E15" s="708">
        <f>SUM(E13:E14)</f>
        <v>38276221.246945404</v>
      </c>
      <c r="F15" s="708">
        <f>D15-E15</f>
        <v>59118301.192250587</v>
      </c>
      <c r="G15" s="708">
        <f>SUM(G13:G14)</f>
        <v>322510.86833061429</v>
      </c>
      <c r="H15" s="708">
        <f>SUM(H13:H14)</f>
        <v>398441.93999999994</v>
      </c>
      <c r="I15" s="708">
        <f>SUM(I13:I14)</f>
        <v>0.81</v>
      </c>
      <c r="J15" s="708">
        <f>SUM(J13:J14)</f>
        <v>4167245.3717866219</v>
      </c>
      <c r="K15" s="708">
        <f>F15-G15-H15-I15-J15</f>
        <v>54230102.20213335</v>
      </c>
      <c r="M15" s="708">
        <f>K15</f>
        <v>54230102.20213335</v>
      </c>
      <c r="N15" s="708">
        <f>'Sch M-1.3 Pg. 2-11'!J59</f>
        <v>54230090.335424915</v>
      </c>
      <c r="O15" s="709">
        <f>M15/N15</f>
        <v>1.0000002188214765</v>
      </c>
      <c r="P15" s="555"/>
      <c r="Q15" s="708">
        <f>M15-N15</f>
        <v>11.866708435118198</v>
      </c>
      <c r="T15" s="712"/>
      <c r="U15" s="686"/>
      <c r="V15" s="686"/>
      <c r="W15" s="686"/>
      <c r="X15" s="642"/>
      <c r="Y15" s="642"/>
      <c r="Z15" s="642"/>
      <c r="AA15" s="642"/>
      <c r="AB15" s="642"/>
      <c r="AC15" s="542"/>
      <c r="AD15" s="542"/>
      <c r="AE15" s="542"/>
    </row>
    <row r="16" spans="1:31" x14ac:dyDescent="0.25">
      <c r="B16" s="633"/>
      <c r="C16" s="633"/>
      <c r="D16" s="540"/>
      <c r="E16" s="540"/>
      <c r="F16" s="540"/>
      <c r="G16" s="540"/>
      <c r="H16" s="540"/>
      <c r="I16" s="540"/>
      <c r="J16" s="540"/>
      <c r="K16" s="540"/>
      <c r="M16" s="540"/>
      <c r="N16" s="540"/>
      <c r="O16" s="540"/>
      <c r="P16" s="555"/>
      <c r="Q16" s="555"/>
      <c r="U16" s="686"/>
      <c r="V16" s="642"/>
      <c r="W16" s="642"/>
      <c r="X16" s="642"/>
      <c r="Y16" s="642"/>
      <c r="Z16" s="642"/>
      <c r="AA16" s="642"/>
      <c r="AB16" s="642"/>
      <c r="AC16" s="542"/>
      <c r="AD16" s="542"/>
      <c r="AE16" s="542"/>
    </row>
    <row r="17" spans="1:31" x14ac:dyDescent="0.25">
      <c r="A17" s="713" t="s">
        <v>59</v>
      </c>
      <c r="B17" s="542" t="s">
        <v>201</v>
      </c>
      <c r="D17" s="540">
        <f>SBR!F23</f>
        <v>7018655.691722</v>
      </c>
      <c r="E17" s="540">
        <f>SUMIF('12-MO Billed Summary ALL'!$C$8:$C$46,$A17,'12-MO Billed Summary ALL'!$AI$8:$AI$46)</f>
        <v>3359297.9420173094</v>
      </c>
      <c r="F17" s="555">
        <f>D17-E17</f>
        <v>3659357.7497046907</v>
      </c>
      <c r="G17" s="540">
        <f>SUMIF('12-MO Billed Summary ALL'!$C$8:$C$46,$A17,'12-MO Billed Summary ALL'!$AH$8:$AH$46)</f>
        <v>1030.76</v>
      </c>
      <c r="H17" s="540">
        <f>SUMIF('12-MO Billed Summary ALL'!$C$8:$C$46,$A17,'12-MO Billed Summary ALL'!$AJ$8:$AJ$46)</f>
        <v>0</v>
      </c>
      <c r="I17" s="540">
        <f>SUMIF('12-MO Billed Summary ALL'!$C$8:$C$46,$A17,'12-MO Billed Summary ALL'!$AG$8:$AG$46)</f>
        <v>0</v>
      </c>
      <c r="J17" s="540">
        <f>SUMIF('12-MO Billed Summary ALL'!$C$8:$C$46,$A17,'12-MO Billed Summary ALL'!$AK$8:$AK$46)+SUMIF('12-MO Billed Summary ALL'!$C$8:$C$46,$A17,'12-MO Billed Summary ALL'!$AL$8:$AL$46)</f>
        <v>429925.31248895614</v>
      </c>
      <c r="K17" s="540">
        <f>F17-G17-H17-I17-J17</f>
        <v>3228401.6772157345</v>
      </c>
      <c r="M17" s="540">
        <f>K17</f>
        <v>3228401.6772157345</v>
      </c>
      <c r="N17" s="540">
        <f>'Sch M-1.3 Pg. 2-11'!J111</f>
        <v>3228409.3369366033</v>
      </c>
      <c r="O17" s="714">
        <f>M17/N17</f>
        <v>0.99999762740096765</v>
      </c>
      <c r="P17" s="540"/>
      <c r="Q17" s="540">
        <f>M17-N17</f>
        <v>-7.6597208688035607</v>
      </c>
      <c r="U17" s="686"/>
      <c r="V17" s="642"/>
      <c r="W17" s="707"/>
      <c r="X17" s="642"/>
      <c r="Y17" s="642"/>
      <c r="Z17" s="642"/>
      <c r="AA17" s="642"/>
      <c r="AB17" s="642"/>
      <c r="AC17" s="542"/>
      <c r="AD17" s="542"/>
      <c r="AE17" s="542"/>
    </row>
    <row r="18" spans="1:31" x14ac:dyDescent="0.25">
      <c r="A18" s="710" t="s">
        <v>549</v>
      </c>
      <c r="B18" s="542" t="s">
        <v>202</v>
      </c>
      <c r="D18" s="540">
        <f>SUM(SBR!F62:'SBR'!F64)</f>
        <v>1004590.1751598432</v>
      </c>
      <c r="E18" s="540">
        <f>SUMIF('12-MO Billed Summary ALL'!$C$8:$C$46,$A18,'12-MO Billed Summary ALL'!$AI$8:$AI$46)</f>
        <v>140388.48000000001</v>
      </c>
      <c r="F18" s="555">
        <f>D18-E18</f>
        <v>864201.69515984319</v>
      </c>
      <c r="G18" s="540">
        <f>SUMIF('12-MO Billed Summary ALL'!$C$8:$C$46,$A18,'12-MO Billed Summary ALL'!$AH$8:$AH$46)</f>
        <v>452.55</v>
      </c>
      <c r="H18" s="540">
        <f>SUMIF('12-MO Billed Summary ALL'!$C$8:$C$46,$A18,'12-MO Billed Summary ALL'!$AJ$8:$AJ$46)</f>
        <v>0</v>
      </c>
      <c r="I18" s="540">
        <f>SUMIF('12-MO Billed Summary ALL'!$C$8:$C$46,$A18,'12-MO Billed Summary ALL'!$AG$8:$AG$46)</f>
        <v>0</v>
      </c>
      <c r="J18" s="540">
        <f>SUMIF('12-MO Billed Summary ALL'!$C$8:$C$46,$A18,'12-MO Billed Summary ALL'!$AK$8:$AK$46)+SUMIF('12-MO Billed Summary ALL'!$C$8:$C$46,$A18,'12-MO Billed Summary ALL'!$AL$8:$AL$46)</f>
        <v>56728.118812913817</v>
      </c>
      <c r="K18" s="540">
        <f>F18-G18-H18-I18-J18</f>
        <v>807021.02634692937</v>
      </c>
      <c r="M18" s="540">
        <f>K18</f>
        <v>807021.02634692937</v>
      </c>
      <c r="N18" s="540">
        <f ca="1">'Sch M-1.3 Pg. 2-11'!J124</f>
        <v>807021.02665436035</v>
      </c>
      <c r="O18" s="714">
        <f ca="1">M18/N18</f>
        <v>0.99999999961905461</v>
      </c>
      <c r="P18" s="540"/>
      <c r="Q18" s="555">
        <f ca="1">M18-N18</f>
        <v>-3.0743097886443138E-4</v>
      </c>
      <c r="U18" s="686"/>
      <c r="V18" s="642"/>
      <c r="W18" s="707"/>
      <c r="X18" s="642"/>
      <c r="Y18" s="642"/>
      <c r="Z18" s="642"/>
      <c r="AA18" s="642"/>
      <c r="AB18" s="642"/>
      <c r="AC18" s="542"/>
      <c r="AD18" s="542"/>
      <c r="AE18" s="542"/>
    </row>
    <row r="19" spans="1:31" x14ac:dyDescent="0.25">
      <c r="A19" s="713"/>
      <c r="B19" s="633" t="s">
        <v>203</v>
      </c>
      <c r="C19" s="633"/>
      <c r="D19" s="708">
        <f>SUM(D17:D18)</f>
        <v>8023245.8668818437</v>
      </c>
      <c r="E19" s="708">
        <f>SUM(E17:E18)</f>
        <v>3499686.4220173093</v>
      </c>
      <c r="F19" s="708">
        <f>D19-E19</f>
        <v>4523559.4448645338</v>
      </c>
      <c r="G19" s="708">
        <f>SUM(G17:G18)</f>
        <v>1483.31</v>
      </c>
      <c r="H19" s="708">
        <f>SUM(H17:H18)</f>
        <v>0</v>
      </c>
      <c r="I19" s="708">
        <f>SUM(I17:I18)</f>
        <v>0</v>
      </c>
      <c r="J19" s="708">
        <f>SUM(J17:J18)</f>
        <v>486653.43130186998</v>
      </c>
      <c r="K19" s="708">
        <f>F19-G19-H19-I19-J19</f>
        <v>4035422.7035626643</v>
      </c>
      <c r="M19" s="708">
        <f>K19</f>
        <v>4035422.7035626643</v>
      </c>
      <c r="N19" s="708">
        <f ca="1">'Sch M-1.3 Pg. 2-11'!J111+'Sch M-1.3 Pg. 2-11'!J124</f>
        <v>4035430.3635909637</v>
      </c>
      <c r="O19" s="709">
        <f ca="1">M19/N19</f>
        <v>0.99999810180634796</v>
      </c>
      <c r="P19" s="555"/>
      <c r="Q19" s="708">
        <f ca="1">M19-N19</f>
        <v>-7.6600282993167639</v>
      </c>
      <c r="U19" s="686"/>
      <c r="V19" s="642"/>
      <c r="W19" s="686"/>
      <c r="X19" s="642"/>
      <c r="Y19" s="642"/>
      <c r="Z19" s="642"/>
      <c r="AA19" s="642"/>
      <c r="AB19" s="642"/>
      <c r="AC19" s="542"/>
      <c r="AD19" s="542"/>
      <c r="AE19" s="542"/>
    </row>
    <row r="20" spans="1:31" x14ac:dyDescent="0.25">
      <c r="A20" s="713"/>
      <c r="B20" s="633"/>
      <c r="C20" s="633"/>
      <c r="D20" s="540"/>
      <c r="E20" s="540"/>
      <c r="F20" s="540"/>
      <c r="G20" s="540"/>
      <c r="H20" s="540"/>
      <c r="I20" s="540"/>
      <c r="J20" s="540"/>
      <c r="K20" s="555"/>
      <c r="M20" s="540"/>
      <c r="N20" s="540"/>
      <c r="O20" s="540"/>
      <c r="P20" s="555"/>
      <c r="Q20" s="555"/>
      <c r="U20" s="686"/>
      <c r="V20" s="642"/>
      <c r="W20" s="642"/>
      <c r="X20" s="642"/>
      <c r="Y20" s="642"/>
      <c r="Z20" s="642"/>
      <c r="AA20" s="642"/>
      <c r="AB20" s="642"/>
      <c r="AC20" s="542"/>
      <c r="AD20" s="542"/>
      <c r="AE20" s="542"/>
    </row>
    <row r="21" spans="1:31" x14ac:dyDescent="0.25">
      <c r="A21" s="713" t="s">
        <v>223</v>
      </c>
      <c r="B21" s="542" t="s">
        <v>204</v>
      </c>
      <c r="D21" s="540">
        <f>SBR!F39</f>
        <v>393253.77000000008</v>
      </c>
      <c r="E21" s="540">
        <f>SUMIF('12-MO Billed Summary ALL'!$C$8:$C$46,$A21,'12-MO Billed Summary ALL'!$AI$8:$AI$46)</f>
        <v>265064.17219336599</v>
      </c>
      <c r="F21" s="555">
        <f>D21-E21</f>
        <v>128189.59780663409</v>
      </c>
      <c r="G21" s="540">
        <f>SUMIF('12-MO Billed Summary ALL'!$C$8:$C$46,$A21,'12-MO Billed Summary ALL'!$AH$8:$AH$46)</f>
        <v>2503.9626545083433</v>
      </c>
      <c r="H21" s="540">
        <f>SUMIF('12-MO Billed Summary ALL'!$C$8:$C$46,$A21,'12-MO Billed Summary ALL'!$AJ$8:$AJ$46)</f>
        <v>0</v>
      </c>
      <c r="I21" s="540">
        <f>SUMIF('12-MO Billed Summary ALL'!$C$8:$C$46,$A21,'12-MO Billed Summary ALL'!$AG$8:$AG$46)</f>
        <v>0</v>
      </c>
      <c r="J21" s="540">
        <f>SUMIF('12-MO Billed Summary ALL'!$C$8:$C$46,$A21,'12-MO Billed Summary ALL'!$AK$8:$AK$46)+SUMIF('12-MO Billed Summary ALL'!$C$8:$C$46,$A21,'12-MO Billed Summary ALL'!$AL$8:$AL$46)</f>
        <v>19948.579042538589</v>
      </c>
      <c r="K21" s="540">
        <f>F21-G21-H21-I21-J21</f>
        <v>105737.05610958715</v>
      </c>
      <c r="L21" s="716"/>
      <c r="M21" s="715">
        <f>K21</f>
        <v>105737.05610958715</v>
      </c>
      <c r="N21" s="540">
        <f>'Sch M-1.3 Pg. 2-11'!J158</f>
        <v>105737.06281277035</v>
      </c>
      <c r="O21" s="714">
        <f>M21/N21</f>
        <v>0.99999993660516928</v>
      </c>
      <c r="P21" s="555"/>
      <c r="Q21" s="555">
        <f>M21-N21</f>
        <v>-6.7031832004431635E-3</v>
      </c>
      <c r="U21" s="686"/>
      <c r="V21" s="642"/>
      <c r="W21" s="707"/>
      <c r="X21" s="642"/>
      <c r="Y21" s="642"/>
      <c r="Z21" s="642"/>
      <c r="AA21" s="642"/>
      <c r="AB21" s="642"/>
      <c r="AC21" s="542"/>
      <c r="AD21" s="542"/>
      <c r="AE21" s="542"/>
    </row>
    <row r="22" spans="1:31" x14ac:dyDescent="0.25">
      <c r="A22" s="713" t="s">
        <v>445</v>
      </c>
      <c r="B22" s="542" t="s">
        <v>393</v>
      </c>
      <c r="D22" s="540">
        <f>SUM(SBR!F65:F69)</f>
        <v>230035.21299077765</v>
      </c>
      <c r="E22" s="540">
        <f>SUMIF('12-MO Billed Summary ALL'!$C$8:$C$46,$A22,'12-MO Billed Summary ALL'!$AI$8:$AI$46)</f>
        <v>60746.899999999994</v>
      </c>
      <c r="F22" s="555">
        <f>D22-E22</f>
        <v>169288.31299077766</v>
      </c>
      <c r="G22" s="540">
        <f>SUMIF('12-MO Billed Summary ALL'!$C$8:$C$46,$A22,'12-MO Billed Summary ALL'!$AH$8:$AH$46)</f>
        <v>0</v>
      </c>
      <c r="H22" s="540">
        <f>SUMIF('12-MO Billed Summary ALL'!$C$8:$C$46,$A22,'12-MO Billed Summary ALL'!$AJ$8:$AJ$46)</f>
        <v>0</v>
      </c>
      <c r="I22" s="540">
        <f>SUMIF('12-MO Billed Summary ALL'!$C$8:$C$46,$A22,'12-MO Billed Summary ALL'!$AG$8:$AG$46)</f>
        <v>0</v>
      </c>
      <c r="J22" s="540">
        <f>SUMIF('12-MO Billed Summary ALL'!$C$8:$C$46,$A22,'12-MO Billed Summary ALL'!$AK$8:$AK$46)+SUMIF('12-MO Billed Summary ALL'!$C$8:$C$46,$A22,'12-MO Billed Summary ALL'!$AL$8:$AL$46)</f>
        <v>11899.342495132641</v>
      </c>
      <c r="K22" s="540">
        <f>F22-G22-H22-I22-J22</f>
        <v>157388.97049564502</v>
      </c>
      <c r="L22" s="716"/>
      <c r="M22" s="715">
        <f>K22</f>
        <v>157388.97049564502</v>
      </c>
      <c r="N22" s="540">
        <f>'Sch M-1.3 Pg. 2-11'!J168</f>
        <v>157388.96936077767</v>
      </c>
      <c r="O22" s="714">
        <f>M22/N22</f>
        <v>1.0000000072105901</v>
      </c>
      <c r="P22" s="555"/>
      <c r="Q22" s="555">
        <f>M22-N22</f>
        <v>1.1348673433531076E-3</v>
      </c>
      <c r="U22" s="686"/>
      <c r="V22" s="642"/>
      <c r="W22" s="707"/>
      <c r="X22" s="642"/>
      <c r="Y22" s="642"/>
      <c r="Z22" s="642"/>
      <c r="AA22" s="642"/>
      <c r="AB22" s="642"/>
      <c r="AC22" s="542"/>
      <c r="AD22" s="542"/>
      <c r="AE22" s="542"/>
    </row>
    <row r="23" spans="1:31" x14ac:dyDescent="0.25">
      <c r="B23" s="633" t="s">
        <v>205</v>
      </c>
      <c r="C23" s="633"/>
      <c r="D23" s="708">
        <f>SUM(D21:D22)</f>
        <v>623288.9829907777</v>
      </c>
      <c r="E23" s="708">
        <f t="shared" ref="E23:K23" si="0">SUM(E21:E22)</f>
        <v>325811.07219336601</v>
      </c>
      <c r="F23" s="708">
        <f t="shared" si="0"/>
        <v>297477.91079741175</v>
      </c>
      <c r="G23" s="708">
        <f t="shared" si="0"/>
        <v>2503.9626545083433</v>
      </c>
      <c r="H23" s="708">
        <f t="shared" si="0"/>
        <v>0</v>
      </c>
      <c r="I23" s="708">
        <f t="shared" si="0"/>
        <v>0</v>
      </c>
      <c r="J23" s="708">
        <f t="shared" si="0"/>
        <v>31847.921537671231</v>
      </c>
      <c r="K23" s="708">
        <f t="shared" si="0"/>
        <v>263126.02660523215</v>
      </c>
      <c r="M23" s="708">
        <f>K23</f>
        <v>263126.02660523215</v>
      </c>
      <c r="N23" s="708">
        <f>SUM(N21:N22)</f>
        <v>263126.03217354801</v>
      </c>
      <c r="O23" s="709">
        <f>M23/N23</f>
        <v>0.99999997883783742</v>
      </c>
      <c r="P23" s="555"/>
      <c r="Q23" s="708">
        <f>M23-N23</f>
        <v>-5.5683158570900559E-3</v>
      </c>
      <c r="U23" s="686"/>
      <c r="V23" s="642"/>
      <c r="W23" s="686"/>
      <c r="X23" s="642"/>
      <c r="Y23" s="642"/>
      <c r="Z23" s="642"/>
      <c r="AA23" s="642"/>
      <c r="AB23" s="642"/>
      <c r="AC23" s="542"/>
      <c r="AD23" s="542"/>
      <c r="AE23" s="542"/>
    </row>
    <row r="24" spans="1:31" x14ac:dyDescent="0.25">
      <c r="B24" s="633"/>
      <c r="C24" s="633"/>
      <c r="D24" s="555"/>
      <c r="E24" s="555"/>
      <c r="F24" s="555"/>
      <c r="G24" s="555"/>
      <c r="H24" s="555"/>
      <c r="I24" s="555"/>
      <c r="J24" s="555"/>
      <c r="K24" s="555"/>
      <c r="M24" s="555"/>
      <c r="N24" s="555"/>
      <c r="O24" s="555"/>
      <c r="P24" s="555"/>
      <c r="Q24" s="555"/>
      <c r="U24" s="686"/>
      <c r="V24" s="642"/>
      <c r="W24" s="686"/>
      <c r="X24" s="642"/>
      <c r="Y24" s="642"/>
      <c r="Z24" s="642"/>
      <c r="AA24" s="642"/>
      <c r="AB24" s="642"/>
      <c r="AC24" s="542"/>
      <c r="AD24" s="542"/>
      <c r="AE24" s="542"/>
    </row>
    <row r="25" spans="1:31" x14ac:dyDescent="0.25">
      <c r="A25" s="57" t="s">
        <v>610</v>
      </c>
      <c r="B25" s="542" t="s">
        <v>206</v>
      </c>
      <c r="D25" s="540">
        <f>SBR!F78</f>
        <v>6478093.7251493782</v>
      </c>
      <c r="E25" s="540">
        <f>SUMIF('12-MO Billed Summary ALL'!$C$8:$C$46,$A25,'12-MO Billed Summary ALL'!$AI$8:$AI$46)</f>
        <v>12865.17</v>
      </c>
      <c r="F25" s="555">
        <f>D25-E25</f>
        <v>6465228.5551493783</v>
      </c>
      <c r="G25" s="540">
        <f>SUMIF('12-MO Billed Summary ALL'!$C$8:$C$46,$A25,'12-MO Billed Summary ALL'!$AH$8:$AH$46)</f>
        <v>2677.8199999999997</v>
      </c>
      <c r="H25" s="540">
        <f>SUMIF('12-MO Billed Summary ALL'!$C$8:$C$46,$A25,'12-MO Billed Summary ALL'!$AJ$8:$AJ$46)</f>
        <v>0</v>
      </c>
      <c r="I25" s="540">
        <f>SUMIF('12-MO Billed Summary ALL'!$C$8:$C$46,$A25,'12-MO Billed Summary ALL'!$AG$8:$AG$46)</f>
        <v>0</v>
      </c>
      <c r="J25" s="540">
        <f>SUMIF('12-MO Billed Summary ALL'!$C$8:$C$46,$A25,'12-MO Billed Summary ALL'!$AK$8:$AK$46)+SUMIF('12-MO Billed Summary ALL'!$C$8:$C$46,$A25,'12-MO Billed Summary ALL'!$AL$8:$AL$46)</f>
        <v>115954.00046680489</v>
      </c>
      <c r="K25" s="711">
        <f>F25-G25-H25-I25-J25</f>
        <v>6346596.734682573</v>
      </c>
      <c r="M25" s="540">
        <f>K25</f>
        <v>6346596.734682573</v>
      </c>
      <c r="N25" s="540">
        <f>'Sch M-1.3 Pg. 2-11'!J205</f>
        <v>6346596.7453233702</v>
      </c>
      <c r="O25" s="766">
        <f>M25/N25</f>
        <v>0.99999999832338538</v>
      </c>
      <c r="P25" s="540"/>
      <c r="Q25" s="711">
        <f>M25-N25</f>
        <v>-1.0640797205269337E-2</v>
      </c>
      <c r="U25" s="686"/>
      <c r="V25" s="642"/>
      <c r="W25" s="707"/>
      <c r="X25" s="642"/>
      <c r="Y25" s="642"/>
      <c r="Z25" s="642"/>
      <c r="AA25" s="642"/>
      <c r="AB25" s="642"/>
      <c r="AC25" s="542"/>
      <c r="AD25" s="542"/>
      <c r="AE25" s="542"/>
    </row>
    <row r="26" spans="1:31" x14ac:dyDescent="0.25">
      <c r="B26" s="633" t="s">
        <v>207</v>
      </c>
      <c r="C26" s="633"/>
      <c r="D26" s="708">
        <f>SUM(D25:D25)</f>
        <v>6478093.7251493782</v>
      </c>
      <c r="E26" s="708">
        <f>SUM(E25:E25)</f>
        <v>12865.17</v>
      </c>
      <c r="F26" s="708">
        <f>D26-E26</f>
        <v>6465228.5551493783</v>
      </c>
      <c r="G26" s="708">
        <f>G25</f>
        <v>2677.8199999999997</v>
      </c>
      <c r="H26" s="708">
        <f>H25</f>
        <v>0</v>
      </c>
      <c r="I26" s="708">
        <f>I25</f>
        <v>0</v>
      </c>
      <c r="J26" s="708">
        <f>J25</f>
        <v>115954.00046680489</v>
      </c>
      <c r="K26" s="708">
        <f>F26-G26-H26-I26-J26</f>
        <v>6346596.734682573</v>
      </c>
      <c r="M26" s="708">
        <f>K26</f>
        <v>6346596.734682573</v>
      </c>
      <c r="N26" s="708">
        <f>'Sch M-1.3 Pg. 2-11'!J205</f>
        <v>6346596.7453233702</v>
      </c>
      <c r="O26" s="709">
        <f>M26/N26</f>
        <v>0.99999999832338538</v>
      </c>
      <c r="P26" s="555"/>
      <c r="Q26" s="711">
        <f>SUM(Q25:Q25)</f>
        <v>-1.0640797205269337E-2</v>
      </c>
      <c r="U26" s="686"/>
      <c r="V26" s="642"/>
      <c r="W26" s="686"/>
      <c r="X26" s="642"/>
      <c r="Y26" s="642"/>
      <c r="Z26" s="642"/>
      <c r="AA26" s="642"/>
      <c r="AB26" s="642"/>
      <c r="AC26" s="542"/>
      <c r="AD26" s="542"/>
      <c r="AE26" s="542"/>
    </row>
    <row r="27" spans="1:31" x14ac:dyDescent="0.25">
      <c r="B27" s="633"/>
      <c r="C27" s="633"/>
      <c r="D27" s="555"/>
      <c r="E27" s="555"/>
      <c r="F27" s="555"/>
      <c r="G27" s="555"/>
      <c r="H27" s="555"/>
      <c r="I27" s="555"/>
      <c r="J27" s="555"/>
      <c r="K27" s="555"/>
      <c r="M27" s="555"/>
      <c r="N27" s="555"/>
      <c r="O27" s="719"/>
      <c r="P27" s="555"/>
      <c r="Q27" s="555"/>
      <c r="U27" s="686"/>
      <c r="V27" s="642"/>
      <c r="W27" s="686"/>
      <c r="X27" s="642"/>
      <c r="Y27" s="642"/>
      <c r="Z27" s="642"/>
      <c r="AA27" s="642"/>
      <c r="AB27" s="642"/>
      <c r="AC27" s="542"/>
      <c r="AD27" s="542"/>
      <c r="AE27" s="542"/>
    </row>
    <row r="28" spans="1:31" x14ac:dyDescent="0.25">
      <c r="B28" s="633"/>
      <c r="C28" s="633"/>
      <c r="D28" s="555"/>
      <c r="E28" s="555"/>
      <c r="F28" s="555"/>
      <c r="G28" s="555"/>
      <c r="H28" s="555"/>
      <c r="I28" s="555"/>
      <c r="J28" s="555"/>
      <c r="K28" s="555"/>
      <c r="M28" s="555"/>
      <c r="N28" s="555"/>
      <c r="O28" s="719"/>
      <c r="P28" s="555"/>
      <c r="Q28" s="555"/>
      <c r="U28" s="686"/>
      <c r="V28" s="642"/>
      <c r="W28" s="686"/>
      <c r="X28" s="642"/>
      <c r="Y28" s="642"/>
      <c r="Z28" s="642"/>
      <c r="AA28" s="642"/>
      <c r="AB28" s="642"/>
      <c r="AC28" s="542"/>
      <c r="AD28" s="542"/>
      <c r="AE28" s="542"/>
    </row>
    <row r="29" spans="1:31" x14ac:dyDescent="0.25">
      <c r="A29" s="57" t="s">
        <v>661</v>
      </c>
      <c r="B29" s="633" t="s">
        <v>208</v>
      </c>
      <c r="C29" s="633"/>
      <c r="D29" s="555">
        <f>SBR!F81+SBR!F82</f>
        <v>216206.57</v>
      </c>
      <c r="E29" s="540">
        <f>SUMIF('12-MO Billed Summary ALL'!$C$8:$C$46,$A29,'12-MO Billed Summary ALL'!$AI$8:$AI$46)</f>
        <v>152306.57</v>
      </c>
      <c r="F29" s="555">
        <f>D29-E29</f>
        <v>63900</v>
      </c>
      <c r="G29" s="540">
        <f>SUMIF('12-MO Billed Summary ALL'!$C$8:$C$46,$A29,'12-MO Billed Summary ALL'!$AH$8:$AH$46)</f>
        <v>0</v>
      </c>
      <c r="H29" s="540">
        <f>SUMIF('12-MO Billed Summary ALL'!$C$8:$C$46,$A29,'12-MO Billed Summary ALL'!$AJ$8:$AJ$46)</f>
        <v>0</v>
      </c>
      <c r="I29" s="540">
        <f>SUMIF('12-MO Billed Summary ALL'!$C$8:$C$46,$A29,'12-MO Billed Summary ALL'!$AG$8:$AG$46)</f>
        <v>0</v>
      </c>
      <c r="J29" s="540">
        <f>SUMIF('12-MO Billed Summary ALL'!$C$8:$C$46,$A29,'12-MO Billed Summary ALL'!$AK$8:$AK$46)+SUMIF('12-MO Billed Summary ALL'!$C$8:$C$46,$A29,'12-MO Billed Summary ALL'!$AL$8:$AL$46)</f>
        <v>0</v>
      </c>
      <c r="K29" s="555">
        <f>ROUND(F29-G29-H29,0)</f>
        <v>63900</v>
      </c>
      <c r="M29" s="555">
        <f>K29</f>
        <v>63900</v>
      </c>
      <c r="N29" s="555">
        <f>'Sch M-1.3 Pg. 2-11'!J217</f>
        <v>63900</v>
      </c>
      <c r="O29" s="719">
        <f>N29/M29</f>
        <v>1</v>
      </c>
      <c r="P29" s="555"/>
      <c r="Q29" s="540">
        <f>M29-N29</f>
        <v>0</v>
      </c>
      <c r="U29" s="686"/>
      <c r="V29" s="642"/>
      <c r="W29" s="707"/>
      <c r="X29" s="642"/>
      <c r="Y29" s="642"/>
      <c r="Z29" s="642"/>
      <c r="AA29" s="642"/>
      <c r="AB29" s="642"/>
      <c r="AC29" s="542"/>
      <c r="AD29" s="542"/>
      <c r="AE29" s="542"/>
    </row>
    <row r="30" spans="1:31" x14ac:dyDescent="0.25">
      <c r="B30" s="633" t="s">
        <v>377</v>
      </c>
      <c r="C30" s="633"/>
      <c r="D30" s="555">
        <f>SBR!F83+SBR!F84</f>
        <v>8100</v>
      </c>
      <c r="E30" s="540">
        <f>SUMIF('12-MO Billed Summary ALL'!$C$8:$C$46,$A30,'12-MO Billed Summary ALL'!$AI$8:$AI$46)</f>
        <v>0</v>
      </c>
      <c r="F30" s="555">
        <f>D30-E30</f>
        <v>8100</v>
      </c>
      <c r="G30" s="540">
        <f>SUMIF('12-MO Billed Summary ALL'!$C$8:$C$46,$A30,'12-MO Billed Summary ALL'!$AH$8:$AH$46)</f>
        <v>0</v>
      </c>
      <c r="H30" s="540">
        <f>SUMIF('12-MO Billed Summary ALL'!$C$8:$C$46,$A30,'12-MO Billed Summary ALL'!$AJ$8:$AJ$46)</f>
        <v>0</v>
      </c>
      <c r="I30" s="540">
        <f>SUMIF('12-MO Billed Summary ALL'!$C$8:$C$46,$A30,'12-MO Billed Summary ALL'!$AG$8:$AG$46)</f>
        <v>0</v>
      </c>
      <c r="J30" s="540">
        <f>SUMIF('12-MO Billed Summary ALL'!$C$8:$C$46,$A30,'12-MO Billed Summary ALL'!$AK$8:$AK$46)+SUMIF('12-MO Billed Summary ALL'!$C$8:$C$46,$A30,'12-MO Billed Summary ALL'!$AL$8:$AL$46)</f>
        <v>0</v>
      </c>
      <c r="K30" s="555">
        <f>ROUND(F30-G30-H30,0)</f>
        <v>8100</v>
      </c>
      <c r="M30" s="555">
        <f>K30</f>
        <v>8100</v>
      </c>
      <c r="N30" s="555">
        <f>'Sch M-1.3 Pg. 2-11'!J135</f>
        <v>8100</v>
      </c>
      <c r="O30" s="719">
        <f>N30/M30</f>
        <v>1</v>
      </c>
      <c r="P30" s="555"/>
      <c r="Q30" s="540">
        <f>M30-N30</f>
        <v>0</v>
      </c>
      <c r="U30" s="686"/>
      <c r="V30" s="642"/>
      <c r="W30" s="707"/>
      <c r="X30" s="642"/>
      <c r="Y30" s="642"/>
      <c r="Z30" s="642"/>
      <c r="AA30" s="642"/>
      <c r="AB30" s="642"/>
      <c r="AC30" s="542"/>
      <c r="AD30" s="542"/>
      <c r="AE30" s="542"/>
    </row>
    <row r="31" spans="1:31" x14ac:dyDescent="0.25">
      <c r="B31" s="633"/>
      <c r="C31" s="633"/>
      <c r="D31" s="555"/>
      <c r="E31" s="555"/>
      <c r="F31" s="555"/>
      <c r="G31" s="555"/>
      <c r="H31" s="555"/>
      <c r="I31" s="555"/>
      <c r="J31" s="555"/>
      <c r="K31" s="555"/>
      <c r="M31" s="555"/>
      <c r="N31" s="555"/>
      <c r="O31" s="555"/>
      <c r="P31" s="555"/>
      <c r="Q31" s="555"/>
      <c r="U31" s="686"/>
      <c r="V31" s="642"/>
      <c r="W31" s="686"/>
      <c r="X31" s="642"/>
      <c r="Y31" s="642"/>
      <c r="Z31" s="642"/>
      <c r="AA31" s="642"/>
      <c r="AB31" s="642"/>
      <c r="AC31" s="542"/>
      <c r="AD31" s="542"/>
      <c r="AE31" s="542"/>
    </row>
    <row r="32" spans="1:31" x14ac:dyDescent="0.25">
      <c r="A32" s="57" t="s">
        <v>495</v>
      </c>
      <c r="B32" s="542" t="s">
        <v>750</v>
      </c>
      <c r="D32" s="555">
        <f>SBR!F51</f>
        <v>3120508.4699999997</v>
      </c>
      <c r="E32" s="555">
        <f>'12-MO Billed Summary ALL'!AI46</f>
        <v>861171.54627078143</v>
      </c>
      <c r="F32" s="555">
        <f>D32-E32</f>
        <v>2259336.9237292185</v>
      </c>
      <c r="G32" s="540">
        <f>SUMIF('12-MO Billed Summary ALL'!$C$8:$C$46,$A32,'12-MO Billed Summary ALL'!$AH$8:$AH$46)</f>
        <v>0</v>
      </c>
      <c r="H32" s="555">
        <f>'12-MO Billed Summary ALL'!AJ46</f>
        <v>0</v>
      </c>
      <c r="I32" s="540">
        <f>SUMIF('12-MO Billed Summary ALL'!$C$8:$C$46,$A32,'12-MO Billed Summary ALL'!$AG$8:$AG$46)</f>
        <v>0</v>
      </c>
      <c r="J32" s="540">
        <f>SUMIF('12-MO Billed Summary ALL'!$C$8:$C$46,$A32,'12-MO Billed Summary ALL'!$AK$8:$AK$46)+SUMIF('12-MO Billed Summary ALL'!$C$8:$C$46,$A32,'12-MO Billed Summary ALL'!$AL$8:$AL$46)</f>
        <v>7636.48</v>
      </c>
      <c r="K32" s="555"/>
      <c r="M32" s="540"/>
      <c r="N32" s="555"/>
      <c r="O32" s="675"/>
      <c r="P32" s="555"/>
      <c r="Q32" s="555"/>
      <c r="U32" s="686"/>
      <c r="V32" s="642"/>
      <c r="W32" s="707"/>
      <c r="X32" s="642"/>
      <c r="Y32" s="642"/>
      <c r="Z32" s="642"/>
      <c r="AA32" s="642"/>
      <c r="AB32" s="642"/>
      <c r="AC32" s="542"/>
      <c r="AD32" s="542"/>
      <c r="AE32" s="542"/>
    </row>
    <row r="33" spans="1:31" x14ac:dyDescent="0.25">
      <c r="B33" s="633" t="s">
        <v>209</v>
      </c>
      <c r="C33" s="633"/>
      <c r="D33" s="708">
        <f>SUM(D32:D32)</f>
        <v>3120508.4699999997</v>
      </c>
      <c r="E33" s="708">
        <f>SUM(E32:E32)</f>
        <v>861171.54627078143</v>
      </c>
      <c r="F33" s="708">
        <f>D33-E33</f>
        <v>2259336.9237292185</v>
      </c>
      <c r="G33" s="708">
        <f>G32</f>
        <v>0</v>
      </c>
      <c r="H33" s="708">
        <f>H32</f>
        <v>0</v>
      </c>
      <c r="I33" s="708">
        <f>I32</f>
        <v>0</v>
      </c>
      <c r="J33" s="708">
        <f>SUM(J32:J32)</f>
        <v>7636.48</v>
      </c>
      <c r="K33" s="708">
        <f>F33-G33-H33-I33-J33</f>
        <v>2251700.4437292186</v>
      </c>
      <c r="M33" s="708">
        <f>K33</f>
        <v>2251700.4437292186</v>
      </c>
      <c r="N33" s="708">
        <f>'Sch M-1.3 Pg. 2-11'!J241</f>
        <v>2251700.4660000019</v>
      </c>
      <c r="O33" s="709">
        <f>N33/M33</f>
        <v>1.000000009890651</v>
      </c>
      <c r="P33" s="555"/>
      <c r="Q33" s="708">
        <f>SUM(Q32:Q32)</f>
        <v>0</v>
      </c>
      <c r="U33" s="686"/>
      <c r="V33" s="642"/>
      <c r="W33" s="686"/>
      <c r="X33" s="642"/>
      <c r="Y33" s="642"/>
      <c r="Z33" s="642"/>
      <c r="AA33" s="642"/>
      <c r="AB33" s="642"/>
      <c r="AC33" s="542"/>
      <c r="AD33" s="542"/>
      <c r="AE33" s="542"/>
    </row>
    <row r="34" spans="1:31" x14ac:dyDescent="0.25">
      <c r="B34" s="633"/>
      <c r="C34" s="633"/>
      <c r="D34" s="555"/>
      <c r="E34" s="555"/>
      <c r="F34" s="555"/>
      <c r="G34" s="555"/>
      <c r="H34" s="555"/>
      <c r="I34" s="555"/>
      <c r="J34" s="555"/>
      <c r="K34" s="555"/>
      <c r="M34" s="555"/>
      <c r="N34" s="555"/>
      <c r="O34" s="555"/>
      <c r="P34" s="555"/>
      <c r="Q34" s="555"/>
      <c r="U34" s="686"/>
      <c r="V34" s="642"/>
      <c r="W34" s="686"/>
      <c r="X34" s="642"/>
      <c r="Y34" s="642"/>
      <c r="Z34" s="642"/>
      <c r="AA34" s="642"/>
      <c r="AB34" s="642"/>
      <c r="AC34" s="542"/>
      <c r="AD34" s="542"/>
      <c r="AE34" s="542"/>
    </row>
    <row r="35" spans="1:31" x14ac:dyDescent="0.25">
      <c r="A35" s="57" t="s">
        <v>428</v>
      </c>
      <c r="B35" s="542" t="s">
        <v>44</v>
      </c>
      <c r="C35" s="633"/>
      <c r="D35" s="555">
        <f>SBR!F26</f>
        <v>22901.277161015216</v>
      </c>
      <c r="E35" s="540">
        <f>SUMIF('12-MO Billed Summary ALL'!$C$8:$C$46,$A35,'12-MO Billed Summary ALL'!$AI$8:$AI$46)</f>
        <v>77.923519507462814</v>
      </c>
      <c r="F35" s="555">
        <f>D35-E35</f>
        <v>22823.353641507754</v>
      </c>
      <c r="G35" s="540">
        <f>SUMIF('12-MO Billed Summary ALL'!$C$8:$C$46,$A35,'12-MO Billed Summary ALL'!$AH$8:$AH$46)</f>
        <v>0</v>
      </c>
      <c r="H35" s="540">
        <f>SUMIF('12-MO Billed Summary ALL'!$C$8:$C$46,$A35,'12-MO Billed Summary ALL'!$AJ$8:$AJ$46)</f>
        <v>0</v>
      </c>
      <c r="I35" s="540">
        <f>SUMIF('12-MO Billed Summary ALL'!$C$8:$C$46,$A35,'12-MO Billed Summary ALL'!$AG$8:$AG$46)</f>
        <v>0</v>
      </c>
      <c r="J35" s="540">
        <f>SUMIF('12-MO Billed Summary ALL'!$C$8:$C$46,$A35,'12-MO Billed Summary ALL'!$AK$8:$AK$46)+SUMIF('12-MO Billed Summary ALL'!$C$8:$C$46,$A35,'12-MO Billed Summary ALL'!$AL$8:$AL$46)</f>
        <v>2252.3888508914911</v>
      </c>
      <c r="K35" s="555"/>
      <c r="M35" s="555"/>
      <c r="N35" s="555"/>
      <c r="O35" s="555"/>
      <c r="P35" s="555"/>
      <c r="Q35" s="555"/>
      <c r="U35" s="686"/>
      <c r="V35" s="642"/>
      <c r="W35" s="686"/>
      <c r="X35" s="642"/>
      <c r="Y35" s="642"/>
      <c r="Z35" s="642"/>
      <c r="AA35" s="642"/>
      <c r="AB35" s="642"/>
      <c r="AC35" s="542"/>
      <c r="AD35" s="542"/>
      <c r="AE35" s="542"/>
    </row>
    <row r="36" spans="1:31" x14ac:dyDescent="0.25">
      <c r="B36" s="633" t="s">
        <v>541</v>
      </c>
      <c r="C36" s="633"/>
      <c r="D36" s="708">
        <f t="shared" ref="D36:J36" si="1">SUM(D35)</f>
        <v>22901.277161015216</v>
      </c>
      <c r="E36" s="708">
        <f t="shared" si="1"/>
        <v>77.923519507462814</v>
      </c>
      <c r="F36" s="708">
        <f>D36-E36</f>
        <v>22823.353641507754</v>
      </c>
      <c r="G36" s="708">
        <f t="shared" si="1"/>
        <v>0</v>
      </c>
      <c r="H36" s="708">
        <f t="shared" si="1"/>
        <v>0</v>
      </c>
      <c r="I36" s="708">
        <f t="shared" si="1"/>
        <v>0</v>
      </c>
      <c r="J36" s="708">
        <f t="shared" si="1"/>
        <v>2252.3888508914911</v>
      </c>
      <c r="K36" s="708">
        <f>F36-G36-H36-I36-J36</f>
        <v>20570.964790616265</v>
      </c>
      <c r="M36" s="708">
        <f>K36</f>
        <v>20570.964790616265</v>
      </c>
      <c r="N36" s="708">
        <f>'Sch M-1.3 Pg. 2-11'!J274</f>
        <v>20570.960000000003</v>
      </c>
      <c r="O36" s="709">
        <f>M36/N36</f>
        <v>1.000000232882484</v>
      </c>
      <c r="P36" s="708"/>
      <c r="Q36" s="708">
        <f>M36-N36</f>
        <v>4.7906162617437076E-3</v>
      </c>
      <c r="U36" s="686"/>
      <c r="V36" s="642"/>
      <c r="W36" s="686"/>
      <c r="X36" s="642"/>
      <c r="Y36" s="642"/>
      <c r="Z36" s="642"/>
      <c r="AA36" s="642"/>
      <c r="AB36" s="642"/>
      <c r="AC36" s="542"/>
      <c r="AD36" s="542"/>
      <c r="AE36" s="542"/>
    </row>
    <row r="37" spans="1:31" x14ac:dyDescent="0.25">
      <c r="B37" s="633"/>
      <c r="C37" s="633"/>
      <c r="D37" s="555"/>
      <c r="E37" s="555"/>
      <c r="F37" s="555"/>
      <c r="G37" s="555"/>
      <c r="H37" s="555"/>
      <c r="I37" s="555"/>
      <c r="J37" s="555"/>
      <c r="K37" s="555"/>
      <c r="M37" s="555"/>
      <c r="N37" s="555"/>
      <c r="O37" s="714"/>
      <c r="P37" s="555"/>
      <c r="Q37" s="555"/>
      <c r="U37" s="686"/>
      <c r="V37" s="642"/>
      <c r="W37" s="686"/>
      <c r="X37" s="642"/>
      <c r="Y37" s="642"/>
      <c r="Z37" s="642"/>
      <c r="AA37" s="642"/>
      <c r="AB37" s="642"/>
      <c r="AC37" s="542"/>
      <c r="AD37" s="542"/>
      <c r="AE37" s="542"/>
    </row>
    <row r="38" spans="1:31" x14ac:dyDescent="0.25">
      <c r="A38" s="710" t="s">
        <v>553</v>
      </c>
      <c r="B38" s="542" t="s">
        <v>646</v>
      </c>
      <c r="D38" s="540">
        <f>SBR!F29</f>
        <v>221490.90999999997</v>
      </c>
      <c r="E38" s="540">
        <f>SUMIF('12-MO Billed Summary ALL'!$C$8:$C$46,$A38,'12-MO Billed Summary ALL'!$AI$8:$AI$46)</f>
        <v>10468.589022697131</v>
      </c>
      <c r="F38" s="555">
        <f>D38-E38</f>
        <v>211022.32097730285</v>
      </c>
      <c r="G38" s="540">
        <f>SUMIF('12-MO Billed Summary ALL'!$C$8:$C$46,$A38,'12-MO Billed Summary ALL'!$AH$8:$AH$46)</f>
        <v>33.101134987067731</v>
      </c>
      <c r="H38" s="540">
        <f>SUMIF('12-MO Billed Summary ALL'!$C$8:$C$46,$A38,'12-MO Billed Summary ALL'!$AJ$8:$AJ$46)</f>
        <v>0</v>
      </c>
      <c r="I38" s="540">
        <f>SUMIF('12-MO Billed Summary ALL'!$C$8:$C$46,$A38,'12-MO Billed Summary ALL'!$AG$8:$AG$46)</f>
        <v>0</v>
      </c>
      <c r="J38" s="540">
        <f>SUMIF('12-MO Billed Summary ALL'!$C$8:$C$46,$A38,'12-MO Billed Summary ALL'!$AK$8:$AK$46)+SUMIF('12-MO Billed Summary ALL'!$C$8:$C$46,$A38,'12-MO Billed Summary ALL'!$AL$8:$AL$46)</f>
        <v>5476.1015374135595</v>
      </c>
      <c r="K38" s="540"/>
      <c r="M38" s="540"/>
      <c r="N38" s="540"/>
      <c r="O38" s="540"/>
      <c r="P38" s="540"/>
      <c r="Q38" s="555"/>
      <c r="U38" s="686"/>
      <c r="V38" s="642"/>
      <c r="W38" s="707"/>
      <c r="X38" s="642"/>
      <c r="Y38" s="642"/>
      <c r="Z38" s="642"/>
      <c r="AA38" s="642"/>
      <c r="AB38" s="642"/>
      <c r="AC38" s="542"/>
      <c r="AD38" s="542"/>
      <c r="AE38" s="542"/>
    </row>
    <row r="39" spans="1:31" x14ac:dyDescent="0.25">
      <c r="B39" s="633" t="s">
        <v>745</v>
      </c>
      <c r="C39" s="633"/>
      <c r="D39" s="708">
        <f>D38</f>
        <v>221490.90999999997</v>
      </c>
      <c r="E39" s="708">
        <f>SUM(E38)</f>
        <v>10468.589022697131</v>
      </c>
      <c r="F39" s="708">
        <f>D39-E39</f>
        <v>211022.32097730285</v>
      </c>
      <c r="G39" s="708">
        <f>SUM(G38)</f>
        <v>33.101134987067731</v>
      </c>
      <c r="H39" s="708">
        <f>SUM(H38)</f>
        <v>0</v>
      </c>
      <c r="I39" s="708">
        <f>SUM(I38)</f>
        <v>0</v>
      </c>
      <c r="J39" s="708">
        <f>SUM(J38)</f>
        <v>5476.1015374135595</v>
      </c>
      <c r="K39" s="708">
        <f>F39-G39-H39-I39-J39</f>
        <v>205513.11830490225</v>
      </c>
      <c r="M39" s="708">
        <f>K39</f>
        <v>205513.11830490225</v>
      </c>
      <c r="N39" s="708">
        <f>'Sch M-1.3 Pg. 2-11'!J320</f>
        <v>205513.13400000008</v>
      </c>
      <c r="O39" s="709">
        <f>M39/N39</f>
        <v>0.99999992362970913</v>
      </c>
      <c r="P39" s="708"/>
      <c r="Q39" s="708">
        <f>M39-N39</f>
        <v>-1.5695097827119753E-2</v>
      </c>
      <c r="U39" s="686"/>
      <c r="V39" s="642"/>
      <c r="W39" s="686"/>
      <c r="X39" s="642"/>
      <c r="Y39" s="642"/>
      <c r="Z39" s="642"/>
      <c r="AA39" s="642"/>
      <c r="AB39" s="642"/>
      <c r="AC39" s="542"/>
      <c r="AD39" s="542"/>
      <c r="AE39" s="542"/>
    </row>
    <row r="40" spans="1:31" x14ac:dyDescent="0.25">
      <c r="B40" s="633"/>
      <c r="C40" s="633"/>
      <c r="D40" s="555"/>
      <c r="E40" s="555"/>
      <c r="F40" s="555"/>
      <c r="G40" s="555"/>
      <c r="H40" s="555"/>
      <c r="I40" s="555"/>
      <c r="J40" s="555"/>
      <c r="K40" s="555"/>
      <c r="M40" s="555"/>
      <c r="N40" s="555"/>
      <c r="O40" s="714"/>
      <c r="P40" s="555"/>
      <c r="Q40" s="555"/>
      <c r="U40" s="686"/>
      <c r="V40" s="642"/>
      <c r="W40" s="686"/>
      <c r="X40" s="642"/>
      <c r="Y40" s="642"/>
      <c r="Z40" s="642"/>
      <c r="AA40" s="642"/>
      <c r="AB40" s="642"/>
      <c r="AC40" s="542"/>
      <c r="AD40" s="542"/>
      <c r="AE40" s="542"/>
    </row>
    <row r="41" spans="1:31" x14ac:dyDescent="0.25">
      <c r="A41" s="710" t="s">
        <v>555</v>
      </c>
      <c r="B41" s="542" t="s">
        <v>665</v>
      </c>
      <c r="D41" s="540">
        <f>SBR!F32</f>
        <v>0</v>
      </c>
      <c r="E41" s="540">
        <f>SUMIF('12-MO Billed Summary ALL'!$C$8:$C$46,$A41,'12-MO Billed Summary ALL'!$AI$8:$AI$46)</f>
        <v>0</v>
      </c>
      <c r="F41" s="555">
        <f>D41-E41</f>
        <v>0</v>
      </c>
      <c r="G41" s="540">
        <f>SUMIF('12-MO Billed Summary ALL'!$C$8:$C$46,$A41,'12-MO Billed Summary ALL'!$AH$8:$AH$46)</f>
        <v>0</v>
      </c>
      <c r="H41" s="540">
        <f>SUMIF('12-MO Billed Summary ALL'!$C$8:$C$46,$A41,'12-MO Billed Summary ALL'!$AJ$8:$AJ$46)</f>
        <v>0</v>
      </c>
      <c r="I41" s="540">
        <f>SUMIF('12-MO Billed Summary ALL'!$C$8:$C$46,$A41,'12-MO Billed Summary ALL'!$AG$8:$AG$46)</f>
        <v>0</v>
      </c>
      <c r="J41" s="540">
        <f>SUMIF('12-MO Billed Summary ALL'!$C$8:$C$46,$A41,'12-MO Billed Summary ALL'!$AK$8:$AK$46)+SUMIF('12-MO Billed Summary ALL'!$C$8:$C$46,$A41,'12-MO Billed Summary ALL'!$AL$8:$AL$46)</f>
        <v>0</v>
      </c>
      <c r="K41" s="540"/>
      <c r="M41" s="540"/>
      <c r="N41" s="540"/>
      <c r="O41" s="540"/>
      <c r="P41" s="540"/>
      <c r="Q41" s="555"/>
      <c r="U41" s="686"/>
      <c r="V41" s="642"/>
      <c r="W41" s="686"/>
      <c r="X41" s="642"/>
      <c r="Y41" s="642"/>
      <c r="Z41" s="642"/>
      <c r="AA41" s="642"/>
      <c r="AB41" s="642"/>
      <c r="AC41" s="542"/>
      <c r="AD41" s="542"/>
      <c r="AE41" s="542"/>
    </row>
    <row r="42" spans="1:31" x14ac:dyDescent="0.25">
      <c r="B42" s="633" t="s">
        <v>746</v>
      </c>
      <c r="C42" s="633"/>
      <c r="D42" s="708">
        <f>D41</f>
        <v>0</v>
      </c>
      <c r="E42" s="708">
        <f>SUM(E41)</f>
        <v>0</v>
      </c>
      <c r="F42" s="708">
        <f>D42-E42</f>
        <v>0</v>
      </c>
      <c r="G42" s="708">
        <f>SUM(G41)</f>
        <v>0</v>
      </c>
      <c r="H42" s="708">
        <f>SUM(H41)</f>
        <v>0</v>
      </c>
      <c r="I42" s="708">
        <f>SUM(I41)</f>
        <v>0</v>
      </c>
      <c r="J42" s="708">
        <f>SUM(J41)</f>
        <v>0</v>
      </c>
      <c r="K42" s="708">
        <f>F42-G42-H42-I42-J42</f>
        <v>0</v>
      </c>
      <c r="M42" s="708">
        <f>K42</f>
        <v>0</v>
      </c>
      <c r="N42" s="708">
        <f>'Sch M-1.3 Pg. 2-11'!J323</f>
        <v>0</v>
      </c>
      <c r="O42" s="709">
        <f>IF(N42=0,0,M42/N42)</f>
        <v>0</v>
      </c>
      <c r="P42" s="708"/>
      <c r="Q42" s="708">
        <f>M42-N42</f>
        <v>0</v>
      </c>
      <c r="U42" s="686"/>
      <c r="V42" s="642"/>
      <c r="W42" s="686"/>
      <c r="X42" s="642"/>
      <c r="Y42" s="642"/>
      <c r="Z42" s="642"/>
      <c r="AA42" s="642"/>
      <c r="AB42" s="642"/>
      <c r="AC42" s="542"/>
      <c r="AD42" s="542"/>
      <c r="AE42" s="542"/>
    </row>
    <row r="43" spans="1:31" x14ac:dyDescent="0.25">
      <c r="B43" s="633"/>
      <c r="C43" s="633"/>
      <c r="D43" s="555"/>
      <c r="E43" s="555"/>
      <c r="F43" s="555"/>
      <c r="G43" s="555"/>
      <c r="H43" s="555"/>
      <c r="I43" s="555"/>
      <c r="J43" s="555"/>
      <c r="K43" s="555"/>
      <c r="M43" s="555"/>
      <c r="N43" s="555"/>
      <c r="O43" s="714"/>
      <c r="P43" s="555"/>
      <c r="Q43" s="555"/>
      <c r="U43" s="686"/>
      <c r="V43" s="642"/>
      <c r="W43" s="686"/>
      <c r="X43" s="642"/>
      <c r="Y43" s="642"/>
      <c r="Z43" s="642"/>
      <c r="AA43" s="642"/>
      <c r="AB43" s="642"/>
      <c r="AC43" s="542"/>
      <c r="AD43" s="542"/>
      <c r="AE43" s="542"/>
    </row>
    <row r="44" spans="1:31" x14ac:dyDescent="0.25">
      <c r="A44" s="57" t="s">
        <v>551</v>
      </c>
      <c r="B44" s="542" t="s">
        <v>552</v>
      </c>
      <c r="C44" s="633"/>
      <c r="D44" s="555">
        <v>0</v>
      </c>
      <c r="E44" s="540">
        <f>SUMIF('12-MO Billed Summary ALL'!$C$8:$C$46,$A44,'12-MO Billed Summary ALL'!$AI$8:$AI$46)</f>
        <v>0</v>
      </c>
      <c r="F44" s="555">
        <v>0</v>
      </c>
      <c r="G44" s="540">
        <f>SUMIF('12-MO Billed Summary ALL'!$C$8:$C$46,$A44,'12-MO Billed Summary ALL'!$AH$8:$AH$46)</f>
        <v>0</v>
      </c>
      <c r="H44" s="540">
        <f>SUMIF('12-MO Billed Summary ALL'!$C$8:$C$46,$A44,'12-MO Billed Summary ALL'!$AJ$8:$AJ$46)</f>
        <v>0</v>
      </c>
      <c r="I44" s="540">
        <f>SUMIF('12-MO Billed Summary ALL'!$C$8:$C$46,$A44,'12-MO Billed Summary ALL'!$AG$8:$AG$46)</f>
        <v>0</v>
      </c>
      <c r="J44" s="540">
        <f>SUMIF('12-MO Billed Summary ALL'!$C$8:$C$46,$A44,'12-MO Billed Summary ALL'!$AK$8:$AK$46)+SUMIF('12-MO Billed Summary ALL'!$C$8:$C$46,$A44,'12-MO Billed Summary ALL'!$AL$8:$AL$46)</f>
        <v>0</v>
      </c>
      <c r="K44" s="555"/>
      <c r="M44" s="555"/>
      <c r="N44" s="555"/>
      <c r="O44" s="555"/>
      <c r="P44" s="555"/>
      <c r="Q44" s="555"/>
      <c r="U44" s="686"/>
      <c r="V44" s="642"/>
      <c r="W44" s="686"/>
      <c r="X44" s="642"/>
      <c r="Y44" s="642"/>
      <c r="Z44" s="642"/>
      <c r="AA44" s="642"/>
      <c r="AB44" s="642"/>
      <c r="AC44" s="542"/>
      <c r="AD44" s="542"/>
      <c r="AE44" s="542"/>
    </row>
    <row r="45" spans="1:31" x14ac:dyDescent="0.25">
      <c r="B45" s="633" t="s">
        <v>677</v>
      </c>
      <c r="C45" s="633"/>
      <c r="D45" s="708">
        <f>D44</f>
        <v>0</v>
      </c>
      <c r="E45" s="708">
        <f>SUM(E44)</f>
        <v>0</v>
      </c>
      <c r="F45" s="708">
        <f>D45-E45</f>
        <v>0</v>
      </c>
      <c r="G45" s="708">
        <f>SUM(G44)</f>
        <v>0</v>
      </c>
      <c r="H45" s="708">
        <f>SUM(H44)</f>
        <v>0</v>
      </c>
      <c r="I45" s="708">
        <f>SUM(I44)</f>
        <v>0</v>
      </c>
      <c r="J45" s="708">
        <f>SUM(J44)</f>
        <v>0</v>
      </c>
      <c r="K45" s="708">
        <f>F45-G45-H45-I45--J45</f>
        <v>0</v>
      </c>
      <c r="M45" s="708">
        <f>K45</f>
        <v>0</v>
      </c>
      <c r="N45" s="708">
        <f>'Sch M-1.3 Pg. 2-11'!J281</f>
        <v>0</v>
      </c>
      <c r="O45" s="709">
        <f>IF(M45=0,0,N45/M45)</f>
        <v>0</v>
      </c>
      <c r="P45" s="708"/>
      <c r="Q45" s="708">
        <f>M45-N45</f>
        <v>0</v>
      </c>
      <c r="U45" s="686"/>
      <c r="V45" s="642"/>
      <c r="W45" s="686"/>
      <c r="X45" s="642"/>
      <c r="Y45" s="642"/>
      <c r="Z45" s="642"/>
      <c r="AA45" s="642"/>
      <c r="AB45" s="642"/>
      <c r="AC45" s="542"/>
      <c r="AD45" s="542"/>
      <c r="AE45" s="542"/>
    </row>
    <row r="46" spans="1:31" x14ac:dyDescent="0.25">
      <c r="B46" s="633"/>
      <c r="C46" s="633"/>
      <c r="D46" s="540"/>
      <c r="E46" s="540"/>
      <c r="F46" s="540"/>
      <c r="G46" s="540"/>
      <c r="H46" s="540"/>
      <c r="I46" s="540"/>
      <c r="J46" s="540"/>
      <c r="K46" s="717"/>
      <c r="L46" s="718"/>
      <c r="M46" s="540"/>
      <c r="N46" s="540"/>
      <c r="O46" s="555"/>
      <c r="P46" s="555"/>
      <c r="Q46" s="555"/>
      <c r="U46" s="686"/>
      <c r="V46" s="642"/>
      <c r="W46" s="642"/>
      <c r="X46" s="642"/>
      <c r="Y46" s="642"/>
      <c r="Z46" s="642"/>
      <c r="AA46" s="642"/>
      <c r="AB46" s="642"/>
      <c r="AC46" s="542"/>
      <c r="AD46" s="542"/>
      <c r="AE46" s="542"/>
    </row>
    <row r="47" spans="1:31" x14ac:dyDescent="0.25">
      <c r="B47" s="542" t="s">
        <v>210</v>
      </c>
      <c r="D47" s="708">
        <f t="shared" ref="D47:K47" si="2">D11+D15+D19+D23+D36+D39+D45+D26+D29+D30+D33+D42</f>
        <v>349530558.71137911</v>
      </c>
      <c r="E47" s="708">
        <f t="shared" si="2"/>
        <v>117414226.25616051</v>
      </c>
      <c r="F47" s="708">
        <f t="shared" si="2"/>
        <v>232116332.45521849</v>
      </c>
      <c r="G47" s="708">
        <f t="shared" si="2"/>
        <v>772347.79706999753</v>
      </c>
      <c r="H47" s="708">
        <f t="shared" si="2"/>
        <v>1459473.5699999998</v>
      </c>
      <c r="I47" s="708">
        <f t="shared" si="2"/>
        <v>-228.21999999999997</v>
      </c>
      <c r="J47" s="708">
        <f t="shared" si="2"/>
        <v>14760652.850030661</v>
      </c>
      <c r="K47" s="708">
        <f t="shared" si="2"/>
        <v>215124086.19380856</v>
      </c>
      <c r="M47" s="708">
        <f>K47</f>
        <v>215124086.19380856</v>
      </c>
      <c r="N47" s="708">
        <f ca="1">N11+N15+N19+N23+N36+N39+N45+N26+N29+N30+N33+N42</f>
        <v>215124082.30489925</v>
      </c>
      <c r="O47" s="709">
        <f ca="1">N47/M47</f>
        <v>0.99999998192248307</v>
      </c>
      <c r="P47" s="555"/>
      <c r="Q47" s="708">
        <f ca="1">Q11+Q15+Q19+Q23+Q36+Q39+Q45+Q26+Q29+Q30+Q33+Q42</f>
        <v>3.9111800579812552</v>
      </c>
      <c r="U47" s="686"/>
      <c r="V47" s="642"/>
      <c r="W47" s="686"/>
      <c r="X47" s="642"/>
      <c r="Y47" s="642"/>
      <c r="Z47" s="642"/>
      <c r="AA47" s="642"/>
      <c r="AB47" s="642"/>
      <c r="AC47" s="542"/>
      <c r="AD47" s="542"/>
      <c r="AE47" s="542"/>
    </row>
    <row r="48" spans="1:31" x14ac:dyDescent="0.25">
      <c r="D48" s="540"/>
      <c r="E48" s="540"/>
      <c r="F48" s="540"/>
      <c r="G48" s="540"/>
      <c r="H48" s="540"/>
      <c r="I48" s="540"/>
      <c r="J48" s="540"/>
      <c r="K48" s="717"/>
      <c r="L48" s="718"/>
      <c r="M48" s="540"/>
      <c r="N48" s="540"/>
      <c r="O48" s="540"/>
      <c r="P48" s="540"/>
      <c r="Q48" s="791"/>
      <c r="U48" s="686"/>
      <c r="V48" s="642"/>
      <c r="W48" s="642"/>
      <c r="X48" s="642"/>
      <c r="Y48" s="642"/>
      <c r="Z48" s="642"/>
      <c r="AA48" s="642"/>
      <c r="AB48" s="642"/>
      <c r="AC48" s="542"/>
      <c r="AD48" s="542"/>
      <c r="AE48" s="542"/>
    </row>
    <row r="49" spans="2:31" x14ac:dyDescent="0.25">
      <c r="B49" s="650"/>
      <c r="C49" s="650"/>
      <c r="D49" s="540"/>
      <c r="E49" s="540"/>
      <c r="F49" s="540"/>
      <c r="G49" s="540"/>
      <c r="H49" s="540"/>
      <c r="I49" s="540"/>
      <c r="J49" s="540"/>
      <c r="K49" s="540"/>
      <c r="L49" s="718"/>
      <c r="M49" s="540"/>
      <c r="N49" s="540"/>
      <c r="O49" s="540"/>
      <c r="P49" s="540"/>
      <c r="Q49" s="555"/>
      <c r="U49" s="642"/>
      <c r="V49" s="642"/>
      <c r="W49" s="642"/>
      <c r="X49" s="642"/>
      <c r="Y49" s="642"/>
      <c r="Z49" s="642"/>
      <c r="AA49" s="642"/>
      <c r="AB49" s="642"/>
      <c r="AC49" s="542"/>
      <c r="AD49" s="542"/>
      <c r="AE49" s="542"/>
    </row>
    <row r="50" spans="2:31" x14ac:dyDescent="0.25">
      <c r="D50" s="540"/>
      <c r="E50" s="540"/>
      <c r="F50" s="540"/>
      <c r="G50" s="540"/>
      <c r="H50" s="540"/>
      <c r="I50" s="540"/>
      <c r="J50" s="540"/>
      <c r="K50" s="540"/>
      <c r="M50" s="540"/>
      <c r="N50" s="540"/>
      <c r="O50" s="540"/>
      <c r="P50" s="540"/>
      <c r="Q50" s="555"/>
      <c r="AA50" s="542"/>
      <c r="AB50" s="542"/>
      <c r="AC50" s="542"/>
      <c r="AD50" s="542"/>
      <c r="AE50" s="542"/>
    </row>
    <row r="51" spans="2:31" x14ac:dyDescent="0.25"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T51" s="57"/>
      <c r="U51" s="57"/>
      <c r="AA51" s="542"/>
      <c r="AB51" s="542"/>
      <c r="AC51" s="542"/>
      <c r="AD51" s="542"/>
      <c r="AE51" s="542"/>
    </row>
    <row r="52" spans="2:31" x14ac:dyDescent="0.25">
      <c r="B52" s="57"/>
      <c r="C52" s="57"/>
      <c r="D52" s="540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T52" s="57"/>
      <c r="U52" s="57"/>
      <c r="AA52" s="542"/>
      <c r="AB52" s="542"/>
      <c r="AC52" s="542"/>
      <c r="AD52" s="542"/>
      <c r="AE52" s="542"/>
    </row>
    <row r="53" spans="2:31" x14ac:dyDescent="0.25">
      <c r="B53" s="57"/>
      <c r="C53" s="57"/>
      <c r="D53" s="540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T53" s="57"/>
      <c r="U53" s="57"/>
      <c r="AA53" s="542"/>
      <c r="AB53" s="542"/>
      <c r="AC53" s="542"/>
      <c r="AD53" s="542"/>
      <c r="AE53" s="542"/>
    </row>
    <row r="54" spans="2:31" x14ac:dyDescent="0.25">
      <c r="B54" s="57"/>
      <c r="C54" s="57"/>
      <c r="D54" s="6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T54" s="57"/>
      <c r="U54" s="57"/>
      <c r="AA54" s="542"/>
      <c r="AB54" s="542"/>
      <c r="AC54" s="542"/>
      <c r="AD54" s="542"/>
      <c r="AE54" s="542"/>
    </row>
    <row r="55" spans="2:31" x14ac:dyDescent="0.25"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T55" s="57"/>
      <c r="U55" s="57"/>
      <c r="AA55" s="542"/>
      <c r="AB55" s="542"/>
      <c r="AC55" s="542"/>
      <c r="AD55" s="542"/>
      <c r="AE55" s="542"/>
    </row>
    <row r="56" spans="2:31" x14ac:dyDescent="0.25"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T56" s="57"/>
      <c r="U56" s="57"/>
      <c r="AA56" s="542"/>
      <c r="AB56" s="542"/>
      <c r="AC56" s="542"/>
      <c r="AD56" s="542"/>
      <c r="AE56" s="542"/>
    </row>
    <row r="57" spans="2:31" x14ac:dyDescent="0.25"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T57" s="57"/>
      <c r="U57" s="57"/>
      <c r="AA57" s="542"/>
      <c r="AB57" s="542"/>
      <c r="AC57" s="542"/>
      <c r="AD57" s="542"/>
      <c r="AE57" s="542"/>
    </row>
    <row r="58" spans="2:31" x14ac:dyDescent="0.25"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T58" s="57"/>
      <c r="U58" s="57"/>
      <c r="AA58" s="542"/>
      <c r="AB58" s="542"/>
      <c r="AC58" s="542"/>
      <c r="AD58" s="542"/>
      <c r="AE58" s="542"/>
    </row>
    <row r="59" spans="2:31" x14ac:dyDescent="0.25"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T59" s="57"/>
      <c r="U59" s="57"/>
      <c r="AA59" s="542"/>
      <c r="AB59" s="542"/>
      <c r="AC59" s="542"/>
      <c r="AD59" s="542"/>
      <c r="AE59" s="542"/>
    </row>
    <row r="60" spans="2:31" x14ac:dyDescent="0.25"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T60" s="57"/>
      <c r="U60" s="57"/>
      <c r="V60" s="642"/>
      <c r="W60" s="642"/>
      <c r="X60" s="642"/>
      <c r="Y60" s="642"/>
      <c r="Z60" s="642"/>
      <c r="AA60" s="642"/>
      <c r="AB60" s="642"/>
      <c r="AC60" s="642"/>
      <c r="AD60" s="642"/>
      <c r="AE60" s="642"/>
    </row>
    <row r="61" spans="2:31" x14ac:dyDescent="0.25"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T61" s="57"/>
      <c r="U61" s="57"/>
      <c r="V61" s="642"/>
      <c r="W61" s="642"/>
      <c r="X61" s="642"/>
      <c r="Y61" s="642"/>
      <c r="Z61" s="642"/>
      <c r="AA61" s="642"/>
      <c r="AB61" s="642"/>
      <c r="AC61" s="642"/>
      <c r="AD61" s="642"/>
      <c r="AE61" s="642"/>
    </row>
    <row r="62" spans="2:31" x14ac:dyDescent="0.25"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T62" s="57"/>
      <c r="U62" s="57"/>
      <c r="V62" s="642"/>
      <c r="W62" s="642"/>
      <c r="X62" s="642"/>
      <c r="Y62" s="642"/>
      <c r="Z62" s="642"/>
      <c r="AA62" s="642"/>
      <c r="AB62" s="642"/>
      <c r="AC62" s="642"/>
      <c r="AD62" s="642"/>
      <c r="AE62" s="642"/>
    </row>
    <row r="63" spans="2:31" x14ac:dyDescent="0.25"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T63" s="57"/>
      <c r="U63" s="57"/>
      <c r="V63" s="642"/>
      <c r="W63" s="642"/>
      <c r="X63" s="642"/>
      <c r="Y63" s="642"/>
      <c r="Z63" s="642"/>
      <c r="AA63" s="642"/>
      <c r="AB63" s="642"/>
      <c r="AC63" s="642"/>
      <c r="AD63" s="642"/>
      <c r="AE63" s="642"/>
    </row>
    <row r="64" spans="2:31" x14ac:dyDescent="0.25"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T64" s="57"/>
      <c r="U64" s="57"/>
      <c r="V64" s="642"/>
      <c r="W64" s="642"/>
      <c r="X64" s="642"/>
      <c r="Y64" s="642"/>
      <c r="Z64" s="642"/>
      <c r="AA64" s="642"/>
      <c r="AB64" s="642"/>
      <c r="AC64" s="642"/>
      <c r="AD64" s="642"/>
      <c r="AE64" s="642"/>
    </row>
    <row r="65" spans="2:31" x14ac:dyDescent="0.25"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T65" s="57"/>
      <c r="U65" s="57"/>
      <c r="V65" s="642"/>
      <c r="W65" s="642"/>
      <c r="X65" s="642"/>
      <c r="Y65" s="642"/>
      <c r="Z65" s="642"/>
      <c r="AA65" s="642"/>
      <c r="AB65" s="642"/>
      <c r="AC65" s="642"/>
      <c r="AD65" s="642"/>
      <c r="AE65" s="642"/>
    </row>
    <row r="66" spans="2:31" x14ac:dyDescent="0.25"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T66" s="57"/>
      <c r="U66" s="57"/>
      <c r="V66" s="642"/>
      <c r="W66" s="642"/>
      <c r="X66" s="642"/>
      <c r="Y66" s="642"/>
      <c r="Z66" s="642"/>
      <c r="AA66" s="642"/>
      <c r="AB66" s="642"/>
      <c r="AC66" s="642"/>
      <c r="AD66" s="642"/>
      <c r="AE66" s="642"/>
    </row>
    <row r="67" spans="2:31" x14ac:dyDescent="0.25"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T67" s="57"/>
      <c r="U67" s="57"/>
      <c r="V67" s="642"/>
      <c r="W67" s="642"/>
      <c r="X67" s="642"/>
      <c r="Y67" s="642"/>
      <c r="Z67" s="642"/>
      <c r="AA67" s="642"/>
      <c r="AB67" s="642"/>
      <c r="AC67" s="642"/>
      <c r="AD67" s="642"/>
      <c r="AE67" s="642"/>
    </row>
    <row r="68" spans="2:31" x14ac:dyDescent="0.25"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T68" s="57"/>
      <c r="U68" s="57"/>
      <c r="V68" s="642"/>
      <c r="W68" s="642"/>
      <c r="X68" s="642"/>
      <c r="Y68" s="642"/>
      <c r="Z68" s="642"/>
      <c r="AA68" s="642"/>
      <c r="AB68" s="642"/>
      <c r="AC68" s="642"/>
      <c r="AD68" s="642"/>
      <c r="AE68" s="642"/>
    </row>
    <row r="69" spans="2:31" x14ac:dyDescent="0.25"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T69" s="57"/>
      <c r="U69" s="57"/>
      <c r="V69" s="642"/>
      <c r="W69" s="642"/>
      <c r="X69" s="642"/>
      <c r="Y69" s="642"/>
      <c r="Z69" s="642"/>
      <c r="AA69" s="642"/>
      <c r="AB69" s="642"/>
      <c r="AC69" s="642"/>
      <c r="AD69" s="642"/>
      <c r="AE69" s="642"/>
    </row>
    <row r="70" spans="2:31" x14ac:dyDescent="0.25"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T70" s="57"/>
      <c r="U70" s="57"/>
      <c r="V70" s="642"/>
      <c r="W70" s="642"/>
      <c r="X70" s="642"/>
      <c r="Y70" s="642"/>
      <c r="Z70" s="642"/>
      <c r="AA70" s="642"/>
      <c r="AB70" s="642"/>
      <c r="AC70" s="642"/>
      <c r="AD70" s="642"/>
      <c r="AE70" s="642"/>
    </row>
    <row r="71" spans="2:31" x14ac:dyDescent="0.25"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T71" s="57"/>
      <c r="U71" s="57"/>
      <c r="V71" s="642"/>
      <c r="W71" s="642"/>
      <c r="X71" s="642"/>
      <c r="Y71" s="642"/>
      <c r="Z71" s="642"/>
      <c r="AA71" s="642"/>
      <c r="AB71" s="642"/>
      <c r="AC71" s="642"/>
      <c r="AD71" s="642"/>
      <c r="AE71" s="642"/>
    </row>
    <row r="72" spans="2:31" x14ac:dyDescent="0.25"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T72" s="57"/>
      <c r="U72" s="57"/>
      <c r="V72" s="642"/>
      <c r="W72" s="642"/>
      <c r="X72" s="642"/>
      <c r="Y72" s="642"/>
      <c r="Z72" s="642"/>
      <c r="AA72" s="642"/>
      <c r="AB72" s="642"/>
      <c r="AC72" s="642"/>
      <c r="AD72" s="642"/>
      <c r="AE72" s="642"/>
    </row>
    <row r="73" spans="2:31" x14ac:dyDescent="0.25"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T73" s="57"/>
      <c r="U73" s="57"/>
      <c r="V73" s="642"/>
      <c r="W73" s="642"/>
      <c r="X73" s="642"/>
      <c r="Y73" s="642"/>
      <c r="Z73" s="642"/>
      <c r="AA73" s="642"/>
      <c r="AB73" s="642"/>
      <c r="AC73" s="642"/>
      <c r="AD73" s="642"/>
      <c r="AE73" s="642"/>
    </row>
    <row r="74" spans="2:31" x14ac:dyDescent="0.25"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T74" s="57"/>
      <c r="U74" s="57"/>
      <c r="V74" s="642"/>
      <c r="W74" s="642"/>
      <c r="X74" s="642"/>
      <c r="Y74" s="642"/>
      <c r="Z74" s="642"/>
      <c r="AA74" s="642"/>
      <c r="AB74" s="642"/>
      <c r="AC74" s="642"/>
      <c r="AD74" s="642"/>
      <c r="AE74" s="642"/>
    </row>
    <row r="75" spans="2:31" x14ac:dyDescent="0.25"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T75" s="57"/>
      <c r="U75" s="57"/>
      <c r="V75" s="642"/>
      <c r="W75" s="642"/>
      <c r="X75" s="642"/>
      <c r="Y75" s="642"/>
      <c r="Z75" s="642"/>
      <c r="AA75" s="642"/>
      <c r="AB75" s="642"/>
      <c r="AC75" s="642"/>
      <c r="AD75" s="642"/>
      <c r="AE75" s="642"/>
    </row>
    <row r="76" spans="2:31" x14ac:dyDescent="0.25"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T76" s="57"/>
      <c r="U76" s="57"/>
      <c r="V76" s="642"/>
      <c r="W76" s="642"/>
      <c r="X76" s="642"/>
      <c r="Y76" s="642"/>
      <c r="Z76" s="642"/>
      <c r="AA76" s="642"/>
      <c r="AB76" s="642"/>
      <c r="AC76" s="642"/>
      <c r="AD76" s="642"/>
      <c r="AE76" s="642"/>
    </row>
    <row r="77" spans="2:31" x14ac:dyDescent="0.25"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T77" s="57"/>
      <c r="U77" s="57"/>
      <c r="AA77" s="542"/>
      <c r="AB77" s="542"/>
      <c r="AC77" s="542"/>
      <c r="AD77" s="542"/>
      <c r="AE77" s="542"/>
    </row>
    <row r="78" spans="2:31" x14ac:dyDescent="0.25"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T78" s="57"/>
      <c r="U78" s="57"/>
      <c r="AA78" s="542"/>
      <c r="AB78" s="542"/>
      <c r="AC78" s="542"/>
      <c r="AD78" s="542"/>
      <c r="AE78" s="542"/>
    </row>
    <row r="79" spans="2:31" x14ac:dyDescent="0.25"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T79" s="57"/>
      <c r="U79" s="57"/>
      <c r="AA79" s="542"/>
      <c r="AB79" s="542"/>
      <c r="AC79" s="542"/>
      <c r="AD79" s="542"/>
      <c r="AE79" s="542"/>
    </row>
    <row r="80" spans="2:31" x14ac:dyDescent="0.25"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T80" s="57"/>
      <c r="U80" s="57"/>
      <c r="AA80" s="542"/>
      <c r="AB80" s="542"/>
      <c r="AC80" s="542"/>
      <c r="AD80" s="542"/>
      <c r="AE80" s="542"/>
    </row>
    <row r="81" spans="1:31" x14ac:dyDescent="0.25"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T81" s="57"/>
      <c r="U81" s="57"/>
      <c r="AA81" s="542"/>
      <c r="AB81" s="542"/>
      <c r="AC81" s="542"/>
      <c r="AD81" s="542"/>
      <c r="AE81" s="542"/>
    </row>
    <row r="82" spans="1:31" x14ac:dyDescent="0.25"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T82" s="57"/>
      <c r="U82" s="57"/>
      <c r="AA82" s="542"/>
      <c r="AB82" s="542"/>
      <c r="AC82" s="542"/>
      <c r="AD82" s="542"/>
      <c r="AE82" s="542"/>
    </row>
    <row r="83" spans="1:31" x14ac:dyDescent="0.25"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T83" s="57"/>
      <c r="U83" s="57"/>
      <c r="AA83" s="542"/>
      <c r="AB83" s="542"/>
      <c r="AC83" s="542"/>
      <c r="AD83" s="542"/>
      <c r="AE83" s="542"/>
    </row>
    <row r="84" spans="1:31" x14ac:dyDescent="0.25"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T84" s="57"/>
      <c r="U84" s="57"/>
      <c r="AA84" s="542"/>
      <c r="AB84" s="542"/>
      <c r="AC84" s="542"/>
      <c r="AD84" s="542"/>
      <c r="AE84" s="542"/>
    </row>
    <row r="85" spans="1:31" x14ac:dyDescent="0.25"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T85" s="57"/>
      <c r="U85" s="57"/>
      <c r="AA85" s="542"/>
      <c r="AB85" s="542"/>
      <c r="AC85" s="542"/>
      <c r="AD85" s="542"/>
      <c r="AE85" s="542"/>
    </row>
    <row r="86" spans="1:31" x14ac:dyDescent="0.25">
      <c r="A86" s="49"/>
      <c r="B86" s="720"/>
      <c r="C86" s="720"/>
      <c r="D86" s="686"/>
      <c r="E86" s="686"/>
      <c r="AA86" s="542"/>
      <c r="AB86" s="542"/>
      <c r="AC86" s="542"/>
      <c r="AD86" s="542"/>
      <c r="AE86" s="542"/>
    </row>
    <row r="87" spans="1:31" x14ac:dyDescent="0.25">
      <c r="A87" s="49"/>
      <c r="B87" s="642"/>
      <c r="C87" s="642"/>
      <c r="D87" s="721"/>
      <c r="E87" s="686"/>
      <c r="AA87" s="542"/>
      <c r="AB87" s="542"/>
      <c r="AC87" s="542"/>
      <c r="AD87" s="542"/>
      <c r="AE87" s="542"/>
    </row>
    <row r="88" spans="1:31" x14ac:dyDescent="0.25">
      <c r="A88" s="49"/>
      <c r="B88" s="642"/>
      <c r="C88" s="642"/>
      <c r="D88" s="721"/>
      <c r="E88" s="686"/>
      <c r="AA88" s="542"/>
      <c r="AB88" s="542"/>
      <c r="AC88" s="542"/>
      <c r="AD88" s="542"/>
      <c r="AE88" s="542"/>
    </row>
    <row r="89" spans="1:31" x14ac:dyDescent="0.25">
      <c r="A89" s="49"/>
      <c r="B89" s="642"/>
      <c r="C89" s="642"/>
      <c r="D89" s="721"/>
      <c r="E89" s="686"/>
      <c r="AA89" s="542"/>
      <c r="AB89" s="542"/>
      <c r="AC89" s="542"/>
      <c r="AD89" s="542"/>
      <c r="AE89" s="542"/>
    </row>
    <row r="90" spans="1:31" x14ac:dyDescent="0.25">
      <c r="A90" s="49"/>
      <c r="B90" s="642"/>
      <c r="C90" s="642"/>
      <c r="D90" s="721"/>
      <c r="E90" s="686"/>
      <c r="AA90" s="542"/>
      <c r="AB90" s="542"/>
      <c r="AC90" s="542"/>
      <c r="AD90" s="542"/>
      <c r="AE90" s="542"/>
    </row>
    <row r="91" spans="1:31" x14ac:dyDescent="0.25">
      <c r="A91" s="49"/>
      <c r="B91" s="642"/>
      <c r="C91" s="642"/>
      <c r="D91" s="721"/>
      <c r="E91" s="686"/>
      <c r="AA91" s="542"/>
      <c r="AB91" s="542"/>
      <c r="AC91" s="542"/>
      <c r="AD91" s="542"/>
      <c r="AE91" s="542"/>
    </row>
    <row r="92" spans="1:31" x14ac:dyDescent="0.25">
      <c r="A92" s="49"/>
      <c r="B92" s="642"/>
      <c r="C92" s="642"/>
      <c r="D92" s="721"/>
      <c r="E92" s="686"/>
      <c r="AA92" s="542"/>
      <c r="AB92" s="542"/>
      <c r="AC92" s="542"/>
      <c r="AD92" s="542"/>
      <c r="AE92" s="542"/>
    </row>
    <row r="93" spans="1:31" x14ac:dyDescent="0.25">
      <c r="A93" s="49"/>
      <c r="B93" s="642"/>
      <c r="C93" s="642"/>
      <c r="D93" s="721"/>
      <c r="E93" s="686"/>
      <c r="AA93" s="542"/>
      <c r="AB93" s="542"/>
      <c r="AC93" s="542"/>
      <c r="AD93" s="542"/>
      <c r="AE93" s="542"/>
    </row>
    <row r="94" spans="1:31" x14ac:dyDescent="0.25">
      <c r="A94" s="49"/>
      <c r="B94" s="642"/>
      <c r="C94" s="642"/>
      <c r="D94" s="721"/>
      <c r="E94" s="686"/>
      <c r="AA94" s="542"/>
      <c r="AB94" s="542"/>
      <c r="AC94" s="542"/>
      <c r="AD94" s="542"/>
      <c r="AE94" s="542"/>
    </row>
    <row r="95" spans="1:31" x14ac:dyDescent="0.25">
      <c r="A95" s="49"/>
      <c r="B95" s="642"/>
      <c r="C95" s="642"/>
      <c r="D95" s="721"/>
      <c r="E95" s="686"/>
      <c r="AA95" s="542"/>
      <c r="AB95" s="542"/>
      <c r="AC95" s="542"/>
      <c r="AD95" s="542"/>
      <c r="AE95" s="542"/>
    </row>
    <row r="96" spans="1:31" x14ac:dyDescent="0.25">
      <c r="A96" s="49"/>
      <c r="B96" s="642"/>
      <c r="C96" s="642"/>
      <c r="D96" s="721"/>
      <c r="E96" s="686"/>
      <c r="AA96" s="542"/>
      <c r="AB96" s="542"/>
      <c r="AC96" s="542"/>
      <c r="AD96" s="542"/>
      <c r="AE96" s="542"/>
    </row>
    <row r="97" spans="1:31" x14ac:dyDescent="0.25">
      <c r="A97" s="49"/>
      <c r="B97" s="642"/>
      <c r="C97" s="642"/>
      <c r="D97" s="721"/>
      <c r="E97" s="686"/>
      <c r="AA97" s="542"/>
      <c r="AB97" s="542"/>
      <c r="AC97" s="542"/>
      <c r="AD97" s="542"/>
      <c r="AE97" s="542"/>
    </row>
    <row r="98" spans="1:31" x14ac:dyDescent="0.25">
      <c r="A98" s="49"/>
      <c r="B98" s="642"/>
      <c r="C98" s="642"/>
      <c r="D98" s="686"/>
      <c r="E98" s="686"/>
      <c r="AA98" s="542"/>
      <c r="AB98" s="542"/>
      <c r="AC98" s="542"/>
      <c r="AD98" s="542"/>
      <c r="AE98" s="542"/>
    </row>
    <row r="99" spans="1:31" x14ac:dyDescent="0.25">
      <c r="A99" s="49"/>
      <c r="B99" s="686"/>
      <c r="C99" s="686"/>
      <c r="D99" s="686"/>
      <c r="E99" s="686"/>
      <c r="AA99" s="542"/>
      <c r="AB99" s="542"/>
      <c r="AC99" s="542"/>
      <c r="AD99" s="542"/>
      <c r="AE99" s="542"/>
    </row>
    <row r="100" spans="1:31" x14ac:dyDescent="0.25">
      <c r="AA100" s="542"/>
      <c r="AB100" s="542"/>
      <c r="AC100" s="542"/>
      <c r="AD100" s="542"/>
      <c r="AE100" s="542"/>
    </row>
    <row r="101" spans="1:31" x14ac:dyDescent="0.25">
      <c r="AA101" s="542"/>
      <c r="AB101" s="542"/>
      <c r="AC101" s="542"/>
      <c r="AD101" s="542"/>
      <c r="AE101" s="542"/>
    </row>
    <row r="102" spans="1:31" x14ac:dyDescent="0.25">
      <c r="AA102" s="542"/>
      <c r="AB102" s="542"/>
      <c r="AC102" s="542"/>
      <c r="AD102" s="542"/>
      <c r="AE102" s="542"/>
    </row>
    <row r="103" spans="1:31" x14ac:dyDescent="0.25">
      <c r="AA103" s="542"/>
      <c r="AB103" s="542"/>
      <c r="AC103" s="542"/>
      <c r="AD103" s="542"/>
      <c r="AE103" s="542"/>
    </row>
    <row r="104" spans="1:31" x14ac:dyDescent="0.25">
      <c r="AA104" s="542"/>
      <c r="AB104" s="542"/>
      <c r="AC104" s="542"/>
      <c r="AD104" s="542"/>
      <c r="AE104" s="542"/>
    </row>
    <row r="105" spans="1:31" x14ac:dyDescent="0.25">
      <c r="AA105" s="542"/>
      <c r="AB105" s="542"/>
      <c r="AC105" s="542"/>
      <c r="AD105" s="542"/>
      <c r="AE105" s="542"/>
    </row>
    <row r="106" spans="1:31" x14ac:dyDescent="0.25">
      <c r="AA106" s="542"/>
      <c r="AB106" s="542"/>
      <c r="AC106" s="542"/>
      <c r="AD106" s="542"/>
      <c r="AE106" s="542"/>
    </row>
    <row r="107" spans="1:31" x14ac:dyDescent="0.25">
      <c r="AA107" s="542"/>
      <c r="AB107" s="542"/>
      <c r="AC107" s="542"/>
      <c r="AD107" s="542"/>
      <c r="AE107" s="542"/>
    </row>
    <row r="108" spans="1:31" x14ac:dyDescent="0.25">
      <c r="AA108" s="542"/>
      <c r="AB108" s="542"/>
      <c r="AC108" s="542"/>
      <c r="AD108" s="542"/>
      <c r="AE108" s="542"/>
    </row>
    <row r="109" spans="1:31" x14ac:dyDescent="0.25">
      <c r="AA109" s="542"/>
      <c r="AB109" s="542"/>
      <c r="AC109" s="542"/>
      <c r="AD109" s="542"/>
      <c r="AE109" s="542"/>
    </row>
    <row r="110" spans="1:31" x14ac:dyDescent="0.25">
      <c r="AA110" s="542"/>
      <c r="AB110" s="542"/>
      <c r="AC110" s="542"/>
      <c r="AD110" s="542"/>
      <c r="AE110" s="542"/>
    </row>
    <row r="111" spans="1:31" x14ac:dyDescent="0.25">
      <c r="AA111" s="542"/>
      <c r="AB111" s="542"/>
      <c r="AC111" s="542"/>
      <c r="AD111" s="542"/>
      <c r="AE111" s="542"/>
    </row>
    <row r="112" spans="1:31" x14ac:dyDescent="0.25">
      <c r="AA112" s="542"/>
      <c r="AB112" s="542"/>
      <c r="AC112" s="542"/>
      <c r="AD112" s="542"/>
      <c r="AE112" s="542"/>
    </row>
    <row r="113" spans="27:31" x14ac:dyDescent="0.25">
      <c r="AA113" s="542"/>
      <c r="AB113" s="542"/>
      <c r="AC113" s="542"/>
      <c r="AD113" s="542"/>
      <c r="AE113" s="542"/>
    </row>
    <row r="114" spans="27:31" x14ac:dyDescent="0.25">
      <c r="AA114" s="542"/>
      <c r="AB114" s="542"/>
      <c r="AC114" s="542"/>
      <c r="AD114" s="542"/>
      <c r="AE114" s="542"/>
    </row>
  </sheetData>
  <pageMargins left="0.75" right="0.75" top="1" bottom="0.5" header="0.25" footer="0.25"/>
  <pageSetup scale="44" orientation="landscape" r:id="rId1"/>
  <headerFooter>
    <oddHeader>&amp;C&amp;"Times New Roman,Bold"&amp;10Louisville Gas and Electric Company
Case No. 2016-00371
Summary of Base Period Revenues
Base Period Sales for the Twelve Months Ended February 28, 2015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 tint="0.39997558519241921"/>
  </sheetPr>
  <dimension ref="A1:I47"/>
  <sheetViews>
    <sheetView workbookViewId="0">
      <selection activeCell="J12" sqref="J12"/>
    </sheetView>
  </sheetViews>
  <sheetFormatPr defaultRowHeight="12.75" x14ac:dyDescent="0.2"/>
  <cols>
    <col min="1" max="1" width="44.85546875" style="726" customWidth="1"/>
    <col min="2" max="2" width="9.140625" style="726" customWidth="1"/>
    <col min="3" max="3" width="6.7109375" style="726" customWidth="1"/>
    <col min="4" max="4" width="18.140625" style="726" customWidth="1"/>
    <col min="5" max="9" width="17.7109375" style="726" customWidth="1"/>
    <col min="10" max="13" width="9.140625" style="726"/>
    <col min="14" max="15" width="16.28515625" style="726" bestFit="1" customWidth="1"/>
    <col min="16" max="16384" width="9.140625" style="726"/>
  </cols>
  <sheetData>
    <row r="1" spans="1:9" x14ac:dyDescent="0.2">
      <c r="A1" s="725"/>
      <c r="B1" s="723"/>
      <c r="C1" s="723"/>
      <c r="D1" s="723"/>
    </row>
    <row r="2" spans="1:9" x14ac:dyDescent="0.2">
      <c r="A2" s="723"/>
      <c r="B2" s="723"/>
      <c r="C2" s="723"/>
      <c r="D2" s="723"/>
    </row>
    <row r="3" spans="1:9" x14ac:dyDescent="0.2">
      <c r="A3" s="723"/>
      <c r="B3" s="723"/>
      <c r="C3" s="723"/>
      <c r="D3" s="727"/>
    </row>
    <row r="4" spans="1:9" x14ac:dyDescent="0.2">
      <c r="A4" s="725"/>
      <c r="B4" s="725"/>
      <c r="C4" s="725"/>
      <c r="D4" s="727" t="s">
        <v>396</v>
      </c>
      <c r="E4" s="727" t="str">
        <f>$D$4</f>
        <v xml:space="preserve">Actual </v>
      </c>
      <c r="F4" s="727" t="str">
        <f>$D$4</f>
        <v xml:space="preserve">Actual </v>
      </c>
      <c r="G4" s="727" t="str">
        <f>$D$4</f>
        <v xml:space="preserve">Actual </v>
      </c>
      <c r="H4" s="727" t="str">
        <f>$D$4</f>
        <v xml:space="preserve">Actual </v>
      </c>
      <c r="I4" s="727" t="str">
        <f>$D$4</f>
        <v xml:space="preserve">Actual </v>
      </c>
    </row>
    <row r="5" spans="1:9" x14ac:dyDescent="0.2">
      <c r="A5" s="728" t="s">
        <v>132</v>
      </c>
      <c r="B5" s="723"/>
      <c r="C5" s="723"/>
      <c r="D5" s="729" t="s">
        <v>1019</v>
      </c>
      <c r="E5" s="730">
        <f>EDATE(D5,1)</f>
        <v>43922</v>
      </c>
      <c r="F5" s="730">
        <f>EDATE(E5,1)</f>
        <v>43952</v>
      </c>
      <c r="G5" s="730">
        <f>EDATE(F5,1)</f>
        <v>43983</v>
      </c>
      <c r="H5" s="730">
        <f>EDATE(G5,1)</f>
        <v>44013</v>
      </c>
      <c r="I5" s="730">
        <f>EDATE(H5,1)</f>
        <v>44044</v>
      </c>
    </row>
    <row r="6" spans="1:9" x14ac:dyDescent="0.2">
      <c r="A6" s="731"/>
      <c r="B6" s="723"/>
      <c r="C6" s="723"/>
      <c r="D6" s="731"/>
    </row>
    <row r="7" spans="1:9" x14ac:dyDescent="0.2">
      <c r="A7" s="723" t="s">
        <v>133</v>
      </c>
      <c r="B7" s="723"/>
      <c r="C7" s="723"/>
      <c r="D7" s="732">
        <v>5916943.9699999997</v>
      </c>
      <c r="E7" s="732">
        <v>2665334.4500000002</v>
      </c>
      <c r="F7" s="732">
        <v>2786797.22</v>
      </c>
      <c r="G7" s="732">
        <v>3141756.64</v>
      </c>
      <c r="H7" s="732">
        <v>6903339.9699999997</v>
      </c>
      <c r="I7" s="732">
        <v>8530782.8399999999</v>
      </c>
    </row>
    <row r="8" spans="1:9" x14ac:dyDescent="0.2">
      <c r="A8" s="723" t="s">
        <v>134</v>
      </c>
      <c r="B8" s="723"/>
      <c r="C8" s="723"/>
      <c r="D8" s="733">
        <v>-146324.04999999999</v>
      </c>
      <c r="E8" s="733">
        <v>0</v>
      </c>
      <c r="F8" s="733">
        <v>-12485.84</v>
      </c>
      <c r="G8" s="733">
        <v>-1398618.53</v>
      </c>
      <c r="H8" s="733">
        <v>-5559007.1699999999</v>
      </c>
      <c r="I8" s="733">
        <v>-6839112.2599999998</v>
      </c>
    </row>
    <row r="9" spans="1:9" x14ac:dyDescent="0.2">
      <c r="A9" s="723" t="s">
        <v>135</v>
      </c>
      <c r="B9" s="723"/>
      <c r="C9" s="723"/>
      <c r="D9" s="733">
        <v>4358845.24</v>
      </c>
      <c r="E9" s="733">
        <v>2560187.9</v>
      </c>
      <c r="F9" s="733">
        <v>781096.98</v>
      </c>
      <c r="G9" s="733">
        <v>1042.6099999999999</v>
      </c>
      <c r="H9" s="733">
        <v>824.07</v>
      </c>
      <c r="I9" s="733">
        <v>647.45000000000005</v>
      </c>
    </row>
    <row r="10" spans="1:9" x14ac:dyDescent="0.2">
      <c r="A10" s="734" t="s">
        <v>136</v>
      </c>
      <c r="B10" s="723"/>
      <c r="C10" s="723"/>
      <c r="D10" s="733">
        <v>0</v>
      </c>
      <c r="E10" s="733">
        <v>0</v>
      </c>
      <c r="F10" s="733">
        <v>0</v>
      </c>
      <c r="G10" s="733">
        <v>0</v>
      </c>
      <c r="H10" s="733">
        <v>0</v>
      </c>
      <c r="I10" s="733">
        <v>0</v>
      </c>
    </row>
    <row r="11" spans="1:9" x14ac:dyDescent="0.2">
      <c r="A11" s="735" t="s">
        <v>137</v>
      </c>
      <c r="B11" s="723"/>
      <c r="C11" s="723"/>
      <c r="D11" s="736">
        <v>-7478.24</v>
      </c>
      <c r="E11" s="736">
        <v>-4088.66</v>
      </c>
      <c r="F11" s="736">
        <v>-3161.76</v>
      </c>
      <c r="G11" s="736">
        <v>-1232.8800000000001</v>
      </c>
      <c r="H11" s="736">
        <v>-685.01</v>
      </c>
      <c r="I11" s="736">
        <v>-599.77</v>
      </c>
    </row>
    <row r="12" spans="1:9" x14ac:dyDescent="0.2">
      <c r="A12" s="737" t="s">
        <v>138</v>
      </c>
      <c r="B12" s="723"/>
      <c r="C12" s="723"/>
      <c r="D12" s="540">
        <f t="shared" ref="D12:H12" si="0">SUM(D7:D11)</f>
        <v>10121986.92</v>
      </c>
      <c r="E12" s="540">
        <f t="shared" si="0"/>
        <v>5221433.6899999995</v>
      </c>
      <c r="F12" s="540">
        <f t="shared" si="0"/>
        <v>3552246.6000000006</v>
      </c>
      <c r="G12" s="540">
        <f t="shared" si="0"/>
        <v>1742947.8400000003</v>
      </c>
      <c r="H12" s="540">
        <f t="shared" si="0"/>
        <v>1344471.8599999999</v>
      </c>
      <c r="I12" s="540">
        <f>SUM(I7:I11)</f>
        <v>1691718.26</v>
      </c>
    </row>
    <row r="13" spans="1:9" x14ac:dyDescent="0.2">
      <c r="A13" s="722" t="s">
        <v>139</v>
      </c>
      <c r="B13" s="723"/>
      <c r="C13" s="723"/>
      <c r="D13" s="738">
        <v>0</v>
      </c>
      <c r="E13" s="738">
        <v>0</v>
      </c>
      <c r="F13" s="738">
        <v>0</v>
      </c>
      <c r="G13" s="738">
        <v>0</v>
      </c>
      <c r="H13" s="738">
        <v>0</v>
      </c>
      <c r="I13" s="738">
        <v>0</v>
      </c>
    </row>
    <row r="14" spans="1:9" x14ac:dyDescent="0.2">
      <c r="A14" s="722" t="s">
        <v>140</v>
      </c>
      <c r="B14" s="723"/>
      <c r="C14" s="723"/>
      <c r="D14" s="738">
        <v>0</v>
      </c>
      <c r="E14" s="738">
        <v>0</v>
      </c>
      <c r="F14" s="738">
        <v>0</v>
      </c>
      <c r="G14" s="738">
        <v>0</v>
      </c>
      <c r="H14" s="738">
        <v>0</v>
      </c>
      <c r="I14" s="738">
        <v>0</v>
      </c>
    </row>
    <row r="15" spans="1:9" x14ac:dyDescent="0.2">
      <c r="A15" s="722" t="s">
        <v>141</v>
      </c>
      <c r="B15" s="541"/>
      <c r="C15" s="541"/>
      <c r="D15" s="738">
        <v>-150000</v>
      </c>
      <c r="E15" s="738">
        <v>0</v>
      </c>
      <c r="F15" s="738">
        <v>0</v>
      </c>
      <c r="G15" s="738">
        <v>-185000</v>
      </c>
      <c r="H15" s="738">
        <v>0</v>
      </c>
      <c r="I15" s="738">
        <v>0</v>
      </c>
    </row>
    <row r="16" spans="1:9" x14ac:dyDescent="0.2">
      <c r="A16" s="722" t="s">
        <v>142</v>
      </c>
      <c r="B16" s="723"/>
      <c r="C16" s="723"/>
      <c r="D16" s="738">
        <v>360935.35</v>
      </c>
      <c r="E16" s="738">
        <v>207313.72</v>
      </c>
      <c r="F16" s="738">
        <v>145309.21</v>
      </c>
      <c r="G16" s="738">
        <v>82461.740000000005</v>
      </c>
      <c r="H16" s="738">
        <v>60286.43</v>
      </c>
      <c r="I16" s="738">
        <v>56081.18</v>
      </c>
    </row>
    <row r="17" spans="1:9" x14ac:dyDescent="0.2">
      <c r="A17" s="722" t="s">
        <v>143</v>
      </c>
      <c r="B17" s="723"/>
      <c r="C17" s="723"/>
      <c r="D17" s="738">
        <v>-3300.66</v>
      </c>
      <c r="E17" s="738">
        <v>-2408.9</v>
      </c>
      <c r="F17" s="738">
        <v>-1240.1099999999999</v>
      </c>
      <c r="G17" s="738">
        <v>-155.74</v>
      </c>
      <c r="H17" s="738">
        <v>-130.63</v>
      </c>
      <c r="I17" s="738">
        <v>-38.5</v>
      </c>
    </row>
    <row r="18" spans="1:9" x14ac:dyDescent="0.2">
      <c r="A18" s="722" t="s">
        <v>144</v>
      </c>
      <c r="B18" s="723"/>
      <c r="C18" s="723"/>
      <c r="D18" s="738">
        <v>0</v>
      </c>
      <c r="E18" s="738">
        <v>0</v>
      </c>
      <c r="F18" s="738">
        <v>0</v>
      </c>
      <c r="G18" s="738">
        <v>0</v>
      </c>
      <c r="H18" s="738">
        <v>0</v>
      </c>
      <c r="I18" s="738">
        <v>0</v>
      </c>
    </row>
    <row r="19" spans="1:9" x14ac:dyDescent="0.2">
      <c r="A19" s="722" t="s">
        <v>145</v>
      </c>
      <c r="B19" s="723"/>
      <c r="C19" s="723"/>
      <c r="D19" s="738">
        <v>-509365.18</v>
      </c>
      <c r="E19" s="738">
        <v>1243430.56</v>
      </c>
      <c r="F19" s="738">
        <v>-407758.54</v>
      </c>
      <c r="G19" s="738">
        <v>16257.66</v>
      </c>
      <c r="H19" s="738">
        <v>223532.93</v>
      </c>
      <c r="I19" s="738">
        <v>-74087.89</v>
      </c>
    </row>
    <row r="20" spans="1:9" x14ac:dyDescent="0.2">
      <c r="A20" s="722" t="s">
        <v>146</v>
      </c>
      <c r="B20" s="723"/>
      <c r="C20" s="723"/>
      <c r="D20" s="738">
        <v>-2915.67</v>
      </c>
      <c r="E20" s="738">
        <v>-1666.06</v>
      </c>
      <c r="F20" s="738">
        <v>-12890.84</v>
      </c>
      <c r="G20" s="738">
        <v>-16126.8</v>
      </c>
      <c r="H20" s="738">
        <v>-11820.28</v>
      </c>
      <c r="I20" s="738">
        <v>112092.33</v>
      </c>
    </row>
    <row r="21" spans="1:9" x14ac:dyDescent="0.2">
      <c r="A21" s="722" t="s">
        <v>255</v>
      </c>
      <c r="B21" s="723"/>
      <c r="C21" s="723"/>
      <c r="D21" s="738">
        <v>83711.399999999994</v>
      </c>
      <c r="E21" s="738">
        <v>78150.52</v>
      </c>
      <c r="F21" s="738">
        <v>76401.509999999995</v>
      </c>
      <c r="G21" s="738">
        <v>76570.86</v>
      </c>
      <c r="H21" s="738">
        <v>91728.1</v>
      </c>
      <c r="I21" s="738">
        <v>151013.07999999999</v>
      </c>
    </row>
    <row r="22" spans="1:9" x14ac:dyDescent="0.2">
      <c r="A22" s="739" t="s">
        <v>375</v>
      </c>
      <c r="D22" s="738">
        <v>14110.61</v>
      </c>
      <c r="E22" s="738">
        <v>8481.49</v>
      </c>
      <c r="F22" s="738">
        <v>11811.2</v>
      </c>
      <c r="G22" s="738">
        <v>8138.1</v>
      </c>
      <c r="H22" s="738">
        <v>8470.14</v>
      </c>
      <c r="I22" s="738">
        <v>4664.46</v>
      </c>
    </row>
    <row r="23" spans="1:9" ht="13.5" thickBot="1" x14ac:dyDescent="0.25">
      <c r="A23" s="740" t="s">
        <v>147</v>
      </c>
      <c r="B23" s="723"/>
      <c r="C23" s="723"/>
      <c r="D23" s="741">
        <f t="shared" ref="D23:I23" si="1">SUM(D12:D22)</f>
        <v>9915162.7699999996</v>
      </c>
      <c r="E23" s="741">
        <f t="shared" si="1"/>
        <v>6754735.0199999986</v>
      </c>
      <c r="F23" s="741">
        <f t="shared" si="1"/>
        <v>3363879.0300000007</v>
      </c>
      <c r="G23" s="741">
        <f t="shared" si="1"/>
        <v>1725093.6600000004</v>
      </c>
      <c r="H23" s="741">
        <f t="shared" si="1"/>
        <v>1716538.5499999998</v>
      </c>
      <c r="I23" s="741">
        <f t="shared" si="1"/>
        <v>1941442.9200000002</v>
      </c>
    </row>
    <row r="24" spans="1:9" ht="13.5" thickTop="1" x14ac:dyDescent="0.2">
      <c r="A24" s="722"/>
      <c r="B24" s="722"/>
      <c r="C24" s="722"/>
      <c r="D24" s="739"/>
      <c r="E24" s="543"/>
      <c r="F24" s="543"/>
      <c r="G24" s="543"/>
      <c r="H24" s="543"/>
      <c r="I24" s="543"/>
    </row>
    <row r="25" spans="1:9" x14ac:dyDescent="0.2">
      <c r="A25" s="722"/>
      <c r="B25" s="722"/>
      <c r="C25" s="722"/>
      <c r="D25" s="742"/>
    </row>
    <row r="26" spans="1:9" x14ac:dyDescent="0.2">
      <c r="A26" s="722"/>
      <c r="B26" s="722"/>
      <c r="C26" s="722"/>
      <c r="D26" s="743"/>
    </row>
    <row r="27" spans="1:9" x14ac:dyDescent="0.2">
      <c r="A27" s="744"/>
      <c r="B27" s="722"/>
      <c r="C27" s="722"/>
      <c r="D27" s="722"/>
    </row>
    <row r="28" spans="1:9" x14ac:dyDescent="0.2">
      <c r="A28" s="745" t="s">
        <v>1029</v>
      </c>
      <c r="B28" s="722"/>
      <c r="C28" s="722"/>
      <c r="D28" s="746"/>
    </row>
    <row r="29" spans="1:9" x14ac:dyDescent="0.2">
      <c r="A29" s="739" t="s">
        <v>1028</v>
      </c>
      <c r="B29" s="722"/>
      <c r="C29" s="722"/>
      <c r="D29" s="722"/>
    </row>
    <row r="30" spans="1:9" x14ac:dyDescent="0.2">
      <c r="A30" s="722"/>
      <c r="B30" s="722"/>
      <c r="C30" s="722"/>
      <c r="D30" s="722"/>
    </row>
    <row r="31" spans="1:9" x14ac:dyDescent="0.2">
      <c r="A31" s="722"/>
      <c r="B31" s="722"/>
      <c r="C31" s="722"/>
      <c r="D31" s="722"/>
    </row>
    <row r="33" spans="1:4" x14ac:dyDescent="0.2">
      <c r="A33" s="745" t="s">
        <v>1071</v>
      </c>
      <c r="B33" s="723"/>
      <c r="C33" s="723"/>
      <c r="D33" s="724"/>
    </row>
    <row r="34" spans="1:4" x14ac:dyDescent="0.2">
      <c r="A34" s="722"/>
      <c r="B34" s="723"/>
      <c r="C34" s="723"/>
      <c r="D34" s="724"/>
    </row>
    <row r="35" spans="1:4" x14ac:dyDescent="0.2">
      <c r="B35" s="747">
        <f>EDATE(B36,-1)</f>
        <v>43891</v>
      </c>
      <c r="D35" s="748">
        <v>72691.17</v>
      </c>
    </row>
    <row r="36" spans="1:4" x14ac:dyDescent="0.2">
      <c r="B36" s="749">
        <f>E5</f>
        <v>43922</v>
      </c>
      <c r="C36" s="750"/>
      <c r="D36" s="748">
        <v>70665.100000000006</v>
      </c>
    </row>
    <row r="37" spans="1:4" x14ac:dyDescent="0.2">
      <c r="B37" s="749">
        <f>F5</f>
        <v>43952</v>
      </c>
      <c r="C37" s="750"/>
      <c r="D37" s="748">
        <v>81946.22</v>
      </c>
    </row>
    <row r="38" spans="1:4" x14ac:dyDescent="0.2">
      <c r="B38" s="749">
        <f>G5</f>
        <v>43983</v>
      </c>
      <c r="C38" s="750"/>
      <c r="D38" s="748">
        <v>82307.88</v>
      </c>
    </row>
    <row r="39" spans="1:4" x14ac:dyDescent="0.2">
      <c r="B39" s="749">
        <f>H5</f>
        <v>44013</v>
      </c>
      <c r="C39" s="750"/>
      <c r="D39" s="748">
        <v>173739.72</v>
      </c>
    </row>
    <row r="40" spans="1:4" x14ac:dyDescent="0.2">
      <c r="B40" s="751">
        <f>I5</f>
        <v>44044</v>
      </c>
      <c r="C40" s="752"/>
      <c r="D40" s="753">
        <v>87121.53</v>
      </c>
    </row>
    <row r="41" spans="1:4" x14ac:dyDescent="0.2">
      <c r="B41" s="749"/>
      <c r="C41" s="750"/>
      <c r="D41" s="754">
        <f>SUM(D35:D40)</f>
        <v>568471.62</v>
      </c>
    </row>
    <row r="42" spans="1:4" x14ac:dyDescent="0.2">
      <c r="B42" s="749"/>
      <c r="C42" s="750"/>
    </row>
    <row r="43" spans="1:4" x14ac:dyDescent="0.2">
      <c r="B43" s="749"/>
      <c r="C43" s="750"/>
    </row>
    <row r="44" spans="1:4" x14ac:dyDescent="0.2">
      <c r="C44" s="750"/>
    </row>
    <row r="45" spans="1:4" x14ac:dyDescent="0.2">
      <c r="C45" s="750"/>
    </row>
    <row r="46" spans="1:4" x14ac:dyDescent="0.2">
      <c r="C46" s="750"/>
    </row>
    <row r="47" spans="1:4" x14ac:dyDescent="0.2">
      <c r="C47" s="750"/>
    </row>
  </sheetData>
  <pageMargins left="1.2" right="0.7" top="1" bottom="0.75" header="0.55000000000000004" footer="0.55000000000000004"/>
  <pageSetup scale="50" orientation="portrait" r:id="rId1"/>
  <headerFooter>
    <oddHeader>&amp;R&amp;"Times New Roman,Bold"&amp;12Conroy Exhibit P11
Page 3 of 3</oddHeader>
  </headerFooter>
  <colBreaks count="1" manualBreakCount="1">
    <brk id="9" max="2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M19"/>
  <sheetViews>
    <sheetView workbookViewId="0">
      <selection activeCell="I13" sqref="I13"/>
    </sheetView>
  </sheetViews>
  <sheetFormatPr defaultRowHeight="15" x14ac:dyDescent="0.25"/>
  <cols>
    <col min="1" max="1" width="24.5703125" customWidth="1"/>
    <col min="2" max="2" width="36.28515625" customWidth="1"/>
    <col min="3" max="3" width="17.28515625" bestFit="1" customWidth="1"/>
    <col min="4" max="4" width="4.5703125" customWidth="1"/>
    <col min="5" max="5" width="26.42578125" customWidth="1"/>
    <col min="6" max="6" width="18" customWidth="1"/>
    <col min="7" max="7" width="14.42578125" bestFit="1" customWidth="1"/>
    <col min="9" max="9" width="13.28515625" bestFit="1" customWidth="1"/>
    <col min="10" max="10" width="15.140625" customWidth="1"/>
    <col min="11" max="11" width="15.28515625" bestFit="1" customWidth="1"/>
    <col min="12" max="12" width="15.7109375" customWidth="1"/>
    <col min="13" max="13" width="19.28515625" customWidth="1"/>
  </cols>
  <sheetData>
    <row r="1" spans="1:13" x14ac:dyDescent="0.25">
      <c r="B1" s="757"/>
      <c r="D1" s="757"/>
      <c r="E1" s="757"/>
      <c r="F1" s="757"/>
      <c r="G1" s="757"/>
      <c r="H1" s="757"/>
      <c r="J1" s="805" t="s">
        <v>791</v>
      </c>
      <c r="K1" s="805" t="s">
        <v>791</v>
      </c>
      <c r="L1" s="805" t="s">
        <v>791</v>
      </c>
      <c r="M1" s="805" t="s">
        <v>792</v>
      </c>
    </row>
    <row r="2" spans="1:13" x14ac:dyDescent="0.25">
      <c r="B2" s="757"/>
      <c r="D2" s="757"/>
      <c r="E2" s="757"/>
      <c r="F2" s="757"/>
      <c r="G2" s="757"/>
      <c r="H2" s="757"/>
      <c r="J2" s="353" t="s">
        <v>786</v>
      </c>
      <c r="K2" s="353" t="s">
        <v>786</v>
      </c>
      <c r="L2" s="353" t="s">
        <v>789</v>
      </c>
      <c r="M2" s="353" t="s">
        <v>793</v>
      </c>
    </row>
    <row r="3" spans="1:13" x14ac:dyDescent="0.25">
      <c r="B3" s="803"/>
      <c r="C3" s="757"/>
      <c r="D3" s="757"/>
      <c r="E3" s="757"/>
      <c r="F3" s="757"/>
      <c r="G3" s="757"/>
      <c r="H3" s="757"/>
      <c r="I3" s="800"/>
      <c r="J3" s="200" t="s">
        <v>787</v>
      </c>
      <c r="K3" s="200" t="s">
        <v>788</v>
      </c>
      <c r="L3" s="200" t="s">
        <v>790</v>
      </c>
      <c r="M3" s="200" t="s">
        <v>794</v>
      </c>
    </row>
    <row r="4" spans="1:13" x14ac:dyDescent="0.25">
      <c r="A4" t="s">
        <v>781</v>
      </c>
      <c r="D4" s="801"/>
      <c r="E4" s="801">
        <v>336009305.47696149</v>
      </c>
      <c r="F4" s="757"/>
      <c r="G4" s="757"/>
      <c r="H4" s="757"/>
      <c r="I4" t="s">
        <v>1097</v>
      </c>
      <c r="J4" s="806"/>
      <c r="K4" s="806">
        <v>-23002530</v>
      </c>
      <c r="L4" s="806">
        <v>521281</v>
      </c>
      <c r="M4" s="806">
        <v>-1058.52</v>
      </c>
    </row>
    <row r="5" spans="1:13" x14ac:dyDescent="0.25">
      <c r="A5" t="s">
        <v>785</v>
      </c>
      <c r="C5" s="801"/>
      <c r="D5" s="801"/>
      <c r="E5" s="801"/>
      <c r="F5" s="757"/>
      <c r="G5" s="757"/>
      <c r="H5" s="757"/>
      <c r="I5" t="s">
        <v>1098</v>
      </c>
      <c r="J5" s="806"/>
      <c r="K5" s="806"/>
      <c r="L5" s="806">
        <v>605841</v>
      </c>
      <c r="M5" s="806">
        <v>-732.97</v>
      </c>
    </row>
    <row r="6" spans="1:13" x14ac:dyDescent="0.25">
      <c r="A6" s="804" t="s">
        <v>782</v>
      </c>
      <c r="C6" s="801">
        <f>'Sch M-1.1-G'!B38</f>
        <v>460418.40547537239</v>
      </c>
      <c r="D6" s="801"/>
      <c r="E6" s="801"/>
      <c r="F6" s="757"/>
      <c r="G6" s="757"/>
      <c r="H6" s="757"/>
      <c r="I6" t="s">
        <v>1099</v>
      </c>
      <c r="J6" s="806"/>
      <c r="K6" s="806"/>
      <c r="L6" s="806">
        <v>265321</v>
      </c>
      <c r="M6" s="806">
        <v>-40.14</v>
      </c>
    </row>
    <row r="7" spans="1:13" x14ac:dyDescent="0.25">
      <c r="A7" s="804" t="s">
        <v>780</v>
      </c>
      <c r="C7" s="801">
        <f>'Sch M-1.1-G'!B39</f>
        <v>73628.499999999985</v>
      </c>
      <c r="D7" s="801"/>
      <c r="E7" s="801"/>
      <c r="F7" s="757"/>
      <c r="G7" s="757"/>
      <c r="H7" s="757"/>
      <c r="I7" t="s">
        <v>1100</v>
      </c>
      <c r="J7" s="806"/>
      <c r="K7" s="806"/>
      <c r="L7" s="806">
        <v>295934</v>
      </c>
      <c r="M7" s="806">
        <v>-24.03</v>
      </c>
    </row>
    <row r="8" spans="1:13" x14ac:dyDescent="0.25">
      <c r="A8" s="804" t="s">
        <v>544</v>
      </c>
      <c r="C8" s="801">
        <f>'Sch M-1.1-G'!B40</f>
        <v>166598.90999999997</v>
      </c>
      <c r="D8" s="801"/>
      <c r="E8" s="801"/>
      <c r="F8" s="757"/>
      <c r="G8" s="757"/>
      <c r="H8" s="757"/>
      <c r="I8" t="s">
        <v>1101</v>
      </c>
      <c r="J8" s="806"/>
      <c r="K8" s="806"/>
      <c r="L8" s="806">
        <v>656629</v>
      </c>
      <c r="M8" s="806">
        <v>-1084.8400000000001</v>
      </c>
    </row>
    <row r="9" spans="1:13" x14ac:dyDescent="0.25">
      <c r="A9" s="804" t="s">
        <v>302</v>
      </c>
      <c r="B9" s="757"/>
      <c r="C9" s="802">
        <f>'Sch M-1.1-G'!B41</f>
        <v>11693.040000000003</v>
      </c>
      <c r="D9" s="801"/>
      <c r="E9" s="801"/>
      <c r="F9" s="757"/>
      <c r="G9" s="757"/>
      <c r="H9" s="757"/>
      <c r="I9" s="800" t="s">
        <v>1096</v>
      </c>
      <c r="J9" s="807">
        <v>7593930</v>
      </c>
      <c r="K9" s="807"/>
      <c r="L9" s="807">
        <v>41101</v>
      </c>
      <c r="M9" s="807">
        <v>-512.80999999999995</v>
      </c>
    </row>
    <row r="10" spans="1:13" x14ac:dyDescent="0.25">
      <c r="C10" s="801">
        <f>SUM(C6:C9)</f>
        <v>712338.8554753724</v>
      </c>
      <c r="D10" s="801"/>
      <c r="E10" s="802">
        <f>-C10</f>
        <v>-712338.8554753724</v>
      </c>
      <c r="F10" s="801"/>
      <c r="G10" s="801"/>
      <c r="I10" s="808" t="s">
        <v>131</v>
      </c>
      <c r="J10" s="806">
        <f t="shared" ref="J10:M10" si="0">SUM(J4:J9)</f>
        <v>7593930</v>
      </c>
      <c r="K10" s="806">
        <f t="shared" si="0"/>
        <v>-23002530</v>
      </c>
      <c r="L10" s="806">
        <f t="shared" si="0"/>
        <v>2386107</v>
      </c>
      <c r="M10" s="806">
        <f t="shared" si="0"/>
        <v>-3453.31</v>
      </c>
    </row>
    <row r="11" spans="1:13" x14ac:dyDescent="0.25">
      <c r="A11" t="s">
        <v>783</v>
      </c>
      <c r="C11" s="801"/>
      <c r="D11" s="801"/>
      <c r="E11" s="801">
        <f>E4+E10</f>
        <v>335296966.62148613</v>
      </c>
      <c r="F11" s="801"/>
      <c r="G11" s="801"/>
    </row>
    <row r="12" spans="1:13" x14ac:dyDescent="0.25">
      <c r="C12" s="801"/>
      <c r="D12" s="801"/>
      <c r="E12" s="801"/>
      <c r="F12" s="801"/>
      <c r="G12" s="801"/>
    </row>
    <row r="13" spans="1:13" x14ac:dyDescent="0.25">
      <c r="A13" t="s">
        <v>784</v>
      </c>
      <c r="C13" s="801">
        <v>349530558.69137907</v>
      </c>
      <c r="D13" s="801"/>
      <c r="F13" s="801"/>
      <c r="G13" s="801"/>
    </row>
    <row r="14" spans="1:13" x14ac:dyDescent="0.25">
      <c r="A14" t="s">
        <v>1103</v>
      </c>
      <c r="C14" s="801">
        <f>J9</f>
        <v>7593930</v>
      </c>
      <c r="D14" s="801"/>
      <c r="E14" s="801"/>
    </row>
    <row r="15" spans="1:13" x14ac:dyDescent="0.25">
      <c r="A15" t="s">
        <v>1102</v>
      </c>
      <c r="C15" s="801">
        <f>K4</f>
        <v>-23002530</v>
      </c>
      <c r="D15" s="801"/>
      <c r="E15" s="801"/>
    </row>
    <row r="16" spans="1:13" x14ac:dyDescent="0.25">
      <c r="A16" t="s">
        <v>1104</v>
      </c>
      <c r="C16" s="801">
        <f>SUM(L4:L9)</f>
        <v>2386107</v>
      </c>
      <c r="D16" s="801"/>
      <c r="E16" s="801"/>
    </row>
    <row r="17" spans="1:6" x14ac:dyDescent="0.25">
      <c r="A17" t="s">
        <v>171</v>
      </c>
      <c r="C17" s="801">
        <f>-('Sch M-1.3 Pg.1'!F35)</f>
        <v>-1459473.5699999998</v>
      </c>
      <c r="D17" s="801"/>
      <c r="E17" s="801"/>
    </row>
    <row r="18" spans="1:6" x14ac:dyDescent="0.25">
      <c r="A18" t="s">
        <v>211</v>
      </c>
      <c r="C18" s="802">
        <f>SUM(M4:M9)</f>
        <v>-3453.31</v>
      </c>
      <c r="D18" s="801"/>
      <c r="E18" s="802">
        <f>SUM(C13:C18)</f>
        <v>335045138.81137908</v>
      </c>
    </row>
    <row r="19" spans="1:6" x14ac:dyDescent="0.25">
      <c r="C19" s="801"/>
      <c r="D19" s="801"/>
      <c r="E19" s="801">
        <f>E11-E18</f>
        <v>251827.81010705233</v>
      </c>
      <c r="F19" s="809">
        <f>E19/E11</f>
        <v>7.5105901686053304E-4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103853DF7894DB347713A7250CD66" ma:contentTypeVersion="44" ma:contentTypeDescription="Create a new document." ma:contentTypeScope="" ma:versionID="df55eb0ecd8f4034a81b7ed037a86bce">
  <xsd:schema xmlns:xsd="http://www.w3.org/2001/XMLSchema" xmlns:xs="http://www.w3.org/2001/XMLSchema" xmlns:p="http://schemas.microsoft.com/office/2006/metadata/properties" xmlns:ns1="http://schemas.microsoft.com/sharepoint/v3" xmlns:ns2="54fcda00-7b58-44a7-b108-8bd10a8a08ba" targetNamespace="http://schemas.microsoft.com/office/2006/metadata/properties" ma:root="true" ma:fieldsID="6fec348956c44ba3ae7b97850f8c286b" ns1:_="" ns2:_="">
    <xsd:import namespace="http://schemas.microsoft.com/sharepoint/v3"/>
    <xsd:import namespace="54fcda00-7b58-44a7-b108-8bd10a8a08ba"/>
    <xsd:element name="properties">
      <xsd:complexType>
        <xsd:sequence>
          <xsd:element name="documentManagement">
            <xsd:complexType>
              <xsd:all>
                <xsd:element ref="ns2:Company" minOccurs="0"/>
                <xsd:element ref="ns2:Year"/>
                <xsd:element ref="ns2:Document_x0020_Type"/>
                <xsd:element ref="ns2:Filing_x0020_Requirement" minOccurs="0"/>
                <xsd:element ref="ns2:Witness_x0020_Testimony" minOccurs="0"/>
                <xsd:element ref="ns2:Intervemprs" minOccurs="0"/>
                <xsd:element ref="ns2:Round" minOccurs="0"/>
                <xsd:element ref="ns2:Data_x0020_Request_x0020_Question_x0020_No_x002e_" minOccurs="0"/>
                <xsd:element ref="ns2:Tariff_x0020_Dev_x0020_Doc_x0020_Type" minOccurs="0"/>
                <xsd:element ref="ns2:Filed_x0020_Documents" minOccurs="0"/>
                <xsd:element ref="ns2:Department" minOccurs="0"/>
                <xsd:element ref="ns1:Form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ormData" ma:index="19" nillable="true" ma:displayName="Form Data" ma:hidden="true" ma:internalName="FormData" ma:readOnly="fals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cda00-7b58-44a7-b108-8bd10a8a08ba" elementFormDefault="qualified">
    <xsd:import namespace="http://schemas.microsoft.com/office/2006/documentManagement/types"/>
    <xsd:import namespace="http://schemas.microsoft.com/office/infopath/2007/PartnerControls"/>
    <xsd:element name="Company" ma:index="2" nillable="true" ma:displayName="Company" ma:internalName="Company" ma:readOnly="false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KU"/>
                    <xsd:enumeration value="LGE"/>
                    <xsd:enumeration value="ODP"/>
                  </xsd:restriction>
                </xsd:simpleType>
              </xsd:element>
            </xsd:sequence>
          </xsd:extension>
        </xsd:complexContent>
      </xsd:complexType>
    </xsd:element>
    <xsd:element name="Year" ma:index="3" ma:displayName="Year" ma:default="2020" ma:format="Dropdown" ma:indexed="true" ma:internalName="Year" ma:readOnly="false">
      <xsd:simpleType>
        <xsd:restriction base="dms:Choice"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</xsd:restriction>
      </xsd:simpleType>
    </xsd:element>
    <xsd:element name="Document_x0020_Type" ma:index="4" ma:displayName="Document Type" ma:format="Dropdown" ma:indexed="true" ma:internalName="Document_x0020_Type" ma:readOnly="false">
      <xsd:simpleType>
        <xsd:restriction base="dms:Choice">
          <xsd:enumeration value="General Information"/>
          <xsd:enumeration value="Application"/>
          <xsd:enumeration value="Development"/>
          <xsd:enumeration value="Orders"/>
          <xsd:enumeration value="Direct Testimony"/>
          <xsd:enumeration value="Rebuttal Testimony"/>
          <xsd:enumeration value="Stipulation Testimony"/>
          <xsd:enumeration value="Supplemental Rebuttal Testimony"/>
          <xsd:enumeration value="Superseded Testimony"/>
          <xsd:enumeration value="Intervenor Direct Testimony"/>
          <xsd:enumeration value="Intervenor Supplemental Testimony"/>
          <xsd:enumeration value="Intervenor Data Requests Issued"/>
          <xsd:enumeration value="Intervenor Data Requests Responses"/>
          <xsd:enumeration value="Data Requests"/>
          <xsd:enumeration value="Notices"/>
          <xsd:enumeration value="eFile/Filed Docs"/>
          <xsd:enumeration value="Filing Requirements"/>
          <xsd:enumeration value="Tariff Development"/>
          <xsd:enumeration value="Witness Prep"/>
          <xsd:enumeration value="Public Hearings"/>
          <xsd:enumeration value="Superseded"/>
        </xsd:restriction>
      </xsd:simpleType>
    </xsd:element>
    <xsd:element name="Filing_x0020_Requirement" ma:index="5" nillable="true" ma:displayName="Filing Requirement" ma:format="Dropdown" ma:internalName="Filing_x0020_Requirement" ma:readOnly="false">
      <xsd:simpleType>
        <xsd:restriction base="dms:Choice">
          <xsd:enumeration value="Filing Requirements - Draft Responses"/>
          <xsd:enumeration value="Tab 01-Sec 14(2) Attachment Only"/>
          <xsd:enumeration value="Tab 03-Sec 16(1)(b)(2) Attachment Only"/>
          <xsd:enumeration value="Tab 04-Sec 16(1)(b)(3) Attachment Only"/>
          <xsd:enumeration value="Tab 05-Sec 16(1)(b)(4) Attachment Only"/>
          <xsd:enumeration value="Tab 06-Sec 16(1)(b)(5) Attachment Only"/>
          <xsd:enumeration value="Tab 07-Sec 16(2) Attachment Only"/>
          <xsd:enumeration value="Tab 13-Sec 16(6)(f) Attachment Only"/>
          <xsd:enumeration value="Tab 15-Sec 16(7)(b) Attachment Only"/>
          <xsd:enumeration value="Tab 16-Sec 16(7)(c) Attachment Only"/>
          <xsd:enumeration value="Tab 17-Sec 16(7)(d) Attachment Only"/>
          <xsd:enumeration value="Tab 18-Sec 16(7)(e) Attachment Only"/>
          <xsd:enumeration value="Tab 19-Sec 16(7)(f) Attachment Only"/>
          <xsd:enumeration value="Tab 20-Sec 16(7)(g) Attachment Only"/>
          <xsd:enumeration value="Tab 22-Sec 16(7)(h)(1) Attachment Only"/>
          <xsd:enumeration value="Tab 23-Sec 16(7)(h)(2) Attachment Only"/>
          <xsd:enumeration value="Tab 24-Sec 16(7)(h)(3) Attachment Only"/>
          <xsd:enumeration value="Tab 25-Sec 16(7)(h)(4) Attachment Only"/>
          <xsd:enumeration value="Tab 28-Sec 16(7)(h)(7) Attachment Only"/>
          <xsd:enumeration value="Tab 29-Sec 16(7)(h)(8) Attachment Only"/>
          <xsd:enumeration value="Tab 30-Sec 16(7)(h)(9) Attachment Only"/>
          <xsd:enumeration value="Tab 31-Sec 16(7)(h)(10) Attachment Only"/>
          <xsd:enumeration value="Tab 32-Sec 16(7)(h)(11) Attachment Only"/>
          <xsd:enumeration value="Tab 33-Sec 16(7)(h)(12) Attachment Only"/>
          <xsd:enumeration value="Tab 39-Sec 16(7)(i) Attachment Only"/>
          <xsd:enumeration value="Tab 40-Sec 16(7)(j) Attachment Only"/>
          <xsd:enumeration value="Tab 41-Sec 16(7)(k) Attachment Only"/>
          <xsd:enumeration value="Tab 43-Sec 16(7)(m) Attachment Only"/>
          <xsd:enumeration value="Tab 44-Sec 16(7)(n) Attachment Only"/>
          <xsd:enumeration value="Tab 45-Sec 16(7)(o) Attachment Only"/>
          <xsd:enumeration value="Tab 46-Sec 16(7)(p) Attachment Only"/>
          <xsd:enumeration value="Tab 50-Sec 16(7)(t) Attachment Only"/>
          <xsd:enumeration value="Tab 51-Sec 16(7)(u) Attachment Only"/>
          <xsd:enumeration value="Tab 54-Sec 16(8)(a) Attachment Only"/>
          <xsd:enumeration value="Tab 55-Sec 16(8)(b Attachment Only"/>
          <xsd:enumeration value="Tab 56-Sec 16(8)(c) Attachment Only"/>
          <xsd:enumeration value="Tab 57-Sec 16(8)(d) Attachment Only"/>
          <xsd:enumeration value="Tab 58-Sec 16(8)(e) Attachment Only"/>
          <xsd:enumeration value="Tab 59-Sec 16(8)(f) Attachment Only"/>
          <xsd:enumeration value="Tab 60-Sec 16(8)(g) Attachment Only"/>
          <xsd:enumeration value="Tab 61-Sec 16(8)(h) Attachment Only"/>
          <xsd:enumeration value="Tab 62-Sec 16(8)(i) Attachment Only"/>
          <xsd:enumeration value="Tab 63-Sec 16(8)(j) Attachment Only"/>
          <xsd:enumeration value="Tab 64-Sec 16(8)(k) Attachment Only"/>
          <xsd:enumeration value="Tab 66-Sec 16(8)(m) Attachment Only"/>
          <xsd:enumeration value="Tab 67-Sec 16(8)(n) Attachment Only"/>
          <xsd:enumeration value="Filing Requirements - Guidance Sheets"/>
          <xsd:enumeration value="Filing Requirements - Witness/Preparer Assignments"/>
          <xsd:enumeration value="Filing Requirements - eFiled"/>
          <xsd:enumeration value="Exempt Schedules 10_13_20_23_33_44-49"/>
          <xsd:enumeration value="Schedule 01-5_8-29_40-Revenue Requirements"/>
          <xsd:enumeration value="Schedule 01-5-Financial Data"/>
          <xsd:enumeration value="Schedule 06-Annual Reports"/>
          <xsd:enumeration value="Schedule 07-Comparative Financial Statements"/>
          <xsd:enumeration value="Schedule 17-Lead/Lag Cash Working Capital Calc - ET"/>
          <xsd:enumeration value="Schedule 27-Lead/Lag Cash Working Capital Calc - Adj."/>
          <xsd:enumeration value="Schedule 29-Workpapers for Adjustments"/>
          <xsd:enumeration value="Schedule 30-Revenue and Expense Analysis"/>
          <xsd:enumeration value="Schedule 31-Advertising"/>
          <xsd:enumeration value="Schedule 32-Storm Damage"/>
          <xsd:enumeration value="Schedule 34-Misc Expenses"/>
          <xsd:enumeration value="Schedule 35-Affiliate Services"/>
          <xsd:enumeration value="Schedule 36-Income Taxes"/>
          <xsd:enumeration value="Schedule 37-Organization"/>
          <xsd:enumeration value="Schedule 38-Changes in Acctg Procedures"/>
          <xsd:enumeration value="Schedule 39-Out of Period"/>
          <xsd:enumeration value="Schedule 40-Cost of Service"/>
          <xsd:enumeration value="Schedule 41-Present and Proposed Tariffs"/>
          <xsd:enumeration value="Schedule 42-Present and Proposed Revenues"/>
          <xsd:enumeration value="Schedule 43-Sample Bills"/>
          <xsd:enumeration value="Schedule 50-Other"/>
        </xsd:restriction>
      </xsd:simpleType>
    </xsd:element>
    <xsd:element name="Witness_x0020_Testimony" ma:index="6" nillable="true" ma:displayName="Witness" ma:format="Dropdown" ma:internalName="Witness_x0020_Testimony" ma:readOnly="false">
      <xsd:simpleType>
        <xsd:restriction base="dms:Choice">
          <xsd:enumeration value="Arbough, Daniel K."/>
          <xsd:enumeration value="Bellar, Lonnie E."/>
          <xsd:enumeration value="Blake, Kent W."/>
          <xsd:enumeration value="Conroy, Robert M."/>
          <xsd:enumeration value="Garrett, Christopher M."/>
          <xsd:enumeration value="Hornung, Michael E."/>
          <xsd:enumeration value="Leichty, Douglas A."/>
          <xsd:enumeration value="Lovekamp, Rick E."/>
          <xsd:enumeration value="Malloy, John P."/>
          <xsd:enumeration value="McFarland, Elizabeth J."/>
          <xsd:enumeration value="McKenzie, Adrien M. (FINCAP, Inc.)"/>
          <xsd:enumeration value="Meiman, Greg J."/>
          <xsd:enumeration value="Metts, Heather D."/>
          <xsd:enumeration value="Murphy, J. Clay"/>
          <xsd:enumeration value="Rahn, Derek"/>
          <xsd:enumeration value="Saunders, Eileen L."/>
          <xsd:enumeration value="Seelye, Steve (The Prime Group)"/>
          <xsd:enumeration value="Sinclair, David S."/>
          <xsd:enumeration value="Spanos, John J. (Gannett Fleming)"/>
          <xsd:enumeration value="Straight, Scott"/>
          <xsd:enumeration value="Thompson, Paul W."/>
          <xsd:enumeration value="Wilson, Stuart"/>
          <xsd:enumeration value="Wolfe, John K."/>
          <xsd:enumeration value="z - eFiled/Filed"/>
        </xsd:restriction>
      </xsd:simpleType>
    </xsd:element>
    <xsd:element name="Intervemprs" ma:index="7" nillable="true" ma:displayName="Data Request Party" ma:format="Dropdown" ma:internalName="Intervemprs" ma:readOnly="false">
      <xsd:simpleType>
        <xsd:restriction base="dms:Choice">
          <xsd:enumeration value="0-Data Response Tracking Sheet"/>
          <xsd:enumeration value="KY Public Service Commission - PSC"/>
          <xsd:enumeration value="VA State Corporation Commission - VASCC"/>
          <xsd:enumeration value="Appalachian Voices"/>
          <xsd:enumeration value="Association of Community Ministries - ACM"/>
          <xsd:enumeration value="Attorney General - AG"/>
          <xsd:enumeration value="AT&amp;T"/>
          <xsd:enumeration value="Charter Communications - Charter"/>
          <xsd:enumeration value="Community Action Council - CAC"/>
          <xsd:enumeration value="East Kentucky Power Cooperative - EKPC"/>
          <xsd:enumeration value="JBS Swift &amp; Co - JBS"/>
          <xsd:enumeration value="KY Cable Telecomm. Assn - KCTA"/>
          <xsd:enumeration value="KY Industrial Utility Customers - KIUC"/>
          <xsd:enumeration value="Kentucky League of Cities - KLC"/>
          <xsd:enumeration value="Kroger"/>
          <xsd:enumeration value="Kroger/Wal-Mart"/>
          <xsd:enumeration value="KY School Boards Assn - KSBA"/>
          <xsd:enumeration value="Lexington-Fayette Urban County Govt - LFUCG"/>
          <xsd:enumeration value="Louisville Metro Government - METRO"/>
          <xsd:enumeration value="Metro. Housing Coalition - MHC"/>
          <xsd:enumeration value="Sierra Club - SC"/>
          <xsd:enumeration value="U.S. Dept. of Defense -  US DOD"/>
          <xsd:enumeration value="Wal-Mart"/>
        </xsd:restriction>
      </xsd:simpleType>
    </xsd:element>
    <xsd:element name="Round" ma:index="8" nillable="true" ma:displayName="Data Request Round" ma:format="Dropdown" ma:internalName="Round" ma:readOnly="false">
      <xsd:simpleType>
        <xsd:restriction base="dms:Choice">
          <xsd:enumeration value="On-Site Requests"/>
          <xsd:enumeration value="DR01"/>
          <xsd:enumeration value="DR01 Attachments"/>
          <xsd:enumeration value="DR01 eFiled/Filed"/>
          <xsd:enumeration value="DR02"/>
          <xsd:enumeration value="DR02 Attachments"/>
          <xsd:enumeration value="DR02 eFiled/Filed"/>
          <xsd:enumeration value="DR03"/>
          <xsd:enumeration value="DR03 Attachments"/>
          <xsd:enumeration value="DR03 eFiled/Filed"/>
          <xsd:enumeration value="DR04"/>
          <xsd:enumeration value="DR04 Attachments"/>
          <xsd:enumeration value="DR04 eFiled/Filed"/>
          <xsd:enumeration value="DR05"/>
          <xsd:enumeration value="DR05 Attachments"/>
          <xsd:enumeration value="DR05 eFiled/Filed"/>
          <xsd:enumeration value="DR06"/>
          <xsd:enumeration value="DR06 Attachments"/>
          <xsd:enumeration value="DR06 eFiled/Filed"/>
          <xsd:enumeration value="DR07"/>
          <xsd:enumeration value="DR07 Attachments"/>
          <xsd:enumeration value="DR07 eFiled/Filed"/>
          <xsd:enumeration value="DR08"/>
          <xsd:enumeration value="DR08 Attachments"/>
          <xsd:enumeration value="DR08 eFiled/Filed"/>
          <xsd:enumeration value="DR09"/>
          <xsd:enumeration value="DR09 Attachments"/>
          <xsd:enumeration value="DR09 eFiled/Filed"/>
          <xsd:enumeration value="DR10"/>
          <xsd:enumeration value="DR10 Attachments"/>
          <xsd:enumeration value="DR10 eFiled/Filed"/>
          <xsd:enumeration value="DR11"/>
          <xsd:enumeration value="DR11 Attachments"/>
          <xsd:enumeration value="DR11 eFiled/Filed"/>
          <xsd:enumeration value="DR12"/>
          <xsd:enumeration value="DR12 Attachments"/>
          <xsd:enumeration value="DR12 eFiled/Filed"/>
          <xsd:enumeration value="DR13"/>
          <xsd:enumeration value="DR13 Attachments"/>
          <xsd:enumeration value="DR13 eFiled/Filed"/>
          <xsd:enumeration value="DR14"/>
          <xsd:enumeration value="DR14 Attachments"/>
          <xsd:enumeration value="DR14 eFiled/Filed"/>
          <xsd:enumeration value="Post Hearing DR01"/>
          <xsd:enumeration value="Post Hearing DR01 Attachments"/>
          <xsd:enumeration value="Post Hearing DR01 eFiled/Filed"/>
          <xsd:enumeration value="Post Hearing DR02"/>
          <xsd:enumeration value="Post Hearing DR02 Attachments"/>
          <xsd:enumeration value="Post Hearing DR02 eFiled/Filed"/>
          <xsd:enumeration value="PSC DR02/Intervenors DR01"/>
          <xsd:enumeration value="PSC DR03/Intervenors DR02"/>
          <xsd:enumeration value="PSC DR04"/>
          <xsd:enumeration value="PSC DR05/Intervenors DR03"/>
          <xsd:enumeration value="PSC DR06"/>
        </xsd:restriction>
      </xsd:simpleType>
    </xsd:element>
    <xsd:element name="Data_x0020_Request_x0020_Question_x0020_No_x002e_" ma:index="9" nillable="true" ma:displayName="Data Request Question No." ma:format="Dropdown" ma:internalName="Data_x0020_Request_x0020_Question_x0020_No_x002e_" ma:readOnly="false">
      <xsd:simpleType>
        <xsd:restriction base="dms:Choice">
          <xsd:enumeration value="001"/>
          <xsd:enumeration value="002"/>
          <xsd:enumeration value="003"/>
          <xsd:enumeration value="004"/>
          <xsd:enumeration value="005"/>
          <xsd:enumeration value="006"/>
          <xsd:enumeration value="007"/>
          <xsd:enumeration value="008"/>
          <xsd:enumeration value="009"/>
          <xsd:enumeration value="010"/>
          <xsd:enumeration value="011"/>
          <xsd:enumeration value="012"/>
          <xsd:enumeration value="013"/>
          <xsd:enumeration value="014"/>
          <xsd:enumeration value="015"/>
          <xsd:enumeration value="016"/>
          <xsd:enumeration value="017"/>
          <xsd:enumeration value="018"/>
          <xsd:enumeration value="019"/>
          <xsd:enumeration value="020"/>
          <xsd:enumeration value="021"/>
          <xsd:enumeration value="022"/>
          <xsd:enumeration value="023"/>
          <xsd:enumeration value="024"/>
          <xsd:enumeration value="025"/>
          <xsd:enumeration value="026"/>
          <xsd:enumeration value="027"/>
          <xsd:enumeration value="028"/>
          <xsd:enumeration value="029"/>
          <xsd:enumeration value="030"/>
          <xsd:enumeration value="031"/>
          <xsd:enumeration value="032"/>
          <xsd:enumeration value="033"/>
          <xsd:enumeration value="034"/>
          <xsd:enumeration value="035"/>
          <xsd:enumeration value="036"/>
          <xsd:enumeration value="037"/>
          <xsd:enumeration value="038"/>
          <xsd:enumeration value="039"/>
          <xsd:enumeration value="040"/>
          <xsd:enumeration value="041"/>
          <xsd:enumeration value="042"/>
          <xsd:enumeration value="043"/>
          <xsd:enumeration value="044"/>
          <xsd:enumeration value="045"/>
          <xsd:enumeration value="046"/>
          <xsd:enumeration value="047"/>
          <xsd:enumeration value="048"/>
          <xsd:enumeration value="049"/>
          <xsd:enumeration value="050"/>
          <xsd:enumeration value="051"/>
          <xsd:enumeration value="052"/>
          <xsd:enumeration value="053"/>
          <xsd:enumeration value="054"/>
          <xsd:enumeration value="055"/>
          <xsd:enumeration value="056"/>
          <xsd:enumeration value="057"/>
          <xsd:enumeration value="058"/>
          <xsd:enumeration value="059"/>
          <xsd:enumeration value="060"/>
          <xsd:enumeration value="061"/>
          <xsd:enumeration value="062"/>
          <xsd:enumeration value="063"/>
          <xsd:enumeration value="064"/>
          <xsd:enumeration value="065"/>
          <xsd:enumeration value="066"/>
          <xsd:enumeration value="067"/>
          <xsd:enumeration value="068"/>
          <xsd:enumeration value="069"/>
          <xsd:enumeration value="070"/>
          <xsd:enumeration value="071"/>
          <xsd:enumeration value="072"/>
          <xsd:enumeration value="073"/>
          <xsd:enumeration value="074"/>
          <xsd:enumeration value="075"/>
          <xsd:enumeration value="076"/>
          <xsd:enumeration value="077"/>
          <xsd:enumeration value="078"/>
          <xsd:enumeration value="079"/>
          <xsd:enumeration value="080"/>
          <xsd:enumeration value="081"/>
          <xsd:enumeration value="082"/>
          <xsd:enumeration value="083"/>
          <xsd:enumeration value="084"/>
          <xsd:enumeration value="085"/>
          <xsd:enumeration value="086"/>
          <xsd:enumeration value="087"/>
          <xsd:enumeration value="088"/>
          <xsd:enumeration value="089"/>
          <xsd:enumeration value="090"/>
          <xsd:enumeration value="091"/>
          <xsd:enumeration value="092"/>
          <xsd:enumeration value="093"/>
          <xsd:enumeration value="094"/>
          <xsd:enumeration value="095"/>
          <xsd:enumeration value="096"/>
          <xsd:enumeration value="097"/>
          <xsd:enumeration value="098"/>
          <xsd:enumeration value="099"/>
          <xsd:enumeration value="100"/>
          <xsd:enumeration value="101"/>
          <xsd:enumeration value="102"/>
          <xsd:enumeration value="103"/>
          <xsd:enumeration value="104"/>
          <xsd:enumeration value="105"/>
          <xsd:enumeration value="106"/>
          <xsd:enumeration value="107"/>
          <xsd:enumeration value="108"/>
          <xsd:enumeration value="109"/>
          <xsd:enumeration value="110"/>
          <xsd:enumeration value="111"/>
          <xsd:enumeration value="112"/>
          <xsd:enumeration value="113"/>
          <xsd:enumeration value="114"/>
          <xsd:enumeration value="115"/>
          <xsd:enumeration value="116"/>
          <xsd:enumeration value="117"/>
          <xsd:enumeration value="118"/>
          <xsd:enumeration value="119"/>
          <xsd:enumeration value="120"/>
          <xsd:enumeration value="121"/>
          <xsd:enumeration value="122"/>
          <xsd:enumeration value="123"/>
          <xsd:enumeration value="124"/>
          <xsd:enumeration value="125"/>
          <xsd:enumeration value="126"/>
          <xsd:enumeration value="127"/>
          <xsd:enumeration value="128"/>
          <xsd:enumeration value="129"/>
          <xsd:enumeration value="130"/>
          <xsd:enumeration value="131"/>
          <xsd:enumeration value="132"/>
          <xsd:enumeration value="133"/>
          <xsd:enumeration value="134"/>
          <xsd:enumeration value="135"/>
          <xsd:enumeration value="136"/>
          <xsd:enumeration value="137"/>
          <xsd:enumeration value="138"/>
          <xsd:enumeration value="139"/>
          <xsd:enumeration value="140"/>
          <xsd:enumeration value="141"/>
          <xsd:enumeration value="142"/>
          <xsd:enumeration value="143"/>
          <xsd:enumeration value="144"/>
          <xsd:enumeration value="145"/>
          <xsd:enumeration value="146"/>
          <xsd:enumeration value="147"/>
          <xsd:enumeration value="148"/>
          <xsd:enumeration value="149"/>
          <xsd:enumeration value="150"/>
          <xsd:enumeration value="151"/>
          <xsd:enumeration value="152"/>
          <xsd:enumeration value="153"/>
          <xsd:enumeration value="154"/>
          <xsd:enumeration value="155"/>
          <xsd:enumeration value="156"/>
          <xsd:enumeration value="157"/>
          <xsd:enumeration value="158"/>
          <xsd:enumeration value="159"/>
          <xsd:enumeration value="160"/>
          <xsd:enumeration value="161"/>
          <xsd:enumeration value="162"/>
          <xsd:enumeration value="163"/>
          <xsd:enumeration value="164"/>
          <xsd:enumeration value="165"/>
          <xsd:enumeration value="166"/>
          <xsd:enumeration value="167"/>
          <xsd:enumeration value="168"/>
          <xsd:enumeration value="169"/>
          <xsd:enumeration value="170"/>
          <xsd:enumeration value="171"/>
          <xsd:enumeration value="172"/>
          <xsd:enumeration value="173"/>
          <xsd:enumeration value="174"/>
          <xsd:enumeration value="175"/>
          <xsd:enumeration value="176"/>
          <xsd:enumeration value="177"/>
          <xsd:enumeration value="178"/>
          <xsd:enumeration value="179"/>
          <xsd:enumeration value="180"/>
          <xsd:enumeration value="181"/>
          <xsd:enumeration value="182"/>
          <xsd:enumeration value="183"/>
          <xsd:enumeration value="184"/>
          <xsd:enumeration value="185"/>
          <xsd:enumeration value="186"/>
          <xsd:enumeration value="187"/>
          <xsd:enumeration value="188"/>
          <xsd:enumeration value="189"/>
          <xsd:enumeration value="190"/>
          <xsd:enumeration value="191"/>
          <xsd:enumeration value="192"/>
          <xsd:enumeration value="193"/>
          <xsd:enumeration value="194"/>
          <xsd:enumeration value="195"/>
          <xsd:enumeration value="196"/>
          <xsd:enumeration value="197"/>
          <xsd:enumeration value="198"/>
          <xsd:enumeration value="199"/>
          <xsd:enumeration value="200"/>
          <xsd:enumeration value="201"/>
          <xsd:enumeration value="202"/>
          <xsd:enumeration value="203"/>
          <xsd:enumeration value="204"/>
          <xsd:enumeration value="205"/>
          <xsd:enumeration value="206"/>
          <xsd:enumeration value="207"/>
          <xsd:enumeration value="208"/>
          <xsd:enumeration value="209"/>
          <xsd:enumeration value="210"/>
          <xsd:enumeration value="211"/>
          <xsd:enumeration value="212"/>
          <xsd:enumeration value="213"/>
          <xsd:enumeration value="214"/>
          <xsd:enumeration value="215"/>
          <xsd:enumeration value="216"/>
          <xsd:enumeration value="217"/>
          <xsd:enumeration value="218"/>
          <xsd:enumeration value="219"/>
          <xsd:enumeration value="220"/>
          <xsd:enumeration value="221"/>
          <xsd:enumeration value="222"/>
          <xsd:enumeration value="223"/>
          <xsd:enumeration value="224"/>
          <xsd:enumeration value="225"/>
          <xsd:enumeration value="226"/>
          <xsd:enumeration value="227"/>
          <xsd:enumeration value="228"/>
          <xsd:enumeration value="229"/>
          <xsd:enumeration value="230"/>
          <xsd:enumeration value="231"/>
          <xsd:enumeration value="232"/>
          <xsd:enumeration value="233"/>
          <xsd:enumeration value="234"/>
          <xsd:enumeration value="235"/>
          <xsd:enumeration value="236"/>
          <xsd:enumeration value="237"/>
          <xsd:enumeration value="238"/>
          <xsd:enumeration value="239"/>
          <xsd:enumeration value="240"/>
          <xsd:enumeration value="241"/>
          <xsd:enumeration value="242"/>
          <xsd:enumeration value="243"/>
          <xsd:enumeration value="244"/>
          <xsd:enumeration value="245"/>
          <xsd:enumeration value="246"/>
          <xsd:enumeration value="247"/>
          <xsd:enumeration value="248"/>
          <xsd:enumeration value="249"/>
          <xsd:enumeration value="250"/>
          <xsd:enumeration value="251"/>
          <xsd:enumeration value="252"/>
          <xsd:enumeration value="253"/>
          <xsd:enumeration value="254"/>
          <xsd:enumeration value="255"/>
          <xsd:enumeration value="256"/>
          <xsd:enumeration value="257"/>
          <xsd:enumeration value="258"/>
          <xsd:enumeration value="259"/>
          <xsd:enumeration value="260"/>
          <xsd:enumeration value="261"/>
          <xsd:enumeration value="262"/>
          <xsd:enumeration value="263"/>
          <xsd:enumeration value="264"/>
          <xsd:enumeration value="265"/>
          <xsd:enumeration value="266"/>
          <xsd:enumeration value="267"/>
          <xsd:enumeration value="268"/>
          <xsd:enumeration value="269"/>
          <xsd:enumeration value="270"/>
          <xsd:enumeration value="271"/>
          <xsd:enumeration value="272"/>
          <xsd:enumeration value="273"/>
          <xsd:enumeration value="274"/>
          <xsd:enumeration value="275"/>
          <xsd:enumeration value="276"/>
          <xsd:enumeration value="277"/>
          <xsd:enumeration value="278"/>
          <xsd:enumeration value="279"/>
          <xsd:enumeration value="280"/>
          <xsd:enumeration value="281"/>
          <xsd:enumeration value="282"/>
          <xsd:enumeration value="283"/>
          <xsd:enumeration value="284"/>
          <xsd:enumeration value="285"/>
          <xsd:enumeration value="286"/>
          <xsd:enumeration value="287"/>
          <xsd:enumeration value="288"/>
          <xsd:enumeration value="289"/>
          <xsd:enumeration value="290"/>
          <xsd:enumeration value="291"/>
          <xsd:enumeration value="292"/>
          <xsd:enumeration value="293"/>
          <xsd:enumeration value="294"/>
          <xsd:enumeration value="295"/>
          <xsd:enumeration value="296"/>
          <xsd:enumeration value="297"/>
          <xsd:enumeration value="298"/>
          <xsd:enumeration value="299"/>
          <xsd:enumeration value="300"/>
          <xsd:enumeration value="301"/>
          <xsd:enumeration value="302"/>
          <xsd:enumeration value="303"/>
          <xsd:enumeration value="304"/>
          <xsd:enumeration value="305"/>
          <xsd:enumeration value="306"/>
          <xsd:enumeration value="307"/>
          <xsd:enumeration value="308"/>
          <xsd:enumeration value="309"/>
          <xsd:enumeration value="310"/>
          <xsd:enumeration value="311"/>
          <xsd:enumeration value="312"/>
          <xsd:enumeration value="313"/>
          <xsd:enumeration value="314"/>
          <xsd:enumeration value="315"/>
          <xsd:enumeration value="316"/>
          <xsd:enumeration value="317"/>
          <xsd:enumeration value="318"/>
          <xsd:enumeration value="319"/>
          <xsd:enumeration value="320"/>
          <xsd:enumeration value="321"/>
          <xsd:enumeration value="322"/>
          <xsd:enumeration value="323"/>
          <xsd:enumeration value="324"/>
          <xsd:enumeration value="325"/>
          <xsd:enumeration value="326"/>
          <xsd:enumeration value="327"/>
          <xsd:enumeration value="328"/>
          <xsd:enumeration value="329"/>
          <xsd:enumeration value="330"/>
          <xsd:enumeration value="331"/>
          <xsd:enumeration value="332"/>
          <xsd:enumeration value="333"/>
          <xsd:enumeration value="334"/>
          <xsd:enumeration value="335"/>
          <xsd:enumeration value="336"/>
          <xsd:enumeration value="337"/>
          <xsd:enumeration value="338"/>
          <xsd:enumeration value="339"/>
          <xsd:enumeration value="340"/>
          <xsd:enumeration value="341"/>
          <xsd:enumeration value="342"/>
          <xsd:enumeration value="343"/>
          <xsd:enumeration value="344"/>
          <xsd:enumeration value="345"/>
          <xsd:enumeration value="346"/>
          <xsd:enumeration value="347"/>
          <xsd:enumeration value="348"/>
          <xsd:enumeration value="349"/>
          <xsd:enumeration value="350"/>
          <xsd:enumeration value="351"/>
          <xsd:enumeration value="352"/>
          <xsd:enumeration value="353"/>
          <xsd:enumeration value="354"/>
          <xsd:enumeration value="355"/>
          <xsd:enumeration value="356"/>
          <xsd:enumeration value="357"/>
          <xsd:enumeration value="358"/>
          <xsd:enumeration value="359"/>
          <xsd:enumeration value="360"/>
          <xsd:enumeration value="361"/>
          <xsd:enumeration value="362"/>
          <xsd:enumeration value="363"/>
          <xsd:enumeration value="364"/>
          <xsd:enumeration value="365"/>
          <xsd:enumeration value="366"/>
          <xsd:enumeration value="367"/>
          <xsd:enumeration value="368"/>
          <xsd:enumeration value="369"/>
          <xsd:enumeration value="370"/>
          <xsd:enumeration value="371"/>
          <xsd:enumeration value="372"/>
          <xsd:enumeration value="373"/>
          <xsd:enumeration value="374"/>
          <xsd:enumeration value="375"/>
          <xsd:enumeration value="376"/>
          <xsd:enumeration value="377"/>
          <xsd:enumeration value="378"/>
          <xsd:enumeration value="379"/>
          <xsd:enumeration value="380"/>
          <xsd:enumeration value="381"/>
          <xsd:enumeration value="382"/>
          <xsd:enumeration value="383"/>
          <xsd:enumeration value="384"/>
          <xsd:enumeration value="385"/>
          <xsd:enumeration value="386"/>
          <xsd:enumeration value="387"/>
          <xsd:enumeration value="388"/>
          <xsd:enumeration value="389"/>
          <xsd:enumeration value="390"/>
          <xsd:enumeration value="391"/>
          <xsd:enumeration value="392"/>
          <xsd:enumeration value="393"/>
          <xsd:enumeration value="394"/>
          <xsd:enumeration value="395"/>
          <xsd:enumeration value="396"/>
          <xsd:enumeration value="397"/>
          <xsd:enumeration value="398"/>
          <xsd:enumeration value="399"/>
          <xsd:enumeration value="400"/>
          <xsd:enumeration value="401"/>
          <xsd:enumeration value="402"/>
          <xsd:enumeration value="403"/>
          <xsd:enumeration value="404"/>
          <xsd:enumeration value="405"/>
          <xsd:enumeration value="406"/>
          <xsd:enumeration value="407"/>
          <xsd:enumeration value="408"/>
          <xsd:enumeration value="409"/>
          <xsd:enumeration value="410"/>
          <xsd:enumeration value="411"/>
          <xsd:enumeration value="412"/>
          <xsd:enumeration value="413"/>
          <xsd:enumeration value="414"/>
          <xsd:enumeration value="415"/>
          <xsd:enumeration value="416"/>
          <xsd:enumeration value="417"/>
          <xsd:enumeration value="418"/>
          <xsd:enumeration value="419"/>
          <xsd:enumeration value="420"/>
          <xsd:enumeration value="421"/>
          <xsd:enumeration value="422"/>
          <xsd:enumeration value="423"/>
          <xsd:enumeration value="424"/>
          <xsd:enumeration value="425"/>
          <xsd:enumeration value="426"/>
          <xsd:enumeration value="427"/>
          <xsd:enumeration value="428"/>
          <xsd:enumeration value="429"/>
          <xsd:enumeration value="430"/>
          <xsd:enumeration value="431"/>
          <xsd:enumeration value="432"/>
          <xsd:enumeration value="433"/>
          <xsd:enumeration value="434"/>
          <xsd:enumeration value="435"/>
          <xsd:enumeration value="436"/>
          <xsd:enumeration value="437"/>
          <xsd:enumeration value="438"/>
          <xsd:enumeration value="439"/>
          <xsd:enumeration value="440"/>
          <xsd:enumeration value="441"/>
        </xsd:restriction>
      </xsd:simpleType>
    </xsd:element>
    <xsd:element name="Tariff_x0020_Dev_x0020_Doc_x0020_Type" ma:index="10" nillable="true" ma:displayName="Tariff Dev Doc Type" ma:format="Dropdown" ma:internalName="Tariff_x0020_Dev_x0020_Doc_x0020_Type">
      <xsd:simpleType>
        <xsd:restriction base="dms:Choice">
          <xsd:enumeration value="Support"/>
          <xsd:enumeration value="Customer Communications"/>
          <xsd:enumeration value="Customer Service"/>
        </xsd:restriction>
      </xsd:simpleType>
    </xsd:element>
    <xsd:element name="Filed_x0020_Documents" ma:index="11" nillable="true" ma:displayName="Filed Documents (Internal Use Only)" ma:format="Dropdown" ma:internalName="Filed_x0020_Documents" ma:readOnly="false">
      <xsd:simpleType>
        <xsd:restriction base="dms:Choice">
          <xsd:enumeration value="Application/Filing Requirements/Testimony"/>
          <xsd:enumeration value="PSC DR 01"/>
          <xsd:enumeration value="PSC DR 02/Intervenor DR 01"/>
          <xsd:enumeration value="PSC DR 03/Intervenor DR 02"/>
          <xsd:enumeration value="PSC DR 04"/>
          <xsd:enumeration value="PSC DR 05"/>
          <xsd:enumeration value="PSC DR 06"/>
          <xsd:enumeration value="PSC Post Hearing DR01"/>
          <xsd:enumeration value="PSC Post Hearing DR02"/>
          <xsd:enumeration value="VSCC DR01"/>
          <xsd:enumeration value="VSCC DR02"/>
          <xsd:enumeration value="VSCC DR03"/>
          <xsd:enumeration value="VSCC DR04"/>
          <xsd:enumeration value="VSCC DR05"/>
          <xsd:enumeration value="VSCC DR06"/>
          <xsd:enumeration value="VSCC DR07"/>
          <xsd:enumeration value="VSCC DR08"/>
          <xsd:enumeration value="VSCC DR09"/>
          <xsd:enumeration value="VSCC DR10"/>
          <xsd:enumeration value="VSCC DR11"/>
          <xsd:enumeration value="VSCC DR12"/>
          <xsd:enumeration value="VSCC DR13"/>
          <xsd:enumeration value="Rebuttal Testimony"/>
          <xsd:enumeration value="Settlement Agreement"/>
          <xsd:enumeration value="Stipulation Testimony"/>
          <xsd:enumeration value="Post Hearing Briefs"/>
        </xsd:restriction>
      </xsd:simpleType>
    </xsd:element>
    <xsd:element name="Department" ma:index="18" nillable="true" ma:displayName="Department/Purpose" ma:format="Dropdown" ma:internalName="Department" ma:readOnly="false">
      <xsd:simpleType>
        <xsd:restriction base="dms:Choice">
          <xsd:enumeration value="Cost of Service"/>
          <xsd:enumeration value="Jurisdictional Separation Study"/>
          <xsd:enumeration value="Revenue Requirement"/>
          <xsd:enumeration value="Financial Planning &amp; Analysis"/>
          <xsd:enumeration value="Financial Reporting"/>
          <xsd:enumeration value="Sales Analysis &amp; Forecasting"/>
          <xsd:enumeration value="State Regulation &amp; Rates"/>
          <xsd:enumeration value="Tax Accounting &amp; Compli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Urls xmlns="http://schemas.microsoft.com/sharepoint/v3/contenttype/forms/url">
  <MobileDisplay>_layouts/15/NintexForms/Mobile/DispForm.aspx</MobileDisplay>
  <MobileEdit>_layouts/15/NintexForms/Mobile/EditForm.aspx</MobileEdit>
  <MobileNew>_layouts/15/NintexForms/Mobile/NewForm.aspx</MobileNew>
</FormUrl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pany xmlns="54fcda00-7b58-44a7-b108-8bd10a8a08ba">
      <Value>LGE</Value>
    </Company>
    <Tariff_x0020_Dev_x0020_Doc_x0020_Type xmlns="54fcda00-7b58-44a7-b108-8bd10a8a08ba" xsi:nil="true"/>
    <Filing_x0020_Requirement xmlns="54fcda00-7b58-44a7-b108-8bd10a8a08ba" xsi:nil="true"/>
    <Round xmlns="54fcda00-7b58-44a7-b108-8bd10a8a08ba">DR01 Attachments</Round>
    <FormData xmlns="http://schemas.microsoft.com/sharepoint/v3">&lt;?xml version="1.0" encoding="utf-8"?&gt;&lt;FormVariables&gt;&lt;Version /&gt;&lt;/FormVariables&gt;</FormData>
    <Data_x0020_Request_x0020_Question_x0020_No_x002e_ xmlns="54fcda00-7b58-44a7-b108-8bd10a8a08ba">056</Data_x0020_Request_x0020_Question_x0020_No_x002e_>
    <Year xmlns="54fcda00-7b58-44a7-b108-8bd10a8a08ba">2020</Year>
    <Document_x0020_Type xmlns="54fcda00-7b58-44a7-b108-8bd10a8a08ba">Data Requests</Document_x0020_Type>
    <Witness_x0020_Testimony xmlns="54fcda00-7b58-44a7-b108-8bd10a8a08ba" xsi:nil="true"/>
    <Intervemprs xmlns="54fcda00-7b58-44a7-b108-8bd10a8a08ba">KY Public Service Commission - PSC</Intervemprs>
    <Filed_x0020_Documents xmlns="54fcda00-7b58-44a7-b108-8bd10a8a08ba" xsi:nil="true"/>
    <Department xmlns="54fcda00-7b58-44a7-b108-8bd10a8a08ba" xsi:nil="true"/>
  </documentManagement>
</p:properties>
</file>

<file path=customXml/itemProps1.xml><?xml version="1.0" encoding="utf-8"?>
<ds:datastoreItem xmlns:ds="http://schemas.openxmlformats.org/officeDocument/2006/customXml" ds:itemID="{8D654984-C3A3-41D1-9919-4E9EEEE48AB0}"/>
</file>

<file path=customXml/itemProps2.xml><?xml version="1.0" encoding="utf-8"?>
<ds:datastoreItem xmlns:ds="http://schemas.openxmlformats.org/officeDocument/2006/customXml" ds:itemID="{41E7C4FE-F977-480E-AC3B-D01D996F2686}"/>
</file>

<file path=customXml/itemProps3.xml><?xml version="1.0" encoding="utf-8"?>
<ds:datastoreItem xmlns:ds="http://schemas.openxmlformats.org/officeDocument/2006/customXml" ds:itemID="{89D27136-FD1C-4B16-A837-686270E11015}"/>
</file>

<file path=customXml/itemProps4.xml><?xml version="1.0" encoding="utf-8"?>
<ds:datastoreItem xmlns:ds="http://schemas.openxmlformats.org/officeDocument/2006/customXml" ds:itemID="{BBFCC8F6-224D-4C47-BD70-EB110A934680}"/>
</file>

<file path=customXml/itemProps5.xml><?xml version="1.0" encoding="utf-8"?>
<ds:datastoreItem xmlns:ds="http://schemas.openxmlformats.org/officeDocument/2006/customXml" ds:itemID="{BFE1E1A6-37C4-4A09-9D7E-84079325BD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</vt:i4>
      </vt:variant>
    </vt:vector>
  </HeadingPairs>
  <TitlesOfParts>
    <vt:vector size="41" baseType="lpstr">
      <vt:lpstr>Exhibit &amp; Schedules===&gt;</vt:lpstr>
      <vt:lpstr>Index</vt:lpstr>
      <vt:lpstr>Sch M-1.1-G</vt:lpstr>
      <vt:lpstr>Sch M-1.2-G</vt:lpstr>
      <vt:lpstr>Sch M-1.3 Pg.1</vt:lpstr>
      <vt:lpstr>Sch M-1.3 Pg. 2-11</vt:lpstr>
      <vt:lpstr>Revenue Summary B</vt:lpstr>
      <vt:lpstr>Exh P11-Gas Supply Exp</vt:lpstr>
      <vt:lpstr>Recon to Sch C</vt:lpstr>
      <vt:lpstr>Data ==&gt;</vt:lpstr>
      <vt:lpstr>12-MO Billed Summary ALL</vt:lpstr>
      <vt:lpstr>SBR</vt:lpstr>
      <vt:lpstr>Mar20-Aug20 Billed-RETAIL</vt:lpstr>
      <vt:lpstr>SBR Mar20 - Aug20</vt:lpstr>
      <vt:lpstr>Sep20-Feb21 Transport Forecast</vt:lpstr>
      <vt:lpstr>Mar20-Aug20 Transport Actuals</vt:lpstr>
      <vt:lpstr>Data-Retail</vt:lpstr>
      <vt:lpstr>Data-Transport</vt:lpstr>
      <vt:lpstr>Data-Cashout</vt:lpstr>
      <vt:lpstr>Forecasted Customer Cts</vt:lpstr>
      <vt:lpstr>Forecasted Calendar Month Usage</vt:lpstr>
      <vt:lpstr>Fin Forecast</vt:lpstr>
      <vt:lpstr>Data LGE SC Mill Creek</vt:lpstr>
      <vt:lpstr>Rate Categories</vt:lpstr>
      <vt:lpstr>Retail Rates</vt:lpstr>
      <vt:lpstr>GSC-DSM-GLT Factors</vt:lpstr>
      <vt:lpstr>Sales by Rates===&gt;</vt:lpstr>
      <vt:lpstr>Bruise Report-Tariff</vt:lpstr>
      <vt:lpstr>Bruise Report-Cashouts</vt:lpstr>
      <vt:lpstr>'Bruise Report-Cashouts'!Print_Area</vt:lpstr>
      <vt:lpstr>'Bruise Report-Tariff'!Print_Area</vt:lpstr>
      <vt:lpstr>'Data-Retail'!Print_Area</vt:lpstr>
      <vt:lpstr>'Data-Transport'!Print_Area</vt:lpstr>
      <vt:lpstr>'Revenue Summary B'!Print_Area</vt:lpstr>
      <vt:lpstr>SBR!Print_Area</vt:lpstr>
      <vt:lpstr>'Sch M-1.1-G'!Print_Area</vt:lpstr>
      <vt:lpstr>'Sch M-1.2-G'!Print_Area</vt:lpstr>
      <vt:lpstr>'Sch M-1.3 Pg. 2-11'!Print_Area</vt:lpstr>
      <vt:lpstr>'Sch M-1.3 Pg.1'!Print_Area</vt:lpstr>
      <vt:lpstr>'Revenue Summary B'!Print_Titles</vt:lpstr>
      <vt:lpstr>'Sch M-1.3 Pg. 2-11'!Print_Titles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2014-11-26T16:25:59Z</dcterms:created>
  <dcterms:modified xsi:type="dcterms:W3CDTF">2020-12-02T14:37:05Z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adee1c6-0c13-46fe-9f7d-d5b32ad2c571_Enabled">
    <vt:lpwstr>true</vt:lpwstr>
  </property>
  <property fmtid="{D5CDD505-2E9C-101B-9397-08002B2CF9AE}" pid="3" name="MSIP_Label_0adee1c6-0c13-46fe-9f7d-d5b32ad2c571_SetDate">
    <vt:lpwstr>2020-10-08T00:20:29Z</vt:lpwstr>
  </property>
  <property fmtid="{D5CDD505-2E9C-101B-9397-08002B2CF9AE}" pid="4" name="MSIP_Label_0adee1c6-0c13-46fe-9f7d-d5b32ad2c571_Method">
    <vt:lpwstr>Privileged</vt:lpwstr>
  </property>
  <property fmtid="{D5CDD505-2E9C-101B-9397-08002B2CF9AE}" pid="5" name="MSIP_Label_0adee1c6-0c13-46fe-9f7d-d5b32ad2c571_Name">
    <vt:lpwstr>0adee1c6-0c13-46fe-9f7d-d5b32ad2c571</vt:lpwstr>
  </property>
  <property fmtid="{D5CDD505-2E9C-101B-9397-08002B2CF9AE}" pid="6" name="MSIP_Label_0adee1c6-0c13-46fe-9f7d-d5b32ad2c571_SiteId">
    <vt:lpwstr>5ee3b0ba-a559-45ee-a69e-6d3e963a3e72</vt:lpwstr>
  </property>
  <property fmtid="{D5CDD505-2E9C-101B-9397-08002B2CF9AE}" pid="7" name="MSIP_Label_0adee1c6-0c13-46fe-9f7d-d5b32ad2c571_ActionId">
    <vt:lpwstr>c7f14648-2ad4-4731-811c-00004d018935</vt:lpwstr>
  </property>
  <property fmtid="{D5CDD505-2E9C-101B-9397-08002B2CF9AE}" pid="8" name="MSIP_Label_0adee1c6-0c13-46fe-9f7d-d5b32ad2c571_ContentBits">
    <vt:lpwstr>0</vt:lpwstr>
  </property>
  <property fmtid="{D5CDD505-2E9C-101B-9397-08002B2CF9AE}" pid="9" name="ContentTypeId">
    <vt:lpwstr>0x0101002D0103853DF7894DB347713A7250CD66</vt:lpwstr>
  </property>
</Properties>
</file>